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SS\app\Packages\Milestone\SS\"/>
    </mc:Choice>
  </mc:AlternateContent>
  <bookViews>
    <workbookView xWindow="240" yWindow="75" windowWidth="20055" windowHeight="7935" tabRatio="912" activeTab="3"/>
  </bookViews>
  <sheets>
    <sheet name="Tables" sheetId="1" r:id="rId1"/>
    <sheet name="Fields" sheetId="2" r:id="rId2"/>
    <sheet name="Table Fields" sheetId="3" r:id="rId3"/>
    <sheet name="Table Data" sheetId="24" r:id="rId4"/>
    <sheet name="Table Seed Map" sheetId="21" state="hidden" r:id="rId5"/>
    <sheet name="Seed Statement" sheetId="25" r:id="rId6"/>
    <sheet name="Helper-Resources" sheetId="14" r:id="rId7"/>
    <sheet name="Helper-Relation" sheetId="19" r:id="rId8"/>
    <sheet name="Helper-ResourceForm" sheetId="9" r:id="rId9"/>
    <sheet name="Migration Renamer" sheetId="26" r:id="rId10"/>
    <sheet name="Helper-ResourceList" sheetId="28" r:id="rId11"/>
    <sheet name="Helper-ResourceData" sheetId="29" r:id="rId12"/>
    <sheet name="Helper-ResourceAction" sheetId="27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'Helper-Relation'!$F$2:$F$45,'Helper-Relation'!#REF!,'Helper-Relation'!#REF!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A74" i="24" l="1"/>
  <c r="C74" i="24"/>
  <c r="A82" i="24"/>
  <c r="C82" i="24"/>
  <c r="A81" i="24"/>
  <c r="C81" i="24"/>
  <c r="A80" i="24"/>
  <c r="C80" i="24"/>
  <c r="A79" i="24"/>
  <c r="C79" i="24"/>
  <c r="A78" i="24"/>
  <c r="C78" i="24"/>
  <c r="A77" i="24"/>
  <c r="C77" i="24"/>
  <c r="A76" i="24"/>
  <c r="C76" i="24"/>
  <c r="A75" i="24"/>
  <c r="C75" i="24"/>
  <c r="A73" i="24"/>
  <c r="C73" i="24"/>
  <c r="A36" i="24" l="1"/>
  <c r="A37" i="24"/>
  <c r="C36" i="24"/>
  <c r="C37" i="24"/>
  <c r="A45" i="19"/>
  <c r="B45" i="19"/>
  <c r="G45" i="19" s="1"/>
  <c r="C45" i="19"/>
  <c r="A44" i="19"/>
  <c r="B44" i="19"/>
  <c r="D44" i="19" s="1"/>
  <c r="N44" i="19" s="1"/>
  <c r="C44" i="19"/>
  <c r="P16" i="19"/>
  <c r="R16" i="19"/>
  <c r="S16" i="19"/>
  <c r="P15" i="19"/>
  <c r="R15" i="19"/>
  <c r="S15" i="19"/>
  <c r="C72" i="21"/>
  <c r="D72" i="21"/>
  <c r="J72" i="21"/>
  <c r="K72" i="21"/>
  <c r="C71" i="21"/>
  <c r="D71" i="21"/>
  <c r="J71" i="21"/>
  <c r="K71" i="21"/>
  <c r="A33" i="14"/>
  <c r="B33" i="14"/>
  <c r="H33" i="14"/>
  <c r="A32" i="14"/>
  <c r="B32" i="14"/>
  <c r="H32" i="14"/>
  <c r="D45" i="19" l="1"/>
  <c r="N45" i="19" s="1"/>
  <c r="G44" i="19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A2" i="26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C2" i="26"/>
  <c r="C3" i="26"/>
  <c r="E3" i="26" s="1"/>
  <c r="C4" i="26"/>
  <c r="E4" i="26" s="1"/>
  <c r="C5" i="26"/>
  <c r="E5" i="26" s="1"/>
  <c r="C6" i="26"/>
  <c r="C7" i="26"/>
  <c r="C8" i="26"/>
  <c r="C9" i="26"/>
  <c r="C10" i="26"/>
  <c r="C11" i="26"/>
  <c r="E11" i="26" s="1"/>
  <c r="C12" i="26"/>
  <c r="E12" i="26" s="1"/>
  <c r="C13" i="26"/>
  <c r="E13" i="26" s="1"/>
  <c r="C14" i="26"/>
  <c r="C15" i="26"/>
  <c r="C16" i="26"/>
  <c r="C17" i="26"/>
  <c r="C18" i="26"/>
  <c r="C19" i="26"/>
  <c r="E19" i="26" s="1"/>
  <c r="C20" i="26"/>
  <c r="E20" i="26" s="1"/>
  <c r="C21" i="26"/>
  <c r="E21" i="26" s="1"/>
  <c r="C22" i="26"/>
  <c r="C23" i="26"/>
  <c r="C24" i="26"/>
  <c r="C25" i="26"/>
  <c r="C26" i="26"/>
  <c r="C27" i="26"/>
  <c r="E27" i="26" s="1"/>
  <c r="C28" i="26"/>
  <c r="E28" i="26" s="1"/>
  <c r="C29" i="26"/>
  <c r="E29" i="26" s="1"/>
  <c r="C30" i="26"/>
  <c r="C31" i="26"/>
  <c r="F6" i="26"/>
  <c r="G6" i="26" s="1"/>
  <c r="H6" i="26" s="1"/>
  <c r="F14" i="26"/>
  <c r="G14" i="26" s="1"/>
  <c r="H14" i="26" s="1"/>
  <c r="F22" i="26"/>
  <c r="G22" i="26" s="1"/>
  <c r="H22" i="26" s="1"/>
  <c r="F30" i="26"/>
  <c r="G30" i="26" s="1"/>
  <c r="H30" i="26" s="1"/>
  <c r="E2" i="26"/>
  <c r="E6" i="26"/>
  <c r="E7" i="26"/>
  <c r="E8" i="26"/>
  <c r="E9" i="26"/>
  <c r="F9" i="26" s="1"/>
  <c r="E10" i="26"/>
  <c r="G10" i="26" s="1"/>
  <c r="H10" i="26" s="1"/>
  <c r="E14" i="26"/>
  <c r="E15" i="26"/>
  <c r="E16" i="26"/>
  <c r="E17" i="26"/>
  <c r="E18" i="26"/>
  <c r="E22" i="26"/>
  <c r="E23" i="26"/>
  <c r="E24" i="26"/>
  <c r="E25" i="26"/>
  <c r="F25" i="26" s="1"/>
  <c r="E26" i="26"/>
  <c r="G26" i="26" s="1"/>
  <c r="H26" i="26" s="1"/>
  <c r="E30" i="26"/>
  <c r="E31" i="26"/>
  <c r="F2" i="26"/>
  <c r="G2" i="26" s="1"/>
  <c r="H2" i="26" s="1"/>
  <c r="F10" i="26"/>
  <c r="F18" i="26"/>
  <c r="F26" i="26"/>
  <c r="G18" i="26" l="1"/>
  <c r="H18" i="26" s="1"/>
  <c r="F11" i="26"/>
  <c r="G11" i="26" s="1"/>
  <c r="H11" i="26" s="1"/>
  <c r="F28" i="26"/>
  <c r="G28" i="26"/>
  <c r="H28" i="26" s="1"/>
  <c r="F4" i="26"/>
  <c r="G4" i="26" s="1"/>
  <c r="H4" i="26" s="1"/>
  <c r="F20" i="26"/>
  <c r="G20" i="26" s="1"/>
  <c r="H20" i="26" s="1"/>
  <c r="F3" i="26"/>
  <c r="G3" i="26" s="1"/>
  <c r="H3" i="26" s="1"/>
  <c r="G21" i="26"/>
  <c r="H21" i="26" s="1"/>
  <c r="F27" i="26"/>
  <c r="G27" i="26" s="1"/>
  <c r="H27" i="26" s="1"/>
  <c r="F12" i="26"/>
  <c r="G12" i="26" s="1"/>
  <c r="H12" i="26" s="1"/>
  <c r="F29" i="26"/>
  <c r="G29" i="26" s="1"/>
  <c r="H29" i="26" s="1"/>
  <c r="F21" i="26"/>
  <c r="F13" i="26"/>
  <c r="G13" i="26" s="1"/>
  <c r="H13" i="26" s="1"/>
  <c r="F5" i="26"/>
  <c r="G5" i="26" s="1"/>
  <c r="H5" i="26" s="1"/>
  <c r="G8" i="26"/>
  <c r="H8" i="26" s="1"/>
  <c r="F19" i="26"/>
  <c r="G19" i="26"/>
  <c r="H19" i="26" s="1"/>
  <c r="F16" i="26"/>
  <c r="G16" i="26" s="1"/>
  <c r="H16" i="26" s="1"/>
  <c r="F17" i="26"/>
  <c r="G17" i="26" s="1"/>
  <c r="H17" i="26" s="1"/>
  <c r="F8" i="26"/>
  <c r="G25" i="26"/>
  <c r="H25" i="26" s="1"/>
  <c r="G9" i="26"/>
  <c r="H9" i="26" s="1"/>
  <c r="F31" i="26"/>
  <c r="G31" i="26" s="1"/>
  <c r="H31" i="26" s="1"/>
  <c r="F23" i="26"/>
  <c r="G23" i="26" s="1"/>
  <c r="H23" i="26" s="1"/>
  <c r="F15" i="26"/>
  <c r="G15" i="26" s="1"/>
  <c r="H15" i="26" s="1"/>
  <c r="F7" i="26"/>
  <c r="G7" i="26" s="1"/>
  <c r="H7" i="26" s="1"/>
  <c r="F24" i="26"/>
  <c r="G24" i="26" s="1"/>
  <c r="H24" i="26" s="1"/>
  <c r="C236" i="3"/>
  <c r="D236" i="3"/>
  <c r="E236" i="3"/>
  <c r="F236" i="3"/>
  <c r="G236" i="3"/>
  <c r="H236" i="3"/>
  <c r="I236" i="3"/>
  <c r="J236" i="3"/>
  <c r="J206" i="2"/>
  <c r="K236" i="3" l="1"/>
  <c r="C382" i="3"/>
  <c r="D382" i="3"/>
  <c r="E382" i="3"/>
  <c r="F382" i="3"/>
  <c r="G382" i="3"/>
  <c r="H382" i="3"/>
  <c r="I382" i="3"/>
  <c r="J382" i="3"/>
  <c r="C375" i="3"/>
  <c r="D375" i="3"/>
  <c r="E375" i="3"/>
  <c r="F375" i="3"/>
  <c r="G375" i="3"/>
  <c r="H375" i="3"/>
  <c r="I375" i="3"/>
  <c r="J375" i="3"/>
  <c r="C333" i="3"/>
  <c r="D333" i="3"/>
  <c r="E333" i="3"/>
  <c r="F333" i="3"/>
  <c r="G333" i="3"/>
  <c r="H333" i="3"/>
  <c r="I333" i="3"/>
  <c r="J333" i="3"/>
  <c r="J199" i="2"/>
  <c r="C135" i="3"/>
  <c r="D135" i="3"/>
  <c r="E135" i="3"/>
  <c r="F135" i="3"/>
  <c r="G135" i="3"/>
  <c r="H135" i="3"/>
  <c r="I135" i="3"/>
  <c r="J135" i="3"/>
  <c r="J205" i="2"/>
  <c r="C402" i="3"/>
  <c r="D402" i="3"/>
  <c r="E402" i="3"/>
  <c r="F402" i="3"/>
  <c r="G402" i="3"/>
  <c r="H402" i="3"/>
  <c r="I402" i="3"/>
  <c r="J402" i="3"/>
  <c r="C401" i="3"/>
  <c r="D401" i="3"/>
  <c r="E401" i="3"/>
  <c r="F401" i="3"/>
  <c r="G401" i="3"/>
  <c r="H401" i="3"/>
  <c r="I401" i="3"/>
  <c r="J401" i="3"/>
  <c r="C396" i="3"/>
  <c r="C397" i="3"/>
  <c r="C398" i="3"/>
  <c r="C399" i="3"/>
  <c r="C400" i="3"/>
  <c r="D396" i="3"/>
  <c r="D397" i="3"/>
  <c r="D398" i="3"/>
  <c r="D399" i="3"/>
  <c r="D400" i="3"/>
  <c r="E396" i="3"/>
  <c r="E397" i="3"/>
  <c r="E398" i="3"/>
  <c r="E399" i="3"/>
  <c r="E400" i="3"/>
  <c r="F396" i="3"/>
  <c r="F397" i="3"/>
  <c r="F398" i="3"/>
  <c r="F399" i="3"/>
  <c r="F400" i="3"/>
  <c r="G396" i="3"/>
  <c r="G397" i="3"/>
  <c r="G398" i="3"/>
  <c r="G399" i="3"/>
  <c r="G400" i="3"/>
  <c r="H396" i="3"/>
  <c r="H397" i="3"/>
  <c r="H398" i="3"/>
  <c r="H399" i="3"/>
  <c r="H400" i="3"/>
  <c r="I396" i="3"/>
  <c r="I397" i="3"/>
  <c r="I398" i="3"/>
  <c r="I399" i="3"/>
  <c r="I400" i="3"/>
  <c r="J396" i="3"/>
  <c r="J397" i="3"/>
  <c r="J398" i="3"/>
  <c r="J399" i="3"/>
  <c r="J400" i="3"/>
  <c r="J200" i="2"/>
  <c r="J201" i="2"/>
  <c r="J202" i="2"/>
  <c r="J203" i="2"/>
  <c r="J204" i="2"/>
  <c r="C395" i="3"/>
  <c r="D395" i="3"/>
  <c r="E395" i="3"/>
  <c r="F395" i="3"/>
  <c r="G395" i="3"/>
  <c r="H395" i="3"/>
  <c r="I395" i="3"/>
  <c r="J395" i="3"/>
  <c r="C394" i="3"/>
  <c r="D394" i="3"/>
  <c r="E394" i="3"/>
  <c r="F394" i="3"/>
  <c r="G394" i="3"/>
  <c r="H394" i="3"/>
  <c r="I394" i="3"/>
  <c r="J394" i="3"/>
  <c r="C393" i="3"/>
  <c r="D393" i="3"/>
  <c r="E393" i="3"/>
  <c r="F393" i="3"/>
  <c r="G393" i="3"/>
  <c r="H393" i="3"/>
  <c r="I393" i="3"/>
  <c r="J393" i="3"/>
  <c r="C392" i="3"/>
  <c r="D392" i="3"/>
  <c r="E392" i="3"/>
  <c r="F392" i="3"/>
  <c r="G392" i="3"/>
  <c r="H392" i="3"/>
  <c r="I392" i="3"/>
  <c r="J392" i="3"/>
  <c r="J198" i="2"/>
  <c r="C391" i="3"/>
  <c r="D391" i="3"/>
  <c r="E391" i="3"/>
  <c r="F391" i="3"/>
  <c r="G391" i="3"/>
  <c r="H391" i="3"/>
  <c r="I391" i="3"/>
  <c r="J391" i="3"/>
  <c r="B76" i="1"/>
  <c r="H76" i="1" s="1"/>
  <c r="C76" i="1"/>
  <c r="E76" i="1" s="1"/>
  <c r="D76" i="1"/>
  <c r="F76" i="1"/>
  <c r="C390" i="3"/>
  <c r="D390" i="3"/>
  <c r="E390" i="3"/>
  <c r="F390" i="3"/>
  <c r="G390" i="3"/>
  <c r="H390" i="3"/>
  <c r="I390" i="3"/>
  <c r="J390" i="3"/>
  <c r="J197" i="2"/>
  <c r="C373" i="3"/>
  <c r="D373" i="3"/>
  <c r="E373" i="3"/>
  <c r="F373" i="3"/>
  <c r="G373" i="3"/>
  <c r="H373" i="3"/>
  <c r="I373" i="3"/>
  <c r="J373" i="3"/>
  <c r="C385" i="3"/>
  <c r="C386" i="3"/>
  <c r="D385" i="3"/>
  <c r="D386" i="3"/>
  <c r="E385" i="3"/>
  <c r="E386" i="3"/>
  <c r="F385" i="3"/>
  <c r="F386" i="3"/>
  <c r="G385" i="3"/>
  <c r="G386" i="3"/>
  <c r="H385" i="3"/>
  <c r="H386" i="3"/>
  <c r="I385" i="3"/>
  <c r="I386" i="3"/>
  <c r="J385" i="3"/>
  <c r="J386" i="3"/>
  <c r="J196" i="2"/>
  <c r="J195" i="2"/>
  <c r="C389" i="3"/>
  <c r="D389" i="3"/>
  <c r="E389" i="3"/>
  <c r="F389" i="3"/>
  <c r="G389" i="3"/>
  <c r="H389" i="3"/>
  <c r="I389" i="3"/>
  <c r="J389" i="3"/>
  <c r="C388" i="3"/>
  <c r="D388" i="3"/>
  <c r="E388" i="3"/>
  <c r="F388" i="3"/>
  <c r="G388" i="3"/>
  <c r="H388" i="3"/>
  <c r="I388" i="3"/>
  <c r="J388" i="3"/>
  <c r="C387" i="3"/>
  <c r="D387" i="3"/>
  <c r="E387" i="3"/>
  <c r="F387" i="3"/>
  <c r="G387" i="3"/>
  <c r="H387" i="3"/>
  <c r="I387" i="3"/>
  <c r="J387" i="3"/>
  <c r="C384" i="3"/>
  <c r="D384" i="3"/>
  <c r="E384" i="3"/>
  <c r="F384" i="3"/>
  <c r="G384" i="3"/>
  <c r="H384" i="3"/>
  <c r="I384" i="3"/>
  <c r="J384" i="3"/>
  <c r="C383" i="3"/>
  <c r="D383" i="3"/>
  <c r="E383" i="3"/>
  <c r="F383" i="3"/>
  <c r="G383" i="3"/>
  <c r="H383" i="3"/>
  <c r="I383" i="3"/>
  <c r="J383" i="3"/>
  <c r="J194" i="2"/>
  <c r="J193" i="2"/>
  <c r="C381" i="3"/>
  <c r="D381" i="3"/>
  <c r="E381" i="3"/>
  <c r="F381" i="3"/>
  <c r="G381" i="3"/>
  <c r="H381" i="3"/>
  <c r="I381" i="3"/>
  <c r="J381" i="3"/>
  <c r="C380" i="3"/>
  <c r="D380" i="3"/>
  <c r="E380" i="3"/>
  <c r="F380" i="3"/>
  <c r="G380" i="3"/>
  <c r="H380" i="3"/>
  <c r="I380" i="3"/>
  <c r="J380" i="3"/>
  <c r="J190" i="2"/>
  <c r="J191" i="2"/>
  <c r="J192" i="2"/>
  <c r="C379" i="3"/>
  <c r="D379" i="3"/>
  <c r="E379" i="3"/>
  <c r="F379" i="3"/>
  <c r="G379" i="3"/>
  <c r="H379" i="3"/>
  <c r="I379" i="3"/>
  <c r="J379" i="3"/>
  <c r="C377" i="3"/>
  <c r="C378" i="3"/>
  <c r="D377" i="3"/>
  <c r="D378" i="3"/>
  <c r="E377" i="3"/>
  <c r="E378" i="3"/>
  <c r="F377" i="3"/>
  <c r="F378" i="3"/>
  <c r="G377" i="3"/>
  <c r="G378" i="3"/>
  <c r="H377" i="3"/>
  <c r="H378" i="3"/>
  <c r="I377" i="3"/>
  <c r="I378" i="3"/>
  <c r="J377" i="3"/>
  <c r="J378" i="3"/>
  <c r="C376" i="3"/>
  <c r="D376" i="3"/>
  <c r="E376" i="3"/>
  <c r="F376" i="3"/>
  <c r="G376" i="3"/>
  <c r="H376" i="3"/>
  <c r="I376" i="3"/>
  <c r="J376" i="3"/>
  <c r="C374" i="3"/>
  <c r="D374" i="3"/>
  <c r="E374" i="3"/>
  <c r="F374" i="3"/>
  <c r="G374" i="3"/>
  <c r="H374" i="3"/>
  <c r="I374" i="3"/>
  <c r="J374" i="3"/>
  <c r="C372" i="3"/>
  <c r="D372" i="3"/>
  <c r="E372" i="3"/>
  <c r="F372" i="3"/>
  <c r="G372" i="3"/>
  <c r="H372" i="3"/>
  <c r="I372" i="3"/>
  <c r="J372" i="3"/>
  <c r="B75" i="1"/>
  <c r="F75" i="1" s="1"/>
  <c r="C75" i="1"/>
  <c r="E75" i="1" s="1"/>
  <c r="D75" i="1"/>
  <c r="K382" i="3" l="1"/>
  <c r="K375" i="3"/>
  <c r="K333" i="3"/>
  <c r="K135" i="3"/>
  <c r="K402" i="3"/>
  <c r="K397" i="3"/>
  <c r="K399" i="3"/>
  <c r="K396" i="3"/>
  <c r="K401" i="3"/>
  <c r="K400" i="3"/>
  <c r="K398" i="3"/>
  <c r="K395" i="3"/>
  <c r="K392" i="3"/>
  <c r="K394" i="3"/>
  <c r="K393" i="3"/>
  <c r="K391" i="3"/>
  <c r="G76" i="1"/>
  <c r="J76" i="1"/>
  <c r="I76" i="1"/>
  <c r="K390" i="3"/>
  <c r="K373" i="3"/>
  <c r="K385" i="3"/>
  <c r="K386" i="3"/>
  <c r="K389" i="3"/>
  <c r="K388" i="3"/>
  <c r="K387" i="3"/>
  <c r="K384" i="3"/>
  <c r="K383" i="3"/>
  <c r="K381" i="3"/>
  <c r="K380" i="3"/>
  <c r="K379" i="3"/>
  <c r="K377" i="3"/>
  <c r="K378" i="3"/>
  <c r="K376" i="3"/>
  <c r="K374" i="3"/>
  <c r="K372" i="3"/>
  <c r="I75" i="1"/>
  <c r="G75" i="1"/>
  <c r="J75" i="1"/>
  <c r="H75" i="1"/>
  <c r="O10" i="9"/>
  <c r="M10" i="9" s="1"/>
  <c r="P10" i="9"/>
  <c r="AJ10" i="9"/>
  <c r="AT10" i="9"/>
  <c r="A72" i="24"/>
  <c r="C72" i="24"/>
  <c r="A71" i="24"/>
  <c r="C71" i="24"/>
  <c r="A70" i="24"/>
  <c r="C70" i="24"/>
  <c r="A69" i="24"/>
  <c r="C69" i="24"/>
  <c r="A68" i="24"/>
  <c r="C68" i="24"/>
  <c r="A67" i="24"/>
  <c r="C67" i="24"/>
  <c r="A66" i="24"/>
  <c r="C66" i="24"/>
  <c r="A65" i="24"/>
  <c r="C65" i="24"/>
  <c r="A64" i="24"/>
  <c r="C64" i="24"/>
  <c r="Q10" i="9" l="1"/>
  <c r="AE10" i="9"/>
  <c r="AB10" i="9" s="1"/>
  <c r="AP36" i="29"/>
  <c r="AR36" i="29"/>
  <c r="AV54" i="28"/>
  <c r="AH32" i="28"/>
  <c r="AH31" i="28"/>
  <c r="AH30" i="28"/>
  <c r="P14" i="19"/>
  <c r="R14" i="19"/>
  <c r="S14" i="19"/>
  <c r="AD10" i="9" l="1"/>
  <c r="BA10" i="9"/>
  <c r="AN10" i="9"/>
  <c r="AY10" i="9"/>
  <c r="A35" i="24"/>
  <c r="C35" i="24"/>
  <c r="AE27" i="27"/>
  <c r="AF27" i="27"/>
  <c r="AI27" i="27"/>
  <c r="AJ27" i="27"/>
  <c r="AE26" i="27"/>
  <c r="AF26" i="27"/>
  <c r="AI26" i="27"/>
  <c r="AJ26" i="27"/>
  <c r="B46" i="27"/>
  <c r="D46" i="27"/>
  <c r="Y46" i="27" s="1"/>
  <c r="P46" i="27"/>
  <c r="Q46" i="27"/>
  <c r="R46" i="27"/>
  <c r="S46" i="27"/>
  <c r="B48" i="27"/>
  <c r="D48" i="27"/>
  <c r="M48" i="27" s="1"/>
  <c r="Q48" i="27"/>
  <c r="R48" i="27"/>
  <c r="S48" i="27"/>
  <c r="B47" i="27"/>
  <c r="D47" i="27"/>
  <c r="Y47" i="27" s="1"/>
  <c r="P47" i="27"/>
  <c r="Q47" i="27"/>
  <c r="R47" i="27"/>
  <c r="S47" i="27"/>
  <c r="B45" i="27"/>
  <c r="D45" i="27"/>
  <c r="Y45" i="27" s="1"/>
  <c r="P45" i="27"/>
  <c r="Q45" i="27"/>
  <c r="R45" i="27"/>
  <c r="S45" i="27"/>
  <c r="B44" i="27"/>
  <c r="D44" i="27"/>
  <c r="P44" i="27"/>
  <c r="Q44" i="27"/>
  <c r="R44" i="27"/>
  <c r="S44" i="27"/>
  <c r="AP51" i="29"/>
  <c r="AR51" i="29"/>
  <c r="AP50" i="29"/>
  <c r="AR50" i="29"/>
  <c r="AP49" i="29"/>
  <c r="AR49" i="29"/>
  <c r="AP48" i="29"/>
  <c r="AR48" i="29"/>
  <c r="AP47" i="29"/>
  <c r="AR47" i="29"/>
  <c r="AP46" i="29"/>
  <c r="AR46" i="29"/>
  <c r="AP45" i="29"/>
  <c r="AR45" i="29"/>
  <c r="AP44" i="29"/>
  <c r="AR44" i="29"/>
  <c r="AP43" i="29"/>
  <c r="AR43" i="29"/>
  <c r="AP42" i="29"/>
  <c r="AR42" i="29"/>
  <c r="AP41" i="29"/>
  <c r="AR41" i="29"/>
  <c r="AP40" i="29"/>
  <c r="AR40" i="29"/>
  <c r="AP39" i="29"/>
  <c r="AR39" i="29"/>
  <c r="AP38" i="29"/>
  <c r="AR38" i="29"/>
  <c r="AP37" i="29"/>
  <c r="AR37" i="29"/>
  <c r="AP35" i="29"/>
  <c r="AR35" i="29"/>
  <c r="AE16" i="29"/>
  <c r="AH16" i="29"/>
  <c r="AE15" i="29"/>
  <c r="AH15" i="29"/>
  <c r="AE14" i="29"/>
  <c r="AH14" i="29"/>
  <c r="AE13" i="29"/>
  <c r="AH13" i="29"/>
  <c r="AE12" i="29"/>
  <c r="AH12" i="29"/>
  <c r="AE11" i="29"/>
  <c r="AH11" i="29"/>
  <c r="C9" i="29"/>
  <c r="AV53" i="28"/>
  <c r="AV52" i="28"/>
  <c r="A18" i="28"/>
  <c r="C18" i="28"/>
  <c r="D18" i="28"/>
  <c r="K18" i="28" s="1"/>
  <c r="O61" i="9"/>
  <c r="M61" i="9" s="1"/>
  <c r="P61" i="9"/>
  <c r="AJ61" i="9"/>
  <c r="AT61" i="9"/>
  <c r="O60" i="9"/>
  <c r="M60" i="9" s="1"/>
  <c r="P60" i="9"/>
  <c r="AJ60" i="9"/>
  <c r="AT60" i="9"/>
  <c r="O59" i="9"/>
  <c r="M59" i="9" s="1"/>
  <c r="P59" i="9"/>
  <c r="AJ59" i="9"/>
  <c r="AT59" i="9"/>
  <c r="O58" i="9"/>
  <c r="M58" i="9" s="1"/>
  <c r="P58" i="9"/>
  <c r="AJ58" i="9"/>
  <c r="AT58" i="9"/>
  <c r="O42" i="9"/>
  <c r="Q42" i="9" s="1"/>
  <c r="P42" i="9"/>
  <c r="AJ42" i="9"/>
  <c r="AT42" i="9"/>
  <c r="C369" i="3"/>
  <c r="D369" i="3"/>
  <c r="E369" i="3"/>
  <c r="F369" i="3"/>
  <c r="G369" i="3"/>
  <c r="H369" i="3"/>
  <c r="I369" i="3"/>
  <c r="J369" i="3"/>
  <c r="J189" i="2"/>
  <c r="B13" i="9"/>
  <c r="O57" i="9"/>
  <c r="M57" i="9" s="1"/>
  <c r="P57" i="9"/>
  <c r="AJ57" i="9"/>
  <c r="AT57" i="9"/>
  <c r="O56" i="9"/>
  <c r="Q56" i="9" s="1"/>
  <c r="P56" i="9"/>
  <c r="AJ56" i="9"/>
  <c r="AT56" i="9"/>
  <c r="O55" i="9"/>
  <c r="M55" i="9" s="1"/>
  <c r="P55" i="9"/>
  <c r="AJ55" i="9"/>
  <c r="AT55" i="9"/>
  <c r="O54" i="9"/>
  <c r="M54" i="9" s="1"/>
  <c r="P54" i="9"/>
  <c r="AJ54" i="9"/>
  <c r="AT54" i="9"/>
  <c r="O53" i="9"/>
  <c r="M53" i="9" s="1"/>
  <c r="P53" i="9"/>
  <c r="AJ53" i="9"/>
  <c r="AT53" i="9"/>
  <c r="O52" i="9"/>
  <c r="M52" i="9" s="1"/>
  <c r="P52" i="9"/>
  <c r="AJ52" i="9"/>
  <c r="AT52" i="9"/>
  <c r="O51" i="9"/>
  <c r="M51" i="9" s="1"/>
  <c r="P51" i="9"/>
  <c r="AJ51" i="9"/>
  <c r="AT51" i="9"/>
  <c r="O50" i="9"/>
  <c r="AE50" i="9" s="1"/>
  <c r="AB50" i="9" s="1"/>
  <c r="P50" i="9"/>
  <c r="AJ50" i="9"/>
  <c r="AT50" i="9"/>
  <c r="O49" i="9"/>
  <c r="AE49" i="9" s="1"/>
  <c r="AB49" i="9" s="1"/>
  <c r="P49" i="9"/>
  <c r="AJ49" i="9"/>
  <c r="AT49" i="9"/>
  <c r="O48" i="9"/>
  <c r="M48" i="9" s="1"/>
  <c r="P48" i="9"/>
  <c r="AJ48" i="9"/>
  <c r="AT48" i="9"/>
  <c r="O47" i="9"/>
  <c r="Q47" i="9" s="1"/>
  <c r="P47" i="9"/>
  <c r="AJ47" i="9"/>
  <c r="AT47" i="9"/>
  <c r="O46" i="9"/>
  <c r="AE46" i="9" s="1"/>
  <c r="AB46" i="9" s="1"/>
  <c r="P46" i="9"/>
  <c r="AJ46" i="9"/>
  <c r="AT46" i="9"/>
  <c r="O45" i="9"/>
  <c r="Q45" i="9" s="1"/>
  <c r="P45" i="9"/>
  <c r="AJ45" i="9"/>
  <c r="AT45" i="9"/>
  <c r="O44" i="9"/>
  <c r="Q44" i="9" s="1"/>
  <c r="P44" i="9"/>
  <c r="AJ44" i="9"/>
  <c r="AT44" i="9"/>
  <c r="O43" i="9"/>
  <c r="Q43" i="9" s="1"/>
  <c r="P43" i="9"/>
  <c r="AJ43" i="9"/>
  <c r="AT43" i="9"/>
  <c r="O41" i="9"/>
  <c r="M41" i="9" s="1"/>
  <c r="P41" i="9"/>
  <c r="AJ41" i="9"/>
  <c r="AT41" i="9"/>
  <c r="O40" i="9"/>
  <c r="AE40" i="9" s="1"/>
  <c r="AB40" i="9" s="1"/>
  <c r="P40" i="9"/>
  <c r="AJ40" i="9"/>
  <c r="AT40" i="9"/>
  <c r="B12" i="9"/>
  <c r="AB26" i="27" l="1"/>
  <c r="AK26" i="27" s="1"/>
  <c r="Y48" i="27"/>
  <c r="AB27" i="27"/>
  <c r="AG27" i="27" s="1"/>
  <c r="M46" i="27"/>
  <c r="M47" i="27"/>
  <c r="M45" i="27"/>
  <c r="Y44" i="27"/>
  <c r="M44" i="27"/>
  <c r="Q61" i="9"/>
  <c r="AE61" i="9"/>
  <c r="AB61" i="9" s="1"/>
  <c r="Q60" i="9"/>
  <c r="AE60" i="9"/>
  <c r="AB60" i="9" s="1"/>
  <c r="AE59" i="9"/>
  <c r="AB59" i="9" s="1"/>
  <c r="Q59" i="9"/>
  <c r="Q58" i="9"/>
  <c r="AE58" i="9"/>
  <c r="AB58" i="9" s="1"/>
  <c r="AE42" i="9"/>
  <c r="AB42" i="9" s="1"/>
  <c r="M42" i="9"/>
  <c r="AD42" i="9"/>
  <c r="AY42" i="9"/>
  <c r="BA42" i="9"/>
  <c r="AN42" i="9"/>
  <c r="K369" i="3"/>
  <c r="AE54" i="9"/>
  <c r="AB54" i="9" s="1"/>
  <c r="AE57" i="9"/>
  <c r="AB57" i="9" s="1"/>
  <c r="M56" i="9"/>
  <c r="Q57" i="9"/>
  <c r="AE56" i="9"/>
  <c r="AB56" i="9" s="1"/>
  <c r="AD56" i="9"/>
  <c r="AY56" i="9"/>
  <c r="BA56" i="9"/>
  <c r="AN56" i="9"/>
  <c r="Q55" i="9"/>
  <c r="AE55" i="9"/>
  <c r="AB55" i="9" s="1"/>
  <c r="Q54" i="9"/>
  <c r="M47" i="9"/>
  <c r="Q53" i="9"/>
  <c r="AE53" i="9"/>
  <c r="AB53" i="9" s="1"/>
  <c r="Q50" i="9"/>
  <c r="AD50" i="9" s="1"/>
  <c r="Q52" i="9"/>
  <c r="AE52" i="9"/>
  <c r="AB52" i="9" s="1"/>
  <c r="M50" i="9"/>
  <c r="Q51" i="9"/>
  <c r="AE51" i="9"/>
  <c r="AB51" i="9" s="1"/>
  <c r="Q49" i="9"/>
  <c r="AD49" i="9" s="1"/>
  <c r="M49" i="9"/>
  <c r="AE47" i="9"/>
  <c r="AB47" i="9" s="1"/>
  <c r="Q48" i="9"/>
  <c r="AE48" i="9"/>
  <c r="AB48" i="9" s="1"/>
  <c r="AD47" i="9"/>
  <c r="AY47" i="9"/>
  <c r="BA47" i="9"/>
  <c r="AN47" i="9"/>
  <c r="Q46" i="9"/>
  <c r="AD46" i="9" s="1"/>
  <c r="M46" i="9"/>
  <c r="AE44" i="9"/>
  <c r="AB44" i="9" s="1"/>
  <c r="M45" i="9"/>
  <c r="AE45" i="9"/>
  <c r="AB45" i="9" s="1"/>
  <c r="AD45" i="9"/>
  <c r="AY45" i="9"/>
  <c r="BA45" i="9"/>
  <c r="AN45" i="9"/>
  <c r="AD44" i="9"/>
  <c r="AN44" i="9"/>
  <c r="BA44" i="9"/>
  <c r="AY44" i="9"/>
  <c r="M44" i="9"/>
  <c r="AE43" i="9"/>
  <c r="AB43" i="9" s="1"/>
  <c r="M43" i="9"/>
  <c r="AD43" i="9"/>
  <c r="AY43" i="9"/>
  <c r="BA43" i="9"/>
  <c r="AN43" i="9"/>
  <c r="Q41" i="9"/>
  <c r="AE41" i="9"/>
  <c r="AB41" i="9" s="1"/>
  <c r="M40" i="9"/>
  <c r="Q40" i="9"/>
  <c r="C367" i="3"/>
  <c r="D367" i="3"/>
  <c r="E367" i="3"/>
  <c r="F367" i="3"/>
  <c r="G367" i="3"/>
  <c r="H367" i="3"/>
  <c r="I367" i="3"/>
  <c r="J367" i="3"/>
  <c r="J187" i="2"/>
  <c r="C352" i="3"/>
  <c r="C353" i="3"/>
  <c r="D352" i="3"/>
  <c r="D353" i="3"/>
  <c r="E352" i="3"/>
  <c r="E353" i="3"/>
  <c r="F352" i="3"/>
  <c r="F353" i="3"/>
  <c r="G352" i="3"/>
  <c r="G353" i="3"/>
  <c r="H352" i="3"/>
  <c r="H353" i="3"/>
  <c r="I352" i="3"/>
  <c r="I353" i="3"/>
  <c r="J352" i="3"/>
  <c r="J353" i="3"/>
  <c r="AG26" i="27" l="1"/>
  <c r="AK27" i="27"/>
  <c r="AD61" i="9"/>
  <c r="BA61" i="9"/>
  <c r="AN61" i="9"/>
  <c r="AY61" i="9"/>
  <c r="BA60" i="9"/>
  <c r="AD60" i="9"/>
  <c r="AY60" i="9"/>
  <c r="AN60" i="9"/>
  <c r="AD59" i="9"/>
  <c r="AY59" i="9"/>
  <c r="BA59" i="9"/>
  <c r="AN59" i="9"/>
  <c r="AD58" i="9"/>
  <c r="AY58" i="9"/>
  <c r="BA58" i="9"/>
  <c r="AN58" i="9"/>
  <c r="BA57" i="9"/>
  <c r="AD57" i="9"/>
  <c r="AY57" i="9"/>
  <c r="AN57" i="9"/>
  <c r="AD55" i="9"/>
  <c r="AY55" i="9"/>
  <c r="BA55" i="9"/>
  <c r="AN55" i="9"/>
  <c r="AD54" i="9"/>
  <c r="AY54" i="9"/>
  <c r="BA54" i="9"/>
  <c r="AN54" i="9"/>
  <c r="AY50" i="9"/>
  <c r="BA53" i="9"/>
  <c r="AN53" i="9"/>
  <c r="AD53" i="9"/>
  <c r="AY53" i="9"/>
  <c r="AD52" i="9"/>
  <c r="AY52" i="9"/>
  <c r="BA52" i="9"/>
  <c r="AN52" i="9"/>
  <c r="AN50" i="9"/>
  <c r="BA50" i="9"/>
  <c r="AD51" i="9"/>
  <c r="AY51" i="9"/>
  <c r="BA51" i="9"/>
  <c r="AN51" i="9"/>
  <c r="BA49" i="9"/>
  <c r="AY49" i="9"/>
  <c r="AN49" i="9"/>
  <c r="AD48" i="9"/>
  <c r="AY48" i="9"/>
  <c r="BA48" i="9"/>
  <c r="AN48" i="9"/>
  <c r="AN46" i="9"/>
  <c r="AY46" i="9"/>
  <c r="BA46" i="9"/>
  <c r="AY41" i="9"/>
  <c r="AD41" i="9"/>
  <c r="BA41" i="9"/>
  <c r="AN41" i="9"/>
  <c r="AD40" i="9"/>
  <c r="AY40" i="9"/>
  <c r="BA40" i="9"/>
  <c r="AN40" i="9"/>
  <c r="K367" i="3"/>
  <c r="K352" i="3"/>
  <c r="K353" i="3"/>
  <c r="A31" i="14"/>
  <c r="B31" i="14"/>
  <c r="H31" i="14"/>
  <c r="C370" i="3" l="1"/>
  <c r="D370" i="3"/>
  <c r="E370" i="3"/>
  <c r="F370" i="3"/>
  <c r="G370" i="3"/>
  <c r="H370" i="3"/>
  <c r="I370" i="3"/>
  <c r="J370" i="3"/>
  <c r="C70" i="21"/>
  <c r="J70" i="21"/>
  <c r="K70" i="21"/>
  <c r="C371" i="3"/>
  <c r="D371" i="3"/>
  <c r="E371" i="3"/>
  <c r="F371" i="3"/>
  <c r="G371" i="3"/>
  <c r="H371" i="3"/>
  <c r="I371" i="3"/>
  <c r="J371" i="3"/>
  <c r="C356" i="3"/>
  <c r="C357" i="3"/>
  <c r="C358" i="3"/>
  <c r="C359" i="3"/>
  <c r="C360" i="3"/>
  <c r="C361" i="3"/>
  <c r="C362" i="3"/>
  <c r="C363" i="3"/>
  <c r="C364" i="3"/>
  <c r="C365" i="3"/>
  <c r="C366" i="3"/>
  <c r="C368" i="3"/>
  <c r="D356" i="3"/>
  <c r="D357" i="3"/>
  <c r="D358" i="3"/>
  <c r="D359" i="3"/>
  <c r="D360" i="3"/>
  <c r="D361" i="3"/>
  <c r="D362" i="3"/>
  <c r="D363" i="3"/>
  <c r="D364" i="3"/>
  <c r="D365" i="3"/>
  <c r="D366" i="3"/>
  <c r="D368" i="3"/>
  <c r="E356" i="3"/>
  <c r="E357" i="3"/>
  <c r="E358" i="3"/>
  <c r="E359" i="3"/>
  <c r="E360" i="3"/>
  <c r="E361" i="3"/>
  <c r="E362" i="3"/>
  <c r="E363" i="3"/>
  <c r="E364" i="3"/>
  <c r="E365" i="3"/>
  <c r="E366" i="3"/>
  <c r="E368" i="3"/>
  <c r="F356" i="3"/>
  <c r="F357" i="3"/>
  <c r="F358" i="3"/>
  <c r="F359" i="3"/>
  <c r="F360" i="3"/>
  <c r="F361" i="3"/>
  <c r="F362" i="3"/>
  <c r="F363" i="3"/>
  <c r="F364" i="3"/>
  <c r="F365" i="3"/>
  <c r="F366" i="3"/>
  <c r="F368" i="3"/>
  <c r="G356" i="3"/>
  <c r="G357" i="3"/>
  <c r="G358" i="3"/>
  <c r="G359" i="3"/>
  <c r="G360" i="3"/>
  <c r="G361" i="3"/>
  <c r="G362" i="3"/>
  <c r="G363" i="3"/>
  <c r="G364" i="3"/>
  <c r="G365" i="3"/>
  <c r="G366" i="3"/>
  <c r="G368" i="3"/>
  <c r="H356" i="3"/>
  <c r="H357" i="3"/>
  <c r="H358" i="3"/>
  <c r="H359" i="3"/>
  <c r="H360" i="3"/>
  <c r="H361" i="3"/>
  <c r="H362" i="3"/>
  <c r="H363" i="3"/>
  <c r="H364" i="3"/>
  <c r="H365" i="3"/>
  <c r="H366" i="3"/>
  <c r="H368" i="3"/>
  <c r="I356" i="3"/>
  <c r="I357" i="3"/>
  <c r="I358" i="3"/>
  <c r="I359" i="3"/>
  <c r="I360" i="3"/>
  <c r="I361" i="3"/>
  <c r="I362" i="3"/>
  <c r="I363" i="3"/>
  <c r="I364" i="3"/>
  <c r="I365" i="3"/>
  <c r="I366" i="3"/>
  <c r="I368" i="3"/>
  <c r="J356" i="3"/>
  <c r="J357" i="3"/>
  <c r="J358" i="3"/>
  <c r="J359" i="3"/>
  <c r="J360" i="3"/>
  <c r="J361" i="3"/>
  <c r="J362" i="3"/>
  <c r="J363" i="3"/>
  <c r="J364" i="3"/>
  <c r="J365" i="3"/>
  <c r="J366" i="3"/>
  <c r="J368" i="3"/>
  <c r="J178" i="2"/>
  <c r="J179" i="2"/>
  <c r="J180" i="2"/>
  <c r="J175" i="2"/>
  <c r="J176" i="2"/>
  <c r="J177" i="2"/>
  <c r="J181" i="2"/>
  <c r="J182" i="2"/>
  <c r="J183" i="2"/>
  <c r="J184" i="2"/>
  <c r="J185" i="2"/>
  <c r="J186" i="2"/>
  <c r="J188" i="2"/>
  <c r="C355" i="3"/>
  <c r="D355" i="3"/>
  <c r="E355" i="3"/>
  <c r="F355" i="3"/>
  <c r="G355" i="3"/>
  <c r="H355" i="3"/>
  <c r="I355" i="3"/>
  <c r="J355" i="3"/>
  <c r="C354" i="3"/>
  <c r="D354" i="3"/>
  <c r="E354" i="3"/>
  <c r="F354" i="3"/>
  <c r="G354" i="3"/>
  <c r="H354" i="3"/>
  <c r="I354" i="3"/>
  <c r="J354" i="3"/>
  <c r="C351" i="3"/>
  <c r="D351" i="3"/>
  <c r="E351" i="3"/>
  <c r="F351" i="3"/>
  <c r="G351" i="3"/>
  <c r="H351" i="3"/>
  <c r="I351" i="3"/>
  <c r="J351" i="3"/>
  <c r="B74" i="1"/>
  <c r="F74" i="1" s="1"/>
  <c r="C74" i="1"/>
  <c r="E74" i="1" s="1"/>
  <c r="D70" i="21" s="1"/>
  <c r="D74" i="1"/>
  <c r="K370" i="3" l="1"/>
  <c r="K356" i="3"/>
  <c r="K362" i="3"/>
  <c r="K371" i="3"/>
  <c r="K364" i="3"/>
  <c r="K365" i="3"/>
  <c r="K357" i="3"/>
  <c r="K363" i="3"/>
  <c r="K368" i="3"/>
  <c r="K359" i="3"/>
  <c r="K366" i="3"/>
  <c r="K358" i="3"/>
  <c r="K361" i="3"/>
  <c r="K360" i="3"/>
  <c r="K355" i="3"/>
  <c r="K354" i="3"/>
  <c r="K351" i="3"/>
  <c r="J74" i="1"/>
  <c r="G74" i="1"/>
  <c r="I74" i="1"/>
  <c r="H74" i="1"/>
  <c r="B43" i="27"/>
  <c r="D43" i="27"/>
  <c r="P43" i="27"/>
  <c r="Q43" i="27"/>
  <c r="R43" i="27"/>
  <c r="S43" i="27"/>
  <c r="B42" i="27"/>
  <c r="D42" i="27"/>
  <c r="Y42" i="27" s="1"/>
  <c r="P42" i="27"/>
  <c r="Q42" i="27"/>
  <c r="R42" i="27"/>
  <c r="S42" i="27"/>
  <c r="O39" i="9"/>
  <c r="AE39" i="9" s="1"/>
  <c r="AB39" i="9" s="1"/>
  <c r="P39" i="9"/>
  <c r="AJ39" i="9"/>
  <c r="AT39" i="9"/>
  <c r="O38" i="9"/>
  <c r="M38" i="9" s="1"/>
  <c r="P38" i="9"/>
  <c r="AJ38" i="9"/>
  <c r="AT38" i="9"/>
  <c r="B11" i="9"/>
  <c r="AV51" i="28"/>
  <c r="AV50" i="28"/>
  <c r="AV49" i="28"/>
  <c r="A17" i="28"/>
  <c r="C17" i="28"/>
  <c r="D17" i="28"/>
  <c r="K17" i="28" s="1"/>
  <c r="A34" i="24"/>
  <c r="C34" i="24"/>
  <c r="A43" i="19"/>
  <c r="B43" i="19"/>
  <c r="G43" i="19" s="1"/>
  <c r="C43" i="19"/>
  <c r="A42" i="19"/>
  <c r="B42" i="19"/>
  <c r="D42" i="19" s="1"/>
  <c r="N42" i="19" s="1"/>
  <c r="C42" i="19"/>
  <c r="A30" i="14"/>
  <c r="B30" i="14"/>
  <c r="H30" i="14"/>
  <c r="C69" i="21"/>
  <c r="J69" i="21"/>
  <c r="K69" i="21"/>
  <c r="J173" i="2"/>
  <c r="J174" i="2"/>
  <c r="C350" i="3"/>
  <c r="D350" i="3"/>
  <c r="E350" i="3"/>
  <c r="F350" i="3"/>
  <c r="G350" i="3"/>
  <c r="H350" i="3"/>
  <c r="I350" i="3"/>
  <c r="J350" i="3"/>
  <c r="C349" i="3"/>
  <c r="D349" i="3"/>
  <c r="E349" i="3"/>
  <c r="F349" i="3"/>
  <c r="G349" i="3"/>
  <c r="H349" i="3"/>
  <c r="I349" i="3"/>
  <c r="J349" i="3"/>
  <c r="C348" i="3"/>
  <c r="D348" i="3"/>
  <c r="E348" i="3"/>
  <c r="F348" i="3"/>
  <c r="G348" i="3"/>
  <c r="H348" i="3"/>
  <c r="I348" i="3"/>
  <c r="J348" i="3"/>
  <c r="C347" i="3"/>
  <c r="D347" i="3"/>
  <c r="E347" i="3"/>
  <c r="F347" i="3"/>
  <c r="G347" i="3"/>
  <c r="H347" i="3"/>
  <c r="I347" i="3"/>
  <c r="J347" i="3"/>
  <c r="B73" i="1"/>
  <c r="F73" i="1" s="1"/>
  <c r="C73" i="1"/>
  <c r="E73" i="1" s="1"/>
  <c r="D69" i="21" s="1"/>
  <c r="D73" i="1"/>
  <c r="BD7" i="9"/>
  <c r="BE7" i="9"/>
  <c r="O26" i="9"/>
  <c r="AE26" i="9" s="1"/>
  <c r="AB26" i="9" s="1"/>
  <c r="P26" i="9"/>
  <c r="AJ26" i="9"/>
  <c r="AT26" i="9"/>
  <c r="Q39" i="9" l="1"/>
  <c r="AD39" i="9" s="1"/>
  <c r="M39" i="9"/>
  <c r="Y43" i="27"/>
  <c r="M43" i="27"/>
  <c r="M42" i="27"/>
  <c r="Q38" i="9"/>
  <c r="AE38" i="9"/>
  <c r="AB38" i="9" s="1"/>
  <c r="D43" i="19"/>
  <c r="G42" i="19"/>
  <c r="K350" i="3"/>
  <c r="K349" i="3"/>
  <c r="K348" i="3"/>
  <c r="K347" i="3"/>
  <c r="G73" i="1"/>
  <c r="J73" i="1"/>
  <c r="I73" i="1"/>
  <c r="H73" i="1"/>
  <c r="M26" i="9"/>
  <c r="Q26" i="9"/>
  <c r="B6" i="25"/>
  <c r="B7" i="25"/>
  <c r="AE25" i="27"/>
  <c r="AF25" i="27"/>
  <c r="AI25" i="27"/>
  <c r="AJ25" i="27"/>
  <c r="AE24" i="27"/>
  <c r="AF24" i="27"/>
  <c r="AI24" i="27"/>
  <c r="AJ24" i="27"/>
  <c r="B41" i="27"/>
  <c r="D41" i="27"/>
  <c r="Y41" i="27" s="1"/>
  <c r="P41" i="27"/>
  <c r="Q41" i="27"/>
  <c r="R41" i="27"/>
  <c r="S41" i="27"/>
  <c r="B40" i="27"/>
  <c r="D40" i="27"/>
  <c r="Y40" i="27" s="1"/>
  <c r="Q40" i="27"/>
  <c r="R40" i="27"/>
  <c r="S40" i="27"/>
  <c r="B39" i="27"/>
  <c r="D39" i="27"/>
  <c r="Y39" i="27" s="1"/>
  <c r="P39" i="27"/>
  <c r="Q39" i="27"/>
  <c r="R39" i="27"/>
  <c r="S39" i="27"/>
  <c r="AV48" i="28"/>
  <c r="AV47" i="28"/>
  <c r="AV46" i="28"/>
  <c r="AV45" i="28"/>
  <c r="AV44" i="28"/>
  <c r="A16" i="28"/>
  <c r="C16" i="28"/>
  <c r="D16" i="28"/>
  <c r="K16" i="28" s="1"/>
  <c r="AP29" i="29"/>
  <c r="AP30" i="29"/>
  <c r="AP31" i="29"/>
  <c r="AP32" i="29"/>
  <c r="AP33" i="29"/>
  <c r="AP34" i="29"/>
  <c r="AR29" i="29"/>
  <c r="AR30" i="29"/>
  <c r="AR31" i="29"/>
  <c r="AR32" i="29"/>
  <c r="AR33" i="29"/>
  <c r="AR34" i="29"/>
  <c r="AE10" i="29"/>
  <c r="AH10" i="29"/>
  <c r="C8" i="29"/>
  <c r="O37" i="9"/>
  <c r="Q37" i="9" s="1"/>
  <c r="P37" i="9"/>
  <c r="AJ37" i="9"/>
  <c r="AT37" i="9"/>
  <c r="O36" i="9"/>
  <c r="M36" i="9" s="1"/>
  <c r="P36" i="9"/>
  <c r="AJ36" i="9"/>
  <c r="AT36" i="9"/>
  <c r="O35" i="9"/>
  <c r="M35" i="9" s="1"/>
  <c r="P35" i="9"/>
  <c r="AJ35" i="9"/>
  <c r="AT35" i="9"/>
  <c r="O34" i="9"/>
  <c r="M34" i="9" s="1"/>
  <c r="P34" i="9"/>
  <c r="AJ34" i="9"/>
  <c r="AT34" i="9"/>
  <c r="O33" i="9"/>
  <c r="AE33" i="9" s="1"/>
  <c r="AB33" i="9" s="1"/>
  <c r="P33" i="9"/>
  <c r="AJ33" i="9"/>
  <c r="AT33" i="9"/>
  <c r="O32" i="9"/>
  <c r="M32" i="9" s="1"/>
  <c r="P32" i="9"/>
  <c r="AJ32" i="9"/>
  <c r="AT32" i="9"/>
  <c r="B10" i="9"/>
  <c r="B38" i="27"/>
  <c r="D38" i="27"/>
  <c r="Y38" i="27" s="1"/>
  <c r="P38" i="27"/>
  <c r="Q38" i="27"/>
  <c r="R38" i="27"/>
  <c r="S38" i="27"/>
  <c r="B37" i="27"/>
  <c r="D37" i="27"/>
  <c r="P37" i="27"/>
  <c r="Q37" i="27"/>
  <c r="R37" i="27"/>
  <c r="S37" i="27"/>
  <c r="AV43" i="28"/>
  <c r="AV42" i="28"/>
  <c r="AV41" i="28"/>
  <c r="AV40" i="28"/>
  <c r="AH26" i="28"/>
  <c r="AH29" i="28"/>
  <c r="AH28" i="28"/>
  <c r="AH27" i="28"/>
  <c r="AH25" i="28"/>
  <c r="AH24" i="28"/>
  <c r="A15" i="28"/>
  <c r="C15" i="28"/>
  <c r="D15" i="28"/>
  <c r="K15" i="28" s="1"/>
  <c r="A14" i="28"/>
  <c r="C14" i="28"/>
  <c r="D14" i="28"/>
  <c r="K14" i="28" s="1"/>
  <c r="P13" i="19"/>
  <c r="R13" i="19"/>
  <c r="S13" i="19"/>
  <c r="P12" i="19"/>
  <c r="R12" i="19"/>
  <c r="S12" i="19"/>
  <c r="AN39" i="9" l="1"/>
  <c r="AY39" i="9"/>
  <c r="BA39" i="9"/>
  <c r="N43" i="19"/>
  <c r="BA38" i="9"/>
  <c r="AN38" i="9"/>
  <c r="AY38" i="9"/>
  <c r="AD38" i="9"/>
  <c r="BA26" i="9"/>
  <c r="AN26" i="9"/>
  <c r="AD26" i="9"/>
  <c r="AY26" i="9"/>
  <c r="AE35" i="9"/>
  <c r="AB35" i="9" s="1"/>
  <c r="M41" i="27"/>
  <c r="M40" i="27"/>
  <c r="M39" i="27"/>
  <c r="AE37" i="9"/>
  <c r="AB37" i="9" s="1"/>
  <c r="M37" i="9"/>
  <c r="AD37" i="9"/>
  <c r="AY37" i="9"/>
  <c r="BA37" i="9"/>
  <c r="AN37" i="9"/>
  <c r="Q35" i="9"/>
  <c r="BA35" i="9" s="1"/>
  <c r="Q36" i="9"/>
  <c r="AE36" i="9"/>
  <c r="AB36" i="9" s="1"/>
  <c r="Q34" i="9"/>
  <c r="AE34" i="9"/>
  <c r="AB34" i="9" s="1"/>
  <c r="M33" i="9"/>
  <c r="Q33" i="9"/>
  <c r="Q32" i="9"/>
  <c r="AE32" i="9"/>
  <c r="AB32" i="9" s="1"/>
  <c r="M38" i="27"/>
  <c r="Y37" i="27"/>
  <c r="M37" i="27"/>
  <c r="A41" i="19"/>
  <c r="B41" i="19"/>
  <c r="D41" i="19" s="1"/>
  <c r="N41" i="19" s="1"/>
  <c r="C41" i="19"/>
  <c r="AN35" i="9" l="1"/>
  <c r="AY35" i="9"/>
  <c r="AD35" i="9"/>
  <c r="AD36" i="9"/>
  <c r="AY36" i="9"/>
  <c r="BA36" i="9"/>
  <c r="AN36" i="9"/>
  <c r="AD34" i="9"/>
  <c r="AY34" i="9"/>
  <c r="BA34" i="9"/>
  <c r="AN34" i="9"/>
  <c r="AY33" i="9"/>
  <c r="BA33" i="9"/>
  <c r="AN33" i="9"/>
  <c r="AD33" i="9"/>
  <c r="BA32" i="9"/>
  <c r="AY32" i="9"/>
  <c r="AN32" i="9"/>
  <c r="AD32" i="9"/>
  <c r="G41" i="19"/>
  <c r="A40" i="19"/>
  <c r="B40" i="19"/>
  <c r="D40" i="19" s="1"/>
  <c r="N40" i="19" s="1"/>
  <c r="C40" i="19"/>
  <c r="G40" i="19" l="1"/>
  <c r="A39" i="19"/>
  <c r="B39" i="19"/>
  <c r="D39" i="19" s="1"/>
  <c r="N39" i="19" s="1"/>
  <c r="C39" i="19"/>
  <c r="A38" i="19"/>
  <c r="B38" i="19"/>
  <c r="D38" i="19" s="1"/>
  <c r="N38" i="19" s="1"/>
  <c r="C38" i="19"/>
  <c r="G39" i="19" l="1"/>
  <c r="G38" i="19"/>
  <c r="C5" i="3"/>
  <c r="D5" i="3"/>
  <c r="E5" i="3"/>
  <c r="F5" i="3"/>
  <c r="G5" i="3"/>
  <c r="H5" i="3"/>
  <c r="I5" i="3"/>
  <c r="J5" i="3"/>
  <c r="J328" i="2"/>
  <c r="C285" i="3"/>
  <c r="C286" i="3"/>
  <c r="C287" i="3"/>
  <c r="D285" i="3"/>
  <c r="D286" i="3"/>
  <c r="D287" i="3"/>
  <c r="E285" i="3"/>
  <c r="E286" i="3"/>
  <c r="E287" i="3"/>
  <c r="F285" i="3"/>
  <c r="F286" i="3"/>
  <c r="F287" i="3"/>
  <c r="G285" i="3"/>
  <c r="G286" i="3"/>
  <c r="G287" i="3"/>
  <c r="H285" i="3"/>
  <c r="H286" i="3"/>
  <c r="H287" i="3"/>
  <c r="I285" i="3"/>
  <c r="I286" i="3"/>
  <c r="I287" i="3"/>
  <c r="J285" i="3"/>
  <c r="J286" i="3"/>
  <c r="J287" i="3"/>
  <c r="C275" i="3"/>
  <c r="D275" i="3"/>
  <c r="E275" i="3"/>
  <c r="F275" i="3"/>
  <c r="G275" i="3"/>
  <c r="H275" i="3"/>
  <c r="I275" i="3"/>
  <c r="J275" i="3"/>
  <c r="K5" i="3" l="1"/>
  <c r="K286" i="3"/>
  <c r="K287" i="3"/>
  <c r="K285" i="3"/>
  <c r="K275" i="3"/>
  <c r="C331" i="3"/>
  <c r="D331" i="3"/>
  <c r="E331" i="3"/>
  <c r="F331" i="3"/>
  <c r="G331" i="3"/>
  <c r="H331" i="3"/>
  <c r="I331" i="3"/>
  <c r="J331" i="3"/>
  <c r="J14" i="2"/>
  <c r="K331" i="3" l="1"/>
  <c r="C320" i="3"/>
  <c r="D320" i="3"/>
  <c r="E320" i="3"/>
  <c r="F320" i="3"/>
  <c r="G320" i="3"/>
  <c r="H320" i="3"/>
  <c r="I320" i="3"/>
  <c r="J320" i="3"/>
  <c r="K320" i="3" l="1"/>
  <c r="A63" i="24"/>
  <c r="C63" i="24"/>
  <c r="C85" i="3"/>
  <c r="D85" i="3"/>
  <c r="E85" i="3"/>
  <c r="F85" i="3"/>
  <c r="G85" i="3"/>
  <c r="H85" i="3"/>
  <c r="I85" i="3"/>
  <c r="J85" i="3"/>
  <c r="J17" i="2"/>
  <c r="K85" i="3" l="1"/>
  <c r="H22" i="14"/>
  <c r="H21" i="14"/>
  <c r="A21" i="14"/>
  <c r="A22" i="14"/>
  <c r="B21" i="14"/>
  <c r="B22" i="14"/>
  <c r="H15" i="14"/>
  <c r="A15" i="14"/>
  <c r="B15" i="14"/>
  <c r="C61" i="21"/>
  <c r="C62" i="21"/>
  <c r="J61" i="21"/>
  <c r="J62" i="21"/>
  <c r="K61" i="21"/>
  <c r="K62" i="21"/>
  <c r="C55" i="21"/>
  <c r="J55" i="21"/>
  <c r="K55" i="21"/>
  <c r="B64" i="1"/>
  <c r="H64" i="1" s="1"/>
  <c r="B65" i="1"/>
  <c r="H65" i="1" s="1"/>
  <c r="C64" i="1"/>
  <c r="E64" i="1" s="1"/>
  <c r="D61" i="21" s="1"/>
  <c r="C65" i="1"/>
  <c r="E65" i="1" s="1"/>
  <c r="D62" i="21" s="1"/>
  <c r="D64" i="1"/>
  <c r="D65" i="1"/>
  <c r="B58" i="1"/>
  <c r="F58" i="1" s="1"/>
  <c r="C58" i="1"/>
  <c r="E58" i="1" s="1"/>
  <c r="D55" i="21" s="1"/>
  <c r="D58" i="1"/>
  <c r="F65" i="1" l="1"/>
  <c r="F64" i="1"/>
  <c r="G65" i="1"/>
  <c r="J65" i="1"/>
  <c r="I65" i="1"/>
  <c r="I64" i="1"/>
  <c r="J64" i="1"/>
  <c r="G64" i="1"/>
  <c r="H58" i="1"/>
  <c r="J58" i="1"/>
  <c r="I58" i="1"/>
  <c r="G58" i="1"/>
  <c r="C79" i="3"/>
  <c r="D79" i="3"/>
  <c r="E79" i="3"/>
  <c r="F79" i="3"/>
  <c r="G79" i="3"/>
  <c r="H79" i="3"/>
  <c r="I79" i="3"/>
  <c r="J79" i="3"/>
  <c r="J15" i="2"/>
  <c r="A55" i="24"/>
  <c r="A56" i="24"/>
  <c r="A57" i="24"/>
  <c r="A58" i="24"/>
  <c r="A59" i="24"/>
  <c r="A60" i="24"/>
  <c r="A61" i="24"/>
  <c r="A62" i="24"/>
  <c r="C55" i="24"/>
  <c r="C56" i="24"/>
  <c r="C57" i="24"/>
  <c r="C58" i="24"/>
  <c r="C59" i="24"/>
  <c r="C60" i="24"/>
  <c r="C61" i="24"/>
  <c r="C62" i="24"/>
  <c r="A54" i="24"/>
  <c r="C54" i="24"/>
  <c r="A53" i="24"/>
  <c r="C53" i="24"/>
  <c r="A5" i="14"/>
  <c r="A6" i="14"/>
  <c r="B5" i="14"/>
  <c r="B6" i="14"/>
  <c r="H5" i="14"/>
  <c r="H6" i="14"/>
  <c r="J68" i="21"/>
  <c r="K68" i="21"/>
  <c r="J47" i="21"/>
  <c r="K47" i="21"/>
  <c r="J45" i="21"/>
  <c r="J46" i="21"/>
  <c r="K45" i="21"/>
  <c r="K46" i="21"/>
  <c r="J144" i="2"/>
  <c r="C76" i="3"/>
  <c r="C77" i="3"/>
  <c r="C78" i="3"/>
  <c r="C80" i="3"/>
  <c r="D76" i="3"/>
  <c r="D77" i="3"/>
  <c r="D78" i="3"/>
  <c r="D80" i="3"/>
  <c r="E76" i="3"/>
  <c r="E77" i="3"/>
  <c r="E78" i="3"/>
  <c r="E80" i="3"/>
  <c r="F76" i="3"/>
  <c r="F77" i="3"/>
  <c r="F78" i="3"/>
  <c r="F80" i="3"/>
  <c r="G76" i="3"/>
  <c r="G77" i="3"/>
  <c r="G78" i="3"/>
  <c r="G80" i="3"/>
  <c r="H76" i="3"/>
  <c r="H77" i="3"/>
  <c r="H78" i="3"/>
  <c r="H80" i="3"/>
  <c r="I76" i="3"/>
  <c r="I77" i="3"/>
  <c r="I78" i="3"/>
  <c r="I80" i="3"/>
  <c r="J76" i="3"/>
  <c r="J77" i="3"/>
  <c r="J78" i="3"/>
  <c r="J80" i="3"/>
  <c r="B48" i="1"/>
  <c r="F48" i="1" s="1"/>
  <c r="C48" i="1"/>
  <c r="E48" i="1" s="1"/>
  <c r="D45" i="21" s="1"/>
  <c r="D48" i="1"/>
  <c r="C45" i="21" s="1"/>
  <c r="J16" i="2"/>
  <c r="J18" i="2"/>
  <c r="J19" i="2"/>
  <c r="C81" i="3"/>
  <c r="C82" i="3"/>
  <c r="C83" i="3"/>
  <c r="C84" i="3"/>
  <c r="C86" i="3"/>
  <c r="C87" i="3"/>
  <c r="C88" i="3"/>
  <c r="C89" i="3"/>
  <c r="D81" i="3"/>
  <c r="D82" i="3"/>
  <c r="D83" i="3"/>
  <c r="D84" i="3"/>
  <c r="D86" i="3"/>
  <c r="D87" i="3"/>
  <c r="D88" i="3"/>
  <c r="D89" i="3"/>
  <c r="E81" i="3"/>
  <c r="E82" i="3"/>
  <c r="E83" i="3"/>
  <c r="E84" i="3"/>
  <c r="E86" i="3"/>
  <c r="E87" i="3"/>
  <c r="E88" i="3"/>
  <c r="E89" i="3"/>
  <c r="F81" i="3"/>
  <c r="F82" i="3"/>
  <c r="F83" i="3"/>
  <c r="F84" i="3"/>
  <c r="F86" i="3"/>
  <c r="F87" i="3"/>
  <c r="F88" i="3"/>
  <c r="F89" i="3"/>
  <c r="G81" i="3"/>
  <c r="G82" i="3"/>
  <c r="G83" i="3"/>
  <c r="G84" i="3"/>
  <c r="G86" i="3"/>
  <c r="G87" i="3"/>
  <c r="G88" i="3"/>
  <c r="G89" i="3"/>
  <c r="H81" i="3"/>
  <c r="H82" i="3"/>
  <c r="H83" i="3"/>
  <c r="H84" i="3"/>
  <c r="H86" i="3"/>
  <c r="H87" i="3"/>
  <c r="H88" i="3"/>
  <c r="H89" i="3"/>
  <c r="I81" i="3"/>
  <c r="I82" i="3"/>
  <c r="I83" i="3"/>
  <c r="I84" i="3"/>
  <c r="I86" i="3"/>
  <c r="I87" i="3"/>
  <c r="I88" i="3"/>
  <c r="I89" i="3"/>
  <c r="J81" i="3"/>
  <c r="J82" i="3"/>
  <c r="J83" i="3"/>
  <c r="J84" i="3"/>
  <c r="J86" i="3"/>
  <c r="J87" i="3"/>
  <c r="J88" i="3"/>
  <c r="J89" i="3"/>
  <c r="B49" i="1"/>
  <c r="F49" i="1" s="1"/>
  <c r="C49" i="1"/>
  <c r="E49" i="1" s="1"/>
  <c r="D46" i="21" s="1"/>
  <c r="D49" i="1"/>
  <c r="C46" i="21" s="1"/>
  <c r="C235" i="3"/>
  <c r="D235" i="3"/>
  <c r="E235" i="3"/>
  <c r="F235" i="3"/>
  <c r="G235" i="3"/>
  <c r="H235" i="3"/>
  <c r="I235" i="3"/>
  <c r="J235" i="3"/>
  <c r="J102" i="2"/>
  <c r="J103" i="2"/>
  <c r="C231" i="3"/>
  <c r="D231" i="3"/>
  <c r="E231" i="3"/>
  <c r="F231" i="3"/>
  <c r="G231" i="3"/>
  <c r="H231" i="3"/>
  <c r="I231" i="3"/>
  <c r="J231" i="3"/>
  <c r="C227" i="3"/>
  <c r="C228" i="3"/>
  <c r="C229" i="3"/>
  <c r="C230" i="3"/>
  <c r="D227" i="3"/>
  <c r="D228" i="3"/>
  <c r="D229" i="3"/>
  <c r="D230" i="3"/>
  <c r="E227" i="3"/>
  <c r="E228" i="3"/>
  <c r="E229" i="3"/>
  <c r="E230" i="3"/>
  <c r="F227" i="3"/>
  <c r="F228" i="3"/>
  <c r="F229" i="3"/>
  <c r="F230" i="3"/>
  <c r="G227" i="3"/>
  <c r="G228" i="3"/>
  <c r="G229" i="3"/>
  <c r="G230" i="3"/>
  <c r="H227" i="3"/>
  <c r="H228" i="3"/>
  <c r="H229" i="3"/>
  <c r="H230" i="3"/>
  <c r="I227" i="3"/>
  <c r="I228" i="3"/>
  <c r="I229" i="3"/>
  <c r="I230" i="3"/>
  <c r="J227" i="3"/>
  <c r="J228" i="3"/>
  <c r="J229" i="3"/>
  <c r="J230" i="3"/>
  <c r="C216" i="3"/>
  <c r="D216" i="3"/>
  <c r="E216" i="3"/>
  <c r="F216" i="3"/>
  <c r="G216" i="3"/>
  <c r="H216" i="3"/>
  <c r="I216" i="3"/>
  <c r="J216" i="3"/>
  <c r="C123" i="3"/>
  <c r="D123" i="3"/>
  <c r="E123" i="3"/>
  <c r="F123" i="3"/>
  <c r="G123" i="3"/>
  <c r="H123" i="3"/>
  <c r="I123" i="3"/>
  <c r="J123" i="3"/>
  <c r="J58" i="2"/>
  <c r="J115" i="2"/>
  <c r="C116" i="3"/>
  <c r="D116" i="3"/>
  <c r="E116" i="3"/>
  <c r="F116" i="3"/>
  <c r="G116" i="3"/>
  <c r="H116" i="3"/>
  <c r="I116" i="3"/>
  <c r="J116" i="3"/>
  <c r="C136" i="3"/>
  <c r="D136" i="3"/>
  <c r="E136" i="3"/>
  <c r="F136" i="3"/>
  <c r="G136" i="3"/>
  <c r="H136" i="3"/>
  <c r="I136" i="3"/>
  <c r="J136" i="3"/>
  <c r="K79" i="3" l="1"/>
  <c r="K76" i="3"/>
  <c r="K78" i="3"/>
  <c r="K80" i="3"/>
  <c r="K77" i="3"/>
  <c r="J48" i="1"/>
  <c r="G48" i="1"/>
  <c r="I48" i="1"/>
  <c r="H48" i="1"/>
  <c r="K81" i="3"/>
  <c r="K82" i="3"/>
  <c r="K84" i="3"/>
  <c r="K88" i="3"/>
  <c r="K87" i="3"/>
  <c r="K89" i="3"/>
  <c r="K83" i="3"/>
  <c r="K86" i="3"/>
  <c r="H49" i="1"/>
  <c r="J49" i="1"/>
  <c r="I49" i="1"/>
  <c r="G49" i="1"/>
  <c r="K235" i="3"/>
  <c r="K231" i="3"/>
  <c r="K229" i="3"/>
  <c r="K230" i="3"/>
  <c r="K228" i="3"/>
  <c r="K227" i="3"/>
  <c r="K216" i="3"/>
  <c r="K123" i="3"/>
  <c r="K116" i="3"/>
  <c r="K136" i="3"/>
  <c r="AE19" i="27"/>
  <c r="AF19" i="27"/>
  <c r="AI19" i="27"/>
  <c r="AJ19" i="27"/>
  <c r="B31" i="27"/>
  <c r="D31" i="27"/>
  <c r="Y31" i="27" s="1"/>
  <c r="P31" i="27"/>
  <c r="Q31" i="27"/>
  <c r="R31" i="27"/>
  <c r="S31" i="27"/>
  <c r="M31" i="27" l="1"/>
  <c r="A52" i="24"/>
  <c r="C52" i="24"/>
  <c r="A51" i="24"/>
  <c r="C51" i="24"/>
  <c r="A50" i="24"/>
  <c r="C50" i="24"/>
  <c r="A49" i="24"/>
  <c r="C49" i="24"/>
  <c r="A48" i="24"/>
  <c r="C48" i="24"/>
  <c r="A47" i="24"/>
  <c r="C47" i="24"/>
  <c r="AE23" i="27"/>
  <c r="AF23" i="27"/>
  <c r="AI23" i="27"/>
  <c r="AJ23" i="27"/>
  <c r="AE22" i="27"/>
  <c r="AF22" i="27"/>
  <c r="AI22" i="27"/>
  <c r="AJ22" i="27"/>
  <c r="B36" i="27"/>
  <c r="D36" i="27"/>
  <c r="Y36" i="27" s="1"/>
  <c r="P36" i="27"/>
  <c r="Q36" i="27"/>
  <c r="R36" i="27"/>
  <c r="S36" i="27"/>
  <c r="AV39" i="28"/>
  <c r="AV38" i="28"/>
  <c r="AV37" i="28"/>
  <c r="AV36" i="28"/>
  <c r="AH23" i="28"/>
  <c r="AH22" i="28"/>
  <c r="AH21" i="28"/>
  <c r="A13" i="28"/>
  <c r="C13" i="28"/>
  <c r="D13" i="28"/>
  <c r="K13" i="28" s="1"/>
  <c r="P11" i="19"/>
  <c r="R11" i="19"/>
  <c r="S11" i="19"/>
  <c r="M36" i="27" l="1"/>
  <c r="AE21" i="27"/>
  <c r="AF21" i="27"/>
  <c r="AI21" i="27"/>
  <c r="AJ21" i="27"/>
  <c r="B35" i="27"/>
  <c r="D35" i="27"/>
  <c r="Y35" i="27" s="1"/>
  <c r="Q35" i="27"/>
  <c r="R35" i="27"/>
  <c r="S35" i="27"/>
  <c r="O31" i="9"/>
  <c r="M31" i="9" s="1"/>
  <c r="P31" i="9"/>
  <c r="AJ31" i="9"/>
  <c r="AT31" i="9"/>
  <c r="O30" i="9"/>
  <c r="AE30" i="9" s="1"/>
  <c r="AB30" i="9" s="1"/>
  <c r="P30" i="9"/>
  <c r="AJ30" i="9"/>
  <c r="AT30" i="9"/>
  <c r="O29" i="9"/>
  <c r="M29" i="9" s="1"/>
  <c r="P29" i="9"/>
  <c r="AJ29" i="9"/>
  <c r="AT29" i="9"/>
  <c r="O28" i="9"/>
  <c r="M28" i="9" s="1"/>
  <c r="P28" i="9"/>
  <c r="AJ28" i="9"/>
  <c r="AT28" i="9"/>
  <c r="O27" i="9"/>
  <c r="AE27" i="9" s="1"/>
  <c r="AB27" i="9" s="1"/>
  <c r="P27" i="9"/>
  <c r="AJ27" i="9"/>
  <c r="AT27" i="9"/>
  <c r="B9" i="9"/>
  <c r="AE20" i="27"/>
  <c r="AF20" i="27"/>
  <c r="AI20" i="27"/>
  <c r="AJ20" i="27"/>
  <c r="B34" i="27"/>
  <c r="D34" i="27"/>
  <c r="Y34" i="27" s="1"/>
  <c r="P34" i="27"/>
  <c r="Q34" i="27"/>
  <c r="R34" i="27"/>
  <c r="S34" i="27"/>
  <c r="B33" i="27"/>
  <c r="D33" i="27"/>
  <c r="Y33" i="27" s="1"/>
  <c r="P33" i="27"/>
  <c r="Q33" i="27"/>
  <c r="R33" i="27"/>
  <c r="S33" i="27"/>
  <c r="B32" i="27"/>
  <c r="D32" i="27"/>
  <c r="Y32" i="27" s="1"/>
  <c r="P32" i="27"/>
  <c r="Q32" i="27"/>
  <c r="R32" i="27"/>
  <c r="S32" i="27"/>
  <c r="AV35" i="28"/>
  <c r="AV34" i="28"/>
  <c r="AV33" i="28"/>
  <c r="AV32" i="28"/>
  <c r="AH20" i="28"/>
  <c r="AH19" i="28"/>
  <c r="AH18" i="28"/>
  <c r="A12" i="28"/>
  <c r="C12" i="28"/>
  <c r="D12" i="28"/>
  <c r="K12" i="28" s="1"/>
  <c r="AP28" i="29"/>
  <c r="AR28" i="29"/>
  <c r="AP27" i="29"/>
  <c r="AR27" i="29"/>
  <c r="AP26" i="29"/>
  <c r="AR26" i="29"/>
  <c r="A37" i="19"/>
  <c r="B37" i="19"/>
  <c r="D37" i="19" s="1"/>
  <c r="N37" i="19" s="1"/>
  <c r="C37" i="19"/>
  <c r="A36" i="19"/>
  <c r="B36" i="19"/>
  <c r="D36" i="19" s="1"/>
  <c r="N36" i="19" s="1"/>
  <c r="C36" i="19"/>
  <c r="AP25" i="29"/>
  <c r="AR25" i="29"/>
  <c r="AP24" i="29"/>
  <c r="AR24" i="29"/>
  <c r="AP23" i="29"/>
  <c r="AR23" i="29"/>
  <c r="AP22" i="29"/>
  <c r="AR22" i="29"/>
  <c r="AP21" i="29"/>
  <c r="AR21" i="29"/>
  <c r="AE9" i="29"/>
  <c r="AH9" i="29"/>
  <c r="AP20" i="29"/>
  <c r="AR20" i="29"/>
  <c r="AE8" i="29"/>
  <c r="AH8" i="29"/>
  <c r="C7" i="29"/>
  <c r="O25" i="9"/>
  <c r="AE25" i="9" s="1"/>
  <c r="AB25" i="9" s="1"/>
  <c r="P25" i="9"/>
  <c r="AJ25" i="9"/>
  <c r="AT25" i="9"/>
  <c r="O24" i="9"/>
  <c r="AE24" i="9" s="1"/>
  <c r="AB24" i="9" s="1"/>
  <c r="P24" i="9"/>
  <c r="AJ24" i="9"/>
  <c r="AT24" i="9"/>
  <c r="O23" i="9"/>
  <c r="AE23" i="9" s="1"/>
  <c r="AB23" i="9" s="1"/>
  <c r="P23" i="9"/>
  <c r="AJ23" i="9"/>
  <c r="AT23" i="9"/>
  <c r="B8" i="9"/>
  <c r="AV31" i="28"/>
  <c r="AV30" i="28"/>
  <c r="AV29" i="28"/>
  <c r="AH17" i="28"/>
  <c r="A11" i="28"/>
  <c r="C11" i="28"/>
  <c r="D11" i="28"/>
  <c r="K11" i="28" s="1"/>
  <c r="AE18" i="27"/>
  <c r="AF18" i="27"/>
  <c r="AI18" i="27"/>
  <c r="AJ18" i="27"/>
  <c r="B30" i="27"/>
  <c r="D30" i="27"/>
  <c r="M30" i="27" s="1"/>
  <c r="P30" i="27"/>
  <c r="Q30" i="27"/>
  <c r="R30" i="27"/>
  <c r="S30" i="27"/>
  <c r="AV28" i="28"/>
  <c r="AH16" i="28"/>
  <c r="A10" i="28"/>
  <c r="C10" i="28"/>
  <c r="D10" i="28"/>
  <c r="B29" i="27"/>
  <c r="D29" i="27"/>
  <c r="Y29" i="27" s="1"/>
  <c r="Q29" i="27"/>
  <c r="R29" i="27"/>
  <c r="S29" i="27"/>
  <c r="AP19" i="29"/>
  <c r="AR19" i="29"/>
  <c r="AP18" i="29"/>
  <c r="AR18" i="29"/>
  <c r="AP17" i="29"/>
  <c r="AR17" i="29"/>
  <c r="AP16" i="29"/>
  <c r="AR16" i="29"/>
  <c r="AP15" i="29"/>
  <c r="AR15" i="29"/>
  <c r="AE7" i="29"/>
  <c r="AH7" i="29"/>
  <c r="A35" i="19"/>
  <c r="B35" i="19"/>
  <c r="D35" i="19" s="1"/>
  <c r="N35" i="19" s="1"/>
  <c r="C35" i="19"/>
  <c r="C6" i="29"/>
  <c r="C38" i="24"/>
  <c r="C39" i="24"/>
  <c r="C40" i="24"/>
  <c r="C41" i="24"/>
  <c r="C42" i="24"/>
  <c r="C43" i="24"/>
  <c r="C44" i="24"/>
  <c r="C45" i="24"/>
  <c r="C46" i="24"/>
  <c r="B28" i="27"/>
  <c r="D28" i="27"/>
  <c r="Y28" i="27" s="1"/>
  <c r="P28" i="27"/>
  <c r="Q28" i="27"/>
  <c r="R28" i="27"/>
  <c r="S28" i="27"/>
  <c r="A34" i="19"/>
  <c r="B34" i="19"/>
  <c r="D34" i="19" s="1"/>
  <c r="N34" i="19" s="1"/>
  <c r="C34" i="19"/>
  <c r="O22" i="9"/>
  <c r="M22" i="9" s="1"/>
  <c r="P22" i="9"/>
  <c r="AJ22" i="9"/>
  <c r="AT22" i="9"/>
  <c r="O21" i="9"/>
  <c r="AE21" i="9" s="1"/>
  <c r="AB21" i="9" s="1"/>
  <c r="P21" i="9"/>
  <c r="AJ21" i="9"/>
  <c r="AT21" i="9"/>
  <c r="O20" i="9"/>
  <c r="AE20" i="9" s="1"/>
  <c r="AB20" i="9" s="1"/>
  <c r="P20" i="9"/>
  <c r="AJ20" i="9"/>
  <c r="AT20" i="9"/>
  <c r="O19" i="9"/>
  <c r="AE19" i="9" s="1"/>
  <c r="AB19" i="9" s="1"/>
  <c r="P19" i="9"/>
  <c r="AJ19" i="9"/>
  <c r="AT19" i="9"/>
  <c r="O18" i="9"/>
  <c r="M18" i="9" s="1"/>
  <c r="P18" i="9"/>
  <c r="AJ18" i="9"/>
  <c r="AT18" i="9"/>
  <c r="O17" i="9"/>
  <c r="M17" i="9" s="1"/>
  <c r="P17" i="9"/>
  <c r="AJ17" i="9"/>
  <c r="AT17" i="9"/>
  <c r="O16" i="9"/>
  <c r="M16" i="9" s="1"/>
  <c r="P16" i="9"/>
  <c r="AJ16" i="9"/>
  <c r="AT16" i="9"/>
  <c r="B7" i="9"/>
  <c r="A12" i="14"/>
  <c r="B12" i="14"/>
  <c r="H12" i="14"/>
  <c r="A11" i="14"/>
  <c r="B11" i="14"/>
  <c r="H11" i="14"/>
  <c r="A9" i="14"/>
  <c r="B9" i="14"/>
  <c r="H9" i="14"/>
  <c r="J52" i="21"/>
  <c r="K52" i="21"/>
  <c r="C192" i="3"/>
  <c r="C193" i="3"/>
  <c r="C194" i="3"/>
  <c r="C195" i="3"/>
  <c r="C196" i="3"/>
  <c r="D192" i="3"/>
  <c r="D193" i="3"/>
  <c r="D194" i="3"/>
  <c r="D195" i="3"/>
  <c r="D196" i="3"/>
  <c r="E192" i="3"/>
  <c r="E193" i="3"/>
  <c r="E194" i="3"/>
  <c r="E195" i="3"/>
  <c r="E196" i="3"/>
  <c r="F192" i="3"/>
  <c r="F193" i="3"/>
  <c r="F194" i="3"/>
  <c r="F195" i="3"/>
  <c r="F196" i="3"/>
  <c r="G192" i="3"/>
  <c r="G193" i="3"/>
  <c r="G194" i="3"/>
  <c r="G195" i="3"/>
  <c r="G196" i="3"/>
  <c r="H192" i="3"/>
  <c r="H193" i="3"/>
  <c r="H194" i="3"/>
  <c r="H195" i="3"/>
  <c r="H196" i="3"/>
  <c r="I192" i="3"/>
  <c r="I193" i="3"/>
  <c r="I194" i="3"/>
  <c r="I195" i="3"/>
  <c r="I196" i="3"/>
  <c r="J192" i="3"/>
  <c r="J193" i="3"/>
  <c r="J194" i="3"/>
  <c r="J195" i="3"/>
  <c r="J196" i="3"/>
  <c r="J167" i="2"/>
  <c r="J168" i="2"/>
  <c r="J169" i="2"/>
  <c r="J170" i="2"/>
  <c r="J171" i="2"/>
  <c r="J172" i="2"/>
  <c r="B55" i="1"/>
  <c r="F55" i="1" s="1"/>
  <c r="C55" i="1"/>
  <c r="E55" i="1" s="1"/>
  <c r="D52" i="21" s="1"/>
  <c r="D55" i="1"/>
  <c r="C52" i="21" s="1"/>
  <c r="K10" i="28" l="1"/>
  <c r="Y30" i="27"/>
  <c r="M35" i="27"/>
  <c r="M30" i="9"/>
  <c r="Q31" i="9"/>
  <c r="AE31" i="9"/>
  <c r="AB31" i="9" s="1"/>
  <c r="Q30" i="9"/>
  <c r="Q29" i="9"/>
  <c r="AE29" i="9"/>
  <c r="AB29" i="9" s="1"/>
  <c r="Q28" i="9"/>
  <c r="AE28" i="9"/>
  <c r="AB28" i="9" s="1"/>
  <c r="M27" i="9"/>
  <c r="Q27" i="9"/>
  <c r="M34" i="27"/>
  <c r="M33" i="27"/>
  <c r="M32" i="27"/>
  <c r="G37" i="19"/>
  <c r="G36" i="19"/>
  <c r="M25" i="9"/>
  <c r="M24" i="9"/>
  <c r="Q25" i="9"/>
  <c r="Q24" i="9"/>
  <c r="M23" i="9"/>
  <c r="Q23" i="9"/>
  <c r="M29" i="27"/>
  <c r="G35" i="19"/>
  <c r="M28" i="27"/>
  <c r="G34" i="19"/>
  <c r="Q22" i="9"/>
  <c r="AE22" i="9"/>
  <c r="AB22" i="9" s="1"/>
  <c r="M21" i="9"/>
  <c r="Q21" i="9"/>
  <c r="M20" i="9"/>
  <c r="M19" i="9"/>
  <c r="Q20" i="9"/>
  <c r="Q19" i="9"/>
  <c r="Q18" i="9"/>
  <c r="AE18" i="9"/>
  <c r="AB18" i="9" s="1"/>
  <c r="Q17" i="9"/>
  <c r="AE17" i="9"/>
  <c r="AB17" i="9" s="1"/>
  <c r="Q16" i="9"/>
  <c r="AE16" i="9"/>
  <c r="AB16" i="9" s="1"/>
  <c r="K196" i="3"/>
  <c r="K193" i="3"/>
  <c r="K194" i="3"/>
  <c r="K195" i="3"/>
  <c r="K192" i="3"/>
  <c r="H55" i="1"/>
  <c r="G55" i="1"/>
  <c r="J55" i="1"/>
  <c r="I55" i="1"/>
  <c r="C291" i="3"/>
  <c r="D291" i="3"/>
  <c r="E291" i="3"/>
  <c r="F291" i="3"/>
  <c r="G291" i="3"/>
  <c r="H291" i="3"/>
  <c r="I291" i="3"/>
  <c r="J291" i="3"/>
  <c r="C232" i="3"/>
  <c r="D232" i="3"/>
  <c r="E232" i="3"/>
  <c r="F232" i="3"/>
  <c r="G232" i="3"/>
  <c r="H232" i="3"/>
  <c r="I232" i="3"/>
  <c r="J232" i="3"/>
  <c r="J166" i="2"/>
  <c r="AD31" i="9" l="1"/>
  <c r="AY31" i="9"/>
  <c r="BA31" i="9"/>
  <c r="AN31" i="9"/>
  <c r="AD30" i="9"/>
  <c r="AY30" i="9"/>
  <c r="BA30" i="9"/>
  <c r="AN30" i="9"/>
  <c r="BA29" i="9"/>
  <c r="AN29" i="9"/>
  <c r="AD29" i="9"/>
  <c r="AY29" i="9"/>
  <c r="AD28" i="9"/>
  <c r="AY28" i="9"/>
  <c r="BA28" i="9"/>
  <c r="AN28" i="9"/>
  <c r="AD27" i="9"/>
  <c r="BA27" i="9"/>
  <c r="AN27" i="9"/>
  <c r="AY27" i="9"/>
  <c r="AD25" i="9"/>
  <c r="AY25" i="9"/>
  <c r="BA25" i="9"/>
  <c r="AN25" i="9"/>
  <c r="AD24" i="9"/>
  <c r="AY24" i="9"/>
  <c r="BA24" i="9"/>
  <c r="AN24" i="9"/>
  <c r="AD23" i="9"/>
  <c r="AY23" i="9"/>
  <c r="BA23" i="9"/>
  <c r="AN23" i="9"/>
  <c r="BA22" i="9"/>
  <c r="AN22" i="9"/>
  <c r="AD22" i="9"/>
  <c r="AY22" i="9"/>
  <c r="AD21" i="9"/>
  <c r="AY21" i="9"/>
  <c r="BA21" i="9"/>
  <c r="AN21" i="9"/>
  <c r="AY20" i="9"/>
  <c r="BA20" i="9"/>
  <c r="AN20" i="9"/>
  <c r="AD20" i="9"/>
  <c r="AD19" i="9"/>
  <c r="AY19" i="9"/>
  <c r="BA19" i="9"/>
  <c r="AN19" i="9"/>
  <c r="AY18" i="9"/>
  <c r="AD18" i="9"/>
  <c r="BA18" i="9"/>
  <c r="AN18" i="9"/>
  <c r="BA17" i="9"/>
  <c r="AN17" i="9"/>
  <c r="AY17" i="9"/>
  <c r="AD17" i="9"/>
  <c r="AD16" i="9"/>
  <c r="AY16" i="9"/>
  <c r="BA16" i="9"/>
  <c r="AN16" i="9"/>
  <c r="K291" i="3"/>
  <c r="K232" i="3"/>
  <c r="J113" i="2"/>
  <c r="C169" i="3"/>
  <c r="D169" i="3"/>
  <c r="E169" i="3"/>
  <c r="F169" i="3"/>
  <c r="G169" i="3"/>
  <c r="H169" i="3"/>
  <c r="I169" i="3"/>
  <c r="J169" i="3"/>
  <c r="C166" i="3"/>
  <c r="D166" i="3"/>
  <c r="E166" i="3"/>
  <c r="F166" i="3"/>
  <c r="G166" i="3"/>
  <c r="H166" i="3"/>
  <c r="I166" i="3"/>
  <c r="J166" i="3"/>
  <c r="K169" i="3" l="1"/>
  <c r="K166" i="3"/>
  <c r="J51" i="21" l="1"/>
  <c r="K51" i="21"/>
  <c r="J49" i="21"/>
  <c r="K49" i="21"/>
  <c r="C137" i="3"/>
  <c r="D137" i="3"/>
  <c r="E137" i="3"/>
  <c r="F137" i="3"/>
  <c r="G137" i="3"/>
  <c r="H137" i="3"/>
  <c r="I137" i="3"/>
  <c r="J137" i="3"/>
  <c r="J128" i="2"/>
  <c r="B54" i="1"/>
  <c r="H54" i="1" s="1"/>
  <c r="C54" i="1"/>
  <c r="E54" i="1" s="1"/>
  <c r="D51" i="21" s="1"/>
  <c r="D54" i="1"/>
  <c r="C51" i="21" s="1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65" i="2"/>
  <c r="C153" i="3"/>
  <c r="C154" i="3"/>
  <c r="C155" i="3"/>
  <c r="C156" i="3"/>
  <c r="C157" i="3"/>
  <c r="D153" i="3"/>
  <c r="D154" i="3"/>
  <c r="D155" i="3"/>
  <c r="D156" i="3"/>
  <c r="D157" i="3"/>
  <c r="E153" i="3"/>
  <c r="E154" i="3"/>
  <c r="E155" i="3"/>
  <c r="E156" i="3"/>
  <c r="E157" i="3"/>
  <c r="F153" i="3"/>
  <c r="F154" i="3"/>
  <c r="F155" i="3"/>
  <c r="F156" i="3"/>
  <c r="F157" i="3"/>
  <c r="G153" i="3"/>
  <c r="G154" i="3"/>
  <c r="G155" i="3"/>
  <c r="G156" i="3"/>
  <c r="G157" i="3"/>
  <c r="H153" i="3"/>
  <c r="H154" i="3"/>
  <c r="H155" i="3"/>
  <c r="H156" i="3"/>
  <c r="H157" i="3"/>
  <c r="I153" i="3"/>
  <c r="I154" i="3"/>
  <c r="I155" i="3"/>
  <c r="I156" i="3"/>
  <c r="I157" i="3"/>
  <c r="J153" i="3"/>
  <c r="J154" i="3"/>
  <c r="J155" i="3"/>
  <c r="J156" i="3"/>
  <c r="J157" i="3"/>
  <c r="B52" i="1"/>
  <c r="H52" i="1" s="1"/>
  <c r="C52" i="1"/>
  <c r="E52" i="1" s="1"/>
  <c r="D49" i="21" s="1"/>
  <c r="D52" i="1"/>
  <c r="C49" i="21" s="1"/>
  <c r="K137" i="3" l="1"/>
  <c r="K182" i="3"/>
  <c r="K187" i="3"/>
  <c r="K179" i="3"/>
  <c r="K184" i="3"/>
  <c r="K176" i="3"/>
  <c r="K181" i="3"/>
  <c r="K186" i="3"/>
  <c r="K178" i="3"/>
  <c r="K183" i="3"/>
  <c r="K175" i="3"/>
  <c r="K180" i="3"/>
  <c r="K185" i="3"/>
  <c r="K177" i="3"/>
  <c r="F54" i="1"/>
  <c r="J54" i="1"/>
  <c r="G54" i="1"/>
  <c r="I54" i="1"/>
  <c r="K153" i="3"/>
  <c r="K157" i="3"/>
  <c r="K156" i="3"/>
  <c r="K155" i="3"/>
  <c r="K154" i="3"/>
  <c r="G52" i="1"/>
  <c r="J52" i="1"/>
  <c r="I52" i="1"/>
  <c r="F52" i="1"/>
  <c r="C171" i="3"/>
  <c r="D171" i="3"/>
  <c r="E171" i="3"/>
  <c r="F171" i="3"/>
  <c r="G171" i="3"/>
  <c r="H171" i="3"/>
  <c r="I171" i="3"/>
  <c r="J171" i="3"/>
  <c r="J56" i="2"/>
  <c r="J54" i="2"/>
  <c r="C168" i="3"/>
  <c r="D168" i="3"/>
  <c r="E168" i="3"/>
  <c r="F168" i="3"/>
  <c r="G168" i="3"/>
  <c r="H168" i="3"/>
  <c r="I168" i="3"/>
  <c r="J168" i="3"/>
  <c r="J53" i="2"/>
  <c r="J55" i="2"/>
  <c r="C167" i="3"/>
  <c r="C170" i="3"/>
  <c r="D167" i="3"/>
  <c r="D170" i="3"/>
  <c r="E167" i="3"/>
  <c r="E170" i="3"/>
  <c r="F167" i="3"/>
  <c r="F170" i="3"/>
  <c r="G167" i="3"/>
  <c r="G170" i="3"/>
  <c r="H167" i="3"/>
  <c r="H170" i="3"/>
  <c r="I167" i="3"/>
  <c r="I170" i="3"/>
  <c r="J167" i="3"/>
  <c r="J170" i="3"/>
  <c r="J164" i="2"/>
  <c r="C109" i="3"/>
  <c r="D109" i="3"/>
  <c r="E109" i="3"/>
  <c r="F109" i="3"/>
  <c r="G109" i="3"/>
  <c r="H109" i="3"/>
  <c r="I109" i="3"/>
  <c r="J109" i="3"/>
  <c r="P10" i="19"/>
  <c r="R10" i="19"/>
  <c r="S10" i="19"/>
  <c r="P9" i="19"/>
  <c r="R9" i="19"/>
  <c r="S9" i="19"/>
  <c r="A33" i="19"/>
  <c r="B33" i="19"/>
  <c r="C33" i="19"/>
  <c r="A32" i="19"/>
  <c r="B32" i="19"/>
  <c r="D32" i="19" s="1"/>
  <c r="N32" i="19" s="1"/>
  <c r="C32" i="19"/>
  <c r="K171" i="3" l="1"/>
  <c r="K168" i="3"/>
  <c r="K167" i="3"/>
  <c r="K170" i="3"/>
  <c r="K109" i="3"/>
  <c r="D33" i="19"/>
  <c r="N33" i="19" s="1"/>
  <c r="G33" i="19"/>
  <c r="G32" i="19"/>
  <c r="J327" i="2"/>
  <c r="J326" i="2"/>
  <c r="J325" i="2"/>
  <c r="J324" i="2"/>
  <c r="J323" i="2"/>
  <c r="J322" i="2"/>
  <c r="C305" i="3"/>
  <c r="D305" i="3"/>
  <c r="E305" i="3"/>
  <c r="F305" i="3"/>
  <c r="G305" i="3"/>
  <c r="H305" i="3"/>
  <c r="I305" i="3"/>
  <c r="J305" i="3"/>
  <c r="J163" i="2"/>
  <c r="J162" i="2"/>
  <c r="C115" i="3"/>
  <c r="C117" i="3"/>
  <c r="C118" i="3"/>
  <c r="D115" i="3"/>
  <c r="D117" i="3"/>
  <c r="D118" i="3"/>
  <c r="E115" i="3"/>
  <c r="E117" i="3"/>
  <c r="E118" i="3"/>
  <c r="F115" i="3"/>
  <c r="F117" i="3"/>
  <c r="F118" i="3"/>
  <c r="G115" i="3"/>
  <c r="G117" i="3"/>
  <c r="G118" i="3"/>
  <c r="H115" i="3"/>
  <c r="H117" i="3"/>
  <c r="H118" i="3"/>
  <c r="I115" i="3"/>
  <c r="I117" i="3"/>
  <c r="I118" i="3"/>
  <c r="J115" i="3"/>
  <c r="J117" i="3"/>
  <c r="J118" i="3"/>
  <c r="J160" i="2"/>
  <c r="J161" i="2"/>
  <c r="C292" i="3"/>
  <c r="C293" i="3"/>
  <c r="C294" i="3"/>
  <c r="D292" i="3"/>
  <c r="D293" i="3"/>
  <c r="D294" i="3"/>
  <c r="E292" i="3"/>
  <c r="E293" i="3"/>
  <c r="E294" i="3"/>
  <c r="F292" i="3"/>
  <c r="F293" i="3"/>
  <c r="F294" i="3"/>
  <c r="G292" i="3"/>
  <c r="G293" i="3"/>
  <c r="G294" i="3"/>
  <c r="H292" i="3"/>
  <c r="H293" i="3"/>
  <c r="H294" i="3"/>
  <c r="I292" i="3"/>
  <c r="I293" i="3"/>
  <c r="I294" i="3"/>
  <c r="J292" i="3"/>
  <c r="J293" i="3"/>
  <c r="J294" i="3"/>
  <c r="C278" i="3"/>
  <c r="D278" i="3"/>
  <c r="E278" i="3"/>
  <c r="F278" i="3"/>
  <c r="G278" i="3"/>
  <c r="H278" i="3"/>
  <c r="I278" i="3"/>
  <c r="J278" i="3"/>
  <c r="C343" i="3"/>
  <c r="D343" i="3"/>
  <c r="E343" i="3"/>
  <c r="F343" i="3"/>
  <c r="G343" i="3"/>
  <c r="H343" i="3"/>
  <c r="I343" i="3"/>
  <c r="J343" i="3"/>
  <c r="J158" i="2"/>
  <c r="A29" i="14"/>
  <c r="B29" i="14"/>
  <c r="H29" i="14"/>
  <c r="A28" i="14"/>
  <c r="B28" i="14"/>
  <c r="H28" i="14"/>
  <c r="P8" i="19"/>
  <c r="R8" i="19"/>
  <c r="S8" i="19"/>
  <c r="C332" i="3"/>
  <c r="D332" i="3"/>
  <c r="E332" i="3"/>
  <c r="F332" i="3"/>
  <c r="G332" i="3"/>
  <c r="H332" i="3"/>
  <c r="I332" i="3"/>
  <c r="J332" i="3"/>
  <c r="J152" i="2"/>
  <c r="C222" i="3"/>
  <c r="D222" i="3"/>
  <c r="E222" i="3"/>
  <c r="F222" i="3"/>
  <c r="G222" i="3"/>
  <c r="H222" i="3"/>
  <c r="I222" i="3"/>
  <c r="J222" i="3"/>
  <c r="C321" i="3"/>
  <c r="C322" i="3"/>
  <c r="D321" i="3"/>
  <c r="D322" i="3"/>
  <c r="E321" i="3"/>
  <c r="E322" i="3"/>
  <c r="F321" i="3"/>
  <c r="F322" i="3"/>
  <c r="G321" i="3"/>
  <c r="G322" i="3"/>
  <c r="H321" i="3"/>
  <c r="H322" i="3"/>
  <c r="I321" i="3"/>
  <c r="I322" i="3"/>
  <c r="J321" i="3"/>
  <c r="J322" i="3"/>
  <c r="C346" i="3"/>
  <c r="D346" i="3"/>
  <c r="E346" i="3"/>
  <c r="F346" i="3"/>
  <c r="G346" i="3"/>
  <c r="H346" i="3"/>
  <c r="I346" i="3"/>
  <c r="J346" i="3"/>
  <c r="C345" i="3"/>
  <c r="D345" i="3"/>
  <c r="E345" i="3"/>
  <c r="F345" i="3"/>
  <c r="G345" i="3"/>
  <c r="H345" i="3"/>
  <c r="I345" i="3"/>
  <c r="J345" i="3"/>
  <c r="C344" i="3"/>
  <c r="D344" i="3"/>
  <c r="E344" i="3"/>
  <c r="F344" i="3"/>
  <c r="G344" i="3"/>
  <c r="H344" i="3"/>
  <c r="I344" i="3"/>
  <c r="J344" i="3"/>
  <c r="J159" i="2"/>
  <c r="C342" i="3"/>
  <c r="D342" i="3"/>
  <c r="E342" i="3"/>
  <c r="F342" i="3"/>
  <c r="G342" i="3"/>
  <c r="H342" i="3"/>
  <c r="I342" i="3"/>
  <c r="J342" i="3"/>
  <c r="C340" i="3"/>
  <c r="C341" i="3"/>
  <c r="D340" i="3"/>
  <c r="D341" i="3"/>
  <c r="E340" i="3"/>
  <c r="E341" i="3"/>
  <c r="F340" i="3"/>
  <c r="F341" i="3"/>
  <c r="G340" i="3"/>
  <c r="G341" i="3"/>
  <c r="H340" i="3"/>
  <c r="H341" i="3"/>
  <c r="I340" i="3"/>
  <c r="I341" i="3"/>
  <c r="J340" i="3"/>
  <c r="J341" i="3"/>
  <c r="J156" i="2"/>
  <c r="J157" i="2"/>
  <c r="C339" i="3"/>
  <c r="D339" i="3"/>
  <c r="E339" i="3"/>
  <c r="F339" i="3"/>
  <c r="G339" i="3"/>
  <c r="H339" i="3"/>
  <c r="I339" i="3"/>
  <c r="J339" i="3"/>
  <c r="C338" i="3"/>
  <c r="D338" i="3"/>
  <c r="E338" i="3"/>
  <c r="F338" i="3"/>
  <c r="G338" i="3"/>
  <c r="H338" i="3"/>
  <c r="I338" i="3"/>
  <c r="J338" i="3"/>
  <c r="C337" i="3"/>
  <c r="D337" i="3"/>
  <c r="E337" i="3"/>
  <c r="F337" i="3"/>
  <c r="G337" i="3"/>
  <c r="H337" i="3"/>
  <c r="I337" i="3"/>
  <c r="J337" i="3"/>
  <c r="C336" i="3"/>
  <c r="D336" i="3"/>
  <c r="E336" i="3"/>
  <c r="F336" i="3"/>
  <c r="G336" i="3"/>
  <c r="H336" i="3"/>
  <c r="I336" i="3"/>
  <c r="J336" i="3"/>
  <c r="B71" i="1"/>
  <c r="H71" i="1" s="1"/>
  <c r="C71" i="1"/>
  <c r="E71" i="1" s="1"/>
  <c r="D68" i="21" s="1"/>
  <c r="D71" i="1"/>
  <c r="C68" i="21" s="1"/>
  <c r="J67" i="21"/>
  <c r="K67" i="21"/>
  <c r="C335" i="3"/>
  <c r="D335" i="3"/>
  <c r="E335" i="3"/>
  <c r="F335" i="3"/>
  <c r="G335" i="3"/>
  <c r="H335" i="3"/>
  <c r="I335" i="3"/>
  <c r="J335" i="3"/>
  <c r="C334" i="3"/>
  <c r="D334" i="3"/>
  <c r="E334" i="3"/>
  <c r="F334" i="3"/>
  <c r="G334" i="3"/>
  <c r="H334" i="3"/>
  <c r="I334" i="3"/>
  <c r="J334" i="3"/>
  <c r="C328" i="3"/>
  <c r="C329" i="3"/>
  <c r="C330" i="3"/>
  <c r="D328" i="3"/>
  <c r="D329" i="3"/>
  <c r="D330" i="3"/>
  <c r="E328" i="3"/>
  <c r="E329" i="3"/>
  <c r="E330" i="3"/>
  <c r="F328" i="3"/>
  <c r="F329" i="3"/>
  <c r="F330" i="3"/>
  <c r="G328" i="3"/>
  <c r="G329" i="3"/>
  <c r="G330" i="3"/>
  <c r="H328" i="3"/>
  <c r="H329" i="3"/>
  <c r="H330" i="3"/>
  <c r="I328" i="3"/>
  <c r="I329" i="3"/>
  <c r="I330" i="3"/>
  <c r="J328" i="3"/>
  <c r="J329" i="3"/>
  <c r="J330" i="3"/>
  <c r="J154" i="2"/>
  <c r="J155" i="2"/>
  <c r="J153" i="2"/>
  <c r="J104" i="2"/>
  <c r="C327" i="3"/>
  <c r="D327" i="3"/>
  <c r="E327" i="3"/>
  <c r="F327" i="3"/>
  <c r="G327" i="3"/>
  <c r="H327" i="3"/>
  <c r="I327" i="3"/>
  <c r="J327" i="3"/>
  <c r="C326" i="3"/>
  <c r="D326" i="3"/>
  <c r="E326" i="3"/>
  <c r="F326" i="3"/>
  <c r="G326" i="3"/>
  <c r="H326" i="3"/>
  <c r="I326" i="3"/>
  <c r="J326" i="3"/>
  <c r="C323" i="3"/>
  <c r="D323" i="3"/>
  <c r="E323" i="3"/>
  <c r="F323" i="3"/>
  <c r="G323" i="3"/>
  <c r="H323" i="3"/>
  <c r="I323" i="3"/>
  <c r="J323" i="3"/>
  <c r="C325" i="3"/>
  <c r="D325" i="3"/>
  <c r="E325" i="3"/>
  <c r="F325" i="3"/>
  <c r="G325" i="3"/>
  <c r="H325" i="3"/>
  <c r="I325" i="3"/>
  <c r="J325" i="3"/>
  <c r="C324" i="3"/>
  <c r="D324" i="3"/>
  <c r="E324" i="3"/>
  <c r="F324" i="3"/>
  <c r="G324" i="3"/>
  <c r="H324" i="3"/>
  <c r="I324" i="3"/>
  <c r="J324" i="3"/>
  <c r="J151" i="2"/>
  <c r="C319" i="3"/>
  <c r="D319" i="3"/>
  <c r="E319" i="3"/>
  <c r="F319" i="3"/>
  <c r="G319" i="3"/>
  <c r="H319" i="3"/>
  <c r="I319" i="3"/>
  <c r="J319" i="3"/>
  <c r="C318" i="3"/>
  <c r="D318" i="3"/>
  <c r="E318" i="3"/>
  <c r="F318" i="3"/>
  <c r="G318" i="3"/>
  <c r="H318" i="3"/>
  <c r="I318" i="3"/>
  <c r="J318" i="3"/>
  <c r="B70" i="1"/>
  <c r="H70" i="1" s="1"/>
  <c r="C70" i="1"/>
  <c r="E70" i="1" s="1"/>
  <c r="D67" i="21" s="1"/>
  <c r="D70" i="1"/>
  <c r="C67" i="21" s="1"/>
  <c r="J149" i="2"/>
  <c r="J150" i="2"/>
  <c r="C108" i="3"/>
  <c r="D108" i="3"/>
  <c r="E108" i="3"/>
  <c r="F108" i="3"/>
  <c r="G108" i="3"/>
  <c r="H108" i="3"/>
  <c r="I108" i="3"/>
  <c r="J108" i="3"/>
  <c r="C106" i="3"/>
  <c r="D106" i="3"/>
  <c r="E106" i="3"/>
  <c r="F106" i="3"/>
  <c r="G106" i="3"/>
  <c r="H106" i="3"/>
  <c r="I106" i="3"/>
  <c r="J106" i="3"/>
  <c r="J146" i="2"/>
  <c r="J147" i="2"/>
  <c r="C142" i="3"/>
  <c r="D142" i="3"/>
  <c r="E142" i="3"/>
  <c r="F142" i="3"/>
  <c r="G142" i="3"/>
  <c r="H142" i="3"/>
  <c r="I142" i="3"/>
  <c r="J142" i="3"/>
  <c r="J145" i="2"/>
  <c r="A31" i="19"/>
  <c r="B31" i="19"/>
  <c r="C31" i="19"/>
  <c r="P7" i="19"/>
  <c r="R7" i="19"/>
  <c r="S7" i="19"/>
  <c r="A30" i="19"/>
  <c r="B30" i="19"/>
  <c r="C30" i="19"/>
  <c r="C295" i="3"/>
  <c r="D295" i="3"/>
  <c r="E295" i="3"/>
  <c r="F295" i="3"/>
  <c r="G295" i="3"/>
  <c r="H295" i="3"/>
  <c r="I295" i="3"/>
  <c r="J295" i="3"/>
  <c r="C280" i="3"/>
  <c r="D280" i="3"/>
  <c r="E280" i="3"/>
  <c r="F280" i="3"/>
  <c r="G280" i="3"/>
  <c r="H280" i="3"/>
  <c r="I280" i="3"/>
  <c r="J280" i="3"/>
  <c r="P6" i="19"/>
  <c r="R6" i="19"/>
  <c r="S6" i="19"/>
  <c r="A29" i="19"/>
  <c r="B29" i="19"/>
  <c r="C29" i="19"/>
  <c r="A28" i="19"/>
  <c r="B28" i="19"/>
  <c r="C28" i="19"/>
  <c r="P5" i="19"/>
  <c r="R5" i="19"/>
  <c r="S5" i="19"/>
  <c r="A27" i="19"/>
  <c r="B27" i="19"/>
  <c r="C27" i="19"/>
  <c r="A26" i="19"/>
  <c r="B26" i="19"/>
  <c r="C26" i="19"/>
  <c r="P4" i="19"/>
  <c r="R4" i="19"/>
  <c r="S4" i="19"/>
  <c r="A25" i="19"/>
  <c r="B25" i="19"/>
  <c r="C25" i="19"/>
  <c r="C214" i="3"/>
  <c r="D214" i="3"/>
  <c r="E214" i="3"/>
  <c r="F214" i="3"/>
  <c r="G214" i="3"/>
  <c r="H214" i="3"/>
  <c r="I214" i="3"/>
  <c r="J214" i="3"/>
  <c r="J148" i="2"/>
  <c r="DD2" i="9"/>
  <c r="EC2" i="9"/>
  <c r="EB2" i="9"/>
  <c r="AH2" i="29"/>
  <c r="AH3" i="29"/>
  <c r="AH4" i="29"/>
  <c r="AH5" i="29"/>
  <c r="AH6" i="29"/>
  <c r="AE2" i="29"/>
  <c r="AE3" i="29"/>
  <c r="AE4" i="29"/>
  <c r="AE5" i="29"/>
  <c r="AE6" i="29"/>
  <c r="BK2" i="9"/>
  <c r="BM2" i="9" s="1"/>
  <c r="BK3" i="9"/>
  <c r="BM3" i="9" s="1"/>
  <c r="CF2" i="9"/>
  <c r="CG2" i="9" s="1"/>
  <c r="J44" i="21"/>
  <c r="J48" i="21"/>
  <c r="J50" i="21"/>
  <c r="J53" i="21"/>
  <c r="J54" i="21"/>
  <c r="J56" i="21"/>
  <c r="J57" i="21"/>
  <c r="J58" i="21"/>
  <c r="J59" i="21"/>
  <c r="J60" i="21"/>
  <c r="J63" i="21"/>
  <c r="J64" i="21"/>
  <c r="J65" i="21"/>
  <c r="J66" i="21"/>
  <c r="K44" i="21"/>
  <c r="K48" i="21"/>
  <c r="K50" i="21"/>
  <c r="K53" i="21"/>
  <c r="K54" i="21"/>
  <c r="K56" i="21"/>
  <c r="K57" i="21"/>
  <c r="K58" i="21"/>
  <c r="K59" i="21"/>
  <c r="K60" i="21"/>
  <c r="K63" i="21"/>
  <c r="K64" i="21"/>
  <c r="K65" i="21"/>
  <c r="K66" i="21"/>
  <c r="A46" i="24"/>
  <c r="A45" i="24"/>
  <c r="A44" i="24"/>
  <c r="A43" i="24"/>
  <c r="A42" i="24"/>
  <c r="A41" i="24"/>
  <c r="A40" i="24"/>
  <c r="A39" i="24"/>
  <c r="A38" i="24"/>
  <c r="A4" i="24"/>
  <c r="A5" i="24"/>
  <c r="C4" i="24"/>
  <c r="C5" i="24"/>
  <c r="AE17" i="27"/>
  <c r="AF17" i="27"/>
  <c r="AI17" i="27"/>
  <c r="AJ17" i="27"/>
  <c r="B27" i="27"/>
  <c r="D27" i="27"/>
  <c r="M27" i="27" s="1"/>
  <c r="Q27" i="27"/>
  <c r="R27" i="27"/>
  <c r="S27" i="27"/>
  <c r="AE16" i="27"/>
  <c r="AF16" i="27"/>
  <c r="AI16" i="27"/>
  <c r="AJ16" i="27"/>
  <c r="AE15" i="27"/>
  <c r="AF15" i="27"/>
  <c r="AI15" i="27"/>
  <c r="AJ15" i="27"/>
  <c r="B26" i="27"/>
  <c r="D26" i="27"/>
  <c r="M26" i="27" s="1"/>
  <c r="R26" i="27"/>
  <c r="S26" i="27"/>
  <c r="B25" i="27"/>
  <c r="D25" i="27"/>
  <c r="M25" i="27" s="1"/>
  <c r="Q25" i="27"/>
  <c r="R25" i="27"/>
  <c r="S25" i="27"/>
  <c r="AE14" i="27"/>
  <c r="AF14" i="27"/>
  <c r="AI14" i="27"/>
  <c r="AJ14" i="27"/>
  <c r="AE13" i="27"/>
  <c r="AF13" i="27"/>
  <c r="AI13" i="27"/>
  <c r="AJ13" i="27"/>
  <c r="B24" i="27"/>
  <c r="D24" i="27"/>
  <c r="M24" i="27" s="1"/>
  <c r="R24" i="27"/>
  <c r="S24" i="27"/>
  <c r="B23" i="27"/>
  <c r="D23" i="27"/>
  <c r="M23" i="27" s="1"/>
  <c r="Q23" i="27"/>
  <c r="R23" i="27"/>
  <c r="S23" i="27"/>
  <c r="B22" i="27"/>
  <c r="D22" i="27"/>
  <c r="M22" i="27" s="1"/>
  <c r="P22" i="27"/>
  <c r="Q22" i="27"/>
  <c r="R22" i="27"/>
  <c r="S22" i="27"/>
  <c r="B21" i="27"/>
  <c r="D21" i="27"/>
  <c r="Y21" i="27" s="1"/>
  <c r="P21" i="27"/>
  <c r="Q21" i="27"/>
  <c r="R21" i="27"/>
  <c r="S21" i="27"/>
  <c r="AV27" i="28"/>
  <c r="AV26" i="28"/>
  <c r="AV25" i="28"/>
  <c r="AV24" i="28"/>
  <c r="AH15" i="28"/>
  <c r="A9" i="28"/>
  <c r="C9" i="28"/>
  <c r="D9" i="28"/>
  <c r="K9" i="28" s="1"/>
  <c r="AV23" i="28"/>
  <c r="AV22" i="28"/>
  <c r="AV21" i="28"/>
  <c r="AV20" i="28"/>
  <c r="AH14" i="28"/>
  <c r="A8" i="28"/>
  <c r="C8" i="28"/>
  <c r="D8" i="28"/>
  <c r="K8" i="28" s="1"/>
  <c r="T5" i="14"/>
  <c r="U5" i="14"/>
  <c r="AE12" i="27"/>
  <c r="AF12" i="27"/>
  <c r="AI12" i="27"/>
  <c r="AJ12" i="27"/>
  <c r="AE11" i="27"/>
  <c r="AF11" i="27"/>
  <c r="AI11" i="27"/>
  <c r="AJ11" i="27"/>
  <c r="B20" i="27"/>
  <c r="D20" i="27"/>
  <c r="M20" i="27" s="1"/>
  <c r="Q20" i="27"/>
  <c r="R20" i="27"/>
  <c r="S20" i="27"/>
  <c r="B19" i="27"/>
  <c r="D19" i="27"/>
  <c r="M19" i="27" s="1"/>
  <c r="P19" i="27"/>
  <c r="Q19" i="27"/>
  <c r="R19" i="27"/>
  <c r="S19" i="27"/>
  <c r="AP14" i="29"/>
  <c r="AR14" i="29"/>
  <c r="AP13" i="29"/>
  <c r="AR13" i="29"/>
  <c r="AP12" i="29"/>
  <c r="AR12" i="29"/>
  <c r="AP11" i="29"/>
  <c r="AR11" i="29"/>
  <c r="C5" i="29"/>
  <c r="K305" i="3" l="1"/>
  <c r="K118" i="3"/>
  <c r="K117" i="3"/>
  <c r="K115" i="3"/>
  <c r="K294" i="3"/>
  <c r="K292" i="3"/>
  <c r="K293" i="3"/>
  <c r="K278" i="3"/>
  <c r="K343" i="3"/>
  <c r="K332" i="3"/>
  <c r="K222" i="3"/>
  <c r="K321" i="3"/>
  <c r="K322" i="3"/>
  <c r="K346" i="3"/>
  <c r="K345" i="3"/>
  <c r="K344" i="3"/>
  <c r="K342" i="3"/>
  <c r="K340" i="3"/>
  <c r="K341" i="3"/>
  <c r="K339" i="3"/>
  <c r="K338" i="3"/>
  <c r="K337" i="3"/>
  <c r="K336" i="3"/>
  <c r="K334" i="3"/>
  <c r="K335" i="3"/>
  <c r="I71" i="1"/>
  <c r="G71" i="1"/>
  <c r="J71" i="1"/>
  <c r="F71" i="1"/>
  <c r="K328" i="3"/>
  <c r="K330" i="3"/>
  <c r="K329" i="3"/>
  <c r="K327" i="3"/>
  <c r="K326" i="3"/>
  <c r="K323" i="3"/>
  <c r="K325" i="3"/>
  <c r="K324" i="3"/>
  <c r="K319" i="3"/>
  <c r="K318" i="3"/>
  <c r="G70" i="1"/>
  <c r="J70" i="1"/>
  <c r="I70" i="1"/>
  <c r="F70" i="1"/>
  <c r="K108" i="3"/>
  <c r="K106" i="3"/>
  <c r="K142" i="3"/>
  <c r="D31" i="19"/>
  <c r="N31" i="19" s="1"/>
  <c r="G31" i="19"/>
  <c r="D30" i="19"/>
  <c r="N30" i="19" s="1"/>
  <c r="G30" i="19"/>
  <c r="K295" i="3"/>
  <c r="K280" i="3"/>
  <c r="G29" i="19"/>
  <c r="D29" i="19"/>
  <c r="N29" i="19" s="1"/>
  <c r="D28" i="19"/>
  <c r="N28" i="19" s="1"/>
  <c r="G28" i="19"/>
  <c r="D27" i="19"/>
  <c r="N27" i="19" s="1"/>
  <c r="G27" i="19"/>
  <c r="D26" i="19"/>
  <c r="N26" i="19" s="1"/>
  <c r="G26" i="19"/>
  <c r="D25" i="19"/>
  <c r="N25" i="19" s="1"/>
  <c r="G25" i="19"/>
  <c r="BL3" i="9"/>
  <c r="K214" i="3"/>
  <c r="BL2" i="9"/>
  <c r="CI2" i="9"/>
  <c r="Y27" i="27"/>
  <c r="Y26" i="27"/>
  <c r="Y25" i="27"/>
  <c r="Y23" i="27"/>
  <c r="Y24" i="27"/>
  <c r="Y20" i="27"/>
  <c r="Y22" i="27"/>
  <c r="M21" i="27"/>
  <c r="Y19" i="27"/>
  <c r="BE2" i="9"/>
  <c r="BE3" i="9"/>
  <c r="BE4" i="9"/>
  <c r="BE5" i="9"/>
  <c r="BE6" i="9"/>
  <c r="BD2" i="9"/>
  <c r="BD3" i="9"/>
  <c r="BD4" i="9"/>
  <c r="BD5" i="9"/>
  <c r="BD6" i="9"/>
  <c r="B18" i="27"/>
  <c r="D18" i="27"/>
  <c r="Y18" i="27" s="1"/>
  <c r="P18" i="27"/>
  <c r="Q18" i="27"/>
  <c r="R18" i="27"/>
  <c r="S18" i="27"/>
  <c r="B17" i="27"/>
  <c r="D17" i="27"/>
  <c r="M17" i="27" s="1"/>
  <c r="P17" i="27"/>
  <c r="Q17" i="27"/>
  <c r="R17" i="27"/>
  <c r="S17" i="27"/>
  <c r="AV19" i="28"/>
  <c r="AV18" i="28"/>
  <c r="AV17" i="28"/>
  <c r="AV16" i="28"/>
  <c r="AH13" i="28"/>
  <c r="AH12" i="28"/>
  <c r="AH11" i="28"/>
  <c r="A7" i="28"/>
  <c r="C7" i="28"/>
  <c r="D7" i="28"/>
  <c r="K7" i="28" s="1"/>
  <c r="O15" i="9"/>
  <c r="P15" i="9"/>
  <c r="AJ15" i="9"/>
  <c r="AT15" i="9"/>
  <c r="O14" i="9"/>
  <c r="P14" i="9"/>
  <c r="AJ14" i="9"/>
  <c r="AT14" i="9"/>
  <c r="O13" i="9"/>
  <c r="P13" i="9"/>
  <c r="AJ13" i="9"/>
  <c r="AT13" i="9"/>
  <c r="C151" i="3"/>
  <c r="D151" i="3"/>
  <c r="E151" i="3"/>
  <c r="F151" i="3"/>
  <c r="G151" i="3"/>
  <c r="H151" i="3"/>
  <c r="I151" i="3"/>
  <c r="J151" i="3"/>
  <c r="O12" i="9"/>
  <c r="P12" i="9"/>
  <c r="AJ12" i="9"/>
  <c r="AT12" i="9"/>
  <c r="B6" i="9"/>
  <c r="AE10" i="27"/>
  <c r="AF10" i="27"/>
  <c r="AI10" i="27"/>
  <c r="AJ10" i="27"/>
  <c r="AE9" i="27"/>
  <c r="AF9" i="27"/>
  <c r="AI9" i="27"/>
  <c r="AJ9" i="27"/>
  <c r="B16" i="27"/>
  <c r="D16" i="27"/>
  <c r="M16" i="27" s="1"/>
  <c r="P16" i="27"/>
  <c r="Q16" i="27"/>
  <c r="R16" i="27"/>
  <c r="S16" i="27"/>
  <c r="AP10" i="29"/>
  <c r="AR10" i="29"/>
  <c r="AP9" i="29"/>
  <c r="AR9" i="29"/>
  <c r="AP8" i="29"/>
  <c r="AR8" i="29"/>
  <c r="AP7" i="29"/>
  <c r="AR7" i="29"/>
  <c r="C4" i="29"/>
  <c r="AV12" i="28"/>
  <c r="B15" i="27"/>
  <c r="D15" i="27"/>
  <c r="M15" i="27" s="1"/>
  <c r="Q15" i="27"/>
  <c r="R15" i="27"/>
  <c r="S15" i="27"/>
  <c r="O11" i="9"/>
  <c r="P11" i="9"/>
  <c r="AJ11" i="9"/>
  <c r="AT11" i="9"/>
  <c r="B5" i="9"/>
  <c r="B14" i="27"/>
  <c r="D14" i="27"/>
  <c r="M14" i="27" s="1"/>
  <c r="P14" i="27"/>
  <c r="Q14" i="27"/>
  <c r="R14" i="27"/>
  <c r="S14" i="27"/>
  <c r="M11" i="9" l="1"/>
  <c r="AE11" i="9"/>
  <c r="AB11" i="9" s="1"/>
  <c r="Q13" i="9"/>
  <c r="AN13" i="9" s="1"/>
  <c r="AE13" i="9"/>
  <c r="AB13" i="9" s="1"/>
  <c r="Q15" i="9"/>
  <c r="AD15" i="9" s="1"/>
  <c r="AE15" i="9"/>
  <c r="AB15" i="9" s="1"/>
  <c r="Q12" i="9"/>
  <c r="AY12" i="9" s="1"/>
  <c r="AE12" i="9"/>
  <c r="AB12" i="9" s="1"/>
  <c r="Q14" i="9"/>
  <c r="AY14" i="9" s="1"/>
  <c r="AE14" i="9"/>
  <c r="AB14" i="9" s="1"/>
  <c r="M12" i="9"/>
  <c r="M13" i="9"/>
  <c r="Y17" i="27"/>
  <c r="M18" i="27"/>
  <c r="M15" i="9"/>
  <c r="M14" i="9"/>
  <c r="K151" i="3"/>
  <c r="Y16" i="27"/>
  <c r="Y15" i="27"/>
  <c r="Q11" i="9"/>
  <c r="Y14" i="27"/>
  <c r="AE8" i="27"/>
  <c r="AF8" i="27"/>
  <c r="AI8" i="27"/>
  <c r="AJ8" i="27"/>
  <c r="AE7" i="27"/>
  <c r="AF7" i="27"/>
  <c r="AI7" i="27"/>
  <c r="AJ7" i="27"/>
  <c r="B12" i="27"/>
  <c r="D12" i="27"/>
  <c r="M12" i="27" s="1"/>
  <c r="R12" i="27"/>
  <c r="S12" i="27"/>
  <c r="B13" i="27"/>
  <c r="D13" i="27"/>
  <c r="M13" i="27" s="1"/>
  <c r="R13" i="27"/>
  <c r="S13" i="27"/>
  <c r="AE6" i="27"/>
  <c r="AF6" i="27"/>
  <c r="AI6" i="27"/>
  <c r="AJ6" i="27"/>
  <c r="B11" i="27"/>
  <c r="D11" i="27"/>
  <c r="M11" i="27" s="1"/>
  <c r="R11" i="27"/>
  <c r="S11" i="27"/>
  <c r="B10" i="27"/>
  <c r="D10" i="27"/>
  <c r="M10" i="27" s="1"/>
  <c r="P10" i="27"/>
  <c r="Q10" i="27"/>
  <c r="R10" i="27"/>
  <c r="S10" i="27"/>
  <c r="AE5" i="27"/>
  <c r="AF5" i="27"/>
  <c r="AI5" i="27"/>
  <c r="AJ5" i="27"/>
  <c r="B9" i="27"/>
  <c r="D9" i="27"/>
  <c r="M9" i="27" s="1"/>
  <c r="P9" i="27"/>
  <c r="Q9" i="27"/>
  <c r="R9" i="27"/>
  <c r="S9" i="27"/>
  <c r="AV15" i="28"/>
  <c r="AV14" i="28"/>
  <c r="AV13" i="28"/>
  <c r="AH10" i="28"/>
  <c r="A6" i="28"/>
  <c r="C6" i="28"/>
  <c r="D6" i="28"/>
  <c r="AN15" i="9" l="1"/>
  <c r="BA15" i="9"/>
  <c r="AD12" i="9"/>
  <c r="AN12" i="9"/>
  <c r="BA12" i="9"/>
  <c r="AY15" i="9"/>
  <c r="AD14" i="9"/>
  <c r="AY13" i="9"/>
  <c r="AD13" i="9"/>
  <c r="BA14" i="9"/>
  <c r="BA13" i="9"/>
  <c r="AN14" i="9"/>
  <c r="K6" i="28"/>
  <c r="AD11" i="9"/>
  <c r="AY11" i="9"/>
  <c r="AN11" i="9"/>
  <c r="BA11" i="9"/>
  <c r="Y12" i="27"/>
  <c r="Y13" i="27"/>
  <c r="Y11" i="27"/>
  <c r="Y10" i="27"/>
  <c r="Y9" i="27"/>
  <c r="S2" i="19"/>
  <c r="S3" i="19"/>
  <c r="P3" i="19"/>
  <c r="R3" i="19"/>
  <c r="O9" i="9"/>
  <c r="P9" i="9"/>
  <c r="AJ9" i="9"/>
  <c r="AT9" i="9"/>
  <c r="O8" i="9"/>
  <c r="P8" i="9"/>
  <c r="AJ8" i="9"/>
  <c r="AT8" i="9"/>
  <c r="O7" i="9"/>
  <c r="P7" i="9"/>
  <c r="AJ7" i="9"/>
  <c r="AT7" i="9"/>
  <c r="B4" i="9"/>
  <c r="Q8" i="9" l="1"/>
  <c r="BA8" i="9" s="1"/>
  <c r="AE8" i="9"/>
  <c r="AB8" i="9" s="1"/>
  <c r="Q7" i="9"/>
  <c r="BA7" i="9" s="1"/>
  <c r="AE7" i="9"/>
  <c r="AB7" i="9" s="1"/>
  <c r="Q9" i="9"/>
  <c r="BA9" i="9" s="1"/>
  <c r="AE9" i="9"/>
  <c r="AB9" i="9" s="1"/>
  <c r="M9" i="9"/>
  <c r="M8" i="9"/>
  <c r="M7" i="9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C4" i="21"/>
  <c r="D4" i="21"/>
  <c r="J4" i="21"/>
  <c r="AD9" i="9" l="1"/>
  <c r="AY9" i="9"/>
  <c r="AD7" i="9"/>
  <c r="AN7" i="9"/>
  <c r="AY7" i="9"/>
  <c r="AN9" i="9"/>
  <c r="AY8" i="9"/>
  <c r="AD8" i="9"/>
  <c r="AN8" i="9"/>
  <c r="J2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T4" i="14"/>
  <c r="U4" i="14"/>
  <c r="B8" i="27"/>
  <c r="D8" i="27"/>
  <c r="M8" i="27" s="1"/>
  <c r="Q8" i="27"/>
  <c r="R8" i="27"/>
  <c r="S8" i="27"/>
  <c r="AV11" i="28"/>
  <c r="AV10" i="28"/>
  <c r="AV9" i="28"/>
  <c r="AH9" i="28"/>
  <c r="AH8" i="28"/>
  <c r="A5" i="28"/>
  <c r="C5" i="28"/>
  <c r="D5" i="28"/>
  <c r="K5" i="28" l="1"/>
  <c r="Y8" i="27"/>
  <c r="AH2" i="28"/>
  <c r="AH3" i="28"/>
  <c r="AH4" i="28"/>
  <c r="AH5" i="28"/>
  <c r="AH6" i="28"/>
  <c r="AH7" i="28"/>
  <c r="AF32" i="28" l="1"/>
  <c r="AF31" i="28"/>
  <c r="AF30" i="28"/>
  <c r="AF26" i="28"/>
  <c r="AF29" i="28"/>
  <c r="AF28" i="28"/>
  <c r="AF27" i="28"/>
  <c r="AF25" i="28"/>
  <c r="AF24" i="28"/>
  <c r="AF23" i="28"/>
  <c r="AF22" i="28"/>
  <c r="AF21" i="28"/>
  <c r="AF20" i="28"/>
  <c r="AF19" i="28"/>
  <c r="AF18" i="28"/>
  <c r="AF17" i="28"/>
  <c r="AF16" i="28"/>
  <c r="AF15" i="28"/>
  <c r="AF14" i="28"/>
  <c r="AF13" i="28"/>
  <c r="AF12" i="28"/>
  <c r="AF11" i="28"/>
  <c r="AF10" i="28"/>
  <c r="AF9" i="28"/>
  <c r="AF8" i="28"/>
  <c r="B7" i="27"/>
  <c r="D7" i="27"/>
  <c r="P7" i="27"/>
  <c r="Q7" i="27"/>
  <c r="R7" i="27"/>
  <c r="S7" i="27"/>
  <c r="AV8" i="28"/>
  <c r="AV7" i="28"/>
  <c r="AV6" i="28"/>
  <c r="A4" i="28"/>
  <c r="C4" i="28"/>
  <c r="D4" i="28"/>
  <c r="A13" i="19"/>
  <c r="B13" i="19"/>
  <c r="G13" i="19" s="1"/>
  <c r="C13" i="19"/>
  <c r="A9" i="19"/>
  <c r="B9" i="19"/>
  <c r="G9" i="19" s="1"/>
  <c r="C9" i="19"/>
  <c r="M7" i="27" l="1"/>
  <c r="K4" i="28"/>
  <c r="Y7" i="27"/>
  <c r="D13" i="19"/>
  <c r="D9" i="19"/>
  <c r="N9" i="19" s="1"/>
  <c r="C313" i="3"/>
  <c r="D313" i="3"/>
  <c r="E313" i="3"/>
  <c r="F313" i="3"/>
  <c r="G313" i="3"/>
  <c r="H313" i="3"/>
  <c r="I313" i="3"/>
  <c r="J313" i="3"/>
  <c r="T3" i="14"/>
  <c r="U3" i="14"/>
  <c r="AE4" i="27"/>
  <c r="AF4" i="27"/>
  <c r="AI4" i="27"/>
  <c r="AJ4" i="27"/>
  <c r="AE3" i="27"/>
  <c r="AF3" i="27"/>
  <c r="AI3" i="27"/>
  <c r="AJ3" i="27"/>
  <c r="B6" i="27"/>
  <c r="D6" i="27"/>
  <c r="M6" i="27" s="1"/>
  <c r="Q6" i="27"/>
  <c r="R6" i="27"/>
  <c r="S6" i="27"/>
  <c r="B5" i="27"/>
  <c r="D5" i="27"/>
  <c r="M5" i="27" s="1"/>
  <c r="P5" i="27"/>
  <c r="Q5" i="27"/>
  <c r="R5" i="27"/>
  <c r="S5" i="27"/>
  <c r="Y6" i="27" l="1"/>
  <c r="N13" i="19"/>
  <c r="K313" i="3"/>
  <c r="Y5" i="27"/>
  <c r="B4" i="27"/>
  <c r="D4" i="27"/>
  <c r="P4" i="27"/>
  <c r="Q4" i="27"/>
  <c r="R4" i="27"/>
  <c r="S4" i="27"/>
  <c r="B3" i="27"/>
  <c r="D3" i="27"/>
  <c r="P3" i="27"/>
  <c r="Q3" i="27"/>
  <c r="R3" i="27"/>
  <c r="S3" i="27"/>
  <c r="AP6" i="29"/>
  <c r="AR6" i="29"/>
  <c r="AP5" i="29"/>
  <c r="AR5" i="29"/>
  <c r="AP4" i="29"/>
  <c r="AR4" i="29"/>
  <c r="M4" i="27" l="1"/>
  <c r="M3" i="27"/>
  <c r="Y4" i="27"/>
  <c r="Y3" i="27"/>
  <c r="AR2" i="29"/>
  <c r="AR3" i="29"/>
  <c r="AP2" i="29"/>
  <c r="AP3" i="29"/>
  <c r="C3" i="29" l="1"/>
  <c r="AV5" i="28"/>
  <c r="AV4" i="28"/>
  <c r="AV3" i="28"/>
  <c r="A3" i="28"/>
  <c r="C3" i="28"/>
  <c r="D3" i="28"/>
  <c r="K3" i="28" l="1"/>
  <c r="O6" i="9"/>
  <c r="P6" i="9"/>
  <c r="AJ6" i="9"/>
  <c r="AT6" i="9"/>
  <c r="O5" i="9"/>
  <c r="P5" i="9"/>
  <c r="AJ5" i="9"/>
  <c r="AT5" i="9"/>
  <c r="O4" i="9"/>
  <c r="P4" i="9"/>
  <c r="AJ4" i="9"/>
  <c r="AT4" i="9"/>
  <c r="O3" i="9"/>
  <c r="P3" i="9"/>
  <c r="AJ3" i="9"/>
  <c r="AT3" i="9"/>
  <c r="B3" i="9"/>
  <c r="V2" i="14"/>
  <c r="Q4" i="9" l="1"/>
  <c r="AD4" i="9" s="1"/>
  <c r="AE4" i="9"/>
  <c r="AB4" i="9" s="1"/>
  <c r="Q6" i="9"/>
  <c r="BA6" i="9" s="1"/>
  <c r="AE6" i="9"/>
  <c r="AB6" i="9" s="1"/>
  <c r="Q3" i="9"/>
  <c r="AY3" i="9" s="1"/>
  <c r="AE3" i="9"/>
  <c r="AB3" i="9" s="1"/>
  <c r="Q5" i="9"/>
  <c r="AD5" i="9" s="1"/>
  <c r="AE5" i="9"/>
  <c r="AB5" i="9" s="1"/>
  <c r="M6" i="9"/>
  <c r="M5" i="9"/>
  <c r="M4" i="9"/>
  <c r="M3" i="9"/>
  <c r="AN5" i="9" l="1"/>
  <c r="BA5" i="9"/>
  <c r="BA3" i="9"/>
  <c r="AN3" i="9"/>
  <c r="AD3" i="9"/>
  <c r="AY5" i="9"/>
  <c r="AY4" i="9"/>
  <c r="AN6" i="9"/>
  <c r="AN4" i="9"/>
  <c r="AD6" i="9"/>
  <c r="BA4" i="9"/>
  <c r="AY6" i="9"/>
  <c r="AJ2" i="27"/>
  <c r="AI2" i="27"/>
  <c r="AF2" i="27"/>
  <c r="AE2" i="27"/>
  <c r="A8" i="24" l="1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A7" i="24"/>
  <c r="C7" i="24"/>
  <c r="A6" i="24"/>
  <c r="C6" i="24"/>
  <c r="A3" i="24"/>
  <c r="C3" i="24"/>
  <c r="A2" i="24"/>
  <c r="C2" i="24"/>
  <c r="O2" i="9" l="1"/>
  <c r="M2" i="9" l="1"/>
  <c r="AE2" i="9"/>
  <c r="AB2" i="9" s="1"/>
  <c r="AA10" i="9" s="1"/>
  <c r="Q2" i="9"/>
  <c r="E6" i="31"/>
  <c r="AC10" i="9" l="1"/>
  <c r="AF10" i="9"/>
  <c r="AG10" i="9"/>
  <c r="Z10" i="9"/>
  <c r="AH10" i="9"/>
  <c r="AI10" i="9"/>
  <c r="AA60" i="9"/>
  <c r="AG60" i="9" s="1"/>
  <c r="AA61" i="9"/>
  <c r="AA58" i="9"/>
  <c r="AC58" i="9" s="1"/>
  <c r="AA59" i="9"/>
  <c r="AA42" i="9"/>
  <c r="AA56" i="9"/>
  <c r="AC56" i="9" s="1"/>
  <c r="AA57" i="9"/>
  <c r="AA54" i="9"/>
  <c r="AC54" i="9" s="1"/>
  <c r="AA55" i="9"/>
  <c r="AA52" i="9"/>
  <c r="AC52" i="9" s="1"/>
  <c r="AA53" i="9"/>
  <c r="AA50" i="9"/>
  <c r="AF50" i="9" s="1"/>
  <c r="AA51" i="9"/>
  <c r="AA48" i="9"/>
  <c r="AI48" i="9" s="1"/>
  <c r="AA49" i="9"/>
  <c r="AA46" i="9"/>
  <c r="AG46" i="9" s="1"/>
  <c r="AA47" i="9"/>
  <c r="AA44" i="9"/>
  <c r="AF44" i="9" s="1"/>
  <c r="AA45" i="9"/>
  <c r="AA41" i="9"/>
  <c r="AC41" i="9" s="1"/>
  <c r="AA43" i="9"/>
  <c r="AA39" i="9"/>
  <c r="AF39" i="9" s="1"/>
  <c r="AA40" i="9"/>
  <c r="AA26" i="9"/>
  <c r="AF26" i="9" s="1"/>
  <c r="AA38" i="9"/>
  <c r="AA36" i="9"/>
  <c r="AC36" i="9" s="1"/>
  <c r="AA37" i="9"/>
  <c r="AA34" i="9"/>
  <c r="AC34" i="9" s="1"/>
  <c r="AA35" i="9"/>
  <c r="AA32" i="9"/>
  <c r="AG32" i="9" s="1"/>
  <c r="AA33" i="9"/>
  <c r="AA30" i="9"/>
  <c r="AC30" i="9" s="1"/>
  <c r="AA31" i="9"/>
  <c r="AA28" i="9"/>
  <c r="AC28" i="9" s="1"/>
  <c r="AA29" i="9"/>
  <c r="AA27" i="9"/>
  <c r="AA24" i="9"/>
  <c r="AC24" i="9" s="1"/>
  <c r="AA25" i="9"/>
  <c r="AA23" i="9"/>
  <c r="AC23" i="9" s="1"/>
  <c r="AA21" i="9"/>
  <c r="AC21" i="9" s="1"/>
  <c r="AA22" i="9"/>
  <c r="AA20" i="9"/>
  <c r="AA18" i="9"/>
  <c r="AC18" i="9" s="1"/>
  <c r="AA19" i="9"/>
  <c r="AA16" i="9"/>
  <c r="AC16" i="9" s="1"/>
  <c r="AA17" i="9"/>
  <c r="AA6" i="9"/>
  <c r="AA8" i="9"/>
  <c r="AA5" i="9"/>
  <c r="AA7" i="9"/>
  <c r="AA3" i="9"/>
  <c r="AA9" i="9"/>
  <c r="AA4" i="9"/>
  <c r="AA11" i="9"/>
  <c r="AA2" i="9"/>
  <c r="AA12" i="9"/>
  <c r="AA15" i="9"/>
  <c r="AA14" i="9"/>
  <c r="AA13" i="9"/>
  <c r="AY2" i="9"/>
  <c r="BA2" i="9"/>
  <c r="AD2" i="9"/>
  <c r="AN2" i="9"/>
  <c r="A24" i="19"/>
  <c r="B24" i="19"/>
  <c r="G24" i="19" s="1"/>
  <c r="C24" i="19"/>
  <c r="A23" i="19"/>
  <c r="B23" i="19"/>
  <c r="D23" i="19" s="1"/>
  <c r="N23" i="19" s="1"/>
  <c r="C23" i="19"/>
  <c r="A22" i="19"/>
  <c r="B22" i="19"/>
  <c r="G22" i="19" s="1"/>
  <c r="C22" i="19"/>
  <c r="A21" i="19"/>
  <c r="B21" i="19"/>
  <c r="D21" i="19" s="1"/>
  <c r="N21" i="19" s="1"/>
  <c r="C21" i="19"/>
  <c r="A20" i="19"/>
  <c r="B20" i="19"/>
  <c r="D20" i="19" s="1"/>
  <c r="N20" i="19" s="1"/>
  <c r="C20" i="19"/>
  <c r="A19" i="19"/>
  <c r="B19" i="19"/>
  <c r="C19" i="19"/>
  <c r="A18" i="19"/>
  <c r="B18" i="19"/>
  <c r="D18" i="19" s="1"/>
  <c r="N18" i="19" s="1"/>
  <c r="C18" i="19"/>
  <c r="A17" i="19"/>
  <c r="B17" i="19"/>
  <c r="C17" i="19"/>
  <c r="A16" i="19"/>
  <c r="B16" i="19"/>
  <c r="D16" i="19" s="1"/>
  <c r="C16" i="19"/>
  <c r="A15" i="19"/>
  <c r="B15" i="19"/>
  <c r="C15" i="19"/>
  <c r="A14" i="19"/>
  <c r="B14" i="19"/>
  <c r="C14" i="19"/>
  <c r="A12" i="19"/>
  <c r="B12" i="19"/>
  <c r="C12" i="19"/>
  <c r="A11" i="19"/>
  <c r="B11" i="19"/>
  <c r="D11" i="19" s="1"/>
  <c r="C11" i="19"/>
  <c r="A10" i="19"/>
  <c r="B10" i="19"/>
  <c r="C10" i="19"/>
  <c r="A8" i="19"/>
  <c r="B8" i="19"/>
  <c r="C8" i="19"/>
  <c r="Z60" i="9" l="1"/>
  <c r="AI60" i="9"/>
  <c r="AC60" i="9"/>
  <c r="AH60" i="9"/>
  <c r="AF60" i="9"/>
  <c r="AC61" i="9"/>
  <c r="AF61" i="9"/>
  <c r="AG61" i="9"/>
  <c r="Z61" i="9"/>
  <c r="AH61" i="9"/>
  <c r="AI61" i="9"/>
  <c r="AI58" i="9"/>
  <c r="Z58" i="9"/>
  <c r="AH58" i="9"/>
  <c r="AG58" i="9"/>
  <c r="AF58" i="9"/>
  <c r="AC59" i="9"/>
  <c r="AF59" i="9"/>
  <c r="AG59" i="9"/>
  <c r="AI59" i="9"/>
  <c r="Z59" i="9"/>
  <c r="AH59" i="9"/>
  <c r="AC42" i="9"/>
  <c r="AF42" i="9"/>
  <c r="AG42" i="9"/>
  <c r="Z42" i="9"/>
  <c r="AH42" i="9"/>
  <c r="AI42" i="9"/>
  <c r="AH56" i="9"/>
  <c r="Z56" i="9"/>
  <c r="AI56" i="9"/>
  <c r="AG56" i="9"/>
  <c r="AF56" i="9"/>
  <c r="AC57" i="9"/>
  <c r="AI57" i="9"/>
  <c r="AF57" i="9"/>
  <c r="Z57" i="9"/>
  <c r="AH57" i="9"/>
  <c r="AG57" i="9"/>
  <c r="AH54" i="9"/>
  <c r="AI54" i="9"/>
  <c r="Z54" i="9"/>
  <c r="AG54" i="9"/>
  <c r="AF54" i="9"/>
  <c r="AC55" i="9"/>
  <c r="AF55" i="9"/>
  <c r="AG55" i="9"/>
  <c r="Z55" i="9"/>
  <c r="AH55" i="9"/>
  <c r="AI55" i="9"/>
  <c r="AI52" i="9"/>
  <c r="AH52" i="9"/>
  <c r="Z52" i="9"/>
  <c r="AG52" i="9"/>
  <c r="AF52" i="9"/>
  <c r="AC53" i="9"/>
  <c r="AF53" i="9"/>
  <c r="Z53" i="9"/>
  <c r="AG53" i="9"/>
  <c r="AH53" i="9"/>
  <c r="AI53" i="9"/>
  <c r="AC50" i="9"/>
  <c r="AI50" i="9"/>
  <c r="AH50" i="9"/>
  <c r="Z50" i="9"/>
  <c r="AG50" i="9"/>
  <c r="AC51" i="9"/>
  <c r="AF51" i="9"/>
  <c r="AG51" i="9"/>
  <c r="Z51" i="9"/>
  <c r="AH51" i="9"/>
  <c r="AI51" i="9"/>
  <c r="AC48" i="9"/>
  <c r="AH48" i="9"/>
  <c r="Z48" i="9"/>
  <c r="AG48" i="9"/>
  <c r="AF48" i="9"/>
  <c r="AC49" i="9"/>
  <c r="AF49" i="9"/>
  <c r="AG49" i="9"/>
  <c r="AI49" i="9"/>
  <c r="Z49" i="9"/>
  <c r="AH49" i="9"/>
  <c r="AF46" i="9"/>
  <c r="AC46" i="9"/>
  <c r="AI46" i="9"/>
  <c r="Z46" i="9"/>
  <c r="AH46" i="9"/>
  <c r="AG47" i="9"/>
  <c r="AI47" i="9"/>
  <c r="AF47" i="9"/>
  <c r="Z47" i="9"/>
  <c r="AH47" i="9"/>
  <c r="AC47" i="9"/>
  <c r="AC44" i="9"/>
  <c r="AI44" i="9"/>
  <c r="AH44" i="9"/>
  <c r="Z44" i="9"/>
  <c r="AG44" i="9"/>
  <c r="AG45" i="9"/>
  <c r="AF45" i="9"/>
  <c r="Z45" i="9"/>
  <c r="AH45" i="9"/>
  <c r="AI45" i="9"/>
  <c r="AC45" i="9"/>
  <c r="AH41" i="9"/>
  <c r="AF41" i="9"/>
  <c r="Z41" i="9"/>
  <c r="AG41" i="9"/>
  <c r="AI41" i="9"/>
  <c r="Z39" i="9"/>
  <c r="AF43" i="9"/>
  <c r="AG43" i="9"/>
  <c r="AI43" i="9"/>
  <c r="Z43" i="9"/>
  <c r="AH43" i="9"/>
  <c r="AC43" i="9"/>
  <c r="AC39" i="9"/>
  <c r="AH39" i="9"/>
  <c r="AI39" i="9"/>
  <c r="AG39" i="9"/>
  <c r="Z40" i="9"/>
  <c r="AI40" i="9"/>
  <c r="AG40" i="9"/>
  <c r="AF40" i="9"/>
  <c r="AH40" i="9"/>
  <c r="AC40" i="9"/>
  <c r="Z26" i="9"/>
  <c r="AC26" i="9"/>
  <c r="AI26" i="9"/>
  <c r="AH26" i="9"/>
  <c r="AG26" i="9"/>
  <c r="AC38" i="9"/>
  <c r="AF38" i="9"/>
  <c r="AG38" i="9"/>
  <c r="Z38" i="9"/>
  <c r="AH38" i="9"/>
  <c r="AI38" i="9"/>
  <c r="AH36" i="9"/>
  <c r="AG36" i="9"/>
  <c r="Z36" i="9"/>
  <c r="AI36" i="9"/>
  <c r="AF36" i="9"/>
  <c r="AC37" i="9"/>
  <c r="AF37" i="9"/>
  <c r="AG37" i="9"/>
  <c r="Z37" i="9"/>
  <c r="AH37" i="9"/>
  <c r="AI37" i="9"/>
  <c r="Z34" i="9"/>
  <c r="AI34" i="9"/>
  <c r="AF34" i="9"/>
  <c r="AH34" i="9"/>
  <c r="AG34" i="9"/>
  <c r="AC35" i="9"/>
  <c r="AF35" i="9"/>
  <c r="AG35" i="9"/>
  <c r="Z35" i="9"/>
  <c r="AH35" i="9"/>
  <c r="AI35" i="9"/>
  <c r="AC32" i="9"/>
  <c r="AI32" i="9"/>
  <c r="AH32" i="9"/>
  <c r="AF32" i="9"/>
  <c r="Z32" i="9"/>
  <c r="AF33" i="9"/>
  <c r="AG33" i="9"/>
  <c r="Z33" i="9"/>
  <c r="AH33" i="9"/>
  <c r="AI33" i="9"/>
  <c r="AC33" i="9"/>
  <c r="AI30" i="9"/>
  <c r="AH30" i="9"/>
  <c r="AF30" i="9"/>
  <c r="Z30" i="9"/>
  <c r="AG30" i="9"/>
  <c r="AC31" i="9"/>
  <c r="AF31" i="9"/>
  <c r="AG31" i="9"/>
  <c r="Z31" i="9"/>
  <c r="AH31" i="9"/>
  <c r="AI31" i="9"/>
  <c r="AI28" i="9"/>
  <c r="AH28" i="9"/>
  <c r="Z28" i="9"/>
  <c r="AG28" i="9"/>
  <c r="AF28" i="9"/>
  <c r="AC29" i="9"/>
  <c r="AF29" i="9"/>
  <c r="AG29" i="9"/>
  <c r="Z29" i="9"/>
  <c r="AH29" i="9"/>
  <c r="AI29" i="9"/>
  <c r="AF27" i="9"/>
  <c r="AG27" i="9"/>
  <c r="AI27" i="9"/>
  <c r="Z27" i="9"/>
  <c r="AH27" i="9"/>
  <c r="AC27" i="9"/>
  <c r="AI24" i="9"/>
  <c r="AH24" i="9"/>
  <c r="Z24" i="9"/>
  <c r="AG24" i="9"/>
  <c r="AF24" i="9"/>
  <c r="AC25" i="9"/>
  <c r="AF25" i="9"/>
  <c r="AG25" i="9"/>
  <c r="Z25" i="9"/>
  <c r="AH25" i="9"/>
  <c r="AI25" i="9"/>
  <c r="AI23" i="9"/>
  <c r="AH23" i="9"/>
  <c r="Z23" i="9"/>
  <c r="AG23" i="9"/>
  <c r="AF23" i="9"/>
  <c r="AI21" i="9"/>
  <c r="AH21" i="9"/>
  <c r="Z21" i="9"/>
  <c r="AG21" i="9"/>
  <c r="AF21" i="9"/>
  <c r="AC22" i="9"/>
  <c r="AF22" i="9"/>
  <c r="AG22" i="9"/>
  <c r="Z22" i="9"/>
  <c r="AH22" i="9"/>
  <c r="AI22" i="9"/>
  <c r="AI20" i="9"/>
  <c r="AF20" i="9"/>
  <c r="AG20" i="9"/>
  <c r="AH20" i="9"/>
  <c r="Z20" i="9"/>
  <c r="AC20" i="9"/>
  <c r="AI18" i="9"/>
  <c r="AH18" i="9"/>
  <c r="Z18" i="9"/>
  <c r="AG18" i="9"/>
  <c r="AF18" i="9"/>
  <c r="AC19" i="9"/>
  <c r="AF19" i="9"/>
  <c r="AG19" i="9"/>
  <c r="Z19" i="9"/>
  <c r="AH19" i="9"/>
  <c r="AI19" i="9"/>
  <c r="AH16" i="9"/>
  <c r="Z16" i="9"/>
  <c r="AI16" i="9"/>
  <c r="AG16" i="9"/>
  <c r="AF16" i="9"/>
  <c r="AF17" i="9"/>
  <c r="AG17" i="9"/>
  <c r="Z17" i="9"/>
  <c r="AH17" i="9"/>
  <c r="AI17" i="9"/>
  <c r="AC17" i="9"/>
  <c r="AF6" i="9"/>
  <c r="AI6" i="9"/>
  <c r="AG6" i="9"/>
  <c r="AH6" i="9"/>
  <c r="AH8" i="9"/>
  <c r="AF8" i="9"/>
  <c r="AG8" i="9"/>
  <c r="AI8" i="9"/>
  <c r="AH13" i="9"/>
  <c r="AI13" i="9"/>
  <c r="AG13" i="9"/>
  <c r="AF13" i="9"/>
  <c r="AF9" i="9"/>
  <c r="AH9" i="9"/>
  <c r="AI9" i="9"/>
  <c r="AG9" i="9"/>
  <c r="AH4" i="9"/>
  <c r="AI4" i="9"/>
  <c r="AG4" i="9"/>
  <c r="AF4" i="9"/>
  <c r="AG12" i="9"/>
  <c r="AH12" i="9"/>
  <c r="AF12" i="9"/>
  <c r="AI12" i="9"/>
  <c r="AI5" i="9"/>
  <c r="AH5" i="9"/>
  <c r="AF5" i="9"/>
  <c r="AG5" i="9"/>
  <c r="AF2" i="9"/>
  <c r="AI2" i="9"/>
  <c r="AG2" i="9"/>
  <c r="AH2" i="9"/>
  <c r="AF15" i="9"/>
  <c r="AI15" i="9"/>
  <c r="AG15" i="9"/>
  <c r="AH15" i="9"/>
  <c r="AF7" i="9"/>
  <c r="AG7" i="9"/>
  <c r="AH7" i="9"/>
  <c r="AI7" i="9"/>
  <c r="AF11" i="9"/>
  <c r="AG11" i="9"/>
  <c r="AH11" i="9"/>
  <c r="AI11" i="9"/>
  <c r="AI14" i="9"/>
  <c r="AH14" i="9"/>
  <c r="AF14" i="9"/>
  <c r="AG14" i="9"/>
  <c r="AG3" i="9"/>
  <c r="AH3" i="9"/>
  <c r="AF3" i="9"/>
  <c r="AI3" i="9"/>
  <c r="N16" i="19"/>
  <c r="N11" i="19"/>
  <c r="D24" i="19"/>
  <c r="N24" i="19" s="1"/>
  <c r="G23" i="19"/>
  <c r="G21" i="19"/>
  <c r="D22" i="19"/>
  <c r="N22" i="19" s="1"/>
  <c r="G20" i="19"/>
  <c r="G19" i="19"/>
  <c r="D19" i="19"/>
  <c r="N19" i="19" s="1"/>
  <c r="G18" i="19"/>
  <c r="D17" i="19"/>
  <c r="G17" i="19"/>
  <c r="G16" i="19"/>
  <c r="D15" i="19"/>
  <c r="G15" i="19"/>
  <c r="D14" i="19"/>
  <c r="N14" i="19" s="1"/>
  <c r="G14" i="19"/>
  <c r="D12" i="19"/>
  <c r="N12" i="19" s="1"/>
  <c r="G12" i="19"/>
  <c r="G11" i="19"/>
  <c r="D10" i="19"/>
  <c r="N10" i="19" s="1"/>
  <c r="G10" i="19"/>
  <c r="D8" i="19"/>
  <c r="N8" i="19" s="1"/>
  <c r="G8" i="19"/>
  <c r="A3" i="14"/>
  <c r="B3" i="14"/>
  <c r="H3" i="14"/>
  <c r="B46" i="1"/>
  <c r="C46" i="1"/>
  <c r="E46" i="1" s="1"/>
  <c r="D46" i="1"/>
  <c r="A7" i="19"/>
  <c r="B7" i="19"/>
  <c r="D7" i="19" s="1"/>
  <c r="N7" i="19" s="1"/>
  <c r="C7" i="19"/>
  <c r="A6" i="19"/>
  <c r="B6" i="19"/>
  <c r="C6" i="19"/>
  <c r="A5" i="19"/>
  <c r="B5" i="19"/>
  <c r="C5" i="19"/>
  <c r="A4" i="19"/>
  <c r="B4" i="19"/>
  <c r="D4" i="19" s="1"/>
  <c r="N4" i="19" s="1"/>
  <c r="C4" i="19"/>
  <c r="A3" i="19"/>
  <c r="B3" i="19"/>
  <c r="D3" i="19" s="1"/>
  <c r="N3" i="19" s="1"/>
  <c r="C3" i="19"/>
  <c r="A8" i="14"/>
  <c r="A10" i="14"/>
  <c r="A13" i="14"/>
  <c r="A14" i="14"/>
  <c r="A16" i="14"/>
  <c r="A17" i="14"/>
  <c r="A18" i="14"/>
  <c r="A19" i="14"/>
  <c r="A20" i="14"/>
  <c r="A23" i="14"/>
  <c r="A24" i="14"/>
  <c r="A25" i="14"/>
  <c r="A26" i="14"/>
  <c r="A27" i="14"/>
  <c r="B8" i="14"/>
  <c r="B10" i="14"/>
  <c r="B13" i="14"/>
  <c r="B14" i="14"/>
  <c r="B16" i="14"/>
  <c r="B17" i="14"/>
  <c r="B18" i="14"/>
  <c r="B19" i="14"/>
  <c r="B20" i="14"/>
  <c r="B23" i="14"/>
  <c r="B24" i="14"/>
  <c r="B25" i="14"/>
  <c r="B26" i="14"/>
  <c r="B27" i="14"/>
  <c r="H8" i="14"/>
  <c r="H10" i="14"/>
  <c r="H13" i="14"/>
  <c r="H14" i="14"/>
  <c r="H16" i="14"/>
  <c r="H17" i="14"/>
  <c r="H18" i="14"/>
  <c r="H19" i="14"/>
  <c r="H20" i="14"/>
  <c r="H23" i="14"/>
  <c r="H24" i="14"/>
  <c r="H25" i="14"/>
  <c r="H26" i="14"/>
  <c r="H27" i="14"/>
  <c r="A7" i="14"/>
  <c r="B7" i="14"/>
  <c r="H7" i="14"/>
  <c r="H4" i="14"/>
  <c r="A4" i="14"/>
  <c r="B4" i="14"/>
  <c r="B62" i="1"/>
  <c r="H62" i="1" s="1"/>
  <c r="C62" i="1"/>
  <c r="E62" i="1" s="1"/>
  <c r="D59" i="21" s="1"/>
  <c r="D62" i="1"/>
  <c r="C59" i="21" s="1"/>
  <c r="B50" i="1"/>
  <c r="H50" i="1" s="1"/>
  <c r="C50" i="1"/>
  <c r="E50" i="1" s="1"/>
  <c r="D47" i="21" s="1"/>
  <c r="D50" i="1"/>
  <c r="C47" i="21" s="1"/>
  <c r="B56" i="1"/>
  <c r="H56" i="1" s="1"/>
  <c r="B57" i="1"/>
  <c r="H57" i="1" s="1"/>
  <c r="B59" i="1"/>
  <c r="F59" i="1" s="1"/>
  <c r="B60" i="1"/>
  <c r="H60" i="1" s="1"/>
  <c r="B61" i="1"/>
  <c r="H61" i="1" s="1"/>
  <c r="B63" i="1"/>
  <c r="F63" i="1" s="1"/>
  <c r="C56" i="1"/>
  <c r="E56" i="1" s="1"/>
  <c r="D53" i="21" s="1"/>
  <c r="C57" i="1"/>
  <c r="E57" i="1" s="1"/>
  <c r="D54" i="21" s="1"/>
  <c r="C59" i="1"/>
  <c r="E59" i="1" s="1"/>
  <c r="D56" i="21" s="1"/>
  <c r="C60" i="1"/>
  <c r="E60" i="1" s="1"/>
  <c r="C61" i="1"/>
  <c r="E61" i="1" s="1"/>
  <c r="D58" i="21" s="1"/>
  <c r="C63" i="1"/>
  <c r="E63" i="1" s="1"/>
  <c r="D56" i="1"/>
  <c r="C53" i="21" s="1"/>
  <c r="D57" i="1"/>
  <c r="C54" i="21" s="1"/>
  <c r="D59" i="1"/>
  <c r="C56" i="21" s="1"/>
  <c r="D60" i="1"/>
  <c r="C57" i="21" s="1"/>
  <c r="D61" i="1"/>
  <c r="C58" i="21" s="1"/>
  <c r="D63" i="1"/>
  <c r="C60" i="21" s="1"/>
  <c r="B53" i="1"/>
  <c r="H53" i="1" s="1"/>
  <c r="C53" i="1"/>
  <c r="E53" i="1" s="1"/>
  <c r="D53" i="1"/>
  <c r="C50" i="21" s="1"/>
  <c r="B51" i="1"/>
  <c r="H51" i="1" s="1"/>
  <c r="C51" i="1"/>
  <c r="E51" i="1" s="1"/>
  <c r="D51" i="1"/>
  <c r="C48" i="21" s="1"/>
  <c r="C317" i="3"/>
  <c r="D317" i="3"/>
  <c r="E317" i="3"/>
  <c r="F317" i="3"/>
  <c r="G317" i="3"/>
  <c r="H317" i="3"/>
  <c r="I317" i="3"/>
  <c r="J317" i="3"/>
  <c r="C310" i="3"/>
  <c r="D310" i="3"/>
  <c r="E310" i="3"/>
  <c r="F310" i="3"/>
  <c r="G310" i="3"/>
  <c r="H310" i="3"/>
  <c r="I310" i="3"/>
  <c r="J310" i="3"/>
  <c r="C316" i="3"/>
  <c r="D316" i="3"/>
  <c r="E316" i="3"/>
  <c r="F316" i="3"/>
  <c r="G316" i="3"/>
  <c r="H316" i="3"/>
  <c r="I316" i="3"/>
  <c r="J316" i="3"/>
  <c r="C315" i="3"/>
  <c r="D315" i="3"/>
  <c r="E315" i="3"/>
  <c r="F315" i="3"/>
  <c r="G315" i="3"/>
  <c r="H315" i="3"/>
  <c r="I315" i="3"/>
  <c r="J315" i="3"/>
  <c r="C314" i="3"/>
  <c r="D314" i="3"/>
  <c r="E314" i="3"/>
  <c r="F314" i="3"/>
  <c r="G314" i="3"/>
  <c r="H314" i="3"/>
  <c r="I314" i="3"/>
  <c r="J314" i="3"/>
  <c r="C312" i="3"/>
  <c r="D312" i="3"/>
  <c r="E312" i="3"/>
  <c r="F312" i="3"/>
  <c r="G312" i="3"/>
  <c r="H312" i="3"/>
  <c r="I312" i="3"/>
  <c r="J312" i="3"/>
  <c r="J321" i="2"/>
  <c r="C311" i="3"/>
  <c r="D311" i="3"/>
  <c r="E311" i="3"/>
  <c r="F311" i="3"/>
  <c r="G311" i="3"/>
  <c r="H311" i="3"/>
  <c r="I311" i="3"/>
  <c r="J311" i="3"/>
  <c r="C309" i="3"/>
  <c r="D309" i="3"/>
  <c r="E309" i="3"/>
  <c r="F309" i="3"/>
  <c r="G309" i="3"/>
  <c r="H309" i="3"/>
  <c r="I309" i="3"/>
  <c r="J309" i="3"/>
  <c r="J12" i="2"/>
  <c r="C308" i="3"/>
  <c r="D308" i="3"/>
  <c r="E308" i="3"/>
  <c r="F308" i="3"/>
  <c r="G308" i="3"/>
  <c r="H308" i="3"/>
  <c r="I308" i="3"/>
  <c r="J308" i="3"/>
  <c r="J10" i="2"/>
  <c r="C307" i="3"/>
  <c r="D307" i="3"/>
  <c r="E307" i="3"/>
  <c r="F307" i="3"/>
  <c r="G307" i="3"/>
  <c r="H307" i="3"/>
  <c r="I307" i="3"/>
  <c r="J307" i="3"/>
  <c r="C306" i="3"/>
  <c r="D306" i="3"/>
  <c r="E306" i="3"/>
  <c r="F306" i="3"/>
  <c r="G306" i="3"/>
  <c r="H306" i="3"/>
  <c r="I306" i="3"/>
  <c r="J306" i="3"/>
  <c r="J141" i="2"/>
  <c r="J138" i="2"/>
  <c r="J139" i="2"/>
  <c r="J140" i="2"/>
  <c r="J134" i="2"/>
  <c r="C2" i="3"/>
  <c r="C3" i="3"/>
  <c r="C4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D2" i="3"/>
  <c r="D3" i="3"/>
  <c r="D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E2" i="3"/>
  <c r="E3" i="3"/>
  <c r="E4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F2" i="3"/>
  <c r="F3" i="3"/>
  <c r="F4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G2" i="3"/>
  <c r="G3" i="3"/>
  <c r="G4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H2" i="3"/>
  <c r="H3" i="3"/>
  <c r="H4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I2" i="3"/>
  <c r="I3" i="3"/>
  <c r="I4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J2" i="3"/>
  <c r="J3" i="3"/>
  <c r="J4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B47" i="1"/>
  <c r="C47" i="1"/>
  <c r="E47" i="1" s="1"/>
  <c r="D44" i="21" s="1"/>
  <c r="D47" i="1"/>
  <c r="C44" i="21" s="1"/>
  <c r="C269" i="3"/>
  <c r="D269" i="3"/>
  <c r="E269" i="3"/>
  <c r="F269" i="3"/>
  <c r="G269" i="3"/>
  <c r="H269" i="3"/>
  <c r="I269" i="3"/>
  <c r="J269" i="3"/>
  <c r="J250" i="2"/>
  <c r="J241" i="2"/>
  <c r="J242" i="2"/>
  <c r="J243" i="2"/>
  <c r="J244" i="2"/>
  <c r="J245" i="2"/>
  <c r="J246" i="2"/>
  <c r="J247" i="2"/>
  <c r="J248" i="2"/>
  <c r="J249" i="2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25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143" i="2"/>
  <c r="J142" i="2"/>
  <c r="J137" i="2"/>
  <c r="J136" i="2"/>
  <c r="J135" i="2"/>
  <c r="J133" i="2"/>
  <c r="J132" i="2"/>
  <c r="C289" i="3"/>
  <c r="C290" i="3"/>
  <c r="C296" i="3"/>
  <c r="D289" i="3"/>
  <c r="D290" i="3"/>
  <c r="D296" i="3"/>
  <c r="E289" i="3"/>
  <c r="E290" i="3"/>
  <c r="E296" i="3"/>
  <c r="F289" i="3"/>
  <c r="F290" i="3"/>
  <c r="F296" i="3"/>
  <c r="G289" i="3"/>
  <c r="G290" i="3"/>
  <c r="G296" i="3"/>
  <c r="H289" i="3"/>
  <c r="H290" i="3"/>
  <c r="H296" i="3"/>
  <c r="I289" i="3"/>
  <c r="I290" i="3"/>
  <c r="I296" i="3"/>
  <c r="J289" i="3"/>
  <c r="J290" i="3"/>
  <c r="J296" i="3"/>
  <c r="J131" i="2"/>
  <c r="J130" i="2"/>
  <c r="J129" i="2"/>
  <c r="C270" i="3"/>
  <c r="C271" i="3"/>
  <c r="C272" i="3"/>
  <c r="C273" i="3"/>
  <c r="C274" i="3"/>
  <c r="C276" i="3"/>
  <c r="C277" i="3"/>
  <c r="C279" i="3"/>
  <c r="C281" i="3"/>
  <c r="C282" i="3"/>
  <c r="C283" i="3"/>
  <c r="C284" i="3"/>
  <c r="C288" i="3"/>
  <c r="D270" i="3"/>
  <c r="D271" i="3"/>
  <c r="D272" i="3"/>
  <c r="D273" i="3"/>
  <c r="D274" i="3"/>
  <c r="D276" i="3"/>
  <c r="D277" i="3"/>
  <c r="D279" i="3"/>
  <c r="D281" i="3"/>
  <c r="D282" i="3"/>
  <c r="D283" i="3"/>
  <c r="D284" i="3"/>
  <c r="D288" i="3"/>
  <c r="E270" i="3"/>
  <c r="E271" i="3"/>
  <c r="E272" i="3"/>
  <c r="E273" i="3"/>
  <c r="E274" i="3"/>
  <c r="E276" i="3"/>
  <c r="E277" i="3"/>
  <c r="E279" i="3"/>
  <c r="E281" i="3"/>
  <c r="E282" i="3"/>
  <c r="E283" i="3"/>
  <c r="E284" i="3"/>
  <c r="E288" i="3"/>
  <c r="F270" i="3"/>
  <c r="F271" i="3"/>
  <c r="F272" i="3"/>
  <c r="F273" i="3"/>
  <c r="F274" i="3"/>
  <c r="F276" i="3"/>
  <c r="F277" i="3"/>
  <c r="F279" i="3"/>
  <c r="F281" i="3"/>
  <c r="F282" i="3"/>
  <c r="F283" i="3"/>
  <c r="F284" i="3"/>
  <c r="F288" i="3"/>
  <c r="G270" i="3"/>
  <c r="G271" i="3"/>
  <c r="G272" i="3"/>
  <c r="G273" i="3"/>
  <c r="G274" i="3"/>
  <c r="G276" i="3"/>
  <c r="G277" i="3"/>
  <c r="G279" i="3"/>
  <c r="G281" i="3"/>
  <c r="G282" i="3"/>
  <c r="G283" i="3"/>
  <c r="G284" i="3"/>
  <c r="G288" i="3"/>
  <c r="H270" i="3"/>
  <c r="H271" i="3"/>
  <c r="H272" i="3"/>
  <c r="H273" i="3"/>
  <c r="H274" i="3"/>
  <c r="H276" i="3"/>
  <c r="H277" i="3"/>
  <c r="H279" i="3"/>
  <c r="H281" i="3"/>
  <c r="H282" i="3"/>
  <c r="H283" i="3"/>
  <c r="H284" i="3"/>
  <c r="H288" i="3"/>
  <c r="I270" i="3"/>
  <c r="I271" i="3"/>
  <c r="I272" i="3"/>
  <c r="I273" i="3"/>
  <c r="I274" i="3"/>
  <c r="I276" i="3"/>
  <c r="I277" i="3"/>
  <c r="I279" i="3"/>
  <c r="I281" i="3"/>
  <c r="I282" i="3"/>
  <c r="I283" i="3"/>
  <c r="I284" i="3"/>
  <c r="I288" i="3"/>
  <c r="J270" i="3"/>
  <c r="J271" i="3"/>
  <c r="J272" i="3"/>
  <c r="J273" i="3"/>
  <c r="J274" i="3"/>
  <c r="J276" i="3"/>
  <c r="J277" i="3"/>
  <c r="J279" i="3"/>
  <c r="J281" i="3"/>
  <c r="J282" i="3"/>
  <c r="J283" i="3"/>
  <c r="J284" i="3"/>
  <c r="J288" i="3"/>
  <c r="B68" i="1"/>
  <c r="F68" i="1" s="1"/>
  <c r="C68" i="1"/>
  <c r="E68" i="1" s="1"/>
  <c r="D68" i="1"/>
  <c r="C65" i="21" s="1"/>
  <c r="J127" i="2"/>
  <c r="J126" i="2"/>
  <c r="J125" i="2"/>
  <c r="J124" i="2"/>
  <c r="J123" i="2"/>
  <c r="J122" i="2"/>
  <c r="J121" i="2"/>
  <c r="J120" i="2"/>
  <c r="J119" i="2"/>
  <c r="J118" i="2"/>
  <c r="J117" i="2"/>
  <c r="C124" i="3"/>
  <c r="C125" i="3"/>
  <c r="C126" i="3"/>
  <c r="C127" i="3"/>
  <c r="C128" i="3"/>
  <c r="C129" i="3"/>
  <c r="C130" i="3"/>
  <c r="C131" i="3"/>
  <c r="C132" i="3"/>
  <c r="C133" i="3"/>
  <c r="D124" i="3"/>
  <c r="D125" i="3"/>
  <c r="D126" i="3"/>
  <c r="D127" i="3"/>
  <c r="D128" i="3"/>
  <c r="D129" i="3"/>
  <c r="D130" i="3"/>
  <c r="D131" i="3"/>
  <c r="D132" i="3"/>
  <c r="D133" i="3"/>
  <c r="E124" i="3"/>
  <c r="E125" i="3"/>
  <c r="E126" i="3"/>
  <c r="E127" i="3"/>
  <c r="E128" i="3"/>
  <c r="E129" i="3"/>
  <c r="E130" i="3"/>
  <c r="E131" i="3"/>
  <c r="E132" i="3"/>
  <c r="E133" i="3"/>
  <c r="F124" i="3"/>
  <c r="F125" i="3"/>
  <c r="F126" i="3"/>
  <c r="F127" i="3"/>
  <c r="F128" i="3"/>
  <c r="F129" i="3"/>
  <c r="F130" i="3"/>
  <c r="F131" i="3"/>
  <c r="F132" i="3"/>
  <c r="F133" i="3"/>
  <c r="G124" i="3"/>
  <c r="G125" i="3"/>
  <c r="G126" i="3"/>
  <c r="G127" i="3"/>
  <c r="G128" i="3"/>
  <c r="G129" i="3"/>
  <c r="G130" i="3"/>
  <c r="G131" i="3"/>
  <c r="G132" i="3"/>
  <c r="G133" i="3"/>
  <c r="H124" i="3"/>
  <c r="H125" i="3"/>
  <c r="H126" i="3"/>
  <c r="H127" i="3"/>
  <c r="H128" i="3"/>
  <c r="H129" i="3"/>
  <c r="H130" i="3"/>
  <c r="H131" i="3"/>
  <c r="H132" i="3"/>
  <c r="H133" i="3"/>
  <c r="I124" i="3"/>
  <c r="I125" i="3"/>
  <c r="I126" i="3"/>
  <c r="I127" i="3"/>
  <c r="I128" i="3"/>
  <c r="I129" i="3"/>
  <c r="I130" i="3"/>
  <c r="I131" i="3"/>
  <c r="I132" i="3"/>
  <c r="I133" i="3"/>
  <c r="J124" i="3"/>
  <c r="J125" i="3"/>
  <c r="J126" i="3"/>
  <c r="J127" i="3"/>
  <c r="J128" i="3"/>
  <c r="J129" i="3"/>
  <c r="J130" i="3"/>
  <c r="J131" i="3"/>
  <c r="J132" i="3"/>
  <c r="J133" i="3"/>
  <c r="J116" i="2"/>
  <c r="C122" i="3"/>
  <c r="D122" i="3"/>
  <c r="E122" i="3"/>
  <c r="F122" i="3"/>
  <c r="G122" i="3"/>
  <c r="H122" i="3"/>
  <c r="I122" i="3"/>
  <c r="J122" i="3"/>
  <c r="D66" i="1"/>
  <c r="C63" i="21" s="1"/>
  <c r="D67" i="1"/>
  <c r="C64" i="21" s="1"/>
  <c r="D69" i="1"/>
  <c r="C66" i="21" s="1"/>
  <c r="D72" i="1"/>
  <c r="J114" i="2"/>
  <c r="J112" i="2"/>
  <c r="C234" i="3"/>
  <c r="D234" i="3"/>
  <c r="E234" i="3"/>
  <c r="F234" i="3"/>
  <c r="G234" i="3"/>
  <c r="H234" i="3"/>
  <c r="I234" i="3"/>
  <c r="J234" i="3"/>
  <c r="J111" i="2"/>
  <c r="J110" i="2"/>
  <c r="J109" i="2"/>
  <c r="J108" i="2"/>
  <c r="J107" i="2"/>
  <c r="C297" i="3"/>
  <c r="C298" i="3"/>
  <c r="C299" i="3"/>
  <c r="C300" i="3"/>
  <c r="C301" i="3"/>
  <c r="C302" i="3"/>
  <c r="D297" i="3"/>
  <c r="D298" i="3"/>
  <c r="D299" i="3"/>
  <c r="D300" i="3"/>
  <c r="D301" i="3"/>
  <c r="D302" i="3"/>
  <c r="E297" i="3"/>
  <c r="E298" i="3"/>
  <c r="E299" i="3"/>
  <c r="E300" i="3"/>
  <c r="E301" i="3"/>
  <c r="E302" i="3"/>
  <c r="F297" i="3"/>
  <c r="F298" i="3"/>
  <c r="F299" i="3"/>
  <c r="F300" i="3"/>
  <c r="F301" i="3"/>
  <c r="F302" i="3"/>
  <c r="G297" i="3"/>
  <c r="G298" i="3"/>
  <c r="G299" i="3"/>
  <c r="G300" i="3"/>
  <c r="G301" i="3"/>
  <c r="G302" i="3"/>
  <c r="H297" i="3"/>
  <c r="H298" i="3"/>
  <c r="H299" i="3"/>
  <c r="H300" i="3"/>
  <c r="H301" i="3"/>
  <c r="H302" i="3"/>
  <c r="I297" i="3"/>
  <c r="I298" i="3"/>
  <c r="I299" i="3"/>
  <c r="I300" i="3"/>
  <c r="I301" i="3"/>
  <c r="I302" i="3"/>
  <c r="J297" i="3"/>
  <c r="J298" i="3"/>
  <c r="J299" i="3"/>
  <c r="J300" i="3"/>
  <c r="J301" i="3"/>
  <c r="J302" i="3"/>
  <c r="C221" i="3"/>
  <c r="D221" i="3"/>
  <c r="E221" i="3"/>
  <c r="F221" i="3"/>
  <c r="G221" i="3"/>
  <c r="H221" i="3"/>
  <c r="I221" i="3"/>
  <c r="J221" i="3"/>
  <c r="C220" i="3"/>
  <c r="D220" i="3"/>
  <c r="E220" i="3"/>
  <c r="F220" i="3"/>
  <c r="G220" i="3"/>
  <c r="H220" i="3"/>
  <c r="I220" i="3"/>
  <c r="J220" i="3"/>
  <c r="J106" i="2"/>
  <c r="J105" i="2"/>
  <c r="J101" i="2"/>
  <c r="J100" i="2"/>
  <c r="C233" i="3"/>
  <c r="C237" i="3"/>
  <c r="C238" i="3"/>
  <c r="D233" i="3"/>
  <c r="D237" i="3"/>
  <c r="D238" i="3"/>
  <c r="E233" i="3"/>
  <c r="E237" i="3"/>
  <c r="E238" i="3"/>
  <c r="F233" i="3"/>
  <c r="F237" i="3"/>
  <c r="F238" i="3"/>
  <c r="G233" i="3"/>
  <c r="G237" i="3"/>
  <c r="G238" i="3"/>
  <c r="H233" i="3"/>
  <c r="H237" i="3"/>
  <c r="H238" i="3"/>
  <c r="I233" i="3"/>
  <c r="I237" i="3"/>
  <c r="I238" i="3"/>
  <c r="J233" i="3"/>
  <c r="J237" i="3"/>
  <c r="J238" i="3"/>
  <c r="J99" i="2"/>
  <c r="C218" i="3"/>
  <c r="D218" i="3"/>
  <c r="E218" i="3"/>
  <c r="F218" i="3"/>
  <c r="G218" i="3"/>
  <c r="H218" i="3"/>
  <c r="I218" i="3"/>
  <c r="J218" i="3"/>
  <c r="J95" i="2"/>
  <c r="C213" i="3"/>
  <c r="C215" i="3"/>
  <c r="C217" i="3"/>
  <c r="C219" i="3"/>
  <c r="C223" i="3"/>
  <c r="C224" i="3"/>
  <c r="C225" i="3"/>
  <c r="C226" i="3"/>
  <c r="D213" i="3"/>
  <c r="D215" i="3"/>
  <c r="D217" i="3"/>
  <c r="D219" i="3"/>
  <c r="D223" i="3"/>
  <c r="D224" i="3"/>
  <c r="D225" i="3"/>
  <c r="D226" i="3"/>
  <c r="E213" i="3"/>
  <c r="E215" i="3"/>
  <c r="E217" i="3"/>
  <c r="E219" i="3"/>
  <c r="E223" i="3"/>
  <c r="E224" i="3"/>
  <c r="E225" i="3"/>
  <c r="E226" i="3"/>
  <c r="F213" i="3"/>
  <c r="F215" i="3"/>
  <c r="F217" i="3"/>
  <c r="F219" i="3"/>
  <c r="F223" i="3"/>
  <c r="F224" i="3"/>
  <c r="F225" i="3"/>
  <c r="F226" i="3"/>
  <c r="G213" i="3"/>
  <c r="G215" i="3"/>
  <c r="G217" i="3"/>
  <c r="G219" i="3"/>
  <c r="G223" i="3"/>
  <c r="G224" i="3"/>
  <c r="G225" i="3"/>
  <c r="G226" i="3"/>
  <c r="H213" i="3"/>
  <c r="H215" i="3"/>
  <c r="H217" i="3"/>
  <c r="H219" i="3"/>
  <c r="H223" i="3"/>
  <c r="H224" i="3"/>
  <c r="H225" i="3"/>
  <c r="H226" i="3"/>
  <c r="I213" i="3"/>
  <c r="I215" i="3"/>
  <c r="I217" i="3"/>
  <c r="I219" i="3"/>
  <c r="I223" i="3"/>
  <c r="I224" i="3"/>
  <c r="I225" i="3"/>
  <c r="I226" i="3"/>
  <c r="J213" i="3"/>
  <c r="J215" i="3"/>
  <c r="J217" i="3"/>
  <c r="J219" i="3"/>
  <c r="J223" i="3"/>
  <c r="J224" i="3"/>
  <c r="J225" i="3"/>
  <c r="J226" i="3"/>
  <c r="C140" i="3"/>
  <c r="D140" i="3"/>
  <c r="E140" i="3"/>
  <c r="F140" i="3"/>
  <c r="G140" i="3"/>
  <c r="H140" i="3"/>
  <c r="I140" i="3"/>
  <c r="J140" i="3"/>
  <c r="C113" i="3"/>
  <c r="D113" i="3"/>
  <c r="E113" i="3"/>
  <c r="F113" i="3"/>
  <c r="G113" i="3"/>
  <c r="H113" i="3"/>
  <c r="I113" i="3"/>
  <c r="J113" i="3"/>
  <c r="J98" i="2"/>
  <c r="J97" i="2"/>
  <c r="J96" i="2"/>
  <c r="C138" i="3"/>
  <c r="C139" i="3"/>
  <c r="C141" i="3"/>
  <c r="C143" i="3"/>
  <c r="C144" i="3"/>
  <c r="C145" i="3"/>
  <c r="C146" i="3"/>
  <c r="D138" i="3"/>
  <c r="D139" i="3"/>
  <c r="D141" i="3"/>
  <c r="D143" i="3"/>
  <c r="D144" i="3"/>
  <c r="D145" i="3"/>
  <c r="D146" i="3"/>
  <c r="E138" i="3"/>
  <c r="E139" i="3"/>
  <c r="E141" i="3"/>
  <c r="E143" i="3"/>
  <c r="E144" i="3"/>
  <c r="E145" i="3"/>
  <c r="E146" i="3"/>
  <c r="F138" i="3"/>
  <c r="F139" i="3"/>
  <c r="F141" i="3"/>
  <c r="F143" i="3"/>
  <c r="F144" i="3"/>
  <c r="F145" i="3"/>
  <c r="F146" i="3"/>
  <c r="G138" i="3"/>
  <c r="G139" i="3"/>
  <c r="G141" i="3"/>
  <c r="G143" i="3"/>
  <c r="G144" i="3"/>
  <c r="G145" i="3"/>
  <c r="G146" i="3"/>
  <c r="H138" i="3"/>
  <c r="H139" i="3"/>
  <c r="H141" i="3"/>
  <c r="H143" i="3"/>
  <c r="H144" i="3"/>
  <c r="H145" i="3"/>
  <c r="H146" i="3"/>
  <c r="I138" i="3"/>
  <c r="I139" i="3"/>
  <c r="I141" i="3"/>
  <c r="I143" i="3"/>
  <c r="I144" i="3"/>
  <c r="I145" i="3"/>
  <c r="I146" i="3"/>
  <c r="J138" i="3"/>
  <c r="J139" i="3"/>
  <c r="J141" i="3"/>
  <c r="J143" i="3"/>
  <c r="J144" i="3"/>
  <c r="J145" i="3"/>
  <c r="J146" i="3"/>
  <c r="J94" i="2"/>
  <c r="J93" i="2"/>
  <c r="J8" i="2"/>
  <c r="C111" i="3"/>
  <c r="D111" i="3"/>
  <c r="E111" i="3"/>
  <c r="F111" i="3"/>
  <c r="G111" i="3"/>
  <c r="H111" i="3"/>
  <c r="I111" i="3"/>
  <c r="J111" i="3"/>
  <c r="C304" i="3"/>
  <c r="D304" i="3"/>
  <c r="E304" i="3"/>
  <c r="F304" i="3"/>
  <c r="G304" i="3"/>
  <c r="H304" i="3"/>
  <c r="I304" i="3"/>
  <c r="J304" i="3"/>
  <c r="C303" i="3"/>
  <c r="D303" i="3"/>
  <c r="E303" i="3"/>
  <c r="F303" i="3"/>
  <c r="G303" i="3"/>
  <c r="H303" i="3"/>
  <c r="I303" i="3"/>
  <c r="J303" i="3"/>
  <c r="J92" i="2"/>
  <c r="J27" i="2"/>
  <c r="J2" i="2"/>
  <c r="J3" i="2"/>
  <c r="J4" i="2"/>
  <c r="J5" i="2"/>
  <c r="J6" i="2"/>
  <c r="J7" i="2"/>
  <c r="J9" i="2"/>
  <c r="J11" i="2"/>
  <c r="J13" i="2"/>
  <c r="J20" i="2"/>
  <c r="J21" i="2"/>
  <c r="J22" i="2"/>
  <c r="J23" i="2"/>
  <c r="J24" i="2"/>
  <c r="J25" i="2"/>
  <c r="J26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7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C105" i="3"/>
  <c r="C107" i="3"/>
  <c r="D105" i="3"/>
  <c r="D107" i="3"/>
  <c r="E105" i="3"/>
  <c r="E107" i="3"/>
  <c r="F105" i="3"/>
  <c r="F107" i="3"/>
  <c r="G105" i="3"/>
  <c r="G107" i="3"/>
  <c r="H105" i="3"/>
  <c r="H107" i="3"/>
  <c r="I105" i="3"/>
  <c r="I107" i="3"/>
  <c r="J105" i="3"/>
  <c r="J107" i="3"/>
  <c r="C208" i="3"/>
  <c r="C209" i="3"/>
  <c r="C210" i="3"/>
  <c r="C211" i="3"/>
  <c r="D208" i="3"/>
  <c r="D209" i="3"/>
  <c r="D210" i="3"/>
  <c r="D211" i="3"/>
  <c r="E208" i="3"/>
  <c r="E209" i="3"/>
  <c r="E210" i="3"/>
  <c r="E211" i="3"/>
  <c r="F208" i="3"/>
  <c r="F209" i="3"/>
  <c r="F210" i="3"/>
  <c r="F211" i="3"/>
  <c r="G208" i="3"/>
  <c r="G209" i="3"/>
  <c r="G210" i="3"/>
  <c r="G211" i="3"/>
  <c r="H208" i="3"/>
  <c r="H209" i="3"/>
  <c r="H210" i="3"/>
  <c r="H211" i="3"/>
  <c r="I208" i="3"/>
  <c r="I209" i="3"/>
  <c r="I210" i="3"/>
  <c r="I211" i="3"/>
  <c r="J208" i="3"/>
  <c r="J209" i="3"/>
  <c r="J210" i="3"/>
  <c r="J211" i="3"/>
  <c r="B69" i="1"/>
  <c r="F69" i="1" s="1"/>
  <c r="C69" i="1"/>
  <c r="E69" i="1" s="1"/>
  <c r="C174" i="3"/>
  <c r="D174" i="3"/>
  <c r="E174" i="3"/>
  <c r="F174" i="3"/>
  <c r="G174" i="3"/>
  <c r="H174" i="3"/>
  <c r="I174" i="3"/>
  <c r="J174" i="3"/>
  <c r="C114" i="3"/>
  <c r="C119" i="3"/>
  <c r="C120" i="3"/>
  <c r="C121" i="3"/>
  <c r="C134" i="3"/>
  <c r="D114" i="3"/>
  <c r="D119" i="3"/>
  <c r="D120" i="3"/>
  <c r="D121" i="3"/>
  <c r="D134" i="3"/>
  <c r="E114" i="3"/>
  <c r="E119" i="3"/>
  <c r="E120" i="3"/>
  <c r="E121" i="3"/>
  <c r="E134" i="3"/>
  <c r="F114" i="3"/>
  <c r="F119" i="3"/>
  <c r="F120" i="3"/>
  <c r="F121" i="3"/>
  <c r="F134" i="3"/>
  <c r="G114" i="3"/>
  <c r="G119" i="3"/>
  <c r="G120" i="3"/>
  <c r="G121" i="3"/>
  <c r="G134" i="3"/>
  <c r="H114" i="3"/>
  <c r="H119" i="3"/>
  <c r="H120" i="3"/>
  <c r="H121" i="3"/>
  <c r="H134" i="3"/>
  <c r="I114" i="3"/>
  <c r="I119" i="3"/>
  <c r="I120" i="3"/>
  <c r="I121" i="3"/>
  <c r="I134" i="3"/>
  <c r="J114" i="3"/>
  <c r="J119" i="3"/>
  <c r="J120" i="3"/>
  <c r="J121" i="3"/>
  <c r="J134" i="3"/>
  <c r="C188" i="3"/>
  <c r="C189" i="3"/>
  <c r="C190" i="3"/>
  <c r="C191" i="3"/>
  <c r="D188" i="3"/>
  <c r="D189" i="3"/>
  <c r="D190" i="3"/>
  <c r="D191" i="3"/>
  <c r="E188" i="3"/>
  <c r="E189" i="3"/>
  <c r="E190" i="3"/>
  <c r="E191" i="3"/>
  <c r="F188" i="3"/>
  <c r="F189" i="3"/>
  <c r="F190" i="3"/>
  <c r="F191" i="3"/>
  <c r="G188" i="3"/>
  <c r="G189" i="3"/>
  <c r="G190" i="3"/>
  <c r="G191" i="3"/>
  <c r="H188" i="3"/>
  <c r="H189" i="3"/>
  <c r="H190" i="3"/>
  <c r="H191" i="3"/>
  <c r="I188" i="3"/>
  <c r="I189" i="3"/>
  <c r="I190" i="3"/>
  <c r="I191" i="3"/>
  <c r="J188" i="3"/>
  <c r="J189" i="3"/>
  <c r="J190" i="3"/>
  <c r="J191" i="3"/>
  <c r="G60" i="1" l="1"/>
  <c r="D57" i="21"/>
  <c r="I50" i="1"/>
  <c r="I69" i="1"/>
  <c r="D66" i="21"/>
  <c r="I68" i="1"/>
  <c r="D65" i="21"/>
  <c r="I51" i="1"/>
  <c r="D48" i="21"/>
  <c r="G63" i="1"/>
  <c r="D60" i="21"/>
  <c r="I53" i="1"/>
  <c r="D50" i="21"/>
  <c r="H46" i="1"/>
  <c r="N15" i="19"/>
  <c r="N17" i="19"/>
  <c r="K310" i="3"/>
  <c r="K317" i="3"/>
  <c r="I46" i="1"/>
  <c r="J46" i="1"/>
  <c r="F46" i="1"/>
  <c r="G46" i="1"/>
  <c r="G7" i="19"/>
  <c r="D6" i="19"/>
  <c r="N6" i="19" s="1"/>
  <c r="G6" i="19"/>
  <c r="D5" i="19"/>
  <c r="N5" i="19" s="1"/>
  <c r="G5" i="19"/>
  <c r="G4" i="19"/>
  <c r="G3" i="19"/>
  <c r="I62" i="1"/>
  <c r="J62" i="1"/>
  <c r="G62" i="1"/>
  <c r="F62" i="1"/>
  <c r="H63" i="1"/>
  <c r="J50" i="1"/>
  <c r="F50" i="1"/>
  <c r="G50" i="1"/>
  <c r="F53" i="1"/>
  <c r="F61" i="1"/>
  <c r="G59" i="1"/>
  <c r="I59" i="1"/>
  <c r="G56" i="1"/>
  <c r="I56" i="1"/>
  <c r="J56" i="1"/>
  <c r="I60" i="1"/>
  <c r="F56" i="1"/>
  <c r="I63" i="1"/>
  <c r="F57" i="1"/>
  <c r="F51" i="1"/>
  <c r="H59" i="1"/>
  <c r="F60" i="1"/>
  <c r="J60" i="1"/>
  <c r="G61" i="1"/>
  <c r="J61" i="1"/>
  <c r="I61" i="1"/>
  <c r="I57" i="1"/>
  <c r="G57" i="1"/>
  <c r="J57" i="1"/>
  <c r="J59" i="1"/>
  <c r="J63" i="1"/>
  <c r="G53" i="1"/>
  <c r="J53" i="1"/>
  <c r="G51" i="1"/>
  <c r="J51" i="1"/>
  <c r="K315" i="3"/>
  <c r="K316" i="3"/>
  <c r="K314" i="3"/>
  <c r="K312" i="3"/>
  <c r="K311" i="3"/>
  <c r="K309" i="3"/>
  <c r="K308" i="3"/>
  <c r="K307" i="3"/>
  <c r="K306" i="3"/>
  <c r="K70" i="3"/>
  <c r="K46" i="3"/>
  <c r="K22" i="3"/>
  <c r="K54" i="3"/>
  <c r="K6" i="3"/>
  <c r="K62" i="3"/>
  <c r="K38" i="3"/>
  <c r="K14" i="3"/>
  <c r="K30" i="3"/>
  <c r="K71" i="3"/>
  <c r="K63" i="3"/>
  <c r="K55" i="3"/>
  <c r="K47" i="3"/>
  <c r="K39" i="3"/>
  <c r="K31" i="3"/>
  <c r="K23" i="3"/>
  <c r="K15" i="3"/>
  <c r="K7" i="3"/>
  <c r="K72" i="3"/>
  <c r="K64" i="3"/>
  <c r="K56" i="3"/>
  <c r="K48" i="3"/>
  <c r="K40" i="3"/>
  <c r="K32" i="3"/>
  <c r="K24" i="3"/>
  <c r="K16" i="3"/>
  <c r="K8" i="3"/>
  <c r="K73" i="3"/>
  <c r="K65" i="3"/>
  <c r="K57" i="3"/>
  <c r="K49" i="3"/>
  <c r="K41" i="3"/>
  <c r="K33" i="3"/>
  <c r="K25" i="3"/>
  <c r="K17" i="3"/>
  <c r="K9" i="3"/>
  <c r="K74" i="3"/>
  <c r="K66" i="3"/>
  <c r="K58" i="3"/>
  <c r="K50" i="3"/>
  <c r="K42" i="3"/>
  <c r="K34" i="3"/>
  <c r="K26" i="3"/>
  <c r="K18" i="3"/>
  <c r="K10" i="3"/>
  <c r="K67" i="3"/>
  <c r="K43" i="3"/>
  <c r="K19" i="3"/>
  <c r="K2" i="3"/>
  <c r="K52" i="3"/>
  <c r="K28" i="3"/>
  <c r="K3" i="3"/>
  <c r="K53" i="3"/>
  <c r="K29" i="3"/>
  <c r="K4" i="3"/>
  <c r="K59" i="3"/>
  <c r="K35" i="3"/>
  <c r="K11" i="3"/>
  <c r="K60" i="3"/>
  <c r="K36" i="3"/>
  <c r="K12" i="3"/>
  <c r="K61" i="3"/>
  <c r="K37" i="3"/>
  <c r="K13" i="3"/>
  <c r="K75" i="3"/>
  <c r="K51" i="3"/>
  <c r="K27" i="3"/>
  <c r="K68" i="3"/>
  <c r="K44" i="3"/>
  <c r="K20" i="3"/>
  <c r="K69" i="3"/>
  <c r="K45" i="3"/>
  <c r="K21" i="3"/>
  <c r="I47" i="1"/>
  <c r="J47" i="1"/>
  <c r="G47" i="1"/>
  <c r="F47" i="1"/>
  <c r="H47" i="1"/>
  <c r="K269" i="3"/>
  <c r="K244" i="3"/>
  <c r="K251" i="3"/>
  <c r="K252" i="3"/>
  <c r="K259" i="3"/>
  <c r="K260" i="3"/>
  <c r="K267" i="3"/>
  <c r="K243" i="3"/>
  <c r="K268" i="3"/>
  <c r="K261" i="3"/>
  <c r="K265" i="3"/>
  <c r="K257" i="3"/>
  <c r="K249" i="3"/>
  <c r="K241" i="3"/>
  <c r="K255" i="3"/>
  <c r="K239" i="3"/>
  <c r="K266" i="3"/>
  <c r="K258" i="3"/>
  <c r="K250" i="3"/>
  <c r="K242" i="3"/>
  <c r="K264" i="3"/>
  <c r="K256" i="3"/>
  <c r="K248" i="3"/>
  <c r="K240" i="3"/>
  <c r="K262" i="3"/>
  <c r="K254" i="3"/>
  <c r="K246" i="3"/>
  <c r="K263" i="3"/>
  <c r="K253" i="3"/>
  <c r="K247" i="3"/>
  <c r="K245" i="3"/>
  <c r="K296" i="3"/>
  <c r="K289" i="3"/>
  <c r="K290" i="3"/>
  <c r="K283" i="3"/>
  <c r="K272" i="3"/>
  <c r="K288" i="3"/>
  <c r="K274" i="3"/>
  <c r="K282" i="3"/>
  <c r="K271" i="3"/>
  <c r="K284" i="3"/>
  <c r="K276" i="3"/>
  <c r="K281" i="3"/>
  <c r="K279" i="3"/>
  <c r="K270" i="3"/>
  <c r="K273" i="3"/>
  <c r="K277" i="3"/>
  <c r="J68" i="1"/>
  <c r="G68" i="1"/>
  <c r="H68" i="1"/>
  <c r="K132" i="3"/>
  <c r="K125" i="3"/>
  <c r="K126" i="3"/>
  <c r="K124" i="3"/>
  <c r="K133" i="3"/>
  <c r="K131" i="3"/>
  <c r="K127" i="3"/>
  <c r="K128" i="3"/>
  <c r="K129" i="3"/>
  <c r="K130" i="3"/>
  <c r="K122" i="3"/>
  <c r="K234" i="3"/>
  <c r="K297" i="3"/>
  <c r="K300" i="3"/>
  <c r="K298" i="3"/>
  <c r="K299" i="3"/>
  <c r="K301" i="3"/>
  <c r="K302" i="3"/>
  <c r="K221" i="3"/>
  <c r="K220" i="3"/>
  <c r="K237" i="3"/>
  <c r="K233" i="3"/>
  <c r="K238" i="3"/>
  <c r="K218" i="3"/>
  <c r="K213" i="3"/>
  <c r="K219" i="3"/>
  <c r="K223" i="3"/>
  <c r="K224" i="3"/>
  <c r="K225" i="3"/>
  <c r="K226" i="3"/>
  <c r="K215" i="3"/>
  <c r="K217" i="3"/>
  <c r="K140" i="3"/>
  <c r="K113" i="3"/>
  <c r="K146" i="3"/>
  <c r="K145" i="3"/>
  <c r="K138" i="3"/>
  <c r="K143" i="3"/>
  <c r="K139" i="3"/>
  <c r="K141" i="3"/>
  <c r="K144" i="3"/>
  <c r="K111" i="3"/>
  <c r="K304" i="3"/>
  <c r="K303" i="3"/>
  <c r="K107" i="3"/>
  <c r="K105" i="3"/>
  <c r="K211" i="3"/>
  <c r="K208" i="3"/>
  <c r="K209" i="3"/>
  <c r="K210" i="3"/>
  <c r="H69" i="1"/>
  <c r="J69" i="1"/>
  <c r="G69" i="1"/>
  <c r="K174" i="3"/>
  <c r="K114" i="3"/>
  <c r="K121" i="3"/>
  <c r="K134" i="3"/>
  <c r="K119" i="3"/>
  <c r="K120" i="3"/>
  <c r="K191" i="3"/>
  <c r="K188" i="3"/>
  <c r="K190" i="3"/>
  <c r="K189" i="3"/>
  <c r="C212" i="3"/>
  <c r="D212" i="3"/>
  <c r="E212" i="3"/>
  <c r="F212" i="3"/>
  <c r="G212" i="3"/>
  <c r="H212" i="3"/>
  <c r="I212" i="3"/>
  <c r="J212" i="3"/>
  <c r="C207" i="3"/>
  <c r="D207" i="3"/>
  <c r="E207" i="3"/>
  <c r="F207" i="3"/>
  <c r="G207" i="3"/>
  <c r="H207" i="3"/>
  <c r="I207" i="3"/>
  <c r="J207" i="3"/>
  <c r="C206" i="3"/>
  <c r="D206" i="3"/>
  <c r="E206" i="3"/>
  <c r="F206" i="3"/>
  <c r="G206" i="3"/>
  <c r="H206" i="3"/>
  <c r="I206" i="3"/>
  <c r="J206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10" i="3"/>
  <c r="E112" i="3"/>
  <c r="E147" i="3"/>
  <c r="E148" i="3"/>
  <c r="E149" i="3"/>
  <c r="E150" i="3"/>
  <c r="E152" i="3"/>
  <c r="E158" i="3"/>
  <c r="E159" i="3"/>
  <c r="E160" i="3"/>
  <c r="E161" i="3"/>
  <c r="E162" i="3"/>
  <c r="E163" i="3"/>
  <c r="E164" i="3"/>
  <c r="E165" i="3"/>
  <c r="E172" i="3"/>
  <c r="E173" i="3"/>
  <c r="E197" i="3"/>
  <c r="E198" i="3"/>
  <c r="E199" i="3"/>
  <c r="E200" i="3"/>
  <c r="E201" i="3"/>
  <c r="E202" i="3"/>
  <c r="E203" i="3"/>
  <c r="E204" i="3"/>
  <c r="E205" i="3"/>
  <c r="C205" i="3"/>
  <c r="D205" i="3"/>
  <c r="F205" i="3"/>
  <c r="G205" i="3"/>
  <c r="H205" i="3"/>
  <c r="I205" i="3"/>
  <c r="J205" i="3"/>
  <c r="C204" i="3"/>
  <c r="D204" i="3"/>
  <c r="F204" i="3"/>
  <c r="G204" i="3"/>
  <c r="H204" i="3"/>
  <c r="I204" i="3"/>
  <c r="J204" i="3"/>
  <c r="C203" i="3"/>
  <c r="D203" i="3"/>
  <c r="F203" i="3"/>
  <c r="G203" i="3"/>
  <c r="H203" i="3"/>
  <c r="I203" i="3"/>
  <c r="J203" i="3"/>
  <c r="C202" i="3"/>
  <c r="D202" i="3"/>
  <c r="F202" i="3"/>
  <c r="G202" i="3"/>
  <c r="H202" i="3"/>
  <c r="I202" i="3"/>
  <c r="J202" i="3"/>
  <c r="C201" i="3"/>
  <c r="D201" i="3"/>
  <c r="F201" i="3"/>
  <c r="G201" i="3"/>
  <c r="H201" i="3"/>
  <c r="I201" i="3"/>
  <c r="J201" i="3"/>
  <c r="C200" i="3"/>
  <c r="D200" i="3"/>
  <c r="F200" i="3"/>
  <c r="G200" i="3"/>
  <c r="H200" i="3"/>
  <c r="I200" i="3"/>
  <c r="J200" i="3"/>
  <c r="C199" i="3"/>
  <c r="D199" i="3"/>
  <c r="F199" i="3"/>
  <c r="G199" i="3"/>
  <c r="H199" i="3"/>
  <c r="I199" i="3"/>
  <c r="J199" i="3"/>
  <c r="C198" i="3"/>
  <c r="D198" i="3"/>
  <c r="F198" i="3"/>
  <c r="G198" i="3"/>
  <c r="H198" i="3"/>
  <c r="I198" i="3"/>
  <c r="J198" i="3"/>
  <c r="C197" i="3"/>
  <c r="D197" i="3"/>
  <c r="F197" i="3"/>
  <c r="G197" i="3"/>
  <c r="H197" i="3"/>
  <c r="I197" i="3"/>
  <c r="J197" i="3"/>
  <c r="C161" i="3"/>
  <c r="C162" i="3"/>
  <c r="C163" i="3"/>
  <c r="D161" i="3"/>
  <c r="D162" i="3"/>
  <c r="D163" i="3"/>
  <c r="F161" i="3"/>
  <c r="F162" i="3"/>
  <c r="F163" i="3"/>
  <c r="G161" i="3"/>
  <c r="G162" i="3"/>
  <c r="G163" i="3"/>
  <c r="H161" i="3"/>
  <c r="H162" i="3"/>
  <c r="H163" i="3"/>
  <c r="I161" i="3"/>
  <c r="I162" i="3"/>
  <c r="I163" i="3"/>
  <c r="J161" i="3"/>
  <c r="J162" i="3"/>
  <c r="J163" i="3"/>
  <c r="C173" i="3"/>
  <c r="D173" i="3"/>
  <c r="F173" i="3"/>
  <c r="G173" i="3"/>
  <c r="H173" i="3"/>
  <c r="I173" i="3"/>
  <c r="J173" i="3"/>
  <c r="C172" i="3"/>
  <c r="D172" i="3"/>
  <c r="F172" i="3"/>
  <c r="G172" i="3"/>
  <c r="H172" i="3"/>
  <c r="I172" i="3"/>
  <c r="J172" i="3"/>
  <c r="C164" i="3"/>
  <c r="C165" i="3"/>
  <c r="D164" i="3"/>
  <c r="D165" i="3"/>
  <c r="F164" i="3"/>
  <c r="F165" i="3"/>
  <c r="G164" i="3"/>
  <c r="G165" i="3"/>
  <c r="H164" i="3"/>
  <c r="H165" i="3"/>
  <c r="I164" i="3"/>
  <c r="I165" i="3"/>
  <c r="J164" i="3"/>
  <c r="J165" i="3"/>
  <c r="C160" i="3"/>
  <c r="D160" i="3"/>
  <c r="F160" i="3"/>
  <c r="G160" i="3"/>
  <c r="H160" i="3"/>
  <c r="I160" i="3"/>
  <c r="J160" i="3"/>
  <c r="C159" i="3"/>
  <c r="D159" i="3"/>
  <c r="F159" i="3"/>
  <c r="G159" i="3"/>
  <c r="H159" i="3"/>
  <c r="I159" i="3"/>
  <c r="J159" i="3"/>
  <c r="C158" i="3"/>
  <c r="D158" i="3"/>
  <c r="F158" i="3"/>
  <c r="G158" i="3"/>
  <c r="H158" i="3"/>
  <c r="I158" i="3"/>
  <c r="J158" i="3"/>
  <c r="C148" i="3"/>
  <c r="D148" i="3"/>
  <c r="F148" i="3"/>
  <c r="G148" i="3"/>
  <c r="H148" i="3"/>
  <c r="I148" i="3"/>
  <c r="J148" i="3"/>
  <c r="C152" i="3"/>
  <c r="D152" i="3"/>
  <c r="F152" i="3"/>
  <c r="G152" i="3"/>
  <c r="H152" i="3"/>
  <c r="I152" i="3"/>
  <c r="J152" i="3"/>
  <c r="C150" i="3"/>
  <c r="D150" i="3"/>
  <c r="F150" i="3"/>
  <c r="G150" i="3"/>
  <c r="H150" i="3"/>
  <c r="I150" i="3"/>
  <c r="J150" i="3"/>
  <c r="C149" i="3"/>
  <c r="D149" i="3"/>
  <c r="F149" i="3"/>
  <c r="G149" i="3"/>
  <c r="H149" i="3"/>
  <c r="I149" i="3"/>
  <c r="J149" i="3"/>
  <c r="C147" i="3"/>
  <c r="D147" i="3"/>
  <c r="F147" i="3"/>
  <c r="G147" i="3"/>
  <c r="H147" i="3"/>
  <c r="I147" i="3"/>
  <c r="J147" i="3"/>
  <c r="C112" i="3"/>
  <c r="D112" i="3"/>
  <c r="F112" i="3"/>
  <c r="G112" i="3"/>
  <c r="H112" i="3"/>
  <c r="I112" i="3"/>
  <c r="J112" i="3"/>
  <c r="C110" i="3"/>
  <c r="D110" i="3"/>
  <c r="F110" i="3"/>
  <c r="G110" i="3"/>
  <c r="H110" i="3"/>
  <c r="I110" i="3"/>
  <c r="J110" i="3"/>
  <c r="C104" i="3"/>
  <c r="D104" i="3"/>
  <c r="F104" i="3"/>
  <c r="G104" i="3"/>
  <c r="H104" i="3"/>
  <c r="I104" i="3"/>
  <c r="J104" i="3"/>
  <c r="C103" i="3"/>
  <c r="D103" i="3"/>
  <c r="F103" i="3"/>
  <c r="G103" i="3"/>
  <c r="H103" i="3"/>
  <c r="I103" i="3"/>
  <c r="J103" i="3"/>
  <c r="C102" i="3"/>
  <c r="D102" i="3"/>
  <c r="F102" i="3"/>
  <c r="G102" i="3"/>
  <c r="H102" i="3"/>
  <c r="I102" i="3"/>
  <c r="J102" i="3"/>
  <c r="C101" i="3"/>
  <c r="D101" i="3"/>
  <c r="F101" i="3"/>
  <c r="G101" i="3"/>
  <c r="H101" i="3"/>
  <c r="I101" i="3"/>
  <c r="J101" i="3"/>
  <c r="K212" i="3" l="1"/>
  <c r="K207" i="3"/>
  <c r="K206" i="3"/>
  <c r="K205" i="3"/>
  <c r="K204" i="3"/>
  <c r="K203" i="3"/>
  <c r="K202" i="3"/>
  <c r="K201" i="3"/>
  <c r="K200" i="3"/>
  <c r="K199" i="3"/>
  <c r="K198" i="3"/>
  <c r="K197" i="3"/>
  <c r="K161" i="3"/>
  <c r="K163" i="3"/>
  <c r="K162" i="3"/>
  <c r="K173" i="3"/>
  <c r="K172" i="3"/>
  <c r="K164" i="3"/>
  <c r="K165" i="3"/>
  <c r="K160" i="3"/>
  <c r="K159" i="3"/>
  <c r="K158" i="3"/>
  <c r="K148" i="3"/>
  <c r="K152" i="3"/>
  <c r="K150" i="3"/>
  <c r="K149" i="3"/>
  <c r="K147" i="3"/>
  <c r="K112" i="3"/>
  <c r="K110" i="3"/>
  <c r="K104" i="3"/>
  <c r="K103" i="3"/>
  <c r="K102" i="3"/>
  <c r="K101" i="3"/>
  <c r="C100" i="3"/>
  <c r="D100" i="3"/>
  <c r="F100" i="3"/>
  <c r="G100" i="3"/>
  <c r="H100" i="3"/>
  <c r="I100" i="3"/>
  <c r="J100" i="3"/>
  <c r="C99" i="3"/>
  <c r="D99" i="3"/>
  <c r="F99" i="3"/>
  <c r="G99" i="3"/>
  <c r="H99" i="3"/>
  <c r="I99" i="3"/>
  <c r="J99" i="3"/>
  <c r="K100" i="3" l="1"/>
  <c r="K99" i="3"/>
  <c r="C98" i="3"/>
  <c r="D98" i="3"/>
  <c r="F98" i="3"/>
  <c r="G98" i="3"/>
  <c r="H98" i="3"/>
  <c r="I98" i="3"/>
  <c r="J98" i="3"/>
  <c r="C97" i="3"/>
  <c r="D97" i="3"/>
  <c r="F97" i="3"/>
  <c r="G97" i="3"/>
  <c r="H97" i="3"/>
  <c r="I97" i="3"/>
  <c r="J97" i="3"/>
  <c r="C96" i="3"/>
  <c r="D96" i="3"/>
  <c r="F96" i="3"/>
  <c r="G96" i="3"/>
  <c r="H96" i="3"/>
  <c r="I96" i="3"/>
  <c r="J96" i="3"/>
  <c r="C95" i="3"/>
  <c r="D95" i="3"/>
  <c r="F95" i="3"/>
  <c r="G95" i="3"/>
  <c r="H95" i="3"/>
  <c r="I95" i="3"/>
  <c r="J95" i="3"/>
  <c r="C94" i="3"/>
  <c r="D94" i="3"/>
  <c r="F94" i="3"/>
  <c r="G94" i="3"/>
  <c r="H94" i="3"/>
  <c r="I94" i="3"/>
  <c r="J94" i="3"/>
  <c r="C93" i="3"/>
  <c r="D93" i="3"/>
  <c r="F93" i="3"/>
  <c r="G93" i="3"/>
  <c r="H93" i="3"/>
  <c r="I93" i="3"/>
  <c r="J93" i="3"/>
  <c r="C92" i="3"/>
  <c r="D92" i="3"/>
  <c r="F92" i="3"/>
  <c r="G92" i="3"/>
  <c r="H92" i="3"/>
  <c r="I92" i="3"/>
  <c r="J92" i="3"/>
  <c r="C91" i="3"/>
  <c r="D91" i="3"/>
  <c r="F91" i="3"/>
  <c r="G91" i="3"/>
  <c r="H91" i="3"/>
  <c r="I91" i="3"/>
  <c r="J91" i="3"/>
  <c r="C90" i="3"/>
  <c r="D90" i="3"/>
  <c r="F90" i="3"/>
  <c r="G90" i="3"/>
  <c r="H90" i="3"/>
  <c r="I90" i="3"/>
  <c r="J90" i="3"/>
  <c r="B72" i="1"/>
  <c r="H72" i="1" s="1"/>
  <c r="C72" i="1"/>
  <c r="E72" i="1" s="1"/>
  <c r="B67" i="1"/>
  <c r="H67" i="1" s="1"/>
  <c r="C67" i="1"/>
  <c r="E67" i="1" s="1"/>
  <c r="I67" i="1" l="1"/>
  <c r="D64" i="21"/>
  <c r="K98" i="3"/>
  <c r="K97" i="3"/>
  <c r="K96" i="3"/>
  <c r="K95" i="3"/>
  <c r="K94" i="3"/>
  <c r="K93" i="3"/>
  <c r="K92" i="3"/>
  <c r="K91" i="3"/>
  <c r="K90" i="3"/>
  <c r="I72" i="1"/>
  <c r="G72" i="1"/>
  <c r="J72" i="1"/>
  <c r="F72" i="1"/>
  <c r="F67" i="1"/>
  <c r="J67" i="1"/>
  <c r="G67" i="1"/>
  <c r="B66" i="1"/>
  <c r="C66" i="1"/>
  <c r="E66" i="1" s="1"/>
  <c r="D63" i="21" s="1"/>
  <c r="D2" i="27"/>
  <c r="U2" i="14"/>
  <c r="T2" i="14"/>
  <c r="C39" i="21"/>
  <c r="Z2" i="14"/>
  <c r="Y2" i="14"/>
  <c r="X2" i="14"/>
  <c r="W2" i="14"/>
  <c r="D20" i="21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D2" i="28"/>
  <c r="DO2" i="9"/>
  <c r="DC2" i="9"/>
  <c r="S2" i="27"/>
  <c r="R2" i="27"/>
  <c r="Q2" i="27"/>
  <c r="P2" i="27"/>
  <c r="O2" i="27"/>
  <c r="J2" i="31"/>
  <c r="J3" i="31" s="1"/>
  <c r="J4" i="31" s="1"/>
  <c r="AT54" i="28" l="1"/>
  <c r="AT52" i="28"/>
  <c r="AT53" i="28"/>
  <c r="AT50" i="28"/>
  <c r="AT51" i="28"/>
  <c r="AT48" i="28"/>
  <c r="AT49" i="28"/>
  <c r="AT46" i="28"/>
  <c r="AT47" i="28"/>
  <c r="AT44" i="28"/>
  <c r="AT45" i="28"/>
  <c r="AT42" i="28"/>
  <c r="AT43" i="28"/>
  <c r="AT40" i="28"/>
  <c r="AT41" i="28"/>
  <c r="AT36" i="28"/>
  <c r="AT38" i="28"/>
  <c r="AT39" i="28"/>
  <c r="AT37" i="28"/>
  <c r="AT34" i="28"/>
  <c r="AT35" i="28"/>
  <c r="AT32" i="28"/>
  <c r="AT33" i="28"/>
  <c r="AT30" i="28"/>
  <c r="AT31" i="28"/>
  <c r="AT28" i="28"/>
  <c r="AT29" i="28"/>
  <c r="AT26" i="28"/>
  <c r="AT27" i="28"/>
  <c r="AT24" i="28"/>
  <c r="AT25" i="28"/>
  <c r="AT22" i="28"/>
  <c r="AT23" i="28"/>
  <c r="AT20" i="28"/>
  <c r="AT21" i="28"/>
  <c r="AT18" i="28"/>
  <c r="AT19" i="28"/>
  <c r="AT16" i="28"/>
  <c r="AT17" i="28"/>
  <c r="AT15" i="28"/>
  <c r="AT12" i="28"/>
  <c r="AT13" i="28"/>
  <c r="AT14" i="28"/>
  <c r="AT10" i="28"/>
  <c r="AT11" i="28"/>
  <c r="AT8" i="28"/>
  <c r="AT9" i="28"/>
  <c r="AT6" i="28"/>
  <c r="AT7" i="28"/>
  <c r="AT5" i="28"/>
  <c r="AT3" i="28"/>
  <c r="AT4" i="28"/>
  <c r="M2" i="27"/>
  <c r="L2" i="27"/>
  <c r="H66" i="1"/>
  <c r="I66" i="1"/>
  <c r="J66" i="1"/>
  <c r="F66" i="1"/>
  <c r="G66" i="1"/>
  <c r="H2" i="19"/>
  <c r="G2" i="19"/>
  <c r="J5" i="31"/>
  <c r="AL2" i="27"/>
  <c r="AH2" i="27"/>
  <c r="AQ2" i="27"/>
  <c r="AP2" i="27"/>
  <c r="AO2" i="27"/>
  <c r="AS2" i="29"/>
  <c r="X2" i="29"/>
  <c r="Y2" i="29"/>
  <c r="U2" i="29"/>
  <c r="T2" i="29"/>
  <c r="AV2" i="29"/>
  <c r="C2" i="29"/>
  <c r="BB2" i="28"/>
  <c r="BA2" i="28"/>
  <c r="AZ2" i="28"/>
  <c r="AN2" i="28"/>
  <c r="AM2" i="28"/>
  <c r="AL2" i="28"/>
  <c r="AK2" i="28"/>
  <c r="Y2" i="28"/>
  <c r="Z2" i="28"/>
  <c r="U2" i="28"/>
  <c r="V2" i="28"/>
  <c r="R2" i="19"/>
  <c r="A2" i="28"/>
  <c r="C2" i="28"/>
  <c r="BU2" i="9"/>
  <c r="BZ2" i="9"/>
  <c r="P2" i="19"/>
  <c r="AG2" i="27"/>
  <c r="AK2" i="27"/>
  <c r="B2" i="27"/>
  <c r="AT2" i="9"/>
  <c r="AV10" i="9" s="1"/>
  <c r="AJ2" i="9"/>
  <c r="AL10" i="9" s="1"/>
  <c r="P2" i="9"/>
  <c r="BF7" i="9" s="1"/>
  <c r="B2" i="9"/>
  <c r="C2" i="19"/>
  <c r="A2" i="14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AM31" i="28" l="1"/>
  <c r="AV36" i="29"/>
  <c r="AK31" i="28"/>
  <c r="AK32" i="28"/>
  <c r="AN31" i="28"/>
  <c r="AM32" i="28"/>
  <c r="AK30" i="28"/>
  <c r="AL30" i="28"/>
  <c r="BA54" i="28"/>
  <c r="AN30" i="28"/>
  <c r="AL32" i="28"/>
  <c r="AM30" i="28"/>
  <c r="AL31" i="28"/>
  <c r="AN32" i="28"/>
  <c r="BB54" i="28"/>
  <c r="AZ54" i="28"/>
  <c r="AV50" i="29"/>
  <c r="AV42" i="29"/>
  <c r="AL15" i="29"/>
  <c r="BA53" i="28"/>
  <c r="AV38" i="29"/>
  <c r="AV47" i="29"/>
  <c r="AV39" i="29"/>
  <c r="AL12" i="29"/>
  <c r="BB53" i="28"/>
  <c r="AL14" i="29"/>
  <c r="AL11" i="29"/>
  <c r="AV44" i="29"/>
  <c r="AV35" i="29"/>
  <c r="AZ52" i="28"/>
  <c r="BA52" i="28"/>
  <c r="AV49" i="29"/>
  <c r="AV41" i="29"/>
  <c r="AV46" i="29"/>
  <c r="AV51" i="29"/>
  <c r="AV43" i="29"/>
  <c r="AL16" i="29"/>
  <c r="BB52" i="28"/>
  <c r="AV45" i="29"/>
  <c r="AZ53" i="28"/>
  <c r="AV48" i="29"/>
  <c r="AV40" i="29"/>
  <c r="AL13" i="29"/>
  <c r="AV37" i="29"/>
  <c r="BA49" i="28"/>
  <c r="BB49" i="28"/>
  <c r="BA51" i="28"/>
  <c r="BB51" i="28"/>
  <c r="BA50" i="28"/>
  <c r="BB50" i="28"/>
  <c r="AA16" i="28"/>
  <c r="AA17" i="28"/>
  <c r="AZ49" i="28"/>
  <c r="AZ50" i="28"/>
  <c r="AZ51" i="28"/>
  <c r="C32" i="14"/>
  <c r="D32" i="14" s="1"/>
  <c r="M32" i="14" s="1"/>
  <c r="C33" i="14"/>
  <c r="D33" i="14" s="1"/>
  <c r="M33" i="14" s="1"/>
  <c r="AK10" i="9"/>
  <c r="AM10" i="9"/>
  <c r="AW10" i="9"/>
  <c r="AU10" i="9"/>
  <c r="AI32" i="28"/>
  <c r="AW54" i="28"/>
  <c r="AI30" i="28"/>
  <c r="AI31" i="28"/>
  <c r="AL25" i="27"/>
  <c r="AL27" i="27"/>
  <c r="W15" i="28"/>
  <c r="W14" i="28"/>
  <c r="AH27" i="27"/>
  <c r="AW52" i="28"/>
  <c r="AH26" i="27"/>
  <c r="AW53" i="28"/>
  <c r="AW50" i="28"/>
  <c r="N16" i="28"/>
  <c r="AW51" i="28"/>
  <c r="AW49" i="28"/>
  <c r="N17" i="28"/>
  <c r="AV60" i="9"/>
  <c r="AU60" i="9" s="1"/>
  <c r="AV61" i="9"/>
  <c r="AL60" i="9"/>
  <c r="AK60" i="9" s="1"/>
  <c r="AL61" i="9"/>
  <c r="AL58" i="9"/>
  <c r="AK58" i="9" s="1"/>
  <c r="AL59" i="9"/>
  <c r="AV58" i="9"/>
  <c r="AW58" i="9" s="1"/>
  <c r="AV59" i="9"/>
  <c r="AL42" i="9"/>
  <c r="AV42" i="9"/>
  <c r="AL56" i="9"/>
  <c r="AK56" i="9" s="1"/>
  <c r="AL57" i="9"/>
  <c r="AV56" i="9"/>
  <c r="AW56" i="9" s="1"/>
  <c r="AV57" i="9"/>
  <c r="AL54" i="9"/>
  <c r="AK54" i="9" s="1"/>
  <c r="AL55" i="9"/>
  <c r="AV54" i="9"/>
  <c r="AU54" i="9" s="1"/>
  <c r="AV55" i="9"/>
  <c r="AV52" i="9"/>
  <c r="AW52" i="9" s="1"/>
  <c r="AV53" i="9"/>
  <c r="AL52" i="9"/>
  <c r="AK52" i="9" s="1"/>
  <c r="AL53" i="9"/>
  <c r="AL50" i="9"/>
  <c r="AM50" i="9" s="1"/>
  <c r="AL51" i="9"/>
  <c r="AV50" i="9"/>
  <c r="AU50" i="9" s="1"/>
  <c r="AV51" i="9"/>
  <c r="AV48" i="9"/>
  <c r="AU48" i="9" s="1"/>
  <c r="AV49" i="9"/>
  <c r="AL48" i="9"/>
  <c r="AM48" i="9" s="1"/>
  <c r="AL49" i="9"/>
  <c r="AV46" i="9"/>
  <c r="AU46" i="9" s="1"/>
  <c r="AV47" i="9"/>
  <c r="AL45" i="9"/>
  <c r="AK45" i="9" s="1"/>
  <c r="AL47" i="9"/>
  <c r="AL46" i="9"/>
  <c r="AV44" i="9"/>
  <c r="AU44" i="9" s="1"/>
  <c r="AV45" i="9"/>
  <c r="AL43" i="9"/>
  <c r="AM43" i="9" s="1"/>
  <c r="AL44" i="9"/>
  <c r="AV41" i="9"/>
  <c r="AW41" i="9" s="1"/>
  <c r="AV43" i="9"/>
  <c r="AL40" i="9"/>
  <c r="AK40" i="9" s="1"/>
  <c r="AL41" i="9"/>
  <c r="AV39" i="9"/>
  <c r="AW39" i="9" s="1"/>
  <c r="AV40" i="9"/>
  <c r="C30" i="14"/>
  <c r="D30" i="14" s="1"/>
  <c r="M30" i="14" s="1"/>
  <c r="C31" i="14"/>
  <c r="D31" i="14" s="1"/>
  <c r="AB19" i="27"/>
  <c r="AK19" i="27" s="1"/>
  <c r="AB25" i="27"/>
  <c r="AB24" i="27"/>
  <c r="AL38" i="9"/>
  <c r="AM38" i="9" s="1"/>
  <c r="AL39" i="9"/>
  <c r="AV26" i="9"/>
  <c r="AW26" i="9" s="1"/>
  <c r="AV38" i="9"/>
  <c r="AW44" i="28"/>
  <c r="AW45" i="28"/>
  <c r="AH24" i="27"/>
  <c r="AW47" i="28"/>
  <c r="AW46" i="28"/>
  <c r="AW48" i="28"/>
  <c r="AH25" i="27"/>
  <c r="AZ47" i="28"/>
  <c r="BA47" i="28"/>
  <c r="BA45" i="28"/>
  <c r="BB47" i="28"/>
  <c r="BB45" i="28"/>
  <c r="AV33" i="29"/>
  <c r="AV34" i="29"/>
  <c r="AZ44" i="28"/>
  <c r="AZ48" i="28"/>
  <c r="AZ46" i="28"/>
  <c r="BA48" i="28"/>
  <c r="BA46" i="28"/>
  <c r="BA44" i="28"/>
  <c r="AV30" i="29"/>
  <c r="AV32" i="29"/>
  <c r="BB48" i="28"/>
  <c r="BB46" i="28"/>
  <c r="BB44" i="28"/>
  <c r="AV29" i="29"/>
  <c r="AL10" i="29"/>
  <c r="AZ45" i="28"/>
  <c r="AV31" i="29"/>
  <c r="AL37" i="9"/>
  <c r="AK37" i="9" s="1"/>
  <c r="AL26" i="9"/>
  <c r="AW43" i="28"/>
  <c r="AW40" i="28"/>
  <c r="AW42" i="28"/>
  <c r="AW41" i="28"/>
  <c r="AL19" i="27"/>
  <c r="AV36" i="9"/>
  <c r="AW36" i="9" s="1"/>
  <c r="AV37" i="9"/>
  <c r="AL35" i="9"/>
  <c r="AM35" i="9" s="1"/>
  <c r="AL36" i="9"/>
  <c r="AV33" i="9"/>
  <c r="AU33" i="9" s="1"/>
  <c r="AV35" i="9"/>
  <c r="AV34" i="9"/>
  <c r="AL33" i="9"/>
  <c r="AM33" i="9" s="1"/>
  <c r="AL34" i="9"/>
  <c r="AV31" i="9"/>
  <c r="AW31" i="9" s="1"/>
  <c r="AV32" i="9"/>
  <c r="AL31" i="9"/>
  <c r="AK31" i="9" s="1"/>
  <c r="AL32" i="9"/>
  <c r="AZ43" i="28"/>
  <c r="BB43" i="28"/>
  <c r="AZ41" i="28"/>
  <c r="AM29" i="28"/>
  <c r="AK27" i="28"/>
  <c r="AN25" i="28"/>
  <c r="AM26" i="28"/>
  <c r="AN27" i="28"/>
  <c r="BA42" i="28"/>
  <c r="AM24" i="28"/>
  <c r="AN28" i="28"/>
  <c r="BB40" i="28"/>
  <c r="AM25" i="28"/>
  <c r="BA41" i="28"/>
  <c r="AK26" i="28"/>
  <c r="AN29" i="28"/>
  <c r="AL27" i="28"/>
  <c r="AZ42" i="28"/>
  <c r="AL24" i="28"/>
  <c r="AN26" i="28"/>
  <c r="BA40" i="28"/>
  <c r="AL25" i="28"/>
  <c r="AL29" i="28"/>
  <c r="BB41" i="28"/>
  <c r="AL26" i="28"/>
  <c r="AM27" i="28"/>
  <c r="AK24" i="28"/>
  <c r="AK28" i="28"/>
  <c r="AL28" i="28"/>
  <c r="AK29" i="28"/>
  <c r="BA43" i="28"/>
  <c r="BB42" i="28"/>
  <c r="AZ40" i="28"/>
  <c r="AM28" i="28"/>
  <c r="AK25" i="28"/>
  <c r="AN24" i="28"/>
  <c r="AH19" i="27"/>
  <c r="AI29" i="28"/>
  <c r="AI26" i="28"/>
  <c r="AI25" i="28"/>
  <c r="N15" i="28"/>
  <c r="AI27" i="28"/>
  <c r="AI24" i="28"/>
  <c r="AI28" i="28"/>
  <c r="N14" i="28"/>
  <c r="C15" i="14"/>
  <c r="D15" i="14" s="1"/>
  <c r="M15" i="14" s="1"/>
  <c r="C22" i="14"/>
  <c r="D22" i="14" s="1"/>
  <c r="M22" i="14" s="1"/>
  <c r="C21" i="14"/>
  <c r="D21" i="14" s="1"/>
  <c r="M21" i="14" s="1"/>
  <c r="C5" i="14"/>
  <c r="D5" i="14" s="1"/>
  <c r="M5" i="14" s="1"/>
  <c r="C6" i="14"/>
  <c r="D6" i="14" s="1"/>
  <c r="AL22" i="27"/>
  <c r="AL20" i="27"/>
  <c r="BA39" i="28"/>
  <c r="AL23" i="28"/>
  <c r="AN22" i="28"/>
  <c r="AA13" i="28"/>
  <c r="AZ36" i="28"/>
  <c r="BB36" i="28"/>
  <c r="AM23" i="28"/>
  <c r="AZ37" i="28"/>
  <c r="BB37" i="28"/>
  <c r="AN23" i="28"/>
  <c r="AA12" i="28"/>
  <c r="AK21" i="28"/>
  <c r="AL22" i="28"/>
  <c r="AM22" i="28"/>
  <c r="AZ38" i="28"/>
  <c r="BB38" i="28"/>
  <c r="BA37" i="28"/>
  <c r="AZ39" i="28"/>
  <c r="BB39" i="28"/>
  <c r="AL21" i="28"/>
  <c r="BA38" i="28"/>
  <c r="AK23" i="28"/>
  <c r="BA36" i="28"/>
  <c r="AK22" i="28"/>
  <c r="AM21" i="28"/>
  <c r="AN21" i="28"/>
  <c r="AK20" i="28"/>
  <c r="AV26" i="29"/>
  <c r="BA33" i="28"/>
  <c r="AL20" i="28"/>
  <c r="AK18" i="28"/>
  <c r="Z10" i="29"/>
  <c r="AZ35" i="28"/>
  <c r="BB33" i="28"/>
  <c r="AM20" i="28"/>
  <c r="AL18" i="28"/>
  <c r="AV28" i="29"/>
  <c r="BA35" i="28"/>
  <c r="AN20" i="28"/>
  <c r="AM18" i="28"/>
  <c r="BA32" i="28"/>
  <c r="AL19" i="28"/>
  <c r="AV27" i="29"/>
  <c r="BB35" i="28"/>
  <c r="AZ32" i="28"/>
  <c r="AN18" i="28"/>
  <c r="BB32" i="28"/>
  <c r="BB34" i="28"/>
  <c r="AN19" i="28"/>
  <c r="BA34" i="28"/>
  <c r="AM19" i="28"/>
  <c r="AA10" i="28"/>
  <c r="AA11" i="28"/>
  <c r="AZ34" i="28"/>
  <c r="Z9" i="29"/>
  <c r="AK19" i="28"/>
  <c r="AZ33" i="28"/>
  <c r="AW37" i="28"/>
  <c r="N12" i="28"/>
  <c r="AC12" i="28" s="1"/>
  <c r="AI21" i="28"/>
  <c r="AH23" i="27"/>
  <c r="AW38" i="28"/>
  <c r="AW36" i="28"/>
  <c r="AH22" i="27"/>
  <c r="N13" i="28"/>
  <c r="AD13" i="28" s="1"/>
  <c r="AI22" i="28"/>
  <c r="AW39" i="28"/>
  <c r="AI23" i="28"/>
  <c r="AB22" i="27"/>
  <c r="AB23" i="27"/>
  <c r="W12" i="28"/>
  <c r="AB20" i="27"/>
  <c r="AK20" i="27" s="1"/>
  <c r="AB21" i="27"/>
  <c r="AI19" i="28"/>
  <c r="N10" i="28"/>
  <c r="W10" i="28" s="1"/>
  <c r="U10" i="28" s="1"/>
  <c r="AW34" i="28"/>
  <c r="N11" i="28"/>
  <c r="W11" i="28" s="1"/>
  <c r="U11" i="28" s="1"/>
  <c r="AW32" i="28"/>
  <c r="AI18" i="28"/>
  <c r="AW35" i="28"/>
  <c r="AW33" i="28"/>
  <c r="AH20" i="27"/>
  <c r="AH21" i="27"/>
  <c r="AI20" i="28"/>
  <c r="W5" i="28"/>
  <c r="AV29" i="9"/>
  <c r="AW29" i="9" s="1"/>
  <c r="AV30" i="9"/>
  <c r="AL29" i="9"/>
  <c r="AM29" i="9" s="1"/>
  <c r="AL30" i="9"/>
  <c r="AV27" i="9"/>
  <c r="AU27" i="9" s="1"/>
  <c r="AV28" i="9"/>
  <c r="AL27" i="9"/>
  <c r="AM27" i="9" s="1"/>
  <c r="AL28" i="9"/>
  <c r="AB17" i="27"/>
  <c r="AK17" i="27" s="1"/>
  <c r="AB18" i="27"/>
  <c r="AW30" i="28"/>
  <c r="AW29" i="28"/>
  <c r="AI17" i="28"/>
  <c r="AW31" i="28"/>
  <c r="AV15" i="29"/>
  <c r="AV20" i="29"/>
  <c r="BB30" i="28"/>
  <c r="AK17" i="28"/>
  <c r="BB28" i="28"/>
  <c r="AV17" i="29"/>
  <c r="AL7" i="29"/>
  <c r="AV25" i="29"/>
  <c r="AV23" i="29"/>
  <c r="AV21" i="29"/>
  <c r="AZ31" i="28"/>
  <c r="AL17" i="28"/>
  <c r="AL8" i="29"/>
  <c r="AM16" i="28"/>
  <c r="BA30" i="28"/>
  <c r="BA31" i="28"/>
  <c r="AM17" i="28"/>
  <c r="AK16" i="28"/>
  <c r="AV19" i="29"/>
  <c r="AV16" i="29"/>
  <c r="BA29" i="28"/>
  <c r="BB31" i="28"/>
  <c r="AZ29" i="28"/>
  <c r="AN17" i="28"/>
  <c r="AL16" i="28"/>
  <c r="AZ30" i="28"/>
  <c r="BA28" i="28"/>
  <c r="AV24" i="29"/>
  <c r="AV22" i="29"/>
  <c r="AL9" i="29"/>
  <c r="BB29" i="28"/>
  <c r="AN16" i="28"/>
  <c r="AV18" i="29"/>
  <c r="AZ28" i="28"/>
  <c r="AL18" i="27"/>
  <c r="AL25" i="9"/>
  <c r="AK25" i="9" s="1"/>
  <c r="AV25" i="9"/>
  <c r="AU25" i="9" s="1"/>
  <c r="AL24" i="9"/>
  <c r="AV24" i="9"/>
  <c r="AL22" i="9"/>
  <c r="AK22" i="9" s="1"/>
  <c r="AL23" i="9"/>
  <c r="AV22" i="9"/>
  <c r="AW22" i="9" s="1"/>
  <c r="AV23" i="9"/>
  <c r="R2" i="9"/>
  <c r="AX2" i="9" s="1"/>
  <c r="AI16" i="28"/>
  <c r="AW28" i="28"/>
  <c r="AH18" i="27"/>
  <c r="N9" i="28"/>
  <c r="Z8" i="29"/>
  <c r="AL20" i="9"/>
  <c r="AM20" i="9" s="1"/>
  <c r="AL21" i="9"/>
  <c r="AV20" i="9"/>
  <c r="AU20" i="9" s="1"/>
  <c r="AV21" i="9"/>
  <c r="AL18" i="9"/>
  <c r="AK18" i="9" s="1"/>
  <c r="AL19" i="9"/>
  <c r="AV18" i="9"/>
  <c r="AW18" i="9" s="1"/>
  <c r="AV19" i="9"/>
  <c r="AV16" i="9"/>
  <c r="AW16" i="9" s="1"/>
  <c r="AV17" i="9"/>
  <c r="AL16" i="9"/>
  <c r="AM16" i="9" s="1"/>
  <c r="AL17" i="9"/>
  <c r="C11" i="14"/>
  <c r="D11" i="14" s="1"/>
  <c r="M11" i="14" s="1"/>
  <c r="C12" i="14"/>
  <c r="D12" i="14" s="1"/>
  <c r="E31" i="27" s="1"/>
  <c r="C9" i="14"/>
  <c r="D9" i="14" s="1"/>
  <c r="M9" i="14" s="1"/>
  <c r="C28" i="14"/>
  <c r="D28" i="14" s="1"/>
  <c r="M28" i="14" s="1"/>
  <c r="C29" i="14"/>
  <c r="D29" i="14" s="1"/>
  <c r="E13" i="28" s="1"/>
  <c r="BB27" i="28"/>
  <c r="BB25" i="28"/>
  <c r="AM15" i="28"/>
  <c r="BB23" i="28"/>
  <c r="BB21" i="28"/>
  <c r="AM14" i="28"/>
  <c r="BA27" i="28"/>
  <c r="AL15" i="28"/>
  <c r="BA23" i="28"/>
  <c r="BA21" i="28"/>
  <c r="AL14" i="28"/>
  <c r="AZ27" i="28"/>
  <c r="AK15" i="28"/>
  <c r="AZ23" i="28"/>
  <c r="AK14" i="28"/>
  <c r="BA25" i="28"/>
  <c r="AZ25" i="28"/>
  <c r="AZ21" i="28"/>
  <c r="AN15" i="28"/>
  <c r="BB26" i="28"/>
  <c r="BB24" i="28"/>
  <c r="BB22" i="28"/>
  <c r="BB20" i="28"/>
  <c r="AV14" i="29"/>
  <c r="AZ26" i="28"/>
  <c r="AZ24" i="28"/>
  <c r="AZ22" i="28"/>
  <c r="AZ20" i="28"/>
  <c r="BA26" i="28"/>
  <c r="BA24" i="28"/>
  <c r="BA22" i="28"/>
  <c r="BA20" i="28"/>
  <c r="AL6" i="29"/>
  <c r="AN14" i="28"/>
  <c r="BA18" i="28"/>
  <c r="AV10" i="29"/>
  <c r="AL5" i="29"/>
  <c r="BB16" i="28"/>
  <c r="AN12" i="28"/>
  <c r="BB17" i="28"/>
  <c r="BA12" i="28"/>
  <c r="AN13" i="28"/>
  <c r="AV9" i="29"/>
  <c r="AM11" i="28"/>
  <c r="AL13" i="28"/>
  <c r="BB19" i="28"/>
  <c r="BA16" i="28"/>
  <c r="AM12" i="28"/>
  <c r="BA19" i="28"/>
  <c r="AL12" i="28"/>
  <c r="BB12" i="28"/>
  <c r="AZ19" i="28"/>
  <c r="BA17" i="28"/>
  <c r="AN11" i="28"/>
  <c r="AZ12" i="28"/>
  <c r="AM13" i="28"/>
  <c r="BB18" i="28"/>
  <c r="AL11" i="28"/>
  <c r="AZ15" i="28"/>
  <c r="AZ13" i="28"/>
  <c r="AN10" i="28"/>
  <c r="AL10" i="28"/>
  <c r="AK10" i="28"/>
  <c r="BB15" i="28"/>
  <c r="BA13" i="28"/>
  <c r="BB14" i="28"/>
  <c r="AM10" i="28"/>
  <c r="BA14" i="28"/>
  <c r="AZ14" i="28"/>
  <c r="BB13" i="28"/>
  <c r="BA15" i="28"/>
  <c r="AV7" i="29"/>
  <c r="Z3" i="29"/>
  <c r="AK12" i="28"/>
  <c r="AV12" i="29"/>
  <c r="AV8" i="29"/>
  <c r="Z4" i="29"/>
  <c r="AA7" i="28"/>
  <c r="AZ17" i="28"/>
  <c r="Z6" i="29"/>
  <c r="AV11" i="29"/>
  <c r="AA8" i="28"/>
  <c r="AA6" i="28"/>
  <c r="AZ18" i="28"/>
  <c r="Z5" i="29"/>
  <c r="AZ16" i="28"/>
  <c r="AK11" i="28"/>
  <c r="Z7" i="29"/>
  <c r="AV13" i="29"/>
  <c r="AK13" i="28"/>
  <c r="AL13" i="9"/>
  <c r="AL14" i="9"/>
  <c r="AL15" i="9"/>
  <c r="AL11" i="9"/>
  <c r="AL12" i="9"/>
  <c r="BN3" i="9"/>
  <c r="BF2" i="9"/>
  <c r="BF4" i="9"/>
  <c r="BF5" i="9"/>
  <c r="BF3" i="9"/>
  <c r="BF6" i="9"/>
  <c r="AL9" i="27"/>
  <c r="AL15" i="27"/>
  <c r="AL17" i="27"/>
  <c r="AL14" i="27"/>
  <c r="AL16" i="27"/>
  <c r="AL13" i="27"/>
  <c r="AL11" i="27"/>
  <c r="AH16" i="27"/>
  <c r="AW26" i="28"/>
  <c r="AH15" i="27"/>
  <c r="AW23" i="28"/>
  <c r="AW25" i="28"/>
  <c r="AW21" i="28"/>
  <c r="AW20" i="28"/>
  <c r="AW22" i="28"/>
  <c r="AI15" i="28"/>
  <c r="AW27" i="28"/>
  <c r="AI14" i="28"/>
  <c r="AH17" i="27"/>
  <c r="AW24" i="28"/>
  <c r="AH14" i="27"/>
  <c r="AH13" i="27"/>
  <c r="AB15" i="27"/>
  <c r="AB16" i="27"/>
  <c r="AB13" i="27"/>
  <c r="AG13" i="27" s="1"/>
  <c r="AB14" i="27"/>
  <c r="W5" i="14"/>
  <c r="AB12" i="27"/>
  <c r="Z5" i="14"/>
  <c r="Y5" i="14"/>
  <c r="AB11" i="27"/>
  <c r="X5" i="14"/>
  <c r="AH12" i="27"/>
  <c r="AH11" i="27"/>
  <c r="N6" i="28"/>
  <c r="AW19" i="28"/>
  <c r="AI11" i="28"/>
  <c r="N7" i="28"/>
  <c r="N8" i="28"/>
  <c r="AI12" i="28"/>
  <c r="AW16" i="28"/>
  <c r="AW17" i="28"/>
  <c r="AW18" i="28"/>
  <c r="AI13" i="28"/>
  <c r="AB9" i="27"/>
  <c r="AB10" i="27"/>
  <c r="AH10" i="27"/>
  <c r="AH9" i="27"/>
  <c r="AV14" i="9"/>
  <c r="AU14" i="9" s="1"/>
  <c r="AV15" i="9"/>
  <c r="AV12" i="9"/>
  <c r="AW12" i="9" s="1"/>
  <c r="AV13" i="9"/>
  <c r="AL8" i="27"/>
  <c r="AL5" i="27"/>
  <c r="AL7" i="27"/>
  <c r="AL6" i="27"/>
  <c r="AW12" i="28"/>
  <c r="AH6" i="27"/>
  <c r="AH5" i="27"/>
  <c r="AW14" i="28"/>
  <c r="N5" i="28"/>
  <c r="AI10" i="28"/>
  <c r="AW13" i="28"/>
  <c r="AW15" i="28"/>
  <c r="AH8" i="27"/>
  <c r="AH7" i="27"/>
  <c r="AV9" i="9"/>
  <c r="AU9" i="9" s="1"/>
  <c r="AV11" i="9"/>
  <c r="AB8" i="27"/>
  <c r="AB7" i="27"/>
  <c r="AB5" i="27"/>
  <c r="AG5" i="27" s="1"/>
  <c r="AB6" i="27"/>
  <c r="AL6" i="9"/>
  <c r="AM6" i="9" s="1"/>
  <c r="AL7" i="9"/>
  <c r="AL8" i="9"/>
  <c r="AL9" i="9"/>
  <c r="AV7" i="9"/>
  <c r="AW7" i="9" s="1"/>
  <c r="AV8" i="9"/>
  <c r="AZ6" i="28"/>
  <c r="AN7" i="28"/>
  <c r="AN9" i="28"/>
  <c r="BB11" i="28"/>
  <c r="AA3" i="28"/>
  <c r="BA8" i="28"/>
  <c r="AL5" i="28"/>
  <c r="AM5" i="28"/>
  <c r="BB10" i="28"/>
  <c r="AM7" i="28"/>
  <c r="AK7" i="28"/>
  <c r="AK9" i="28"/>
  <c r="BA11" i="28"/>
  <c r="AA4" i="28"/>
  <c r="AK5" i="28"/>
  <c r="AM6" i="28"/>
  <c r="BA6" i="28"/>
  <c r="AM8" i="28"/>
  <c r="AM9" i="28"/>
  <c r="BA9" i="28"/>
  <c r="AZ10" i="28"/>
  <c r="BB8" i="28"/>
  <c r="AL9" i="28"/>
  <c r="AN6" i="28"/>
  <c r="AK8" i="28"/>
  <c r="AZ8" i="28"/>
  <c r="AL6" i="28"/>
  <c r="AZ11" i="28"/>
  <c r="AL8" i="28"/>
  <c r="AZ9" i="28"/>
  <c r="AN5" i="28"/>
  <c r="AZ7" i="28"/>
  <c r="BB7" i="28"/>
  <c r="AN8" i="28"/>
  <c r="AK6" i="28"/>
  <c r="BB6" i="28"/>
  <c r="AL7" i="28"/>
  <c r="BB9" i="28"/>
  <c r="BA7" i="28"/>
  <c r="BA10" i="28"/>
  <c r="E2" i="27"/>
  <c r="F2" i="9"/>
  <c r="E2" i="29"/>
  <c r="E2" i="28"/>
  <c r="AI8" i="28"/>
  <c r="N3" i="28"/>
  <c r="W3" i="28" s="1"/>
  <c r="AI9" i="28"/>
  <c r="AW11" i="28"/>
  <c r="AW9" i="28"/>
  <c r="N4" i="28"/>
  <c r="W4" i="28" s="1"/>
  <c r="U4" i="28" s="1"/>
  <c r="AW10" i="28"/>
  <c r="X4" i="14"/>
  <c r="Z4" i="14"/>
  <c r="Y4" i="14"/>
  <c r="W4" i="14"/>
  <c r="AL3" i="27"/>
  <c r="AB4" i="27"/>
  <c r="Z3" i="14"/>
  <c r="AB3" i="27"/>
  <c r="Y3" i="14"/>
  <c r="X3" i="14"/>
  <c r="W3" i="14"/>
  <c r="AW6" i="28"/>
  <c r="AW8" i="28"/>
  <c r="AI7" i="28"/>
  <c r="AI6" i="28"/>
  <c r="AI5" i="28"/>
  <c r="AW7" i="28"/>
  <c r="AI3" i="28"/>
  <c r="AW3" i="28"/>
  <c r="AW4" i="28"/>
  <c r="AW5" i="28"/>
  <c r="AI4" i="28"/>
  <c r="AH3" i="27"/>
  <c r="AH4" i="27"/>
  <c r="AV6" i="29"/>
  <c r="AV4" i="29"/>
  <c r="AV5" i="29"/>
  <c r="BA4" i="28"/>
  <c r="AL4" i="29"/>
  <c r="BB3" i="28"/>
  <c r="AM3" i="28"/>
  <c r="BB5" i="28"/>
  <c r="BA3" i="28"/>
  <c r="AL3" i="28"/>
  <c r="BA5" i="28"/>
  <c r="AZ3" i="28"/>
  <c r="AK3" i="28"/>
  <c r="AZ5" i="28"/>
  <c r="AN4" i="28"/>
  <c r="BB4" i="28"/>
  <c r="AM4" i="28"/>
  <c r="AL3" i="29"/>
  <c r="AL4" i="28"/>
  <c r="AV3" i="29"/>
  <c r="AZ4" i="28"/>
  <c r="AK4" i="28"/>
  <c r="AN3" i="28"/>
  <c r="AV2" i="9"/>
  <c r="AV3" i="9"/>
  <c r="AV4" i="9"/>
  <c r="AV5" i="9"/>
  <c r="AV6" i="9"/>
  <c r="AL4" i="9"/>
  <c r="AK4" i="9" s="1"/>
  <c r="AL5" i="9"/>
  <c r="AL3" i="9"/>
  <c r="AL2" i="9"/>
  <c r="C7" i="14"/>
  <c r="D7" i="14" s="1"/>
  <c r="C4" i="14"/>
  <c r="D4" i="14" s="1"/>
  <c r="C3" i="14"/>
  <c r="C2" i="14"/>
  <c r="D2" i="14" s="1"/>
  <c r="C14" i="14"/>
  <c r="D14" i="14" s="1"/>
  <c r="C23" i="14"/>
  <c r="D23" i="14" s="1"/>
  <c r="C25" i="14"/>
  <c r="D25" i="14" s="1"/>
  <c r="C27" i="14"/>
  <c r="D27" i="14" s="1"/>
  <c r="C19" i="14"/>
  <c r="D19" i="14" s="1"/>
  <c r="C10" i="14"/>
  <c r="D10" i="14" s="1"/>
  <c r="C13" i="14"/>
  <c r="D13" i="14" s="1"/>
  <c r="C8" i="14"/>
  <c r="D8" i="14" s="1"/>
  <c r="C18" i="14"/>
  <c r="D18" i="14" s="1"/>
  <c r="C20" i="14"/>
  <c r="D20" i="14" s="1"/>
  <c r="C24" i="14"/>
  <c r="D24" i="14" s="1"/>
  <c r="C16" i="14"/>
  <c r="D16" i="14" s="1"/>
  <c r="C26" i="14"/>
  <c r="D26" i="14" s="1"/>
  <c r="C17" i="14"/>
  <c r="D17" i="14" s="1"/>
  <c r="DQ2" i="9"/>
  <c r="DE2" i="9"/>
  <c r="J6" i="31"/>
  <c r="Y2" i="27"/>
  <c r="AA2" i="28"/>
  <c r="AD2" i="28"/>
  <c r="AC2" i="28"/>
  <c r="AB2" i="28"/>
  <c r="K2" i="28"/>
  <c r="CA2" i="9"/>
  <c r="CB2" i="9"/>
  <c r="AI2" i="2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E17" i="28" l="1"/>
  <c r="E43" i="27"/>
  <c r="E42" i="27"/>
  <c r="F11" i="9"/>
  <c r="M31" i="14"/>
  <c r="E48" i="27"/>
  <c r="E47" i="27"/>
  <c r="E46" i="27"/>
  <c r="E18" i="28"/>
  <c r="E9" i="29"/>
  <c r="F12" i="9"/>
  <c r="E44" i="27"/>
  <c r="F13" i="9"/>
  <c r="E45" i="27"/>
  <c r="Z17" i="28"/>
  <c r="AC17" i="28"/>
  <c r="AD17" i="28"/>
  <c r="V17" i="28"/>
  <c r="AB17" i="28"/>
  <c r="W17" i="28"/>
  <c r="U17" i="28" s="1"/>
  <c r="AB16" i="28"/>
  <c r="AC16" i="28"/>
  <c r="AD16" i="28"/>
  <c r="W16" i="28"/>
  <c r="U16" i="28" s="1"/>
  <c r="Z16" i="28"/>
  <c r="V16" i="28"/>
  <c r="AM60" i="9"/>
  <c r="AW60" i="9"/>
  <c r="AK61" i="9"/>
  <c r="AM61" i="9"/>
  <c r="AU61" i="9"/>
  <c r="AW61" i="9"/>
  <c r="AM58" i="9"/>
  <c r="AU58" i="9"/>
  <c r="AU59" i="9"/>
  <c r="AW59" i="9"/>
  <c r="AK59" i="9"/>
  <c r="AM59" i="9"/>
  <c r="AW42" i="9"/>
  <c r="AU42" i="9"/>
  <c r="AK42" i="9"/>
  <c r="AM42" i="9"/>
  <c r="AM56" i="9"/>
  <c r="AU56" i="9"/>
  <c r="AU57" i="9"/>
  <c r="AW57" i="9"/>
  <c r="AK57" i="9"/>
  <c r="AM57" i="9"/>
  <c r="AM54" i="9"/>
  <c r="AW54" i="9"/>
  <c r="AU52" i="9"/>
  <c r="AU55" i="9"/>
  <c r="AW55" i="9"/>
  <c r="AK55" i="9"/>
  <c r="AM55" i="9"/>
  <c r="AM52" i="9"/>
  <c r="AK53" i="9"/>
  <c r="AM53" i="9"/>
  <c r="AU53" i="9"/>
  <c r="AW53" i="9"/>
  <c r="AK50" i="9"/>
  <c r="AW50" i="9"/>
  <c r="AU51" i="9"/>
  <c r="AW51" i="9"/>
  <c r="AK51" i="9"/>
  <c r="AM51" i="9"/>
  <c r="AW48" i="9"/>
  <c r="AK48" i="9"/>
  <c r="AM49" i="9"/>
  <c r="AK49" i="9"/>
  <c r="AU49" i="9"/>
  <c r="AW49" i="9"/>
  <c r="AM45" i="9"/>
  <c r="AW46" i="9"/>
  <c r="AM47" i="9"/>
  <c r="AK47" i="9"/>
  <c r="AU47" i="9"/>
  <c r="AW47" i="9"/>
  <c r="AM46" i="9"/>
  <c r="AK46" i="9"/>
  <c r="AW44" i="9"/>
  <c r="AU45" i="9"/>
  <c r="AW45" i="9"/>
  <c r="AU39" i="9"/>
  <c r="AK43" i="9"/>
  <c r="AM44" i="9"/>
  <c r="AK44" i="9"/>
  <c r="AU41" i="9"/>
  <c r="AU43" i="9"/>
  <c r="AW43" i="9"/>
  <c r="AM40" i="9"/>
  <c r="AK41" i="9"/>
  <c r="AM41" i="9"/>
  <c r="AK38" i="9"/>
  <c r="AU40" i="9"/>
  <c r="AW40" i="9"/>
  <c r="AU26" i="9"/>
  <c r="E11" i="28"/>
  <c r="AG19" i="27"/>
  <c r="AG24" i="27"/>
  <c r="AK24" i="27"/>
  <c r="AG25" i="27"/>
  <c r="AK25" i="27"/>
  <c r="AM39" i="9"/>
  <c r="AK39" i="9"/>
  <c r="AM37" i="9"/>
  <c r="AU38" i="9"/>
  <c r="AW38" i="9"/>
  <c r="AM26" i="9"/>
  <c r="AK26" i="9"/>
  <c r="M6" i="14"/>
  <c r="E8" i="29"/>
  <c r="E39" i="27"/>
  <c r="E16" i="28"/>
  <c r="E40" i="27"/>
  <c r="F10" i="9"/>
  <c r="E41" i="27"/>
  <c r="AW33" i="9"/>
  <c r="AU36" i="9"/>
  <c r="AW37" i="9"/>
  <c r="AU37" i="9"/>
  <c r="AK35" i="9"/>
  <c r="AU31" i="9"/>
  <c r="AK36" i="9"/>
  <c r="AM36" i="9"/>
  <c r="AM31" i="9"/>
  <c r="AK33" i="9"/>
  <c r="AU34" i="9"/>
  <c r="AW34" i="9"/>
  <c r="AW35" i="9"/>
  <c r="AU35" i="9"/>
  <c r="AK34" i="9"/>
  <c r="AM34" i="9"/>
  <c r="AM32" i="9"/>
  <c r="AK32" i="9"/>
  <c r="AW32" i="9"/>
  <c r="AU32" i="9"/>
  <c r="AA15" i="28"/>
  <c r="Y15" i="28" s="1"/>
  <c r="AB15" i="28"/>
  <c r="V15" i="28"/>
  <c r="Z15" i="28"/>
  <c r="AC15" i="28"/>
  <c r="AD15" i="28"/>
  <c r="AC14" i="28"/>
  <c r="AD14" i="28"/>
  <c r="Z14" i="28"/>
  <c r="V14" i="28"/>
  <c r="AB14" i="28"/>
  <c r="AA14" i="28"/>
  <c r="Y14" i="28" s="1"/>
  <c r="W13" i="28"/>
  <c r="U13" i="28" s="1"/>
  <c r="AG22" i="27"/>
  <c r="AK22" i="27"/>
  <c r="AB13" i="28"/>
  <c r="Z13" i="28"/>
  <c r="V13" i="28"/>
  <c r="AB12" i="28"/>
  <c r="AC13" i="28"/>
  <c r="AD12" i="28"/>
  <c r="AK29" i="9"/>
  <c r="E36" i="27"/>
  <c r="V12" i="28"/>
  <c r="Z12" i="28"/>
  <c r="AG23" i="27"/>
  <c r="AK23" i="27"/>
  <c r="AG20" i="27"/>
  <c r="AG21" i="27"/>
  <c r="AK21" i="27"/>
  <c r="AB11" i="28"/>
  <c r="AD11" i="28"/>
  <c r="V11" i="28"/>
  <c r="AC11" i="28"/>
  <c r="Z11" i="28"/>
  <c r="AB10" i="28"/>
  <c r="V10" i="28"/>
  <c r="Z10" i="28"/>
  <c r="AD10" i="28"/>
  <c r="AC10" i="28"/>
  <c r="M12" i="14"/>
  <c r="E29" i="27"/>
  <c r="F7" i="9"/>
  <c r="E10" i="28"/>
  <c r="E30" i="27"/>
  <c r="E28" i="27"/>
  <c r="E6" i="29"/>
  <c r="M29" i="14"/>
  <c r="E32" i="27"/>
  <c r="E7" i="29"/>
  <c r="E35" i="27"/>
  <c r="F9" i="9"/>
  <c r="E33" i="27"/>
  <c r="E34" i="27"/>
  <c r="E12" i="28"/>
  <c r="F8" i="9"/>
  <c r="AU29" i="9"/>
  <c r="AK30" i="9"/>
  <c r="AM30" i="9"/>
  <c r="AU30" i="9"/>
  <c r="AW30" i="9"/>
  <c r="AW27" i="9"/>
  <c r="AK27" i="9"/>
  <c r="AK28" i="9"/>
  <c r="AM28" i="9"/>
  <c r="AU28" i="9"/>
  <c r="AW28" i="9"/>
  <c r="AG17" i="27"/>
  <c r="AG18" i="27"/>
  <c r="AK18" i="27"/>
  <c r="W10" i="29"/>
  <c r="W9" i="29"/>
  <c r="AW25" i="9"/>
  <c r="AM25" i="9"/>
  <c r="AU24" i="9"/>
  <c r="AW24" i="9"/>
  <c r="AK24" i="9"/>
  <c r="AM24" i="9"/>
  <c r="AM22" i="9"/>
  <c r="AU22" i="9"/>
  <c r="AU23" i="9"/>
  <c r="AW23" i="9"/>
  <c r="AM23" i="9"/>
  <c r="AK23" i="9"/>
  <c r="AA9" i="28"/>
  <c r="AB9" i="28"/>
  <c r="AD9" i="28"/>
  <c r="AC9" i="28"/>
  <c r="W9" i="28"/>
  <c r="U9" i="28" s="1"/>
  <c r="Z9" i="28"/>
  <c r="V9" i="28"/>
  <c r="W8" i="29"/>
  <c r="AW20" i="9"/>
  <c r="AK20" i="9"/>
  <c r="AM18" i="9"/>
  <c r="AU21" i="9"/>
  <c r="AW21" i="9"/>
  <c r="AK21" i="9"/>
  <c r="AM21" i="9"/>
  <c r="AU18" i="9"/>
  <c r="AW19" i="9"/>
  <c r="AU19" i="9"/>
  <c r="AM19" i="9"/>
  <c r="AK19" i="9"/>
  <c r="AK16" i="9"/>
  <c r="AU16" i="9"/>
  <c r="AM17" i="9"/>
  <c r="AK17" i="9"/>
  <c r="AU17" i="9"/>
  <c r="AW17" i="9"/>
  <c r="AM14" i="9"/>
  <c r="AK14" i="9"/>
  <c r="AM15" i="9"/>
  <c r="AK15" i="9"/>
  <c r="AK13" i="9"/>
  <c r="AM13" i="9"/>
  <c r="AM11" i="9"/>
  <c r="AK11" i="9"/>
  <c r="AM12" i="9"/>
  <c r="AK12" i="9"/>
  <c r="E5" i="29"/>
  <c r="E20" i="27"/>
  <c r="E19" i="27"/>
  <c r="V5" i="14"/>
  <c r="F6" i="9"/>
  <c r="E17" i="27"/>
  <c r="E18" i="27"/>
  <c r="E7" i="28"/>
  <c r="E26" i="27"/>
  <c r="E21" i="27"/>
  <c r="E8" i="28"/>
  <c r="E25" i="27"/>
  <c r="E22" i="27"/>
  <c r="E27" i="27"/>
  <c r="E9" i="28"/>
  <c r="AW14" i="9"/>
  <c r="W5" i="29"/>
  <c r="W7" i="29"/>
  <c r="W6" i="29"/>
  <c r="AK15" i="27"/>
  <c r="AG15" i="27"/>
  <c r="AK16" i="27"/>
  <c r="AG16" i="27"/>
  <c r="AK13" i="27"/>
  <c r="AK14" i="27"/>
  <c r="AG14" i="27"/>
  <c r="AK11" i="27"/>
  <c r="AG11" i="27"/>
  <c r="AK12" i="27"/>
  <c r="AG12" i="27"/>
  <c r="Z7" i="28"/>
  <c r="AD7" i="28"/>
  <c r="AB7" i="28"/>
  <c r="V7" i="28"/>
  <c r="AC7" i="28"/>
  <c r="W7" i="28"/>
  <c r="U7" i="28" s="1"/>
  <c r="Z6" i="28"/>
  <c r="AC6" i="28"/>
  <c r="AB6" i="28"/>
  <c r="V6" i="28"/>
  <c r="W6" i="28"/>
  <c r="U6" i="28" s="1"/>
  <c r="AD6" i="28"/>
  <c r="Z8" i="28"/>
  <c r="W8" i="28"/>
  <c r="U8" i="28" s="1"/>
  <c r="V8" i="28"/>
  <c r="AD8" i="28"/>
  <c r="AB8" i="28"/>
  <c r="AC8" i="28"/>
  <c r="AK9" i="27"/>
  <c r="AG9" i="27"/>
  <c r="AK10" i="27"/>
  <c r="AG10" i="27"/>
  <c r="AW15" i="9"/>
  <c r="AU15" i="9"/>
  <c r="AU12" i="9"/>
  <c r="AW13" i="9"/>
  <c r="AU13" i="9"/>
  <c r="E10" i="27"/>
  <c r="E14" i="27"/>
  <c r="E15" i="27"/>
  <c r="E4" i="29"/>
  <c r="F5" i="9"/>
  <c r="E16" i="27"/>
  <c r="W3" i="29"/>
  <c r="W4" i="29"/>
  <c r="Z5" i="28"/>
  <c r="AD5" i="28"/>
  <c r="V5" i="28"/>
  <c r="AB5" i="28"/>
  <c r="AC5" i="28"/>
  <c r="AA5" i="28"/>
  <c r="Y5" i="28" s="1"/>
  <c r="AW11" i="9"/>
  <c r="AU11" i="9"/>
  <c r="AW9" i="9"/>
  <c r="AK8" i="27"/>
  <c r="AG8" i="27"/>
  <c r="AK7" i="27"/>
  <c r="AG7" i="27"/>
  <c r="E12" i="27"/>
  <c r="E13" i="27"/>
  <c r="AK6" i="27"/>
  <c r="AG6" i="27"/>
  <c r="AK5" i="27"/>
  <c r="T5" i="28"/>
  <c r="U3" i="28"/>
  <c r="U5" i="28"/>
  <c r="AM7" i="9"/>
  <c r="AK7" i="9"/>
  <c r="AM8" i="9"/>
  <c r="AK8" i="9"/>
  <c r="AK6" i="9"/>
  <c r="AM9" i="9"/>
  <c r="AK9" i="9"/>
  <c r="E5" i="28"/>
  <c r="F4" i="9"/>
  <c r="AW8" i="9"/>
  <c r="AU8" i="9"/>
  <c r="AU7" i="9"/>
  <c r="A2" i="9"/>
  <c r="A2" i="27"/>
  <c r="K2" i="27"/>
  <c r="Y4" i="28"/>
  <c r="Z4" i="28"/>
  <c r="V4" i="28"/>
  <c r="AC4" i="28"/>
  <c r="AB4" i="28"/>
  <c r="AD4" i="28"/>
  <c r="A2" i="29"/>
  <c r="D2" i="29"/>
  <c r="J2" i="29" s="1"/>
  <c r="Z3" i="28"/>
  <c r="V3" i="28"/>
  <c r="AD3" i="28"/>
  <c r="AB3" i="28"/>
  <c r="AC3" i="28"/>
  <c r="X3" i="28"/>
  <c r="X4" i="28"/>
  <c r="Y3" i="28"/>
  <c r="T3" i="28"/>
  <c r="T4" i="28"/>
  <c r="AK3" i="27"/>
  <c r="AG3" i="27"/>
  <c r="AK4" i="27"/>
  <c r="AG4" i="27"/>
  <c r="E6" i="27"/>
  <c r="E5" i="27"/>
  <c r="V3" i="14"/>
  <c r="E4" i="27"/>
  <c r="E3" i="27"/>
  <c r="E3" i="29"/>
  <c r="E3" i="28"/>
  <c r="F3" i="9"/>
  <c r="AW2" i="9"/>
  <c r="AU2" i="9"/>
  <c r="AU3" i="9"/>
  <c r="AW3" i="9"/>
  <c r="AW6" i="9"/>
  <c r="AU6" i="9"/>
  <c r="AU4" i="9"/>
  <c r="AW4" i="9"/>
  <c r="AU5" i="9"/>
  <c r="AW5" i="9"/>
  <c r="AG2" i="29"/>
  <c r="AM5" i="9"/>
  <c r="AK5" i="9"/>
  <c r="AM4" i="9"/>
  <c r="AM3" i="9"/>
  <c r="AK3" i="9"/>
  <c r="AK2" i="9"/>
  <c r="AM2" i="9"/>
  <c r="D3" i="14"/>
  <c r="M42" i="19" s="1"/>
  <c r="M2" i="14"/>
  <c r="M4" i="14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H45" i="19" l="1"/>
  <c r="H44" i="19"/>
  <c r="T15" i="19"/>
  <c r="T16" i="19"/>
  <c r="M45" i="19"/>
  <c r="M44" i="19"/>
  <c r="T14" i="19"/>
  <c r="D9" i="29"/>
  <c r="J9" i="29" s="1"/>
  <c r="A9" i="29"/>
  <c r="A12" i="9"/>
  <c r="A13" i="9"/>
  <c r="H42" i="19"/>
  <c r="H43" i="19"/>
  <c r="M43" i="19"/>
  <c r="A11" i="9"/>
  <c r="Y17" i="28"/>
  <c r="Y16" i="28"/>
  <c r="X17" i="28"/>
  <c r="T17" i="28"/>
  <c r="T16" i="28"/>
  <c r="X16" i="28"/>
  <c r="M26" i="19"/>
  <c r="E37" i="27"/>
  <c r="E38" i="27"/>
  <c r="E15" i="28"/>
  <c r="E14" i="28"/>
  <c r="T12" i="19"/>
  <c r="T13" i="19"/>
  <c r="A10" i="9"/>
  <c r="D8" i="29"/>
  <c r="AL24" i="27" s="1"/>
  <c r="A8" i="29"/>
  <c r="U15" i="28"/>
  <c r="X14" i="28"/>
  <c r="X15" i="28"/>
  <c r="U14" i="28"/>
  <c r="T15" i="28"/>
  <c r="T14" i="28"/>
  <c r="H41" i="19"/>
  <c r="M41" i="19"/>
  <c r="H40" i="19"/>
  <c r="M40" i="19"/>
  <c r="H39" i="19"/>
  <c r="M38" i="19"/>
  <c r="H38" i="19"/>
  <c r="M39" i="19"/>
  <c r="Y13" i="28"/>
  <c r="H34" i="19"/>
  <c r="M37" i="19"/>
  <c r="T11" i="19"/>
  <c r="U12" i="28"/>
  <c r="T13" i="28"/>
  <c r="Y12" i="28"/>
  <c r="X13" i="28"/>
  <c r="T12" i="28"/>
  <c r="X12" i="28"/>
  <c r="H35" i="19"/>
  <c r="H36" i="19"/>
  <c r="H37" i="19"/>
  <c r="M36" i="19"/>
  <c r="M34" i="19"/>
  <c r="Y11" i="28"/>
  <c r="M35" i="19"/>
  <c r="Y10" i="28"/>
  <c r="X11" i="28"/>
  <c r="T11" i="28"/>
  <c r="X10" i="28"/>
  <c r="T10" i="28"/>
  <c r="Y9" i="28"/>
  <c r="T9" i="28"/>
  <c r="X9" i="28"/>
  <c r="M32" i="19"/>
  <c r="M33" i="19"/>
  <c r="T10" i="19"/>
  <c r="T9" i="19"/>
  <c r="H32" i="19"/>
  <c r="H33" i="19"/>
  <c r="T8" i="19"/>
  <c r="M25" i="19"/>
  <c r="M31" i="19"/>
  <c r="H31" i="19"/>
  <c r="T7" i="19"/>
  <c r="T6" i="19"/>
  <c r="H29" i="19"/>
  <c r="M28" i="19"/>
  <c r="H25" i="19"/>
  <c r="M27" i="19"/>
  <c r="T4" i="19"/>
  <c r="M30" i="19"/>
  <c r="H30" i="19"/>
  <c r="M29" i="19"/>
  <c r="H28" i="19"/>
  <c r="H27" i="19"/>
  <c r="H26" i="19"/>
  <c r="T5" i="19"/>
  <c r="E24" i="27"/>
  <c r="E23" i="27"/>
  <c r="T3" i="19"/>
  <c r="T8" i="28"/>
  <c r="T6" i="28"/>
  <c r="T7" i="28"/>
  <c r="Y7" i="28"/>
  <c r="Y8" i="28"/>
  <c r="X8" i="28"/>
  <c r="X7" i="28"/>
  <c r="Y6" i="28"/>
  <c r="X6" i="28"/>
  <c r="X5" i="28"/>
  <c r="T2" i="19"/>
  <c r="H13" i="19"/>
  <c r="E9" i="27"/>
  <c r="E11" i="27"/>
  <c r="E6" i="28"/>
  <c r="C2" i="9"/>
  <c r="E2" i="9" s="1"/>
  <c r="K2" i="9" s="1"/>
  <c r="H9" i="19"/>
  <c r="M9" i="19"/>
  <c r="V4" i="14"/>
  <c r="E8" i="27"/>
  <c r="E7" i="27"/>
  <c r="M13" i="19"/>
  <c r="AF3" i="28"/>
  <c r="AF4" i="28"/>
  <c r="M17" i="19"/>
  <c r="E4" i="28"/>
  <c r="Z2" i="9"/>
  <c r="AC2" i="9"/>
  <c r="M3" i="14"/>
  <c r="H17" i="19"/>
  <c r="H18" i="19"/>
  <c r="M14" i="19"/>
  <c r="H19" i="19"/>
  <c r="M11" i="19"/>
  <c r="M15" i="19"/>
  <c r="H11" i="19"/>
  <c r="M12" i="19"/>
  <c r="H10" i="19"/>
  <c r="M22" i="19"/>
  <c r="H14" i="19"/>
  <c r="M8" i="19"/>
  <c r="M10" i="19"/>
  <c r="H8" i="19"/>
  <c r="H15" i="19"/>
  <c r="H16" i="19"/>
  <c r="M18" i="19"/>
  <c r="M19" i="19"/>
  <c r="H12" i="19"/>
  <c r="M16" i="19"/>
  <c r="H24" i="19"/>
  <c r="H20" i="19"/>
  <c r="M20" i="19"/>
  <c r="H22" i="19"/>
  <c r="H23" i="19"/>
  <c r="M24" i="19"/>
  <c r="M23" i="19"/>
  <c r="H21" i="19"/>
  <c r="M21" i="19"/>
  <c r="M7" i="14"/>
  <c r="D12" i="21"/>
  <c r="D16" i="21"/>
  <c r="D23" i="21"/>
  <c r="D11" i="21"/>
  <c r="J8" i="31"/>
  <c r="AL26" i="27" l="1"/>
  <c r="AI14" i="29"/>
  <c r="AI16" i="29"/>
  <c r="AI12" i="29"/>
  <c r="AI11" i="29"/>
  <c r="AI13" i="29"/>
  <c r="AI15" i="29"/>
  <c r="A46" i="27"/>
  <c r="L46" i="27"/>
  <c r="L45" i="27"/>
  <c r="K48" i="27"/>
  <c r="K47" i="27"/>
  <c r="L47" i="27"/>
  <c r="K46" i="27"/>
  <c r="A47" i="27"/>
  <c r="A44" i="27"/>
  <c r="A48" i="27"/>
  <c r="L48" i="27"/>
  <c r="K44" i="27"/>
  <c r="L44" i="27"/>
  <c r="K45" i="27"/>
  <c r="A45" i="27"/>
  <c r="K42" i="27"/>
  <c r="K43" i="27"/>
  <c r="A43" i="27"/>
  <c r="L43" i="27"/>
  <c r="A42" i="27"/>
  <c r="L42" i="27"/>
  <c r="K38" i="27"/>
  <c r="K40" i="27"/>
  <c r="A40" i="27"/>
  <c r="L40" i="27"/>
  <c r="L41" i="27"/>
  <c r="A41" i="27"/>
  <c r="K41" i="27"/>
  <c r="L38" i="27"/>
  <c r="A39" i="27"/>
  <c r="K37" i="27"/>
  <c r="A38" i="27"/>
  <c r="L37" i="27"/>
  <c r="L39" i="27"/>
  <c r="K39" i="27"/>
  <c r="A37" i="27"/>
  <c r="J8" i="29"/>
  <c r="AI10" i="29"/>
  <c r="A9" i="9"/>
  <c r="L31" i="27"/>
  <c r="K31" i="27"/>
  <c r="A31" i="27"/>
  <c r="A35" i="27"/>
  <c r="A36" i="27"/>
  <c r="K36" i="27"/>
  <c r="L36" i="27"/>
  <c r="A34" i="27"/>
  <c r="A33" i="27"/>
  <c r="L34" i="27"/>
  <c r="K34" i="27"/>
  <c r="L33" i="27"/>
  <c r="K35" i="27"/>
  <c r="K33" i="27"/>
  <c r="L35" i="27"/>
  <c r="A7" i="9"/>
  <c r="A8" i="9"/>
  <c r="K32" i="27"/>
  <c r="A32" i="27"/>
  <c r="L32" i="27"/>
  <c r="A7" i="29"/>
  <c r="D7" i="29"/>
  <c r="AL23" i="27" s="1"/>
  <c r="K30" i="27"/>
  <c r="L30" i="27"/>
  <c r="A30" i="27"/>
  <c r="A29" i="27"/>
  <c r="K29" i="27"/>
  <c r="L29" i="27"/>
  <c r="A6" i="29"/>
  <c r="D6" i="29"/>
  <c r="A28" i="27"/>
  <c r="K28" i="27"/>
  <c r="L28" i="27"/>
  <c r="A27" i="27"/>
  <c r="L26" i="27"/>
  <c r="A25" i="27"/>
  <c r="K26" i="27"/>
  <c r="L25" i="27"/>
  <c r="K25" i="27"/>
  <c r="L27" i="27"/>
  <c r="K27" i="27"/>
  <c r="A26" i="27"/>
  <c r="K24" i="27"/>
  <c r="L24" i="27"/>
  <c r="A24" i="27"/>
  <c r="K23" i="27"/>
  <c r="L23" i="27"/>
  <c r="A23" i="27"/>
  <c r="L22" i="27"/>
  <c r="A22" i="27"/>
  <c r="K22" i="27"/>
  <c r="L21" i="27"/>
  <c r="A21" i="27"/>
  <c r="K21" i="27"/>
  <c r="K20" i="27"/>
  <c r="L20" i="27"/>
  <c r="A20" i="27"/>
  <c r="A19" i="27"/>
  <c r="L19" i="27"/>
  <c r="K19" i="27"/>
  <c r="D5" i="29"/>
  <c r="A5" i="29"/>
  <c r="K18" i="27"/>
  <c r="L18" i="27"/>
  <c r="A18" i="27"/>
  <c r="L17" i="27"/>
  <c r="A17" i="27"/>
  <c r="K17" i="27"/>
  <c r="A6" i="9"/>
  <c r="L16" i="27"/>
  <c r="A16" i="27"/>
  <c r="K16" i="27"/>
  <c r="D4" i="29"/>
  <c r="A4" i="29"/>
  <c r="K15" i="27"/>
  <c r="A15" i="27"/>
  <c r="L15" i="27"/>
  <c r="A5" i="9"/>
  <c r="L14" i="27"/>
  <c r="A14" i="27"/>
  <c r="K14" i="27"/>
  <c r="L12" i="27"/>
  <c r="A12" i="27"/>
  <c r="K12" i="27"/>
  <c r="L13" i="27"/>
  <c r="K13" i="27"/>
  <c r="A13" i="27"/>
  <c r="A11" i="27"/>
  <c r="L11" i="27"/>
  <c r="K11" i="27"/>
  <c r="A9" i="27"/>
  <c r="K9" i="27"/>
  <c r="L10" i="27"/>
  <c r="L9" i="27"/>
  <c r="A10" i="27"/>
  <c r="K10" i="27"/>
  <c r="A4" i="9"/>
  <c r="D3" i="29"/>
  <c r="J3" i="29" s="1"/>
  <c r="K8" i="27"/>
  <c r="L8" i="27"/>
  <c r="A8" i="27"/>
  <c r="K7" i="27"/>
  <c r="L7" i="27"/>
  <c r="A7" i="27"/>
  <c r="A3" i="9"/>
  <c r="A3" i="29"/>
  <c r="L6" i="27"/>
  <c r="A6" i="27"/>
  <c r="K6" i="27"/>
  <c r="L5" i="27"/>
  <c r="A5" i="27"/>
  <c r="K5" i="27"/>
  <c r="K4" i="27"/>
  <c r="A4" i="27"/>
  <c r="L4" i="27"/>
  <c r="A3" i="27"/>
  <c r="L3" i="27"/>
  <c r="K3" i="27"/>
  <c r="J9" i="31"/>
  <c r="E4" i="31"/>
  <c r="C13" i="9" l="1"/>
  <c r="E13" i="9" s="1"/>
  <c r="C12" i="9"/>
  <c r="E12" i="9" s="1"/>
  <c r="R42" i="9" s="1"/>
  <c r="AX42" i="9" s="1"/>
  <c r="C11" i="9"/>
  <c r="E11" i="9" s="1"/>
  <c r="C10" i="9"/>
  <c r="E10" i="9" s="1"/>
  <c r="J7" i="29"/>
  <c r="AI8" i="29"/>
  <c r="M9" i="29"/>
  <c r="AL21" i="27"/>
  <c r="AI9" i="29"/>
  <c r="M10" i="29"/>
  <c r="C9" i="9"/>
  <c r="E9" i="9" s="1"/>
  <c r="J6" i="29"/>
  <c r="AI7" i="29"/>
  <c r="M8" i="29"/>
  <c r="C8" i="9"/>
  <c r="E8" i="9" s="1"/>
  <c r="R26" i="9" s="1"/>
  <c r="AX26" i="9" s="1"/>
  <c r="C7" i="9"/>
  <c r="E7" i="9" s="1"/>
  <c r="J5" i="29"/>
  <c r="M6" i="29"/>
  <c r="AL12" i="27"/>
  <c r="M7" i="29"/>
  <c r="M5" i="29"/>
  <c r="AI6" i="29"/>
  <c r="C6" i="9"/>
  <c r="E6" i="9" s="1"/>
  <c r="J4" i="29"/>
  <c r="AL10" i="27"/>
  <c r="M4" i="29"/>
  <c r="AI5" i="29"/>
  <c r="M3" i="29"/>
  <c r="C5" i="9"/>
  <c r="E5" i="9" s="1"/>
  <c r="R10" i="9" s="1"/>
  <c r="AX10" i="9" s="1"/>
  <c r="C4" i="9"/>
  <c r="E4" i="9" s="1"/>
  <c r="AL4" i="27"/>
  <c r="AI3" i="29"/>
  <c r="AI4" i="29"/>
  <c r="C3" i="9"/>
  <c r="E3" i="9" s="1"/>
  <c r="R4" i="9" s="1"/>
  <c r="AX4" i="9" s="1"/>
  <c r="AF5" i="28"/>
  <c r="J10" i="31"/>
  <c r="R60" i="9" l="1"/>
  <c r="AX60" i="9" s="1"/>
  <c r="R59" i="9"/>
  <c r="AX59" i="9" s="1"/>
  <c r="R58" i="9"/>
  <c r="AX58" i="9" s="1"/>
  <c r="R61" i="9"/>
  <c r="AX61" i="9" s="1"/>
  <c r="AG15" i="29"/>
  <c r="AG16" i="29"/>
  <c r="AG13" i="29"/>
  <c r="AG14" i="29"/>
  <c r="AG11" i="29"/>
  <c r="AG12" i="29"/>
  <c r="K13" i="9"/>
  <c r="K12" i="9"/>
  <c r="R55" i="9"/>
  <c r="AX55" i="9" s="1"/>
  <c r="R43" i="9"/>
  <c r="AX43" i="9" s="1"/>
  <c r="R52" i="9"/>
  <c r="AX52" i="9" s="1"/>
  <c r="R47" i="9"/>
  <c r="AX47" i="9" s="1"/>
  <c r="R44" i="9"/>
  <c r="AX44" i="9" s="1"/>
  <c r="R41" i="9"/>
  <c r="AX41" i="9" s="1"/>
  <c r="R50" i="9"/>
  <c r="AX50" i="9" s="1"/>
  <c r="R53" i="9"/>
  <c r="AX53" i="9" s="1"/>
  <c r="R54" i="9"/>
  <c r="AX54" i="9" s="1"/>
  <c r="R45" i="9"/>
  <c r="AX45" i="9" s="1"/>
  <c r="R46" i="9"/>
  <c r="AX46" i="9" s="1"/>
  <c r="R56" i="9"/>
  <c r="AX56" i="9" s="1"/>
  <c r="R57" i="9"/>
  <c r="AX57" i="9" s="1"/>
  <c r="R48" i="9"/>
  <c r="AX48" i="9" s="1"/>
  <c r="R49" i="9"/>
  <c r="AX49" i="9" s="1"/>
  <c r="R51" i="9"/>
  <c r="AX51" i="9" s="1"/>
  <c r="R40" i="9"/>
  <c r="AX40" i="9" s="1"/>
  <c r="K11" i="9"/>
  <c r="R39" i="9"/>
  <c r="AX39" i="9" s="1"/>
  <c r="R38" i="9"/>
  <c r="AX38" i="9" s="1"/>
  <c r="K10" i="9"/>
  <c r="R37" i="9"/>
  <c r="AX37" i="9" s="1"/>
  <c r="R35" i="9"/>
  <c r="AX35" i="9" s="1"/>
  <c r="R32" i="9"/>
  <c r="AX32" i="9" s="1"/>
  <c r="R34" i="9"/>
  <c r="AX34" i="9" s="1"/>
  <c r="R36" i="9"/>
  <c r="AX36" i="9" s="1"/>
  <c r="R33" i="9"/>
  <c r="AX33" i="9" s="1"/>
  <c r="AG10" i="29"/>
  <c r="K9" i="9"/>
  <c r="R31" i="9"/>
  <c r="AX31" i="9" s="1"/>
  <c r="R28" i="9"/>
  <c r="AX28" i="9" s="1"/>
  <c r="R29" i="9"/>
  <c r="AX29" i="9" s="1"/>
  <c r="R30" i="9"/>
  <c r="AX30" i="9" s="1"/>
  <c r="R27" i="9"/>
  <c r="AX27" i="9" s="1"/>
  <c r="AG9" i="29"/>
  <c r="U10" i="29"/>
  <c r="X10" i="29"/>
  <c r="AA10" i="29"/>
  <c r="AB10" i="29"/>
  <c r="V10" i="29"/>
  <c r="T10" i="29" s="1"/>
  <c r="AC10" i="29"/>
  <c r="Y10" i="29"/>
  <c r="AA9" i="29"/>
  <c r="Y9" i="29"/>
  <c r="V9" i="29"/>
  <c r="T9" i="29" s="1"/>
  <c r="AC9" i="29"/>
  <c r="U9" i="29"/>
  <c r="AB9" i="29"/>
  <c r="X9" i="29"/>
  <c r="AG8" i="29"/>
  <c r="K8" i="9"/>
  <c r="R23" i="9"/>
  <c r="AX23" i="9" s="1"/>
  <c r="R25" i="9"/>
  <c r="AX25" i="9" s="1"/>
  <c r="R24" i="9"/>
  <c r="AX24" i="9" s="1"/>
  <c r="AG7" i="29"/>
  <c r="Y8" i="29"/>
  <c r="V8" i="29"/>
  <c r="T8" i="29" s="1"/>
  <c r="U8" i="29"/>
  <c r="AA8" i="29"/>
  <c r="AC8" i="29"/>
  <c r="AB8" i="29"/>
  <c r="X8" i="29"/>
  <c r="K7" i="9"/>
  <c r="R18" i="9"/>
  <c r="AX18" i="9" s="1"/>
  <c r="R21" i="9"/>
  <c r="AX21" i="9" s="1"/>
  <c r="R16" i="9"/>
  <c r="AX16" i="9" s="1"/>
  <c r="R19" i="9"/>
  <c r="AX19" i="9" s="1"/>
  <c r="R17" i="9"/>
  <c r="AX17" i="9" s="1"/>
  <c r="R22" i="9"/>
  <c r="AX22" i="9" s="1"/>
  <c r="R20" i="9"/>
  <c r="AX20" i="9" s="1"/>
  <c r="AG6" i="29"/>
  <c r="U6" i="29"/>
  <c r="Y6" i="29"/>
  <c r="V6" i="29"/>
  <c r="T6" i="29" s="1"/>
  <c r="AC6" i="29"/>
  <c r="AA6" i="29"/>
  <c r="AB6" i="29"/>
  <c r="X6" i="29"/>
  <c r="Y5" i="29"/>
  <c r="V5" i="29"/>
  <c r="T5" i="29" s="1"/>
  <c r="AB5" i="29"/>
  <c r="U5" i="29"/>
  <c r="AC5" i="29"/>
  <c r="AA5" i="29"/>
  <c r="X5" i="29"/>
  <c r="K6" i="9"/>
  <c r="R15" i="9"/>
  <c r="AX15" i="9" s="1"/>
  <c r="R14" i="9"/>
  <c r="AX14" i="9" s="1"/>
  <c r="R13" i="9"/>
  <c r="AX13" i="9" s="1"/>
  <c r="R12" i="9"/>
  <c r="AX12" i="9" s="1"/>
  <c r="Y7" i="29"/>
  <c r="U7" i="29"/>
  <c r="AB7" i="29"/>
  <c r="V7" i="29"/>
  <c r="T7" i="29" s="1"/>
  <c r="AC7" i="29"/>
  <c r="AA7" i="29"/>
  <c r="X7" i="29"/>
  <c r="AG5" i="29"/>
  <c r="U4" i="29"/>
  <c r="Y4" i="29"/>
  <c r="V4" i="29"/>
  <c r="T4" i="29" s="1"/>
  <c r="AA4" i="29"/>
  <c r="AC4" i="29"/>
  <c r="AB4" i="29"/>
  <c r="X4" i="29"/>
  <c r="Y3" i="29"/>
  <c r="V3" i="29"/>
  <c r="AA3" i="29"/>
  <c r="AC3" i="29"/>
  <c r="AB3" i="29"/>
  <c r="U3" i="29"/>
  <c r="X3" i="29"/>
  <c r="K5" i="9"/>
  <c r="R11" i="9"/>
  <c r="AX11" i="9" s="1"/>
  <c r="K4" i="9"/>
  <c r="R9" i="9"/>
  <c r="AX9" i="9" s="1"/>
  <c r="R8" i="9"/>
  <c r="AX8" i="9" s="1"/>
  <c r="R7" i="9"/>
  <c r="AX7" i="9" s="1"/>
  <c r="AG4" i="29"/>
  <c r="R3" i="9"/>
  <c r="AX3" i="9" s="1"/>
  <c r="R6" i="9"/>
  <c r="AX6" i="9" s="1"/>
  <c r="R5" i="9"/>
  <c r="AX5" i="9" s="1"/>
  <c r="AF6" i="28"/>
  <c r="AF7" i="28"/>
  <c r="AG3" i="29"/>
  <c r="K3" i="9"/>
  <c r="AC3" i="9"/>
  <c r="M8" i="14"/>
  <c r="J11" i="31"/>
  <c r="AS36" i="29" l="1"/>
  <c r="AS35" i="29"/>
  <c r="AS37" i="29"/>
  <c r="AS50" i="29"/>
  <c r="AS51" i="29"/>
  <c r="AS48" i="29"/>
  <c r="AS49" i="29"/>
  <c r="AS46" i="29"/>
  <c r="AS47" i="29"/>
  <c r="AS44" i="29"/>
  <c r="AS45" i="29"/>
  <c r="AS42" i="29"/>
  <c r="AS41" i="29"/>
  <c r="AS40" i="29"/>
  <c r="AS39" i="29"/>
  <c r="AS38" i="29"/>
  <c r="AS43" i="29"/>
  <c r="AS33" i="29"/>
  <c r="AS34" i="29"/>
  <c r="AS30" i="29"/>
  <c r="AS29" i="29"/>
  <c r="AS32" i="29"/>
  <c r="AS31" i="29"/>
  <c r="AS24" i="29"/>
  <c r="AS27" i="29"/>
  <c r="AS26" i="29"/>
  <c r="AS22" i="29"/>
  <c r="AS25" i="29"/>
  <c r="AS23" i="29"/>
  <c r="AS21" i="29"/>
  <c r="AS28" i="29"/>
  <c r="S10" i="29"/>
  <c r="S9" i="29"/>
  <c r="AS20" i="29"/>
  <c r="AS19" i="29"/>
  <c r="AS16" i="29"/>
  <c r="AS18" i="29"/>
  <c r="AS15" i="29"/>
  <c r="AS17" i="29"/>
  <c r="S8" i="29"/>
  <c r="AS11" i="29"/>
  <c r="AS14" i="29"/>
  <c r="AS13" i="29"/>
  <c r="AS12" i="29"/>
  <c r="S6" i="29"/>
  <c r="S7" i="29"/>
  <c r="T3" i="29"/>
  <c r="S5" i="29"/>
  <c r="AS9" i="29"/>
  <c r="AS10" i="29"/>
  <c r="S4" i="29"/>
  <c r="S3" i="29"/>
  <c r="AS7" i="29"/>
  <c r="AS8" i="29"/>
  <c r="AS6" i="29"/>
  <c r="AS3" i="29"/>
  <c r="AS5" i="29"/>
  <c r="AS4" i="29"/>
  <c r="AC5" i="9"/>
  <c r="Z3" i="9"/>
  <c r="Z4" i="9"/>
  <c r="AC4" i="9"/>
  <c r="J12" i="31"/>
  <c r="Z6" i="9" l="1"/>
  <c r="Z5" i="9"/>
  <c r="M10" i="14"/>
  <c r="J13" i="31"/>
  <c r="Z7" i="9" l="1"/>
  <c r="AC6" i="9"/>
  <c r="M13" i="14"/>
  <c r="J14" i="31"/>
  <c r="D33" i="21"/>
  <c r="C33" i="21"/>
  <c r="D32" i="21"/>
  <c r="C32" i="21"/>
  <c r="AC8" i="9" l="1"/>
  <c r="AC7" i="9"/>
  <c r="M14" i="14"/>
  <c r="J15" i="31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S3" i="25"/>
  <c r="S2" i="25"/>
  <c r="S1" i="25"/>
  <c r="AC9" i="9" l="1"/>
  <c r="Z8" i="9"/>
  <c r="M16" i="14"/>
  <c r="J16" i="31"/>
  <c r="C43" i="21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AC11" i="9" l="1"/>
  <c r="Z9" i="9"/>
  <c r="M17" i="14"/>
  <c r="D26" i="21"/>
  <c r="D39" i="21"/>
  <c r="D31" i="21"/>
  <c r="J17" i="31"/>
  <c r="D42" i="21"/>
  <c r="D43" i="21"/>
  <c r="D25" i="21"/>
  <c r="D41" i="21"/>
  <c r="D7" i="21"/>
  <c r="D10" i="21"/>
  <c r="D6" i="21"/>
  <c r="D40" i="21"/>
  <c r="D24" i="21"/>
  <c r="D3" i="21"/>
  <c r="D38" i="21"/>
  <c r="D5" i="21"/>
  <c r="AC12" i="9" l="1"/>
  <c r="Z11" i="9"/>
  <c r="E1" i="25"/>
  <c r="B8" i="25" s="1"/>
  <c r="M18" i="14"/>
  <c r="J18" i="31"/>
  <c r="B9" i="25"/>
  <c r="R9" i="25" l="1"/>
  <c r="Z13" i="9"/>
  <c r="Z12" i="9"/>
  <c r="M19" i="14"/>
  <c r="J19" i="31"/>
  <c r="B10" i="25"/>
  <c r="R10" i="25" l="1"/>
  <c r="AC14" i="9"/>
  <c r="AC13" i="9"/>
  <c r="M20" i="14"/>
  <c r="J20" i="31"/>
  <c r="B11" i="25"/>
  <c r="R11" i="25" l="1"/>
  <c r="Z14" i="9"/>
  <c r="J21" i="31"/>
  <c r="B12" i="25"/>
  <c r="R12" i="25" l="1"/>
  <c r="Z15" i="9"/>
  <c r="AC15" i="9"/>
  <c r="J22" i="31"/>
  <c r="B13" i="25"/>
  <c r="R13" i="25" l="1"/>
  <c r="J23" i="31"/>
  <c r="B14" i="25"/>
  <c r="R14" i="25" l="1"/>
  <c r="J24" i="31"/>
  <c r="B15" i="25"/>
  <c r="R15" i="25" l="1"/>
  <c r="M23" i="14"/>
  <c r="J25" i="31"/>
  <c r="B16" i="25"/>
  <c r="R16" i="25" l="1"/>
  <c r="M24" i="14"/>
  <c r="J26" i="31"/>
  <c r="B17" i="25"/>
  <c r="R17" i="25" l="1"/>
  <c r="J27" i="31"/>
  <c r="M25" i="14" l="1"/>
  <c r="J28" i="31"/>
  <c r="J29" i="31" l="1"/>
  <c r="J30" i="31" l="1"/>
  <c r="J31" i="31" l="1"/>
  <c r="E2" i="31"/>
  <c r="K9" i="31" l="1"/>
  <c r="K14" i="31"/>
  <c r="K5" i="31"/>
  <c r="K8" i="31"/>
  <c r="K10" i="31"/>
  <c r="K7" i="31"/>
  <c r="K6" i="31"/>
  <c r="K13" i="31"/>
  <c r="K2" i="31"/>
  <c r="K4" i="31"/>
  <c r="K12" i="31"/>
  <c r="K3" i="31"/>
  <c r="K11" i="31"/>
  <c r="M26" i="14"/>
  <c r="J32" i="31"/>
  <c r="M27" i="14" l="1"/>
  <c r="H6" i="19"/>
  <c r="H5" i="19"/>
  <c r="M4" i="19"/>
  <c r="M6" i="19"/>
  <c r="M5" i="19"/>
  <c r="M3" i="19"/>
  <c r="M7" i="19"/>
  <c r="H3" i="19"/>
  <c r="H4" i="19"/>
  <c r="H7" i="19"/>
  <c r="J33" i="31"/>
  <c r="J34" i="31" l="1"/>
  <c r="J35" i="31" l="1"/>
  <c r="J36" i="31" l="1"/>
  <c r="J37" i="31" l="1"/>
  <c r="J38" i="31" l="1"/>
  <c r="J39" i="31" l="1"/>
  <c r="J40" i="31" l="1"/>
  <c r="J41" i="31" l="1"/>
  <c r="J42" i="31" l="1"/>
  <c r="J43" i="31" l="1"/>
  <c r="J44" i="31" l="1"/>
  <c r="J45" i="31" l="1"/>
  <c r="J46" i="31" l="1"/>
  <c r="J47" i="31" l="1"/>
  <c r="J48" i="31" l="1"/>
  <c r="J49" i="31" l="1"/>
  <c r="J50" i="31" l="1"/>
  <c r="J51" i="31" l="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E5" i="31"/>
  <c r="K46" i="31" l="1"/>
  <c r="K48" i="31"/>
  <c r="K53" i="31"/>
  <c r="K23" i="31"/>
  <c r="K41" i="31"/>
  <c r="K24" i="31"/>
  <c r="K33" i="31"/>
  <c r="K16" i="31"/>
  <c r="K36" i="31"/>
  <c r="K56" i="31"/>
  <c r="K19" i="31"/>
  <c r="K57" i="31"/>
  <c r="K40" i="31"/>
  <c r="K29" i="31"/>
  <c r="K34" i="31"/>
  <c r="K15" i="31"/>
  <c r="K60" i="31"/>
  <c r="K44" i="31"/>
  <c r="K55" i="31"/>
  <c r="K49" i="31"/>
  <c r="K32" i="31"/>
  <c r="K21" i="31"/>
  <c r="K54" i="31"/>
  <c r="K52" i="31"/>
  <c r="K59" i="31"/>
  <c r="K50" i="31"/>
  <c r="K30" i="31"/>
  <c r="K51" i="31"/>
  <c r="K26" i="31"/>
  <c r="K45" i="31"/>
  <c r="K42" i="31"/>
  <c r="K43" i="31"/>
  <c r="K20" i="31"/>
  <c r="K22" i="31"/>
  <c r="K31" i="31"/>
  <c r="K25" i="31"/>
  <c r="K18" i="31"/>
  <c r="K47" i="31"/>
  <c r="K61" i="31"/>
  <c r="K28" i="31"/>
  <c r="K35" i="31"/>
  <c r="K17" i="31"/>
  <c r="K38" i="31"/>
  <c r="K39" i="31"/>
  <c r="K37" i="31"/>
  <c r="K58" i="31"/>
  <c r="K27" i="31"/>
  <c r="L2" i="31"/>
  <c r="M2" i="31" s="1"/>
  <c r="J62" i="31"/>
  <c r="K62" i="31" s="1"/>
  <c r="N2" i="31"/>
  <c r="L13" i="31" l="1"/>
  <c r="M13" i="31" s="1"/>
  <c r="L12" i="31"/>
  <c r="M12" i="31" s="1"/>
  <c r="L14" i="31"/>
  <c r="M14" i="31" s="1"/>
  <c r="L15" i="31"/>
  <c r="M15" i="31" s="1"/>
  <c r="L16" i="31"/>
  <c r="M16" i="31" s="1"/>
  <c r="L17" i="31"/>
  <c r="M17" i="31" s="1"/>
  <c r="L11" i="31"/>
  <c r="M11" i="31" s="1"/>
  <c r="L4" i="31"/>
  <c r="M4" i="31" s="1"/>
  <c r="L10" i="31"/>
  <c r="M10" i="31" s="1"/>
  <c r="L9" i="31"/>
  <c r="M9" i="31" s="1"/>
  <c r="L8" i="31"/>
  <c r="M8" i="31" s="1"/>
  <c r="L7" i="31"/>
  <c r="M7" i="31" s="1"/>
  <c r="L6" i="31"/>
  <c r="M6" i="31" s="1"/>
  <c r="L5" i="31"/>
  <c r="M5" i="31" s="1"/>
  <c r="L3" i="31"/>
  <c r="M3" i="31" s="1"/>
  <c r="O2" i="31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P27" i="31"/>
  <c r="P2" i="31"/>
  <c r="P6" i="31"/>
  <c r="P47" i="31"/>
  <c r="N29" i="31"/>
  <c r="P21" i="31"/>
  <c r="P43" i="31"/>
  <c r="P40" i="31"/>
  <c r="P53" i="31"/>
  <c r="N39" i="31"/>
  <c r="P58" i="31"/>
  <c r="P24" i="31"/>
  <c r="N59" i="31"/>
  <c r="P35" i="31"/>
  <c r="N61" i="31"/>
  <c r="N56" i="31"/>
  <c r="N46" i="31"/>
  <c r="N42" i="31"/>
  <c r="P7" i="31"/>
  <c r="P15" i="31"/>
  <c r="N55" i="31"/>
  <c r="P44" i="31"/>
  <c r="P10" i="31"/>
  <c r="P36" i="31"/>
  <c r="P60" i="31"/>
  <c r="P50" i="31"/>
  <c r="P22" i="31"/>
  <c r="N28" i="31"/>
  <c r="N37" i="31"/>
  <c r="N16" i="31"/>
  <c r="N4" i="31"/>
  <c r="N34" i="31"/>
  <c r="N12" i="31"/>
  <c r="P5" i="31"/>
  <c r="N9" i="31"/>
  <c r="P14" i="31"/>
  <c r="N23" i="31"/>
  <c r="N32" i="31"/>
  <c r="P25" i="31"/>
  <c r="P54" i="31"/>
  <c r="N45" i="31"/>
  <c r="P51" i="31"/>
  <c r="P26" i="31"/>
  <c r="P13" i="31"/>
  <c r="P57" i="31"/>
  <c r="P8" i="31"/>
  <c r="P49" i="31"/>
  <c r="P17" i="31"/>
  <c r="N30" i="31"/>
  <c r="P41" i="31"/>
  <c r="N52" i="31"/>
  <c r="P20" i="31"/>
  <c r="P33" i="31"/>
  <c r="N3" i="31"/>
  <c r="P18" i="31"/>
  <c r="P11" i="31"/>
  <c r="P38" i="31"/>
  <c r="P19" i="31"/>
  <c r="N48" i="31"/>
  <c r="P31" i="31"/>
  <c r="O12" i="31" l="1"/>
  <c r="O16" i="31"/>
  <c r="O9" i="31"/>
  <c r="O3" i="31"/>
  <c r="O4" i="31"/>
  <c r="O42" i="31"/>
  <c r="O55" i="31"/>
  <c r="O52" i="31"/>
  <c r="O34" i="31"/>
  <c r="O56" i="31"/>
  <c r="O48" i="31"/>
  <c r="O45" i="31"/>
  <c r="O23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N53" i="31"/>
  <c r="N31" i="31"/>
  <c r="P4" i="31"/>
  <c r="N41" i="31"/>
  <c r="P12" i="31"/>
  <c r="N33" i="31"/>
  <c r="P56" i="31"/>
  <c r="P52" i="31"/>
  <c r="N18" i="31"/>
  <c r="N13" i="31"/>
  <c r="N10" i="31"/>
  <c r="P37" i="31"/>
  <c r="P42" i="31"/>
  <c r="P29" i="31"/>
  <c r="N60" i="31"/>
  <c r="N47" i="31"/>
  <c r="N36" i="31"/>
  <c r="N19" i="31"/>
  <c r="P46" i="31"/>
  <c r="N49" i="31"/>
  <c r="P59" i="31"/>
  <c r="N20" i="31"/>
  <c r="N15" i="31"/>
  <c r="N54" i="31"/>
  <c r="N8" i="31"/>
  <c r="P9" i="31"/>
  <c r="N21" i="31"/>
  <c r="N11" i="31"/>
  <c r="N24" i="31"/>
  <c r="P48" i="31"/>
  <c r="N57" i="31"/>
  <c r="N58" i="31"/>
  <c r="N43" i="31"/>
  <c r="N25" i="31"/>
  <c r="N14" i="31"/>
  <c r="P28" i="31"/>
  <c r="N38" i="31"/>
  <c r="N7" i="31"/>
  <c r="P34" i="31"/>
  <c r="N27" i="31"/>
  <c r="N50" i="31"/>
  <c r="N40" i="31"/>
  <c r="N51" i="31"/>
  <c r="P32" i="31"/>
  <c r="N17" i="31"/>
  <c r="P16" i="31"/>
  <c r="N26" i="31"/>
  <c r="P39" i="31"/>
  <c r="P3" i="31"/>
  <c r="N5" i="31"/>
  <c r="P61" i="31"/>
  <c r="P30" i="31"/>
  <c r="N6" i="31"/>
  <c r="N44" i="31"/>
  <c r="N62" i="31"/>
  <c r="P55" i="31"/>
  <c r="P23" i="31"/>
  <c r="P45" i="31"/>
  <c r="N35" i="31"/>
  <c r="N22" i="31"/>
  <c r="O17" i="31" l="1"/>
  <c r="O11" i="31"/>
  <c r="O5" i="31"/>
  <c r="O6" i="31"/>
  <c r="O6" i="27"/>
  <c r="O3" i="27"/>
  <c r="O15" i="31"/>
  <c r="O13" i="31"/>
  <c r="O10" i="31"/>
  <c r="O14" i="31"/>
  <c r="O7" i="31"/>
  <c r="O8" i="31"/>
  <c r="O21" i="31"/>
  <c r="O26" i="31"/>
  <c r="O60" i="31"/>
  <c r="O35" i="31"/>
  <c r="O19" i="31"/>
  <c r="O18" i="31"/>
  <c r="O27" i="31"/>
  <c r="O31" i="31"/>
  <c r="O50" i="31"/>
  <c r="O25" i="31"/>
  <c r="O54" i="31"/>
  <c r="O53" i="31"/>
  <c r="O51" i="31"/>
  <c r="O49" i="31"/>
  <c r="O22" i="31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N63" i="31"/>
  <c r="P62" i="31"/>
  <c r="P48" i="27" l="1"/>
  <c r="O48" i="27"/>
  <c r="O46" i="27"/>
  <c r="O47" i="27"/>
  <c r="O45" i="27"/>
  <c r="O44" i="27"/>
  <c r="O43" i="27"/>
  <c r="O42" i="27"/>
  <c r="O41" i="27"/>
  <c r="P40" i="27"/>
  <c r="O40" i="27"/>
  <c r="P11" i="27"/>
  <c r="O39" i="27"/>
  <c r="O38" i="27"/>
  <c r="O37" i="27"/>
  <c r="O31" i="27"/>
  <c r="O36" i="27"/>
  <c r="P35" i="27"/>
  <c r="O35" i="27"/>
  <c r="O34" i="27"/>
  <c r="O33" i="27"/>
  <c r="O32" i="27"/>
  <c r="O30" i="27"/>
  <c r="P29" i="27"/>
  <c r="O29" i="27"/>
  <c r="O28" i="27"/>
  <c r="P13" i="27"/>
  <c r="O10" i="27"/>
  <c r="O15" i="27"/>
  <c r="P27" i="27"/>
  <c r="P26" i="27"/>
  <c r="P25" i="27"/>
  <c r="P24" i="27"/>
  <c r="O24" i="27"/>
  <c r="P23" i="27"/>
  <c r="O23" i="27"/>
  <c r="O22" i="27"/>
  <c r="O21" i="27"/>
  <c r="O20" i="27"/>
  <c r="P20" i="27"/>
  <c r="O19" i="27"/>
  <c r="O17" i="27"/>
  <c r="O18" i="27"/>
  <c r="O16" i="27"/>
  <c r="P15" i="27"/>
  <c r="O14" i="27"/>
  <c r="O13" i="27"/>
  <c r="O12" i="27"/>
  <c r="O11" i="27"/>
  <c r="O9" i="27"/>
  <c r="P8" i="27"/>
  <c r="O8" i="27"/>
  <c r="O7" i="27"/>
  <c r="P6" i="27"/>
  <c r="O5" i="27"/>
  <c r="O63" i="31"/>
  <c r="M64" i="31"/>
  <c r="L65" i="31"/>
  <c r="J66" i="31"/>
  <c r="K66" i="31" s="1"/>
  <c r="P63" i="31"/>
  <c r="P64" i="31"/>
  <c r="P12" i="27" l="1"/>
  <c r="M65" i="31"/>
  <c r="L66" i="31"/>
  <c r="J67" i="31"/>
  <c r="K67" i="31" s="1"/>
  <c r="N64" i="31"/>
  <c r="N65" i="31"/>
  <c r="O64" i="31" l="1"/>
  <c r="O27" i="27" s="1"/>
  <c r="O65" i="31"/>
  <c r="M66" i="31"/>
  <c r="L67" i="31"/>
  <c r="J68" i="31"/>
  <c r="K68" i="31" s="1"/>
  <c r="N66" i="31"/>
  <c r="P65" i="31"/>
  <c r="O26" i="27" l="1"/>
  <c r="O25" i="27"/>
  <c r="O66" i="31"/>
  <c r="M67" i="31"/>
  <c r="L68" i="31"/>
  <c r="J69" i="31"/>
  <c r="K69" i="31" s="1"/>
  <c r="P66" i="31"/>
  <c r="N67" i="31"/>
  <c r="O67" i="31" l="1"/>
  <c r="M68" i="31"/>
  <c r="L69" i="31"/>
  <c r="J70" i="31"/>
  <c r="K70" i="31" s="1"/>
  <c r="P67" i="31"/>
  <c r="N68" i="31"/>
  <c r="O68" i="31" l="1"/>
  <c r="M69" i="31"/>
  <c r="L70" i="31"/>
  <c r="J71" i="31"/>
  <c r="K71" i="31" s="1"/>
  <c r="N69" i="31"/>
  <c r="P68" i="31"/>
  <c r="O69" i="31" l="1"/>
  <c r="M70" i="31"/>
  <c r="L71" i="31"/>
  <c r="J72" i="31"/>
  <c r="K72" i="31" s="1"/>
  <c r="P69" i="31"/>
  <c r="N70" i="31"/>
  <c r="O70" i="31" l="1"/>
  <c r="M71" i="31"/>
  <c r="L72" i="31"/>
  <c r="J73" i="31"/>
  <c r="K73" i="31" s="1"/>
  <c r="P70" i="31"/>
  <c r="N71" i="31"/>
  <c r="O71" i="31" l="1"/>
  <c r="M72" i="31"/>
  <c r="L73" i="31"/>
  <c r="J74" i="31"/>
  <c r="K74" i="31" s="1"/>
  <c r="P71" i="31"/>
  <c r="N72" i="31"/>
  <c r="O72" i="31" l="1"/>
  <c r="M73" i="31"/>
  <c r="L74" i="31"/>
  <c r="J75" i="31"/>
  <c r="K75" i="31" s="1"/>
  <c r="P72" i="31"/>
  <c r="N73" i="31"/>
  <c r="O73" i="31" l="1"/>
  <c r="M74" i="31"/>
  <c r="L75" i="31"/>
  <c r="J76" i="31"/>
  <c r="K76" i="31" s="1"/>
  <c r="P73" i="31"/>
  <c r="N74" i="31"/>
  <c r="O74" i="31" l="1"/>
  <c r="M75" i="31"/>
  <c r="L76" i="31"/>
  <c r="J77" i="31"/>
  <c r="K77" i="31" s="1"/>
  <c r="P74" i="31"/>
  <c r="N75" i="31"/>
  <c r="O75" i="31" l="1"/>
  <c r="M76" i="31"/>
  <c r="L77" i="31"/>
  <c r="J78" i="31"/>
  <c r="K78" i="31" s="1"/>
  <c r="P75" i="31"/>
  <c r="N76" i="31"/>
  <c r="O76" i="31" l="1"/>
  <c r="M77" i="31"/>
  <c r="L78" i="31"/>
  <c r="J79" i="31"/>
  <c r="K79" i="31" s="1"/>
  <c r="P76" i="31"/>
  <c r="N77" i="31"/>
  <c r="O77" i="31" l="1"/>
  <c r="M78" i="31"/>
  <c r="L79" i="31"/>
  <c r="J80" i="31"/>
  <c r="K80" i="31" s="1"/>
  <c r="N78" i="31"/>
  <c r="P77" i="31"/>
  <c r="O78" i="31" l="1"/>
  <c r="M79" i="31"/>
  <c r="L80" i="31"/>
  <c r="J81" i="31"/>
  <c r="K81" i="31" s="1"/>
  <c r="P78" i="31"/>
  <c r="N79" i="31"/>
  <c r="O79" i="31" l="1"/>
  <c r="M80" i="31"/>
  <c r="L81" i="31"/>
  <c r="J82" i="31"/>
  <c r="K82" i="31" s="1"/>
  <c r="N80" i="31"/>
  <c r="P79" i="31"/>
  <c r="O80" i="31" l="1"/>
  <c r="M81" i="31"/>
  <c r="L82" i="31"/>
  <c r="J83" i="31"/>
  <c r="K83" i="31" s="1"/>
  <c r="P80" i="31"/>
  <c r="N81" i="31"/>
  <c r="O81" i="31" l="1"/>
  <c r="M82" i="31"/>
  <c r="L83" i="31"/>
  <c r="J84" i="31"/>
  <c r="K84" i="31" s="1"/>
  <c r="N82" i="31"/>
  <c r="P81" i="31"/>
  <c r="O82" i="31" l="1"/>
  <c r="M83" i="31"/>
  <c r="L84" i="31"/>
  <c r="J85" i="31"/>
  <c r="K85" i="31" s="1"/>
  <c r="P82" i="31"/>
  <c r="N83" i="31"/>
  <c r="O83" i="31" l="1"/>
  <c r="M84" i="31"/>
  <c r="L85" i="31"/>
  <c r="J86" i="31"/>
  <c r="K86" i="31" s="1"/>
  <c r="P83" i="31"/>
  <c r="N84" i="31"/>
  <c r="O84" i="31" l="1"/>
  <c r="M85" i="31"/>
  <c r="L86" i="31"/>
  <c r="J87" i="31"/>
  <c r="K87" i="31" s="1"/>
  <c r="P84" i="31"/>
  <c r="N85" i="31"/>
  <c r="O85" i="31" l="1"/>
  <c r="M86" i="31"/>
  <c r="L87" i="31"/>
  <c r="J88" i="31"/>
  <c r="K88" i="31" s="1"/>
  <c r="N86" i="31"/>
  <c r="P85" i="31"/>
  <c r="O86" i="31" l="1"/>
  <c r="M87" i="31"/>
  <c r="L88" i="31"/>
  <c r="J89" i="31"/>
  <c r="K89" i="31" s="1"/>
  <c r="N87" i="31"/>
  <c r="P86" i="31"/>
  <c r="O87" i="31" l="1"/>
  <c r="M88" i="31"/>
  <c r="L89" i="31"/>
  <c r="J90" i="31"/>
  <c r="K90" i="31" s="1"/>
  <c r="P87" i="31"/>
  <c r="N88" i="31"/>
  <c r="O88" i="31" l="1"/>
  <c r="M89" i="31"/>
  <c r="L90" i="31"/>
  <c r="J91" i="31"/>
  <c r="K91" i="31" s="1"/>
  <c r="P88" i="31"/>
  <c r="N89" i="31"/>
  <c r="O89" i="31" l="1"/>
  <c r="M90" i="31"/>
  <c r="L91" i="31"/>
  <c r="J92" i="31"/>
  <c r="K92" i="31" s="1"/>
  <c r="P89" i="31"/>
  <c r="N90" i="31"/>
  <c r="O90" i="31" l="1"/>
  <c r="M91" i="31"/>
  <c r="L92" i="31"/>
  <c r="J93" i="31"/>
  <c r="K93" i="31" s="1"/>
  <c r="P90" i="31"/>
  <c r="N91" i="31"/>
  <c r="O91" i="31" l="1"/>
  <c r="M92" i="31"/>
  <c r="L93" i="31"/>
  <c r="J94" i="31"/>
  <c r="K94" i="31" s="1"/>
  <c r="P91" i="31"/>
  <c r="N92" i="31"/>
  <c r="O92" i="31" l="1"/>
  <c r="M93" i="31"/>
  <c r="L94" i="31"/>
  <c r="J95" i="31"/>
  <c r="K95" i="31" s="1"/>
  <c r="P92" i="31"/>
  <c r="N93" i="31"/>
  <c r="O93" i="31" l="1"/>
  <c r="M94" i="31"/>
  <c r="L95" i="31"/>
  <c r="J96" i="31"/>
  <c r="K96" i="31" s="1"/>
  <c r="N94" i="31"/>
  <c r="P93" i="31"/>
  <c r="O94" i="31" l="1"/>
  <c r="M95" i="31"/>
  <c r="L96" i="31"/>
  <c r="J97" i="31"/>
  <c r="K97" i="31" s="1"/>
  <c r="P94" i="31"/>
  <c r="N95" i="31"/>
  <c r="O95" i="31" l="1"/>
  <c r="M96" i="31"/>
  <c r="L97" i="31"/>
  <c r="J98" i="31"/>
  <c r="K98" i="31" s="1"/>
  <c r="P95" i="31"/>
  <c r="N96" i="31"/>
  <c r="O96" i="31" l="1"/>
  <c r="M97" i="31"/>
  <c r="L98" i="31"/>
  <c r="J99" i="31"/>
  <c r="K99" i="31" s="1"/>
  <c r="P96" i="31"/>
  <c r="N97" i="31"/>
  <c r="O97" i="31" l="1"/>
  <c r="M98" i="31"/>
  <c r="L99" i="31"/>
  <c r="J100" i="31"/>
  <c r="K100" i="31" s="1"/>
  <c r="P97" i="31"/>
  <c r="N98" i="31"/>
  <c r="O98" i="31" l="1"/>
  <c r="M99" i="31"/>
  <c r="L100" i="31"/>
  <c r="J101" i="31"/>
  <c r="K101" i="31" s="1"/>
  <c r="P98" i="31"/>
  <c r="N99" i="31"/>
  <c r="O99" i="31" l="1"/>
  <c r="M100" i="31"/>
  <c r="L101" i="31"/>
  <c r="J102" i="31"/>
  <c r="K102" i="31" s="1"/>
  <c r="N100" i="31"/>
  <c r="P99" i="31"/>
  <c r="O100" i="31" l="1"/>
  <c r="M101" i="31"/>
  <c r="L102" i="31"/>
  <c r="J103" i="31"/>
  <c r="K103" i="31" s="1"/>
  <c r="N101" i="31"/>
  <c r="P100" i="31"/>
  <c r="O101" i="31" l="1"/>
  <c r="M102" i="31"/>
  <c r="L103" i="31"/>
  <c r="J104" i="31"/>
  <c r="K104" i="31" s="1"/>
  <c r="N102" i="31"/>
  <c r="P101" i="31"/>
  <c r="O102" i="31" l="1"/>
  <c r="M103" i="31"/>
  <c r="L104" i="31"/>
  <c r="J105" i="31"/>
  <c r="K105" i="31" s="1"/>
  <c r="P102" i="31"/>
  <c r="N103" i="31"/>
  <c r="O103" i="31" l="1"/>
  <c r="M104" i="31"/>
  <c r="L105" i="31"/>
  <c r="J106" i="31"/>
  <c r="K106" i="31" s="1"/>
  <c r="N104" i="31"/>
  <c r="P103" i="31"/>
  <c r="O104" i="31" l="1"/>
  <c r="M105" i="31"/>
  <c r="L106" i="31"/>
  <c r="J107" i="31"/>
  <c r="K107" i="31" s="1"/>
  <c r="P104" i="31"/>
  <c r="N105" i="31"/>
  <c r="O105" i="31" l="1"/>
  <c r="M106" i="31"/>
  <c r="L107" i="31"/>
  <c r="J108" i="31"/>
  <c r="K108" i="31" s="1"/>
  <c r="P105" i="31"/>
  <c r="N106" i="31"/>
  <c r="O106" i="31" l="1"/>
  <c r="M107" i="31"/>
  <c r="L108" i="31"/>
  <c r="J109" i="31"/>
  <c r="K109" i="31" s="1"/>
  <c r="P106" i="31"/>
  <c r="N107" i="31"/>
  <c r="O107" i="31" l="1"/>
  <c r="M108" i="31"/>
  <c r="L109" i="31"/>
  <c r="J110" i="31"/>
  <c r="K110" i="31" s="1"/>
  <c r="P107" i="31"/>
  <c r="N108" i="31"/>
  <c r="O108" i="31" l="1"/>
  <c r="M109" i="31"/>
  <c r="L110" i="31"/>
  <c r="J111" i="31"/>
  <c r="K111" i="31" s="1"/>
  <c r="N109" i="31"/>
  <c r="P108" i="31"/>
  <c r="O109" i="31" l="1"/>
  <c r="M110" i="31"/>
  <c r="L111" i="31"/>
  <c r="J112" i="31"/>
  <c r="K112" i="31" s="1"/>
  <c r="P109" i="31"/>
  <c r="N110" i="31"/>
  <c r="O110" i="31" l="1"/>
  <c r="M111" i="31"/>
  <c r="L112" i="31"/>
  <c r="J113" i="31"/>
  <c r="K113" i="31" s="1"/>
  <c r="N111" i="31"/>
  <c r="P110" i="31"/>
  <c r="O111" i="31" l="1"/>
  <c r="M112" i="31"/>
  <c r="L113" i="31"/>
  <c r="J114" i="31"/>
  <c r="K114" i="31" s="1"/>
  <c r="N112" i="31"/>
  <c r="P111" i="31"/>
  <c r="O112" i="31" l="1"/>
  <c r="M113" i="31"/>
  <c r="L114" i="31"/>
  <c r="J115" i="31"/>
  <c r="K115" i="31" s="1"/>
  <c r="P112" i="31"/>
  <c r="N113" i="31"/>
  <c r="O113" i="31" l="1"/>
  <c r="M114" i="31"/>
  <c r="L115" i="31"/>
  <c r="J116" i="31"/>
  <c r="K116" i="31" s="1"/>
  <c r="P113" i="31"/>
  <c r="N114" i="31"/>
  <c r="O114" i="31" l="1"/>
  <c r="M115" i="31"/>
  <c r="L116" i="31"/>
  <c r="J117" i="31"/>
  <c r="K117" i="31" s="1"/>
  <c r="P114" i="31"/>
  <c r="N115" i="31"/>
  <c r="O115" i="31" l="1"/>
  <c r="M116" i="31"/>
  <c r="L117" i="31"/>
  <c r="J118" i="31"/>
  <c r="K118" i="31" s="1"/>
  <c r="N116" i="31"/>
  <c r="P115" i="31"/>
  <c r="O116" i="31" l="1"/>
  <c r="M117" i="31"/>
  <c r="L118" i="31"/>
  <c r="J119" i="31"/>
  <c r="K119" i="31" s="1"/>
  <c r="P116" i="31"/>
  <c r="N117" i="31"/>
  <c r="O117" i="31" l="1"/>
  <c r="M118" i="31"/>
  <c r="L119" i="31"/>
  <c r="J120" i="31"/>
  <c r="K120" i="31" s="1"/>
  <c r="P117" i="31"/>
  <c r="N118" i="31"/>
  <c r="O118" i="31" l="1"/>
  <c r="M119" i="31"/>
  <c r="L120" i="31"/>
  <c r="J121" i="31"/>
  <c r="K121" i="31" s="1"/>
  <c r="N119" i="31"/>
  <c r="P118" i="31"/>
  <c r="O119" i="31" l="1"/>
  <c r="M120" i="31"/>
  <c r="L121" i="31"/>
  <c r="J122" i="31"/>
  <c r="K122" i="31" s="1"/>
  <c r="P119" i="31"/>
  <c r="N120" i="31"/>
  <c r="O120" i="31" l="1"/>
  <c r="M121" i="31"/>
  <c r="L122" i="31"/>
  <c r="J123" i="31"/>
  <c r="K123" i="31" s="1"/>
  <c r="P120" i="31"/>
  <c r="N121" i="31"/>
  <c r="O121" i="31" l="1"/>
  <c r="M122" i="31"/>
  <c r="L123" i="31"/>
  <c r="J124" i="31"/>
  <c r="K124" i="31" s="1"/>
  <c r="P121" i="31"/>
  <c r="N122" i="31"/>
  <c r="O122" i="31" l="1"/>
  <c r="M123" i="31"/>
  <c r="L124" i="31"/>
  <c r="J125" i="31"/>
  <c r="K125" i="31" s="1"/>
  <c r="N123" i="31"/>
  <c r="P122" i="31"/>
  <c r="O123" i="31" l="1"/>
  <c r="M124" i="31"/>
  <c r="L125" i="31"/>
  <c r="J126" i="31"/>
  <c r="K126" i="31" s="1"/>
  <c r="P123" i="31"/>
  <c r="N124" i="31"/>
  <c r="O124" i="31" l="1"/>
  <c r="M125" i="31"/>
  <c r="L126" i="31"/>
  <c r="J127" i="31"/>
  <c r="K127" i="31" s="1"/>
  <c r="P124" i="31"/>
  <c r="N125" i="31"/>
  <c r="O125" i="31" l="1"/>
  <c r="M126" i="31"/>
  <c r="L127" i="31"/>
  <c r="J128" i="31"/>
  <c r="K128" i="31" s="1"/>
  <c r="P125" i="31"/>
  <c r="N126" i="31"/>
  <c r="O126" i="31" l="1"/>
  <c r="M127" i="31"/>
  <c r="L128" i="31"/>
  <c r="J129" i="31"/>
  <c r="K129" i="31" s="1"/>
  <c r="P126" i="31"/>
  <c r="N127" i="31"/>
  <c r="O127" i="31" l="1"/>
  <c r="M128" i="31"/>
  <c r="L129" i="31"/>
  <c r="J130" i="31"/>
  <c r="K130" i="31" s="1"/>
  <c r="N128" i="31"/>
  <c r="P127" i="31"/>
  <c r="O128" i="31" l="1"/>
  <c r="M129" i="31"/>
  <c r="L130" i="31"/>
  <c r="J131" i="31"/>
  <c r="K131" i="31" s="1"/>
  <c r="P128" i="31"/>
  <c r="N129" i="31"/>
  <c r="O129" i="31" l="1"/>
  <c r="M130" i="31"/>
  <c r="L131" i="31"/>
  <c r="J132" i="31"/>
  <c r="K132" i="31" s="1"/>
  <c r="P129" i="31"/>
  <c r="N130" i="31"/>
  <c r="O130" i="31" l="1"/>
  <c r="M131" i="31"/>
  <c r="L132" i="31"/>
  <c r="J133" i="31"/>
  <c r="K133" i="31" s="1"/>
  <c r="P130" i="31"/>
  <c r="N131" i="31"/>
  <c r="O131" i="31" l="1"/>
  <c r="M132" i="31"/>
  <c r="L133" i="31"/>
  <c r="J134" i="31"/>
  <c r="K134" i="31" s="1"/>
  <c r="P131" i="31"/>
  <c r="N132" i="31"/>
  <c r="O132" i="31" l="1"/>
  <c r="M133" i="31"/>
  <c r="L134" i="31"/>
  <c r="J135" i="31"/>
  <c r="K135" i="31" s="1"/>
  <c r="P132" i="31"/>
  <c r="N133" i="31"/>
  <c r="O133" i="31" l="1"/>
  <c r="M134" i="31"/>
  <c r="L135" i="31"/>
  <c r="J136" i="31"/>
  <c r="K136" i="31" s="1"/>
  <c r="N134" i="31"/>
  <c r="P133" i="31"/>
  <c r="O134" i="31" l="1"/>
  <c r="M135" i="31"/>
  <c r="L136" i="31"/>
  <c r="J137" i="31"/>
  <c r="K137" i="31" s="1"/>
  <c r="N135" i="31"/>
  <c r="P134" i="31"/>
  <c r="O135" i="31" l="1"/>
  <c r="M136" i="31"/>
  <c r="L137" i="31"/>
  <c r="J138" i="31"/>
  <c r="K138" i="31" s="1"/>
  <c r="P135" i="31"/>
  <c r="N136" i="31"/>
  <c r="O136" i="31" l="1"/>
  <c r="M137" i="31"/>
  <c r="L138" i="31"/>
  <c r="J139" i="31"/>
  <c r="K139" i="31" s="1"/>
  <c r="P136" i="31"/>
  <c r="N137" i="31"/>
  <c r="O137" i="31" l="1"/>
  <c r="M138" i="31"/>
  <c r="L139" i="31"/>
  <c r="J140" i="31"/>
  <c r="K140" i="31" s="1"/>
  <c r="P137" i="31"/>
  <c r="N138" i="31"/>
  <c r="O138" i="31" l="1"/>
  <c r="M139" i="31"/>
  <c r="L140" i="31"/>
  <c r="J141" i="31"/>
  <c r="K141" i="31" s="1"/>
  <c r="P138" i="31"/>
  <c r="N139" i="31"/>
  <c r="O139" i="31" l="1"/>
  <c r="M140" i="31"/>
  <c r="L141" i="31"/>
  <c r="J142" i="31"/>
  <c r="K142" i="31" s="1"/>
  <c r="P139" i="31"/>
  <c r="N140" i="31"/>
  <c r="O140" i="31" l="1"/>
  <c r="M141" i="31"/>
  <c r="L142" i="31"/>
  <c r="J143" i="31"/>
  <c r="K143" i="31" s="1"/>
  <c r="P140" i="31"/>
  <c r="N141" i="31"/>
  <c r="O141" i="31" l="1"/>
  <c r="M142" i="31"/>
  <c r="L143" i="31"/>
  <c r="J144" i="31"/>
  <c r="K144" i="31" s="1"/>
  <c r="N142" i="31"/>
  <c r="P141" i="31"/>
  <c r="O142" i="31" l="1"/>
  <c r="M143" i="31"/>
  <c r="L144" i="31"/>
  <c r="J145" i="31"/>
  <c r="K145" i="31" s="1"/>
  <c r="P142" i="31"/>
  <c r="N143" i="31"/>
  <c r="O143" i="31" l="1"/>
  <c r="M144" i="31"/>
  <c r="L145" i="31"/>
  <c r="J146" i="31"/>
  <c r="K146" i="31" s="1"/>
  <c r="P143" i="31"/>
  <c r="N144" i="31"/>
  <c r="O144" i="31" l="1"/>
  <c r="M145" i="31"/>
  <c r="L146" i="31"/>
  <c r="J147" i="31"/>
  <c r="K147" i="31" s="1"/>
  <c r="P144" i="31"/>
  <c r="N145" i="31"/>
  <c r="O145" i="31" l="1"/>
  <c r="M146" i="31"/>
  <c r="L147" i="31"/>
  <c r="J148" i="31"/>
  <c r="K148" i="31" s="1"/>
  <c r="P145" i="31"/>
  <c r="N146" i="31"/>
  <c r="O146" i="31" l="1"/>
  <c r="M147" i="31"/>
  <c r="L148" i="31"/>
  <c r="J149" i="31"/>
  <c r="K149" i="31" s="1"/>
  <c r="P147" i="31"/>
  <c r="P146" i="31"/>
  <c r="M148" i="31" l="1"/>
  <c r="L149" i="31"/>
  <c r="J150" i="31"/>
  <c r="K150" i="31" s="1"/>
  <c r="N148" i="31"/>
  <c r="N147" i="31"/>
  <c r="O147" i="31" l="1"/>
  <c r="O148" i="31"/>
  <c r="M149" i="31"/>
  <c r="L150" i="31"/>
  <c r="J151" i="31"/>
  <c r="K151" i="31" s="1"/>
  <c r="P148" i="31"/>
  <c r="N149" i="31"/>
  <c r="O149" i="31" l="1"/>
  <c r="M150" i="31"/>
  <c r="L151" i="31"/>
  <c r="J152" i="31"/>
  <c r="K152" i="31" s="1"/>
  <c r="P149" i="31"/>
  <c r="N150" i="31"/>
  <c r="O150" i="31" l="1"/>
  <c r="M151" i="31"/>
  <c r="L152" i="31"/>
  <c r="J153" i="31"/>
  <c r="K153" i="31" s="1"/>
  <c r="P150" i="31"/>
  <c r="N151" i="31"/>
  <c r="O151" i="31" l="1"/>
  <c r="M152" i="31"/>
  <c r="L153" i="31"/>
  <c r="J154" i="31"/>
  <c r="K154" i="31" s="1"/>
  <c r="N152" i="31"/>
  <c r="P151" i="31"/>
  <c r="O152" i="31" l="1"/>
  <c r="M153" i="31"/>
  <c r="L154" i="31"/>
  <c r="J155" i="31"/>
  <c r="K155" i="31" s="1"/>
  <c r="P152" i="31"/>
  <c r="N153" i="31"/>
  <c r="O153" i="31" l="1"/>
  <c r="M154" i="31"/>
  <c r="L155" i="31"/>
  <c r="J156" i="31"/>
  <c r="K156" i="31" s="1"/>
  <c r="P153" i="31"/>
  <c r="N154" i="31"/>
  <c r="O154" i="31" l="1"/>
  <c r="M155" i="31"/>
  <c r="L156" i="31"/>
  <c r="J157" i="31"/>
  <c r="K157" i="31" s="1"/>
  <c r="P154" i="31"/>
  <c r="N155" i="31"/>
  <c r="O155" i="31" l="1"/>
  <c r="M156" i="31"/>
  <c r="L157" i="31"/>
  <c r="J158" i="31"/>
  <c r="K158" i="31" s="1"/>
  <c r="P155" i="31"/>
  <c r="N156" i="31"/>
  <c r="O156" i="31" l="1"/>
  <c r="M157" i="31"/>
  <c r="L158" i="31"/>
  <c r="J159" i="31"/>
  <c r="K159" i="31" s="1"/>
  <c r="P156" i="31"/>
  <c r="N157" i="31"/>
  <c r="O157" i="31" l="1"/>
  <c r="M158" i="31"/>
  <c r="L159" i="31"/>
  <c r="J160" i="31"/>
  <c r="K160" i="31" s="1"/>
  <c r="P157" i="31"/>
  <c r="N158" i="31"/>
  <c r="O158" i="31" l="1"/>
  <c r="M159" i="31"/>
  <c r="L160" i="31"/>
  <c r="J161" i="31"/>
  <c r="K161" i="31" s="1"/>
  <c r="P158" i="31"/>
  <c r="N159" i="31"/>
  <c r="O159" i="31" l="1"/>
  <c r="M160" i="31"/>
  <c r="L161" i="31"/>
  <c r="J162" i="31"/>
  <c r="K162" i="31" s="1"/>
  <c r="P159" i="31"/>
  <c r="N160" i="31"/>
  <c r="O160" i="31" l="1"/>
  <c r="M161" i="31"/>
  <c r="L162" i="31"/>
  <c r="J163" i="31"/>
  <c r="K163" i="31" s="1"/>
  <c r="P160" i="31"/>
  <c r="N161" i="31"/>
  <c r="O161" i="31" l="1"/>
  <c r="M162" i="31"/>
  <c r="L163" i="31"/>
  <c r="J164" i="31"/>
  <c r="K164" i="31" s="1"/>
  <c r="N162" i="31"/>
  <c r="P161" i="31"/>
  <c r="O162" i="31" l="1"/>
  <c r="M163" i="31"/>
  <c r="L164" i="31"/>
  <c r="J165" i="31"/>
  <c r="K165" i="31" s="1"/>
  <c r="N163" i="31"/>
  <c r="P162" i="31"/>
  <c r="O163" i="31" l="1"/>
  <c r="M164" i="31"/>
  <c r="L165" i="31"/>
  <c r="J166" i="31"/>
  <c r="K166" i="31" s="1"/>
  <c r="N164" i="31"/>
  <c r="P163" i="31"/>
  <c r="O164" i="31" l="1"/>
  <c r="M165" i="31"/>
  <c r="L166" i="31"/>
  <c r="J167" i="31"/>
  <c r="K167" i="31" s="1"/>
  <c r="N165" i="31"/>
  <c r="P164" i="31"/>
  <c r="O165" i="31" l="1"/>
  <c r="M166" i="31"/>
  <c r="L167" i="31"/>
  <c r="J168" i="31"/>
  <c r="K168" i="31" s="1"/>
  <c r="P165" i="31"/>
  <c r="N166" i="31"/>
  <c r="O166" i="31" l="1"/>
  <c r="M167" i="31"/>
  <c r="L168" i="31"/>
  <c r="J169" i="31"/>
  <c r="K169" i="31" s="1"/>
  <c r="N167" i="31"/>
  <c r="P166" i="31"/>
  <c r="O167" i="31" l="1"/>
  <c r="M168" i="31"/>
  <c r="L169" i="31"/>
  <c r="J170" i="31"/>
  <c r="K170" i="31" s="1"/>
  <c r="N168" i="31"/>
  <c r="P167" i="31"/>
  <c r="O168" i="31" l="1"/>
  <c r="M169" i="31"/>
  <c r="L170" i="31"/>
  <c r="J171" i="31"/>
  <c r="K171" i="31" s="1"/>
  <c r="P168" i="31"/>
  <c r="N169" i="31"/>
  <c r="O169" i="31" l="1"/>
  <c r="M170" i="31"/>
  <c r="L171" i="31"/>
  <c r="J172" i="31"/>
  <c r="K172" i="31" s="1"/>
  <c r="P169" i="31"/>
  <c r="N170" i="31"/>
  <c r="O170" i="31" l="1"/>
  <c r="M171" i="31"/>
  <c r="L172" i="31"/>
  <c r="J173" i="31"/>
  <c r="K173" i="31" s="1"/>
  <c r="P170" i="31"/>
  <c r="N171" i="31"/>
  <c r="O171" i="31" l="1"/>
  <c r="M172" i="31"/>
  <c r="L173" i="31"/>
  <c r="J174" i="31"/>
  <c r="K174" i="31" s="1"/>
  <c r="P171" i="31"/>
  <c r="N172" i="31"/>
  <c r="O172" i="31" l="1"/>
  <c r="M173" i="31"/>
  <c r="L174" i="31"/>
  <c r="J175" i="31"/>
  <c r="K175" i="31" s="1"/>
  <c r="P172" i="31"/>
  <c r="N173" i="31"/>
  <c r="O173" i="31" l="1"/>
  <c r="M174" i="31"/>
  <c r="L175" i="31"/>
  <c r="J176" i="31"/>
  <c r="K176" i="31" s="1"/>
  <c r="N174" i="31"/>
  <c r="P173" i="31"/>
  <c r="O174" i="31" l="1"/>
  <c r="M175" i="31"/>
  <c r="L176" i="31"/>
  <c r="J177" i="31"/>
  <c r="K177" i="31" s="1"/>
  <c r="P174" i="31"/>
  <c r="N175" i="31"/>
  <c r="O175" i="31" l="1"/>
  <c r="M176" i="31"/>
  <c r="L177" i="31"/>
  <c r="J178" i="31"/>
  <c r="K178" i="31" s="1"/>
  <c r="P175" i="31"/>
  <c r="N176" i="31"/>
  <c r="O176" i="31" l="1"/>
  <c r="M177" i="31"/>
  <c r="L178" i="31"/>
  <c r="J179" i="31"/>
  <c r="K179" i="31" s="1"/>
  <c r="P176" i="31"/>
  <c r="N177" i="31"/>
  <c r="O177" i="31" l="1"/>
  <c r="M178" i="31"/>
  <c r="L179" i="31"/>
  <c r="J180" i="31"/>
  <c r="K180" i="31" s="1"/>
  <c r="N178" i="31"/>
  <c r="P177" i="31"/>
  <c r="O178" i="31" l="1"/>
  <c r="M179" i="31"/>
  <c r="L180" i="31"/>
  <c r="J181" i="31"/>
  <c r="K181" i="31" s="1"/>
  <c r="N179" i="31"/>
  <c r="P178" i="31"/>
  <c r="O179" i="31" l="1"/>
  <c r="M180" i="31"/>
  <c r="L181" i="31"/>
  <c r="J182" i="31"/>
  <c r="K182" i="31" s="1"/>
  <c r="P179" i="31"/>
  <c r="N180" i="31"/>
  <c r="O180" i="31" l="1"/>
  <c r="M181" i="31"/>
  <c r="L182" i="31"/>
  <c r="J183" i="31"/>
  <c r="K183" i="31" s="1"/>
  <c r="P180" i="31"/>
  <c r="N181" i="31"/>
  <c r="O181" i="31" l="1"/>
  <c r="M182" i="31"/>
  <c r="L183" i="31"/>
  <c r="J184" i="31"/>
  <c r="K184" i="31" s="1"/>
  <c r="P181" i="31"/>
  <c r="N182" i="31"/>
  <c r="O182" i="31" l="1"/>
  <c r="M183" i="31"/>
  <c r="L184" i="31"/>
  <c r="J185" i="31"/>
  <c r="K185" i="31" s="1"/>
  <c r="P182" i="31"/>
  <c r="N183" i="31"/>
  <c r="O183" i="31" l="1"/>
  <c r="M184" i="31"/>
  <c r="L185" i="31"/>
  <c r="J186" i="31"/>
  <c r="K186" i="31" s="1"/>
  <c r="P183" i="31"/>
  <c r="N184" i="31"/>
  <c r="O184" i="31" l="1"/>
  <c r="M185" i="31"/>
  <c r="L186" i="31"/>
  <c r="J187" i="31"/>
  <c r="K187" i="31" s="1"/>
  <c r="P184" i="31"/>
  <c r="N185" i="31"/>
  <c r="O185" i="31" l="1"/>
  <c r="M186" i="31"/>
  <c r="L187" i="31"/>
  <c r="J188" i="31"/>
  <c r="K188" i="31" s="1"/>
  <c r="P185" i="31"/>
  <c r="N186" i="31"/>
  <c r="O186" i="31" l="1"/>
  <c r="M187" i="31"/>
  <c r="L188" i="31"/>
  <c r="J189" i="31"/>
  <c r="K189" i="31" s="1"/>
  <c r="P186" i="31"/>
  <c r="N187" i="31"/>
  <c r="O187" i="31" l="1"/>
  <c r="M188" i="31"/>
  <c r="L189" i="31"/>
  <c r="J190" i="31"/>
  <c r="K190" i="31" s="1"/>
  <c r="P187" i="31"/>
  <c r="N188" i="31"/>
  <c r="O188" i="31" l="1"/>
  <c r="M189" i="31"/>
  <c r="L190" i="31"/>
  <c r="J191" i="31"/>
  <c r="K191" i="31" s="1"/>
  <c r="P188" i="31"/>
  <c r="N189" i="31"/>
  <c r="O189" i="31" l="1"/>
  <c r="M190" i="31"/>
  <c r="L191" i="31"/>
  <c r="J192" i="31"/>
  <c r="K192" i="31" s="1"/>
  <c r="N190" i="31"/>
  <c r="P189" i="31"/>
  <c r="O190" i="31" l="1"/>
  <c r="M191" i="31"/>
  <c r="L192" i="31"/>
  <c r="J193" i="31"/>
  <c r="K193" i="31" s="1"/>
  <c r="P190" i="31"/>
  <c r="N191" i="31"/>
  <c r="O191" i="31" l="1"/>
  <c r="M192" i="31"/>
  <c r="L193" i="31"/>
  <c r="J194" i="31"/>
  <c r="K194" i="31" s="1"/>
  <c r="P191" i="31"/>
  <c r="N192" i="31"/>
  <c r="O192" i="31" l="1"/>
  <c r="M193" i="31"/>
  <c r="L194" i="31"/>
  <c r="J195" i="31"/>
  <c r="K195" i="31" s="1"/>
  <c r="P192" i="31"/>
  <c r="N193" i="31"/>
  <c r="O193" i="31" l="1"/>
  <c r="M194" i="31"/>
  <c r="L195" i="31"/>
  <c r="J196" i="31"/>
  <c r="K196" i="31" s="1"/>
  <c r="P193" i="31"/>
  <c r="N194" i="31"/>
  <c r="O194" i="31" l="1"/>
  <c r="M195" i="31"/>
  <c r="L196" i="31"/>
  <c r="J197" i="31"/>
  <c r="K197" i="31" s="1"/>
  <c r="P194" i="31"/>
  <c r="N195" i="31"/>
  <c r="O195" i="31" l="1"/>
  <c r="M196" i="31"/>
  <c r="L197" i="31"/>
  <c r="J198" i="31"/>
  <c r="K198" i="31" s="1"/>
  <c r="P195" i="31"/>
  <c r="N196" i="31"/>
  <c r="O196" i="31" l="1"/>
  <c r="M197" i="31"/>
  <c r="L198" i="31"/>
  <c r="J199" i="31"/>
  <c r="K199" i="31" s="1"/>
  <c r="P196" i="31"/>
  <c r="N197" i="31"/>
  <c r="O197" i="31" l="1"/>
  <c r="M198" i="31"/>
  <c r="L199" i="31"/>
  <c r="J200" i="31"/>
  <c r="K200" i="31" s="1"/>
  <c r="N198" i="31"/>
  <c r="P197" i="31"/>
  <c r="O198" i="31" l="1"/>
  <c r="M199" i="31"/>
  <c r="L200" i="31"/>
  <c r="J201" i="31"/>
  <c r="K201" i="31" s="1"/>
  <c r="P198" i="31"/>
  <c r="N199" i="31"/>
  <c r="O199" i="31" l="1"/>
  <c r="M200" i="31"/>
  <c r="L201" i="31"/>
  <c r="J202" i="31"/>
  <c r="K202" i="31" s="1"/>
  <c r="P199" i="31"/>
  <c r="N200" i="31"/>
  <c r="O200" i="31" l="1"/>
  <c r="M201" i="31"/>
  <c r="L202" i="31"/>
  <c r="J203" i="31"/>
  <c r="K203" i="31" s="1"/>
  <c r="P200" i="31"/>
  <c r="N201" i="31"/>
  <c r="O201" i="31" l="1"/>
  <c r="M202" i="31"/>
  <c r="L203" i="31"/>
  <c r="J204" i="31"/>
  <c r="K204" i="31" s="1"/>
  <c r="P201" i="31"/>
  <c r="N202" i="31"/>
  <c r="O202" i="31" l="1"/>
  <c r="M203" i="31"/>
  <c r="L204" i="31"/>
  <c r="J205" i="31"/>
  <c r="K205" i="31" s="1"/>
  <c r="P202" i="31"/>
  <c r="N203" i="31"/>
  <c r="O203" i="31" l="1"/>
  <c r="M204" i="31"/>
  <c r="L205" i="31"/>
  <c r="J206" i="31"/>
  <c r="K206" i="31" s="1"/>
  <c r="P203" i="31"/>
  <c r="N204" i="31"/>
  <c r="O204" i="31" l="1"/>
  <c r="M205" i="31"/>
  <c r="L206" i="31"/>
  <c r="J207" i="31"/>
  <c r="K207" i="31" s="1"/>
  <c r="P204" i="31"/>
  <c r="N205" i="31"/>
  <c r="O205" i="31" l="1"/>
  <c r="M206" i="31"/>
  <c r="L207" i="31"/>
  <c r="J208" i="31"/>
  <c r="K208" i="31" s="1"/>
  <c r="P205" i="31"/>
  <c r="N206" i="31"/>
  <c r="O206" i="31" l="1"/>
  <c r="M207" i="31"/>
  <c r="L208" i="31"/>
  <c r="J209" i="31"/>
  <c r="K209" i="31" s="1"/>
  <c r="N207" i="31"/>
  <c r="P206" i="31"/>
  <c r="O207" i="31" l="1"/>
  <c r="M208" i="31"/>
  <c r="L209" i="31"/>
  <c r="J210" i="31"/>
  <c r="K210" i="31" s="1"/>
  <c r="N208" i="31"/>
  <c r="P207" i="31"/>
  <c r="O208" i="31" l="1"/>
  <c r="M209" i="31"/>
  <c r="L210" i="31"/>
  <c r="J211" i="31"/>
  <c r="K211" i="31" s="1"/>
  <c r="P208" i="31"/>
  <c r="N209" i="31"/>
  <c r="O209" i="31" l="1"/>
  <c r="M210" i="31"/>
  <c r="L211" i="31"/>
  <c r="J212" i="31"/>
  <c r="K212" i="31" s="1"/>
  <c r="P209" i="31"/>
  <c r="N210" i="31"/>
  <c r="O210" i="31" l="1"/>
  <c r="M211" i="31"/>
  <c r="L212" i="31"/>
  <c r="J213" i="31"/>
  <c r="K213" i="31" s="1"/>
  <c r="P210" i="31"/>
  <c r="N211" i="31"/>
  <c r="O211" i="31" l="1"/>
  <c r="M212" i="31"/>
  <c r="L213" i="31"/>
  <c r="J214" i="31"/>
  <c r="K214" i="31" s="1"/>
  <c r="P211" i="31"/>
  <c r="N212" i="31"/>
  <c r="O212" i="31" l="1"/>
  <c r="M213" i="31"/>
  <c r="L214" i="31"/>
  <c r="J215" i="31"/>
  <c r="K215" i="31" s="1"/>
  <c r="P212" i="31"/>
  <c r="N213" i="31"/>
  <c r="O213" i="31" l="1"/>
  <c r="M214" i="31"/>
  <c r="L215" i="31"/>
  <c r="J216" i="31"/>
  <c r="K216" i="31" s="1"/>
  <c r="N214" i="31"/>
  <c r="P213" i="31"/>
  <c r="O214" i="31" l="1"/>
  <c r="M215" i="31"/>
  <c r="L216" i="31"/>
  <c r="J217" i="31"/>
  <c r="K217" i="31" s="1"/>
  <c r="P214" i="31"/>
  <c r="P215" i="31"/>
  <c r="M216" i="31" l="1"/>
  <c r="L217" i="31"/>
  <c r="J218" i="31"/>
  <c r="K218" i="31" s="1"/>
  <c r="N215" i="31"/>
  <c r="N216" i="31"/>
  <c r="O215" i="31" l="1"/>
  <c r="O216" i="31"/>
  <c r="M217" i="31"/>
  <c r="L218" i="31"/>
  <c r="J219" i="31"/>
  <c r="K219" i="31" s="1"/>
  <c r="P216" i="31"/>
  <c r="N217" i="31"/>
  <c r="O217" i="31" l="1"/>
  <c r="M218" i="31"/>
  <c r="L219" i="31"/>
  <c r="J220" i="31"/>
  <c r="K220" i="31" s="1"/>
  <c r="N218" i="31"/>
  <c r="P217" i="31"/>
  <c r="O218" i="31" l="1"/>
  <c r="M219" i="31"/>
  <c r="L220" i="31"/>
  <c r="J221" i="31"/>
  <c r="K221" i="31" s="1"/>
  <c r="P218" i="31"/>
  <c r="N219" i="31"/>
  <c r="O219" i="31" l="1"/>
  <c r="M220" i="31"/>
  <c r="L221" i="31"/>
  <c r="J222" i="31"/>
  <c r="K222" i="31" s="1"/>
  <c r="P219" i="31"/>
  <c r="N220" i="31"/>
  <c r="O220" i="31" l="1"/>
  <c r="M221" i="31"/>
  <c r="L222" i="31"/>
  <c r="J223" i="31"/>
  <c r="K223" i="31" s="1"/>
  <c r="N221" i="31"/>
  <c r="P220" i="31"/>
  <c r="O221" i="31" l="1"/>
  <c r="M222" i="31"/>
  <c r="L223" i="31"/>
  <c r="J224" i="31"/>
  <c r="K224" i="31" s="1"/>
  <c r="N222" i="31"/>
  <c r="P221" i="31"/>
  <c r="O222" i="31" l="1"/>
  <c r="M223" i="31"/>
  <c r="L224" i="31"/>
  <c r="J225" i="31"/>
  <c r="K225" i="31" s="1"/>
  <c r="P222" i="31"/>
  <c r="N223" i="31"/>
  <c r="O223" i="31" l="1"/>
  <c r="M224" i="31"/>
  <c r="L225" i="31"/>
  <c r="J226" i="31"/>
  <c r="K226" i="31" s="1"/>
  <c r="P223" i="31"/>
  <c r="N224" i="31"/>
  <c r="O224" i="31" l="1"/>
  <c r="M225" i="31"/>
  <c r="L226" i="31"/>
  <c r="J227" i="31"/>
  <c r="K227" i="31" s="1"/>
  <c r="P224" i="31"/>
  <c r="N225" i="31"/>
  <c r="O225" i="31" l="1"/>
  <c r="M226" i="31"/>
  <c r="L227" i="31"/>
  <c r="J228" i="31"/>
  <c r="K228" i="31" s="1"/>
  <c r="N226" i="31"/>
  <c r="P225" i="31"/>
  <c r="O226" i="31" l="1"/>
  <c r="M227" i="31"/>
  <c r="L228" i="31"/>
  <c r="J229" i="31"/>
  <c r="K229" i="31" s="1"/>
  <c r="P226" i="31"/>
  <c r="N227" i="31"/>
  <c r="O227" i="31" l="1"/>
  <c r="M228" i="31"/>
  <c r="L229" i="31"/>
  <c r="J230" i="31"/>
  <c r="K230" i="31" s="1"/>
  <c r="N228" i="31"/>
  <c r="P227" i="31"/>
  <c r="O228" i="31" l="1"/>
  <c r="M229" i="31"/>
  <c r="L230" i="31"/>
  <c r="J231" i="31"/>
  <c r="K231" i="31" s="1"/>
  <c r="P228" i="31"/>
  <c r="N229" i="31"/>
  <c r="O229" i="31" l="1"/>
  <c r="M230" i="31"/>
  <c r="L231" i="31"/>
  <c r="J232" i="31"/>
  <c r="K232" i="31" s="1"/>
  <c r="P229" i="31"/>
  <c r="N230" i="31"/>
  <c r="O230" i="31" l="1"/>
  <c r="M231" i="31"/>
  <c r="L232" i="31"/>
  <c r="J233" i="31"/>
  <c r="K233" i="31" s="1"/>
  <c r="P230" i="31"/>
  <c r="N231" i="31"/>
  <c r="O231" i="31" l="1"/>
  <c r="M232" i="31"/>
  <c r="L233" i="31"/>
  <c r="J234" i="31"/>
  <c r="K234" i="31" s="1"/>
  <c r="P231" i="31"/>
  <c r="N232" i="31"/>
  <c r="O232" i="31" l="1"/>
  <c r="M233" i="31"/>
  <c r="L234" i="31"/>
  <c r="J235" i="31"/>
  <c r="K235" i="31" s="1"/>
  <c r="P232" i="31"/>
  <c r="P233" i="31"/>
  <c r="M234" i="31" l="1"/>
  <c r="L235" i="31"/>
  <c r="J236" i="31"/>
  <c r="K236" i="31" s="1"/>
  <c r="N234" i="31"/>
  <c r="N233" i="31"/>
  <c r="O233" i="31" l="1"/>
  <c r="O234" i="31"/>
  <c r="M235" i="31"/>
  <c r="L236" i="31"/>
  <c r="J237" i="31"/>
  <c r="K237" i="31" s="1"/>
  <c r="N235" i="31"/>
  <c r="P234" i="31"/>
  <c r="O235" i="31" l="1"/>
  <c r="M236" i="31"/>
  <c r="L237" i="31"/>
  <c r="J238" i="31"/>
  <c r="K238" i="31" s="1"/>
  <c r="P235" i="31"/>
  <c r="N236" i="31"/>
  <c r="O236" i="31" l="1"/>
  <c r="M237" i="31"/>
  <c r="L238" i="31"/>
  <c r="J239" i="31"/>
  <c r="K239" i="31" s="1"/>
  <c r="N237" i="31"/>
  <c r="P236" i="31"/>
  <c r="O237" i="31" l="1"/>
  <c r="M238" i="31"/>
  <c r="L239" i="31"/>
  <c r="J240" i="31"/>
  <c r="K240" i="31" s="1"/>
  <c r="P237" i="31"/>
  <c r="N238" i="31"/>
  <c r="O238" i="31" l="1"/>
  <c r="M239" i="31"/>
  <c r="L240" i="31"/>
  <c r="J241" i="31"/>
  <c r="K241" i="31" s="1"/>
  <c r="P238" i="31"/>
  <c r="N239" i="31"/>
  <c r="O239" i="31" l="1"/>
  <c r="M240" i="31"/>
  <c r="L241" i="31"/>
  <c r="J242" i="31"/>
  <c r="K242" i="31" s="1"/>
  <c r="P239" i="31"/>
  <c r="N240" i="31"/>
  <c r="O240" i="31" l="1"/>
  <c r="M241" i="31"/>
  <c r="L242" i="31"/>
  <c r="J243" i="31"/>
  <c r="K243" i="31" s="1"/>
  <c r="P240" i="31"/>
  <c r="N241" i="31"/>
  <c r="O241" i="31" l="1"/>
  <c r="M242" i="31"/>
  <c r="L243" i="31"/>
  <c r="J244" i="31"/>
  <c r="K244" i="31" s="1"/>
  <c r="P241" i="31"/>
  <c r="N242" i="31"/>
  <c r="O242" i="31" l="1"/>
  <c r="M243" i="31"/>
  <c r="L244" i="31"/>
  <c r="J245" i="31"/>
  <c r="K245" i="31" s="1"/>
  <c r="P242" i="31"/>
  <c r="N243" i="31"/>
  <c r="O243" i="31" l="1"/>
  <c r="M244" i="31"/>
  <c r="L245" i="31"/>
  <c r="J246" i="31"/>
  <c r="K246" i="31" s="1"/>
  <c r="P243" i="31"/>
  <c r="N244" i="31"/>
  <c r="O244" i="31" l="1"/>
  <c r="M245" i="31"/>
  <c r="L246" i="31"/>
  <c r="J247" i="31"/>
  <c r="K247" i="31" s="1"/>
  <c r="P244" i="31"/>
  <c r="N245" i="31"/>
  <c r="O245" i="31" l="1"/>
  <c r="M246" i="31"/>
  <c r="L247" i="31"/>
  <c r="J248" i="31"/>
  <c r="K248" i="31" s="1"/>
  <c r="N246" i="31"/>
  <c r="P245" i="31"/>
  <c r="O246" i="31" l="1"/>
  <c r="M247" i="31"/>
  <c r="L248" i="31"/>
  <c r="J249" i="31"/>
  <c r="K249" i="31" s="1"/>
  <c r="P246" i="31"/>
  <c r="N247" i="31"/>
  <c r="O247" i="31" l="1"/>
  <c r="M248" i="31"/>
  <c r="L249" i="31"/>
  <c r="J250" i="31"/>
  <c r="K250" i="31" s="1"/>
  <c r="P247" i="31"/>
  <c r="N248" i="31"/>
  <c r="O248" i="31" l="1"/>
  <c r="M249" i="31"/>
  <c r="L250" i="31"/>
  <c r="J251" i="31"/>
  <c r="K251" i="31" s="1"/>
  <c r="P249" i="31"/>
  <c r="P248" i="31"/>
  <c r="M250" i="31" l="1"/>
  <c r="L251" i="31"/>
  <c r="J252" i="31"/>
  <c r="K252" i="31" s="1"/>
  <c r="N249" i="31"/>
  <c r="N250" i="31"/>
  <c r="O249" i="31" l="1"/>
  <c r="O250" i="31"/>
  <c r="M251" i="31"/>
  <c r="L252" i="31"/>
  <c r="J253" i="31"/>
  <c r="K253" i="31" s="1"/>
  <c r="N251" i="31"/>
  <c r="P250" i="31"/>
  <c r="O251" i="31" l="1"/>
  <c r="M252" i="31"/>
  <c r="L253" i="31"/>
  <c r="J254" i="31"/>
  <c r="K254" i="31" s="1"/>
  <c r="P251" i="31"/>
  <c r="N252" i="31"/>
  <c r="O252" i="31" l="1"/>
  <c r="M253" i="31"/>
  <c r="L254" i="31"/>
  <c r="J255" i="31"/>
  <c r="K255" i="31" s="1"/>
  <c r="P252" i="31"/>
  <c r="N253" i="31"/>
  <c r="O253" i="31" l="1"/>
  <c r="M254" i="31"/>
  <c r="L255" i="31"/>
  <c r="J256" i="31"/>
  <c r="K256" i="31" s="1"/>
  <c r="P253" i="31"/>
  <c r="N254" i="31"/>
  <c r="O254" i="31" l="1"/>
  <c r="M255" i="31"/>
  <c r="L256" i="31"/>
  <c r="J257" i="31"/>
  <c r="K257" i="31" s="1"/>
  <c r="P254" i="31"/>
  <c r="N255" i="31"/>
  <c r="O255" i="31" l="1"/>
  <c r="M256" i="31"/>
  <c r="L257" i="31"/>
  <c r="J258" i="31"/>
  <c r="K258" i="31" s="1"/>
  <c r="P255" i="31"/>
  <c r="N256" i="31"/>
  <c r="O256" i="31" l="1"/>
  <c r="M257" i="31"/>
  <c r="L258" i="31"/>
  <c r="J259" i="31"/>
  <c r="K259" i="31" s="1"/>
  <c r="P256" i="31"/>
  <c r="N257" i="31"/>
  <c r="O257" i="31" l="1"/>
  <c r="M258" i="31"/>
  <c r="L259" i="31"/>
  <c r="J260" i="31"/>
  <c r="K260" i="31" s="1"/>
  <c r="N258" i="31"/>
  <c r="P257" i="31"/>
  <c r="O258" i="31" l="1"/>
  <c r="M259" i="31"/>
  <c r="L260" i="31"/>
  <c r="J261" i="31"/>
  <c r="K261" i="31" s="1"/>
  <c r="N259" i="31"/>
  <c r="P258" i="31"/>
  <c r="O259" i="31" l="1"/>
  <c r="M260" i="31"/>
  <c r="L261" i="31"/>
  <c r="J262" i="31"/>
  <c r="K262" i="31" s="1"/>
  <c r="P259" i="31"/>
  <c r="N260" i="31"/>
  <c r="O260" i="31" l="1"/>
  <c r="M261" i="31"/>
  <c r="L262" i="31"/>
  <c r="J263" i="31"/>
  <c r="K263" i="31" s="1"/>
  <c r="P260" i="31"/>
  <c r="N261" i="31"/>
  <c r="O261" i="31" l="1"/>
  <c r="M262" i="31"/>
  <c r="L263" i="31"/>
  <c r="J264" i="31"/>
  <c r="K264" i="31" s="1"/>
  <c r="P261" i="31"/>
  <c r="N262" i="31"/>
  <c r="O262" i="31" l="1"/>
  <c r="M263" i="31"/>
  <c r="L264" i="31"/>
  <c r="J265" i="31"/>
  <c r="K265" i="31" s="1"/>
  <c r="N263" i="31"/>
  <c r="P262" i="31"/>
  <c r="O263" i="31" l="1"/>
  <c r="M264" i="31"/>
  <c r="L265" i="31"/>
  <c r="J266" i="31"/>
  <c r="K266" i="31" s="1"/>
  <c r="N264" i="31"/>
  <c r="P263" i="31"/>
  <c r="O264" i="31" l="1"/>
  <c r="M265" i="31"/>
  <c r="L266" i="31"/>
  <c r="J267" i="31"/>
  <c r="K267" i="31" s="1"/>
  <c r="P264" i="31"/>
  <c r="N265" i="31"/>
  <c r="O265" i="31" l="1"/>
  <c r="M266" i="31"/>
  <c r="L267" i="31"/>
  <c r="J268" i="31"/>
  <c r="K268" i="31" s="1"/>
  <c r="P265" i="31"/>
  <c r="N266" i="31"/>
  <c r="O266" i="31" l="1"/>
  <c r="M267" i="31"/>
  <c r="L268" i="31"/>
  <c r="J269" i="31"/>
  <c r="K269" i="31" s="1"/>
  <c r="N267" i="31"/>
  <c r="P266" i="31"/>
  <c r="O267" i="31" l="1"/>
  <c r="M268" i="31"/>
  <c r="L269" i="31"/>
  <c r="J270" i="31"/>
  <c r="K270" i="31" s="1"/>
  <c r="P267" i="31"/>
  <c r="N268" i="31"/>
  <c r="O268" i="31" l="1"/>
  <c r="M269" i="31"/>
  <c r="L270" i="31"/>
  <c r="J271" i="31"/>
  <c r="K271" i="31" s="1"/>
  <c r="P268" i="31"/>
  <c r="N269" i="31"/>
  <c r="O269" i="31" l="1"/>
  <c r="M270" i="31"/>
  <c r="L271" i="31"/>
  <c r="J272" i="31"/>
  <c r="K272" i="31" s="1"/>
  <c r="P269" i="31"/>
  <c r="N270" i="31"/>
  <c r="O270" i="31" l="1"/>
  <c r="M271" i="31"/>
  <c r="L272" i="31"/>
  <c r="J273" i="31"/>
  <c r="K273" i="31" s="1"/>
  <c r="P270" i="31"/>
  <c r="N271" i="31"/>
  <c r="O271" i="31" l="1"/>
  <c r="M272" i="31"/>
  <c r="L273" i="31"/>
  <c r="J274" i="31"/>
  <c r="K274" i="31" s="1"/>
  <c r="P271" i="31"/>
  <c r="N272" i="31"/>
  <c r="O272" i="31" l="1"/>
  <c r="M273" i="31"/>
  <c r="L274" i="31"/>
  <c r="J275" i="31"/>
  <c r="K275" i="31" s="1"/>
  <c r="P272" i="31"/>
  <c r="N273" i="31"/>
  <c r="O273" i="31" l="1"/>
  <c r="M274" i="31"/>
  <c r="L275" i="31"/>
  <c r="J276" i="31"/>
  <c r="K276" i="31" s="1"/>
  <c r="P273" i="31"/>
  <c r="N274" i="31"/>
  <c r="O274" i="31" l="1"/>
  <c r="M275" i="31"/>
  <c r="L276" i="31"/>
  <c r="J277" i="31"/>
  <c r="K277" i="31" s="1"/>
  <c r="N275" i="31"/>
  <c r="P274" i="31"/>
  <c r="O275" i="31" l="1"/>
  <c r="M276" i="31"/>
  <c r="L277" i="31"/>
  <c r="J278" i="31"/>
  <c r="K278" i="31" s="1"/>
  <c r="P275" i="31"/>
  <c r="N276" i="31"/>
  <c r="O276" i="31" l="1"/>
  <c r="M277" i="31"/>
  <c r="L278" i="31"/>
  <c r="J279" i="31"/>
  <c r="K279" i="31" s="1"/>
  <c r="P276" i="31"/>
  <c r="N277" i="31"/>
  <c r="O277" i="31" l="1"/>
  <c r="M278" i="31"/>
  <c r="L279" i="31"/>
  <c r="J280" i="31"/>
  <c r="K280" i="31" s="1"/>
  <c r="P277" i="31"/>
  <c r="N278" i="31"/>
  <c r="O278" i="31" l="1"/>
  <c r="M279" i="31"/>
  <c r="L280" i="31"/>
  <c r="J281" i="31"/>
  <c r="K281" i="31" s="1"/>
  <c r="P278" i="31"/>
  <c r="N279" i="31"/>
  <c r="O279" i="31" l="1"/>
  <c r="M280" i="31"/>
  <c r="L281" i="31"/>
  <c r="J282" i="31"/>
  <c r="K282" i="31" s="1"/>
  <c r="P279" i="31"/>
  <c r="N280" i="31"/>
  <c r="O280" i="31" l="1"/>
  <c r="M281" i="31"/>
  <c r="L282" i="31"/>
  <c r="J283" i="31"/>
  <c r="K283" i="31" s="1"/>
  <c r="P280" i="31"/>
  <c r="N281" i="31"/>
  <c r="O281" i="31" l="1"/>
  <c r="M282" i="31"/>
  <c r="L283" i="31"/>
  <c r="J284" i="31"/>
  <c r="K284" i="31" s="1"/>
  <c r="P281" i="31"/>
  <c r="N282" i="31"/>
  <c r="O282" i="31" l="1"/>
  <c r="M283" i="31"/>
  <c r="L284" i="31"/>
  <c r="J285" i="31"/>
  <c r="K285" i="31" s="1"/>
  <c r="P282" i="31"/>
  <c r="N283" i="31"/>
  <c r="O283" i="31" l="1"/>
  <c r="M284" i="31"/>
  <c r="L285" i="31"/>
  <c r="J286" i="31"/>
  <c r="K286" i="31" s="1"/>
  <c r="N284" i="31"/>
  <c r="P283" i="31"/>
  <c r="O284" i="31" l="1"/>
  <c r="M285" i="31"/>
  <c r="L286" i="31"/>
  <c r="J287" i="31"/>
  <c r="K287" i="31" s="1"/>
  <c r="P284" i="31"/>
  <c r="N285" i="31"/>
  <c r="O285" i="31" l="1"/>
  <c r="M286" i="31"/>
  <c r="L287" i="31"/>
  <c r="J288" i="31"/>
  <c r="K288" i="31" s="1"/>
  <c r="N286" i="31"/>
  <c r="P285" i="31"/>
  <c r="O286" i="31" l="1"/>
  <c r="M287" i="31"/>
  <c r="L288" i="31"/>
  <c r="J289" i="31"/>
  <c r="K289" i="31" s="1"/>
  <c r="P286" i="31"/>
  <c r="N287" i="31"/>
  <c r="O287" i="31" l="1"/>
  <c r="M288" i="31"/>
  <c r="L289" i="31"/>
  <c r="J290" i="31"/>
  <c r="K290" i="31" s="1"/>
  <c r="N288" i="31"/>
  <c r="P287" i="31"/>
  <c r="O288" i="31" l="1"/>
  <c r="M289" i="31"/>
  <c r="L290" i="31"/>
  <c r="J291" i="31"/>
  <c r="K291" i="31" s="1"/>
  <c r="P288" i="31"/>
  <c r="N289" i="31"/>
  <c r="O289" i="31" l="1"/>
  <c r="M290" i="31"/>
  <c r="L291" i="31"/>
  <c r="J292" i="31"/>
  <c r="K292" i="31" s="1"/>
  <c r="P289" i="31"/>
  <c r="N290" i="31"/>
  <c r="O290" i="31" l="1"/>
  <c r="M291" i="31"/>
  <c r="L292" i="31"/>
  <c r="J293" i="31"/>
  <c r="K293" i="31" s="1"/>
  <c r="N291" i="31"/>
  <c r="P290" i="31"/>
  <c r="O291" i="31" l="1"/>
  <c r="M292" i="31"/>
  <c r="L293" i="31"/>
  <c r="J294" i="31"/>
  <c r="K294" i="31" s="1"/>
  <c r="P291" i="31"/>
  <c r="N292" i="31"/>
  <c r="O292" i="31" l="1"/>
  <c r="M293" i="31"/>
  <c r="L294" i="31"/>
  <c r="J295" i="31"/>
  <c r="K295" i="31" s="1"/>
  <c r="P292" i="31"/>
  <c r="N293" i="31"/>
  <c r="O293" i="31" l="1"/>
  <c r="M294" i="31"/>
  <c r="L295" i="31"/>
  <c r="J296" i="31"/>
  <c r="K296" i="31" s="1"/>
  <c r="N294" i="31"/>
  <c r="P293" i="31"/>
  <c r="O294" i="31" l="1"/>
  <c r="M295" i="31"/>
  <c r="L296" i="31"/>
  <c r="J297" i="31"/>
  <c r="K297" i="31" s="1"/>
  <c r="P294" i="31"/>
  <c r="N295" i="31"/>
  <c r="O295" i="31" l="1"/>
  <c r="M296" i="31"/>
  <c r="L297" i="31"/>
  <c r="J298" i="31"/>
  <c r="K298" i="31" s="1"/>
  <c r="P295" i="31"/>
  <c r="N296" i="31"/>
  <c r="O296" i="31" l="1"/>
  <c r="M297" i="31"/>
  <c r="L298" i="31"/>
  <c r="J299" i="31"/>
  <c r="K299" i="31" s="1"/>
  <c r="P296" i="31"/>
  <c r="N297" i="31"/>
  <c r="O297" i="31" l="1"/>
  <c r="M298" i="31"/>
  <c r="L299" i="31"/>
  <c r="J300" i="31"/>
  <c r="K300" i="31" s="1"/>
  <c r="P297" i="31"/>
  <c r="N298" i="31"/>
  <c r="O298" i="31" l="1"/>
  <c r="M299" i="31"/>
  <c r="L300" i="31"/>
  <c r="J301" i="31"/>
  <c r="K301" i="31" s="1"/>
  <c r="N299" i="31"/>
  <c r="P298" i="31"/>
  <c r="O299" i="31" l="1"/>
  <c r="M300" i="31"/>
  <c r="L301" i="31"/>
  <c r="J302" i="31"/>
  <c r="K302" i="31" s="1"/>
  <c r="P299" i="31"/>
  <c r="N300" i="31"/>
  <c r="O300" i="31" l="1"/>
  <c r="M301" i="31"/>
  <c r="L302" i="31"/>
  <c r="J303" i="31"/>
  <c r="K303" i="31" s="1"/>
  <c r="N301" i="31"/>
  <c r="P300" i="31"/>
  <c r="O301" i="31" l="1"/>
  <c r="M302" i="31"/>
  <c r="L303" i="31"/>
  <c r="J304" i="31"/>
  <c r="K304" i="31" s="1"/>
  <c r="P301" i="31"/>
  <c r="N302" i="31"/>
  <c r="O302" i="31" l="1"/>
  <c r="M303" i="31"/>
  <c r="L304" i="31"/>
  <c r="J305" i="31"/>
  <c r="K305" i="31" s="1"/>
  <c r="P302" i="31"/>
  <c r="N303" i="31"/>
  <c r="O303" i="31" l="1"/>
  <c r="M304" i="31"/>
  <c r="L305" i="31"/>
  <c r="J306" i="31"/>
  <c r="K306" i="31" s="1"/>
  <c r="P303" i="31"/>
  <c r="N304" i="31"/>
  <c r="O304" i="31" l="1"/>
  <c r="M305" i="31"/>
  <c r="L306" i="31"/>
  <c r="J307" i="31"/>
  <c r="K307" i="31" s="1"/>
  <c r="P304" i="31"/>
  <c r="N305" i="31"/>
  <c r="O305" i="31" l="1"/>
  <c r="M306" i="31"/>
  <c r="L307" i="31"/>
  <c r="J308" i="31"/>
  <c r="K308" i="31" s="1"/>
  <c r="N306" i="31"/>
  <c r="P305" i="31"/>
  <c r="O306" i="31" l="1"/>
  <c r="M307" i="31"/>
  <c r="L308" i="31"/>
  <c r="J309" i="31"/>
  <c r="K309" i="31" s="1"/>
  <c r="P306" i="31"/>
  <c r="N307" i="31"/>
  <c r="O307" i="31" l="1"/>
  <c r="M308" i="31"/>
  <c r="L309" i="31"/>
  <c r="J310" i="31"/>
  <c r="K310" i="31" s="1"/>
  <c r="P307" i="31"/>
  <c r="N308" i="31"/>
  <c r="O308" i="31" l="1"/>
  <c r="M309" i="31"/>
  <c r="L310" i="31"/>
  <c r="J311" i="31"/>
  <c r="K311" i="31" s="1"/>
  <c r="P308" i="31"/>
  <c r="N309" i="31"/>
  <c r="O309" i="31" l="1"/>
  <c r="M310" i="31"/>
  <c r="L311" i="31"/>
  <c r="J312" i="31"/>
  <c r="K312" i="31" s="1"/>
  <c r="P309" i="31"/>
  <c r="N310" i="31"/>
  <c r="O310" i="31" l="1"/>
  <c r="M311" i="31"/>
  <c r="L312" i="31"/>
  <c r="J313" i="31"/>
  <c r="K313" i="31" s="1"/>
  <c r="P310" i="31"/>
  <c r="N311" i="31"/>
  <c r="O311" i="31" l="1"/>
  <c r="M312" i="31"/>
  <c r="L313" i="31"/>
  <c r="J314" i="31"/>
  <c r="K314" i="31" s="1"/>
  <c r="P311" i="31"/>
  <c r="N312" i="31"/>
  <c r="O312" i="31" l="1"/>
  <c r="M313" i="31"/>
  <c r="L314" i="31"/>
  <c r="J315" i="31"/>
  <c r="K315" i="31" s="1"/>
  <c r="P312" i="31"/>
  <c r="N313" i="31"/>
  <c r="O313" i="31" l="1"/>
  <c r="M314" i="31"/>
  <c r="L315" i="31"/>
  <c r="J316" i="31"/>
  <c r="K316" i="31" s="1"/>
  <c r="P313" i="31"/>
  <c r="N314" i="31"/>
  <c r="O314" i="31" l="1"/>
  <c r="M315" i="31"/>
  <c r="L316" i="31"/>
  <c r="J317" i="31"/>
  <c r="K317" i="31" s="1"/>
  <c r="N315" i="31"/>
  <c r="P314" i="31"/>
  <c r="O315" i="31" l="1"/>
  <c r="M316" i="31"/>
  <c r="L317" i="31"/>
  <c r="J318" i="31"/>
  <c r="K318" i="31" s="1"/>
  <c r="P315" i="31"/>
  <c r="N316" i="31"/>
  <c r="O316" i="31" l="1"/>
  <c r="M317" i="31"/>
  <c r="L318" i="31"/>
  <c r="J319" i="31"/>
  <c r="K319" i="31" s="1"/>
  <c r="N317" i="31"/>
  <c r="P316" i="31"/>
  <c r="O317" i="31" l="1"/>
  <c r="M318" i="31"/>
  <c r="L319" i="31"/>
  <c r="J320" i="31"/>
  <c r="K320" i="31" s="1"/>
  <c r="P317" i="31"/>
  <c r="N318" i="31"/>
  <c r="O318" i="31" l="1"/>
  <c r="M319" i="31"/>
  <c r="L320" i="31"/>
  <c r="J321" i="31"/>
  <c r="K321" i="31" s="1"/>
  <c r="P318" i="31"/>
  <c r="N319" i="31"/>
  <c r="O319" i="31" l="1"/>
  <c r="M320" i="31"/>
  <c r="L321" i="31"/>
  <c r="J322" i="31"/>
  <c r="K322" i="31" s="1"/>
  <c r="P319" i="31"/>
  <c r="N320" i="31"/>
  <c r="O320" i="31" l="1"/>
  <c r="M321" i="31"/>
  <c r="L322" i="31"/>
  <c r="J323" i="31"/>
  <c r="K323" i="31" s="1"/>
  <c r="P320" i="31"/>
  <c r="N321" i="31"/>
  <c r="O321" i="31" l="1"/>
  <c r="M322" i="31"/>
  <c r="L323" i="31"/>
  <c r="J324" i="31"/>
  <c r="K324" i="31" s="1"/>
  <c r="P321" i="31"/>
  <c r="N322" i="31"/>
  <c r="O322" i="31" l="1"/>
  <c r="M323" i="31"/>
  <c r="L324" i="31"/>
  <c r="J325" i="31"/>
  <c r="K325" i="31" s="1"/>
  <c r="P322" i="31"/>
  <c r="N323" i="31"/>
  <c r="O323" i="31" l="1"/>
  <c r="M324" i="31"/>
  <c r="L325" i="31"/>
  <c r="J326" i="31"/>
  <c r="K326" i="31" s="1"/>
  <c r="N324" i="31"/>
  <c r="P323" i="31"/>
  <c r="O324" i="31" l="1"/>
  <c r="M325" i="31"/>
  <c r="L326" i="31"/>
  <c r="J327" i="31"/>
  <c r="K327" i="31" s="1"/>
  <c r="P324" i="31"/>
  <c r="N325" i="31"/>
  <c r="O325" i="31" l="1"/>
  <c r="M326" i="31"/>
  <c r="L327" i="31"/>
  <c r="J328" i="31"/>
  <c r="K328" i="31" s="1"/>
  <c r="P325" i="31"/>
  <c r="N326" i="31"/>
  <c r="O326" i="31" l="1"/>
  <c r="M327" i="31"/>
  <c r="L328" i="31"/>
  <c r="J329" i="31"/>
  <c r="K329" i="31" s="1"/>
  <c r="P326" i="31"/>
  <c r="N327" i="31"/>
  <c r="O327" i="31" l="1"/>
  <c r="M328" i="31"/>
  <c r="L329" i="31"/>
  <c r="J330" i="31"/>
  <c r="K330" i="31" s="1"/>
  <c r="P327" i="31"/>
  <c r="N328" i="31"/>
  <c r="O328" i="31" l="1"/>
  <c r="M329" i="31"/>
  <c r="L330" i="31"/>
  <c r="J331" i="31"/>
  <c r="K331" i="31" s="1"/>
  <c r="P328" i="31"/>
  <c r="N329" i="31"/>
  <c r="O329" i="31" l="1"/>
  <c r="M330" i="31"/>
  <c r="L331" i="31"/>
  <c r="J332" i="31"/>
  <c r="K332" i="31" s="1"/>
  <c r="P329" i="31"/>
  <c r="N330" i="31"/>
  <c r="O330" i="31" l="1"/>
  <c r="M331" i="31"/>
  <c r="L332" i="31"/>
  <c r="J333" i="31"/>
  <c r="K333" i="31" s="1"/>
  <c r="P330" i="31"/>
  <c r="N331" i="31"/>
  <c r="O331" i="31" l="1"/>
  <c r="M332" i="31"/>
  <c r="L333" i="31"/>
  <c r="J334" i="31"/>
  <c r="K334" i="31" s="1"/>
  <c r="P331" i="31"/>
  <c r="N332" i="31"/>
  <c r="O332" i="31" l="1"/>
  <c r="M333" i="31"/>
  <c r="L334" i="31"/>
  <c r="J335" i="31"/>
  <c r="K335" i="31" s="1"/>
  <c r="P332" i="31"/>
  <c r="N333" i="31"/>
  <c r="O333" i="31" l="1"/>
  <c r="M334" i="31"/>
  <c r="L335" i="31"/>
  <c r="J336" i="31"/>
  <c r="K336" i="31" s="1"/>
  <c r="P333" i="31"/>
  <c r="N334" i="31"/>
  <c r="O334" i="31" l="1"/>
  <c r="M335" i="31"/>
  <c r="L336" i="31"/>
  <c r="J337" i="31"/>
  <c r="K337" i="31" s="1"/>
  <c r="P334" i="31"/>
  <c r="N335" i="31"/>
  <c r="O335" i="31" l="1"/>
  <c r="M336" i="31"/>
  <c r="L337" i="31"/>
  <c r="J338" i="31"/>
  <c r="K338" i="31" s="1"/>
  <c r="P335" i="31"/>
  <c r="N336" i="31"/>
  <c r="O336" i="31" l="1"/>
  <c r="M337" i="31"/>
  <c r="L338" i="31"/>
  <c r="J339" i="31"/>
  <c r="K339" i="31" s="1"/>
  <c r="P336" i="31"/>
  <c r="N337" i="31"/>
  <c r="O337" i="31" l="1"/>
  <c r="M338" i="31"/>
  <c r="L339" i="31"/>
  <c r="J340" i="31"/>
  <c r="K340" i="31" s="1"/>
  <c r="P337" i="31"/>
  <c r="N338" i="31"/>
  <c r="O338" i="31" l="1"/>
  <c r="M339" i="31"/>
  <c r="L340" i="31"/>
  <c r="J341" i="31"/>
  <c r="K341" i="31" s="1"/>
  <c r="P338" i="31"/>
  <c r="N339" i="31"/>
  <c r="O339" i="31" l="1"/>
  <c r="M340" i="31"/>
  <c r="L341" i="31"/>
  <c r="J342" i="31"/>
  <c r="K342" i="31" s="1"/>
  <c r="P339" i="31"/>
  <c r="N340" i="31"/>
  <c r="O340" i="31" l="1"/>
  <c r="M341" i="31"/>
  <c r="L342" i="31"/>
  <c r="J343" i="31"/>
  <c r="K343" i="31" s="1"/>
  <c r="P340" i="31"/>
  <c r="N341" i="31"/>
  <c r="O341" i="31" l="1"/>
  <c r="M342" i="31"/>
  <c r="L343" i="31"/>
  <c r="J344" i="31"/>
  <c r="K344" i="31" s="1"/>
  <c r="N342" i="31"/>
  <c r="P341" i="31"/>
  <c r="O342" i="31" l="1"/>
  <c r="M343" i="31"/>
  <c r="L344" i="31"/>
  <c r="J345" i="31"/>
  <c r="K345" i="31" s="1"/>
  <c r="P342" i="31"/>
  <c r="N343" i="31"/>
  <c r="O343" i="31" l="1"/>
  <c r="M344" i="31"/>
  <c r="L345" i="31"/>
  <c r="J346" i="31"/>
  <c r="K346" i="31" s="1"/>
  <c r="N344" i="31"/>
  <c r="P343" i="31"/>
  <c r="O344" i="31" l="1"/>
  <c r="M345" i="31"/>
  <c r="L346" i="31"/>
  <c r="J347" i="31"/>
  <c r="K347" i="31" s="1"/>
  <c r="P344" i="31"/>
  <c r="N345" i="31"/>
  <c r="O345" i="31" l="1"/>
  <c r="M346" i="31"/>
  <c r="L347" i="31"/>
  <c r="J348" i="31"/>
  <c r="K348" i="31" s="1"/>
  <c r="P345" i="31"/>
  <c r="N346" i="31"/>
  <c r="O346" i="31" l="1"/>
  <c r="M347" i="31"/>
  <c r="L348" i="31"/>
  <c r="J349" i="31"/>
  <c r="K349" i="31" s="1"/>
  <c r="P346" i="31"/>
  <c r="N347" i="31"/>
  <c r="O347" i="31" l="1"/>
  <c r="M348" i="31"/>
  <c r="L349" i="31"/>
  <c r="J350" i="31"/>
  <c r="K350" i="31" s="1"/>
  <c r="P347" i="31"/>
  <c r="N348" i="31"/>
  <c r="O348" i="31" l="1"/>
  <c r="M349" i="31"/>
  <c r="L350" i="31"/>
  <c r="J351" i="31"/>
  <c r="K351" i="31" s="1"/>
  <c r="P348" i="31"/>
  <c r="N349" i="31"/>
  <c r="O349" i="31" l="1"/>
  <c r="M350" i="31"/>
  <c r="L351" i="31"/>
  <c r="J352" i="31"/>
  <c r="K352" i="31" s="1"/>
  <c r="P349" i="31"/>
  <c r="N350" i="31"/>
  <c r="O350" i="31" l="1"/>
  <c r="M351" i="31"/>
  <c r="L352" i="31"/>
  <c r="J353" i="31"/>
  <c r="K353" i="31" s="1"/>
  <c r="P350" i="31"/>
  <c r="N351" i="31"/>
  <c r="O351" i="31" l="1"/>
  <c r="M352" i="31"/>
  <c r="L353" i="31"/>
  <c r="J354" i="31"/>
  <c r="K354" i="31" s="1"/>
  <c r="P351" i="31"/>
  <c r="N352" i="31"/>
  <c r="O352" i="31" l="1"/>
  <c r="M353" i="31"/>
  <c r="L354" i="31"/>
  <c r="J355" i="31"/>
  <c r="K355" i="31" s="1"/>
  <c r="P352" i="31"/>
  <c r="N353" i="31"/>
  <c r="O353" i="31" l="1"/>
  <c r="M354" i="31"/>
  <c r="L355" i="31"/>
  <c r="J356" i="31"/>
  <c r="K356" i="31" s="1"/>
  <c r="P353" i="31"/>
  <c r="N354" i="31"/>
  <c r="O354" i="31" l="1"/>
  <c r="M355" i="31"/>
  <c r="L356" i="31"/>
  <c r="J357" i="31"/>
  <c r="K357" i="31" s="1"/>
  <c r="P354" i="31"/>
  <c r="N355" i="31"/>
  <c r="O355" i="31" l="1"/>
  <c r="M356" i="31"/>
  <c r="L357" i="31"/>
  <c r="J358" i="31"/>
  <c r="K358" i="31" s="1"/>
  <c r="P355" i="31"/>
  <c r="N356" i="31"/>
  <c r="O356" i="31" l="1"/>
  <c r="M357" i="31"/>
  <c r="L358" i="31"/>
  <c r="J359" i="31"/>
  <c r="K359" i="31" s="1"/>
  <c r="N357" i="31"/>
  <c r="P356" i="31"/>
  <c r="O357" i="31" l="1"/>
  <c r="M358" i="31"/>
  <c r="L359" i="31"/>
  <c r="J360" i="31"/>
  <c r="K360" i="31" s="1"/>
  <c r="P357" i="31"/>
  <c r="N358" i="31"/>
  <c r="O358" i="31" l="1"/>
  <c r="M359" i="31"/>
  <c r="L360" i="31"/>
  <c r="J361" i="31"/>
  <c r="K361" i="31" s="1"/>
  <c r="P358" i="31"/>
  <c r="N359" i="31"/>
  <c r="O359" i="31" l="1"/>
  <c r="M360" i="31"/>
  <c r="L361" i="31"/>
  <c r="J362" i="31"/>
  <c r="K362" i="31" s="1"/>
  <c r="P359" i="31"/>
  <c r="N360" i="31"/>
  <c r="O360" i="31" l="1"/>
  <c r="M361" i="31"/>
  <c r="L362" i="31"/>
  <c r="J363" i="31"/>
  <c r="K363" i="31" s="1"/>
  <c r="P360" i="31"/>
  <c r="N361" i="31"/>
  <c r="O361" i="31" l="1"/>
  <c r="M362" i="31"/>
  <c r="L363" i="31"/>
  <c r="J364" i="31"/>
  <c r="K364" i="31" s="1"/>
  <c r="P361" i="31"/>
  <c r="N362" i="31"/>
  <c r="O362" i="31" l="1"/>
  <c r="M363" i="31"/>
  <c r="L364" i="31"/>
  <c r="J365" i="31"/>
  <c r="K365" i="31" s="1"/>
  <c r="P362" i="31"/>
  <c r="N363" i="31"/>
  <c r="O363" i="31" l="1"/>
  <c r="M364" i="31"/>
  <c r="L365" i="31"/>
  <c r="J366" i="31"/>
  <c r="K366" i="31" s="1"/>
  <c r="N364" i="31"/>
  <c r="P363" i="31"/>
  <c r="O364" i="31" l="1"/>
  <c r="M365" i="31"/>
  <c r="L366" i="31"/>
  <c r="J367" i="31"/>
  <c r="K367" i="31" s="1"/>
  <c r="P364" i="31"/>
  <c r="N365" i="31"/>
  <c r="O365" i="31" l="1"/>
  <c r="M366" i="31"/>
  <c r="L367" i="31"/>
  <c r="J368" i="31"/>
  <c r="K368" i="31" s="1"/>
  <c r="P365" i="31"/>
  <c r="N366" i="31"/>
  <c r="O366" i="31" l="1"/>
  <c r="M367" i="31"/>
  <c r="L368" i="31"/>
  <c r="J369" i="31"/>
  <c r="K369" i="31" s="1"/>
  <c r="P366" i="31"/>
  <c r="N367" i="31"/>
  <c r="O367" i="31" l="1"/>
  <c r="M368" i="31"/>
  <c r="L369" i="31"/>
  <c r="J370" i="31"/>
  <c r="K370" i="31" s="1"/>
  <c r="P367" i="31"/>
  <c r="N368" i="31"/>
  <c r="O368" i="31" l="1"/>
  <c r="M369" i="31"/>
  <c r="L370" i="31"/>
  <c r="J371" i="31"/>
  <c r="K371" i="31" s="1"/>
  <c r="P368" i="31"/>
  <c r="N369" i="31"/>
  <c r="O369" i="31" l="1"/>
  <c r="M370" i="31"/>
  <c r="L371" i="31"/>
  <c r="J372" i="31"/>
  <c r="K372" i="31" s="1"/>
  <c r="N370" i="31"/>
  <c r="P369" i="31"/>
  <c r="O370" i="31" l="1"/>
  <c r="M371" i="31"/>
  <c r="L372" i="31"/>
  <c r="J373" i="31"/>
  <c r="K373" i="31" s="1"/>
  <c r="P370" i="31"/>
  <c r="N371" i="31"/>
  <c r="O371" i="31" l="1"/>
  <c r="M372" i="31"/>
  <c r="L373" i="31"/>
  <c r="J374" i="31"/>
  <c r="K374" i="31" s="1"/>
  <c r="P371" i="31"/>
  <c r="N372" i="31"/>
  <c r="O372" i="31" l="1"/>
  <c r="M373" i="31"/>
  <c r="L374" i="31"/>
  <c r="J375" i="31"/>
  <c r="K375" i="31" s="1"/>
  <c r="N373" i="31"/>
  <c r="P372" i="31"/>
  <c r="O373" i="31" l="1"/>
  <c r="M374" i="31"/>
  <c r="L375" i="31"/>
  <c r="J376" i="31"/>
  <c r="K376" i="31" s="1"/>
  <c r="P373" i="31"/>
  <c r="N374" i="31"/>
  <c r="O374" i="31" l="1"/>
  <c r="M375" i="31"/>
  <c r="L376" i="31"/>
  <c r="J377" i="31"/>
  <c r="K377" i="31" s="1"/>
  <c r="N375" i="31"/>
  <c r="P374" i="31"/>
  <c r="O375" i="31" l="1"/>
  <c r="M376" i="31"/>
  <c r="L377" i="31"/>
  <c r="J378" i="31"/>
  <c r="K378" i="31" s="1"/>
  <c r="P375" i="31"/>
  <c r="N376" i="31"/>
  <c r="O376" i="31" l="1"/>
  <c r="M377" i="31"/>
  <c r="L378" i="31"/>
  <c r="J379" i="31"/>
  <c r="K379" i="31" s="1"/>
  <c r="P376" i="31"/>
  <c r="N377" i="31"/>
  <c r="O377" i="31" l="1"/>
  <c r="M378" i="31"/>
  <c r="L379" i="31"/>
  <c r="J380" i="31"/>
  <c r="K380" i="31" s="1"/>
  <c r="P377" i="31"/>
  <c r="N378" i="31"/>
  <c r="O378" i="31" l="1"/>
  <c r="M379" i="31"/>
  <c r="L380" i="31"/>
  <c r="J381" i="31"/>
  <c r="K381" i="31" s="1"/>
  <c r="P378" i="31"/>
  <c r="N379" i="31"/>
  <c r="O379" i="31" l="1"/>
  <c r="M380" i="31"/>
  <c r="L381" i="31"/>
  <c r="J382" i="31"/>
  <c r="K382" i="31" s="1"/>
  <c r="P379" i="31"/>
  <c r="N380" i="31"/>
  <c r="O380" i="31" l="1"/>
  <c r="M381" i="31"/>
  <c r="L382" i="31"/>
  <c r="J383" i="31"/>
  <c r="K383" i="31" s="1"/>
  <c r="P380" i="31"/>
  <c r="N381" i="31"/>
  <c r="O381" i="31" l="1"/>
  <c r="M382" i="31"/>
  <c r="L383" i="31"/>
  <c r="J384" i="31"/>
  <c r="K384" i="31" s="1"/>
  <c r="P381" i="31"/>
  <c r="N382" i="31"/>
  <c r="O382" i="31" l="1"/>
  <c r="M383" i="31"/>
  <c r="L384" i="31"/>
  <c r="J385" i="31"/>
  <c r="K385" i="31" s="1"/>
  <c r="N383" i="31"/>
  <c r="P382" i="31"/>
  <c r="O383" i="31" l="1"/>
  <c r="M384" i="31"/>
  <c r="L385" i="31"/>
  <c r="J386" i="31"/>
  <c r="K386" i="31" s="1"/>
  <c r="P383" i="31"/>
  <c r="N384" i="31"/>
  <c r="O384" i="31" l="1"/>
  <c r="M385" i="31"/>
  <c r="L386" i="31"/>
  <c r="J387" i="31"/>
  <c r="K387" i="31" s="1"/>
  <c r="P384" i="31"/>
  <c r="N385" i="31"/>
  <c r="O385" i="31" l="1"/>
  <c r="M386" i="31"/>
  <c r="L387" i="31"/>
  <c r="J388" i="31"/>
  <c r="K388" i="31" s="1"/>
  <c r="N386" i="31"/>
  <c r="P385" i="31"/>
  <c r="O386" i="31" l="1"/>
  <c r="M387" i="31"/>
  <c r="L388" i="31"/>
  <c r="J389" i="31"/>
  <c r="K389" i="31" s="1"/>
  <c r="P386" i="31"/>
  <c r="N387" i="31"/>
  <c r="O387" i="31" l="1"/>
  <c r="M388" i="31"/>
  <c r="L389" i="31"/>
  <c r="J390" i="31"/>
  <c r="K390" i="31" s="1"/>
  <c r="P387" i="31"/>
  <c r="N388" i="31"/>
  <c r="O388" i="31" l="1"/>
  <c r="M389" i="31"/>
  <c r="L390" i="31"/>
  <c r="J391" i="31"/>
  <c r="K391" i="31" s="1"/>
  <c r="N389" i="31"/>
  <c r="P388" i="31"/>
  <c r="O389" i="31" l="1"/>
  <c r="M390" i="31"/>
  <c r="L391" i="31"/>
  <c r="J392" i="31"/>
  <c r="K392" i="31" s="1"/>
  <c r="P389" i="31"/>
  <c r="N390" i="31"/>
  <c r="O390" i="31" l="1"/>
  <c r="M391" i="31"/>
  <c r="L392" i="31"/>
  <c r="J393" i="31"/>
  <c r="K393" i="31" s="1"/>
  <c r="P390" i="31"/>
  <c r="N391" i="31"/>
  <c r="O391" i="31" l="1"/>
  <c r="M392" i="31"/>
  <c r="L393" i="31"/>
  <c r="J394" i="31"/>
  <c r="K394" i="31" s="1"/>
  <c r="P391" i="31"/>
  <c r="N392" i="31"/>
  <c r="O392" i="31" l="1"/>
  <c r="M393" i="31"/>
  <c r="L394" i="31"/>
  <c r="J395" i="31"/>
  <c r="K395" i="31" s="1"/>
  <c r="P392" i="31"/>
  <c r="N393" i="31"/>
  <c r="O393" i="31" l="1"/>
  <c r="M394" i="31"/>
  <c r="L395" i="31"/>
  <c r="J396" i="31"/>
  <c r="K396" i="31" s="1"/>
  <c r="P393" i="31"/>
  <c r="N394" i="31"/>
  <c r="O394" i="31" l="1"/>
  <c r="M395" i="31"/>
  <c r="L396" i="31"/>
  <c r="J397" i="31"/>
  <c r="K397" i="31" s="1"/>
  <c r="P394" i="31"/>
  <c r="N395" i="31"/>
  <c r="O395" i="31" l="1"/>
  <c r="M396" i="31"/>
  <c r="L397" i="31"/>
  <c r="J398" i="31"/>
  <c r="K398" i="31" s="1"/>
  <c r="N396" i="31"/>
  <c r="P395" i="31"/>
  <c r="O396" i="31" l="1"/>
  <c r="M397" i="31"/>
  <c r="L398" i="31"/>
  <c r="J399" i="31"/>
  <c r="K399" i="31" s="1"/>
  <c r="P396" i="31"/>
  <c r="N397" i="31"/>
  <c r="O397" i="31" l="1"/>
  <c r="M398" i="31"/>
  <c r="L399" i="31"/>
  <c r="J400" i="31"/>
  <c r="K400" i="31" s="1"/>
  <c r="N398" i="31"/>
  <c r="P397" i="31"/>
  <c r="O398" i="31" l="1"/>
  <c r="M399" i="31"/>
  <c r="L400" i="31"/>
  <c r="J401" i="31"/>
  <c r="K401" i="31" s="1"/>
  <c r="P398" i="31"/>
  <c r="N399" i="31"/>
  <c r="O399" i="31" l="1"/>
  <c r="M400" i="31"/>
  <c r="L401" i="31"/>
  <c r="J402" i="31"/>
  <c r="K402" i="31" s="1"/>
  <c r="P399" i="31"/>
  <c r="P400" i="31"/>
  <c r="M401" i="31" l="1"/>
  <c r="L402" i="31"/>
  <c r="J403" i="31"/>
  <c r="K403" i="31" s="1"/>
  <c r="N400" i="31"/>
  <c r="N401" i="31"/>
  <c r="O400" i="31" l="1"/>
  <c r="O401" i="31"/>
  <c r="M402" i="31"/>
  <c r="L403" i="31"/>
  <c r="J404" i="31"/>
  <c r="K404" i="31" s="1"/>
  <c r="P401" i="31"/>
  <c r="N402" i="31"/>
  <c r="O402" i="31" l="1"/>
  <c r="M403" i="31"/>
  <c r="L404" i="31"/>
  <c r="J405" i="31"/>
  <c r="K405" i="31" s="1"/>
  <c r="P402" i="31"/>
  <c r="N403" i="31"/>
  <c r="O403" i="31" l="1"/>
  <c r="M404" i="31"/>
  <c r="L405" i="31"/>
  <c r="J406" i="31"/>
  <c r="K406" i="31" s="1"/>
  <c r="P403" i="31"/>
  <c r="N404" i="31"/>
  <c r="O404" i="31" l="1"/>
  <c r="M405" i="31"/>
  <c r="L406" i="31"/>
  <c r="J407" i="31"/>
  <c r="K407" i="31" s="1"/>
  <c r="P404" i="31"/>
  <c r="N405" i="31"/>
  <c r="O405" i="31" l="1"/>
  <c r="M406" i="31"/>
  <c r="L407" i="31"/>
  <c r="J408" i="31"/>
  <c r="K408" i="31" s="1"/>
  <c r="P405" i="31"/>
  <c r="N406" i="31"/>
  <c r="O406" i="31" l="1"/>
  <c r="M407" i="31"/>
  <c r="L408" i="31"/>
  <c r="J409" i="31"/>
  <c r="K409" i="31" s="1"/>
  <c r="P406" i="31"/>
  <c r="N407" i="31"/>
  <c r="O407" i="31" l="1"/>
  <c r="M408" i="31"/>
  <c r="L409" i="31"/>
  <c r="J410" i="31"/>
  <c r="K410" i="31" s="1"/>
  <c r="P407" i="31"/>
  <c r="N408" i="31"/>
  <c r="O408" i="31" l="1"/>
  <c r="M409" i="31"/>
  <c r="L410" i="31"/>
  <c r="J411" i="31"/>
  <c r="K411" i="31" s="1"/>
  <c r="P408" i="31"/>
  <c r="N409" i="31"/>
  <c r="O409" i="31" l="1"/>
  <c r="M410" i="31"/>
  <c r="L411" i="31"/>
  <c r="J412" i="31"/>
  <c r="K412" i="31" s="1"/>
  <c r="P409" i="31"/>
  <c r="N410" i="31"/>
  <c r="O410" i="31" l="1"/>
  <c r="M411" i="31"/>
  <c r="L412" i="31"/>
  <c r="J413" i="31"/>
  <c r="K413" i="31" s="1"/>
  <c r="P410" i="31"/>
  <c r="N411" i="31"/>
  <c r="O411" i="31" l="1"/>
  <c r="M412" i="31"/>
  <c r="L413" i="31"/>
  <c r="J414" i="31"/>
  <c r="K414" i="31" s="1"/>
  <c r="P411" i="31"/>
  <c r="N412" i="31"/>
  <c r="O412" i="31" l="1"/>
  <c r="M413" i="31"/>
  <c r="L414" i="31"/>
  <c r="J415" i="31"/>
  <c r="K415" i="31" s="1"/>
  <c r="P412" i="31"/>
  <c r="N413" i="31"/>
  <c r="O413" i="31" l="1"/>
  <c r="M414" i="31"/>
  <c r="L415" i="31"/>
  <c r="J416" i="31"/>
  <c r="K416" i="31" s="1"/>
  <c r="P413" i="31"/>
  <c r="N414" i="31"/>
  <c r="O414" i="31" l="1"/>
  <c r="M415" i="31"/>
  <c r="L416" i="31"/>
  <c r="J417" i="31"/>
  <c r="K417" i="31" s="1"/>
  <c r="N415" i="31"/>
  <c r="P414" i="31"/>
  <c r="O415" i="31" l="1"/>
  <c r="M416" i="31"/>
  <c r="L417" i="31"/>
  <c r="J418" i="31"/>
  <c r="K418" i="31" s="1"/>
  <c r="P415" i="31"/>
  <c r="N416" i="31"/>
  <c r="O416" i="31" l="1"/>
  <c r="M417" i="31"/>
  <c r="L418" i="31"/>
  <c r="J419" i="31"/>
  <c r="K419" i="31" s="1"/>
  <c r="P416" i="31"/>
  <c r="N417" i="31"/>
  <c r="O417" i="31" l="1"/>
  <c r="M418" i="31"/>
  <c r="L419" i="31"/>
  <c r="J420" i="31"/>
  <c r="K420" i="31" s="1"/>
  <c r="P417" i="31"/>
  <c r="N418" i="31"/>
  <c r="O418" i="31" l="1"/>
  <c r="M419" i="31"/>
  <c r="L420" i="31"/>
  <c r="J421" i="31"/>
  <c r="K421" i="31" s="1"/>
  <c r="P418" i="31"/>
  <c r="N419" i="31"/>
  <c r="O419" i="31" l="1"/>
  <c r="M420" i="31"/>
  <c r="L421" i="31"/>
  <c r="J422" i="31"/>
  <c r="K422" i="31" s="1"/>
  <c r="P419" i="31"/>
  <c r="N420" i="31"/>
  <c r="O420" i="31" l="1"/>
  <c r="M421" i="31"/>
  <c r="L422" i="31"/>
  <c r="J423" i="31"/>
  <c r="K423" i="31" s="1"/>
  <c r="N421" i="31"/>
  <c r="P420" i="31"/>
  <c r="O421" i="31" l="1"/>
  <c r="M422" i="31"/>
  <c r="L423" i="31"/>
  <c r="J424" i="31"/>
  <c r="K424" i="31" s="1"/>
  <c r="N422" i="31"/>
  <c r="P421" i="31"/>
  <c r="O422" i="31" l="1"/>
  <c r="M423" i="31"/>
  <c r="L424" i="31"/>
  <c r="J425" i="31"/>
  <c r="K425" i="31" s="1"/>
  <c r="P422" i="31"/>
  <c r="N423" i="31"/>
  <c r="O423" i="31" l="1"/>
  <c r="M424" i="31"/>
  <c r="L425" i="31"/>
  <c r="J426" i="31"/>
  <c r="K426" i="31" s="1"/>
  <c r="P423" i="31"/>
  <c r="N424" i="31"/>
  <c r="O424" i="31" l="1"/>
  <c r="M425" i="31"/>
  <c r="L426" i="31"/>
  <c r="J427" i="31"/>
  <c r="K427" i="31" s="1"/>
  <c r="N425" i="31"/>
  <c r="P424" i="31"/>
  <c r="O425" i="31" l="1"/>
  <c r="M426" i="31"/>
  <c r="L427" i="31"/>
  <c r="J428" i="31"/>
  <c r="K428" i="31" s="1"/>
  <c r="N426" i="31"/>
  <c r="P425" i="31"/>
  <c r="O426" i="31" l="1"/>
  <c r="M427" i="31"/>
  <c r="L428" i="31"/>
  <c r="J429" i="31"/>
  <c r="K429" i="31" s="1"/>
  <c r="P426" i="31"/>
  <c r="N427" i="31"/>
  <c r="O427" i="31" l="1"/>
  <c r="M428" i="31"/>
  <c r="L429" i="31"/>
  <c r="J430" i="31"/>
  <c r="K430" i="31" s="1"/>
  <c r="N428" i="31"/>
  <c r="P427" i="31"/>
  <c r="O428" i="31" l="1"/>
  <c r="M429" i="31"/>
  <c r="L430" i="31"/>
  <c r="J431" i="31"/>
  <c r="K431" i="31" s="1"/>
  <c r="P428" i="31"/>
  <c r="N429" i="31"/>
  <c r="O429" i="31" l="1"/>
  <c r="M430" i="31"/>
  <c r="L431" i="31"/>
  <c r="J432" i="31"/>
  <c r="K432" i="31" s="1"/>
  <c r="N430" i="31"/>
  <c r="P429" i="31"/>
  <c r="O430" i="31" l="1"/>
  <c r="M431" i="31"/>
  <c r="L432" i="31"/>
  <c r="J433" i="31"/>
  <c r="K433" i="31" s="1"/>
  <c r="P430" i="31"/>
  <c r="N431" i="31"/>
  <c r="O431" i="31" l="1"/>
  <c r="M432" i="31"/>
  <c r="L433" i="31"/>
  <c r="J434" i="31"/>
  <c r="K434" i="31" s="1"/>
  <c r="P431" i="31"/>
  <c r="N432" i="31"/>
  <c r="O432" i="31" l="1"/>
  <c r="M433" i="31"/>
  <c r="L434" i="31"/>
  <c r="J435" i="31"/>
  <c r="K435" i="31" s="1"/>
  <c r="P432" i="31"/>
  <c r="N433" i="31"/>
  <c r="O433" i="31" l="1"/>
  <c r="M434" i="31"/>
  <c r="L435" i="31"/>
  <c r="J436" i="31"/>
  <c r="K436" i="31" s="1"/>
  <c r="P433" i="31"/>
  <c r="N434" i="31"/>
  <c r="O434" i="31" l="1"/>
  <c r="M435" i="31"/>
  <c r="L436" i="31"/>
  <c r="J437" i="31"/>
  <c r="K437" i="31" s="1"/>
  <c r="P434" i="31"/>
  <c r="N435" i="31"/>
  <c r="O435" i="31" l="1"/>
  <c r="M436" i="31"/>
  <c r="L437" i="31"/>
  <c r="J438" i="31"/>
  <c r="K438" i="31" s="1"/>
  <c r="P435" i="31"/>
  <c r="N436" i="31"/>
  <c r="O436" i="31" l="1"/>
  <c r="M437" i="31"/>
  <c r="L438" i="31"/>
  <c r="J439" i="31"/>
  <c r="K439" i="31" s="1"/>
  <c r="N437" i="31"/>
  <c r="P436" i="31"/>
  <c r="O437" i="31" l="1"/>
  <c r="M438" i="31"/>
  <c r="L439" i="31"/>
  <c r="J440" i="31"/>
  <c r="K440" i="31" s="1"/>
  <c r="P437" i="31"/>
  <c r="N438" i="31"/>
  <c r="O438" i="31" l="1"/>
  <c r="M439" i="31"/>
  <c r="L440" i="31"/>
  <c r="J441" i="31"/>
  <c r="K441" i="31" s="1"/>
  <c r="P438" i="31"/>
  <c r="N439" i="31"/>
  <c r="O439" i="31" l="1"/>
  <c r="M440" i="31"/>
  <c r="L441" i="31"/>
  <c r="J442" i="31"/>
  <c r="K442" i="31" s="1"/>
  <c r="P439" i="31"/>
  <c r="N440" i="31"/>
  <c r="O440" i="31" l="1"/>
  <c r="M441" i="31"/>
  <c r="L442" i="31"/>
  <c r="J443" i="31"/>
  <c r="K443" i="31" s="1"/>
  <c r="P440" i="31"/>
  <c r="N441" i="31"/>
  <c r="O441" i="31" l="1"/>
  <c r="M442" i="31"/>
  <c r="L443" i="31"/>
  <c r="J444" i="31"/>
  <c r="K444" i="31" s="1"/>
  <c r="P441" i="31"/>
  <c r="N442" i="31"/>
  <c r="O442" i="31" l="1"/>
  <c r="M443" i="31"/>
  <c r="L444" i="31"/>
  <c r="J445" i="31"/>
  <c r="K445" i="31" s="1"/>
  <c r="P442" i="31"/>
  <c r="N443" i="31"/>
  <c r="O443" i="31" l="1"/>
  <c r="M444" i="31"/>
  <c r="L445" i="31"/>
  <c r="J446" i="31"/>
  <c r="K446" i="31" s="1"/>
  <c r="P443" i="31"/>
  <c r="N444" i="31"/>
  <c r="O444" i="31" l="1"/>
  <c r="M445" i="31"/>
  <c r="L446" i="31"/>
  <c r="J447" i="31"/>
  <c r="K447" i="31" s="1"/>
  <c r="P444" i="31"/>
  <c r="N445" i="31"/>
  <c r="O445" i="31" l="1"/>
  <c r="M446" i="31"/>
  <c r="L447" i="31"/>
  <c r="J448" i="31"/>
  <c r="K448" i="31" s="1"/>
  <c r="P445" i="31"/>
  <c r="N446" i="31"/>
  <c r="O446" i="31" l="1"/>
  <c r="M447" i="31"/>
  <c r="L448" i="31"/>
  <c r="J449" i="31"/>
  <c r="K449" i="31" s="1"/>
  <c r="P446" i="31"/>
  <c r="N447" i="31"/>
  <c r="O447" i="31" l="1"/>
  <c r="M448" i="31"/>
  <c r="L449" i="31"/>
  <c r="J450" i="31"/>
  <c r="K450" i="31" s="1"/>
  <c r="N448" i="31"/>
  <c r="P447" i="31"/>
  <c r="O448" i="31" l="1"/>
  <c r="M449" i="31"/>
  <c r="L450" i="31"/>
  <c r="J451" i="31"/>
  <c r="K451" i="31" s="1"/>
  <c r="P448" i="31"/>
  <c r="N449" i="31"/>
  <c r="O449" i="31" l="1"/>
  <c r="M450" i="31"/>
  <c r="L451" i="31"/>
  <c r="J452" i="31"/>
  <c r="K452" i="31" s="1"/>
  <c r="P449" i="31"/>
  <c r="N450" i="31"/>
  <c r="O450" i="31" l="1"/>
  <c r="M451" i="31"/>
  <c r="L452" i="31"/>
  <c r="J453" i="31"/>
  <c r="K453" i="31" s="1"/>
  <c r="P450" i="31"/>
  <c r="N451" i="31"/>
  <c r="O451" i="31" l="1"/>
  <c r="M452" i="31"/>
  <c r="L453" i="31"/>
  <c r="J454" i="31"/>
  <c r="K454" i="31" s="1"/>
  <c r="P451" i="31"/>
  <c r="N452" i="31"/>
  <c r="O452" i="31" l="1"/>
  <c r="M453" i="31"/>
  <c r="L454" i="31"/>
  <c r="J455" i="31"/>
  <c r="K455" i="31" s="1"/>
  <c r="N453" i="31"/>
  <c r="P452" i="31"/>
  <c r="O453" i="31" l="1"/>
  <c r="M454" i="31"/>
  <c r="L455" i="31"/>
  <c r="J456" i="31"/>
  <c r="K456" i="31" s="1"/>
  <c r="P453" i="31"/>
  <c r="N454" i="31"/>
  <c r="O454" i="31" l="1"/>
  <c r="M455" i="31"/>
  <c r="L456" i="31"/>
  <c r="J457" i="31"/>
  <c r="K457" i="31" s="1"/>
  <c r="P454" i="31"/>
  <c r="N455" i="31"/>
  <c r="O455" i="31" l="1"/>
  <c r="M456" i="31"/>
  <c r="L457" i="31"/>
  <c r="J458" i="31"/>
  <c r="K458" i="31" s="1"/>
  <c r="P455" i="31"/>
  <c r="N456" i="31"/>
  <c r="O456" i="31" l="1"/>
  <c r="M457" i="31"/>
  <c r="L458" i="31"/>
  <c r="J459" i="31"/>
  <c r="K459" i="31" s="1"/>
  <c r="P456" i="31"/>
  <c r="N457" i="31"/>
  <c r="O457" i="31" l="1"/>
  <c r="M458" i="31"/>
  <c r="L459" i="31"/>
  <c r="J460" i="31"/>
  <c r="K460" i="31" s="1"/>
  <c r="P457" i="31"/>
  <c r="N458" i="31"/>
  <c r="O458" i="31" l="1"/>
  <c r="M459" i="31"/>
  <c r="L460" i="31"/>
  <c r="J461" i="31"/>
  <c r="K461" i="31" s="1"/>
  <c r="N459" i="31"/>
  <c r="P458" i="31"/>
  <c r="O459" i="31" l="1"/>
  <c r="M460" i="31"/>
  <c r="L461" i="31"/>
  <c r="J462" i="31"/>
  <c r="K462" i="31" s="1"/>
  <c r="P459" i="31"/>
  <c r="N460" i="31"/>
  <c r="O460" i="31" l="1"/>
  <c r="M461" i="31"/>
  <c r="L462" i="31"/>
  <c r="J463" i="31"/>
  <c r="K463" i="31" s="1"/>
  <c r="N461" i="31"/>
  <c r="P460" i="31"/>
  <c r="O461" i="31" l="1"/>
  <c r="M462" i="31"/>
  <c r="L463" i="31"/>
  <c r="J464" i="31"/>
  <c r="K464" i="31" s="1"/>
  <c r="N462" i="31"/>
  <c r="P461" i="31"/>
  <c r="O462" i="31" l="1"/>
  <c r="M463" i="31"/>
  <c r="L464" i="31"/>
  <c r="J465" i="31"/>
  <c r="K465" i="31" s="1"/>
  <c r="P462" i="31"/>
  <c r="N463" i="31"/>
  <c r="O463" i="31" l="1"/>
  <c r="M464" i="31"/>
  <c r="L465" i="31"/>
  <c r="J466" i="31"/>
  <c r="K466" i="31" s="1"/>
  <c r="N464" i="31"/>
  <c r="P463" i="31"/>
  <c r="O464" i="31" l="1"/>
  <c r="M465" i="31"/>
  <c r="L466" i="31"/>
  <c r="J467" i="31"/>
  <c r="K467" i="31" s="1"/>
  <c r="P464" i="31"/>
  <c r="N465" i="31"/>
  <c r="O465" i="31" l="1"/>
  <c r="M466" i="31"/>
  <c r="L467" i="31"/>
  <c r="J468" i="31"/>
  <c r="K468" i="31" s="1"/>
  <c r="P465" i="31"/>
  <c r="N466" i="31"/>
  <c r="O466" i="31" l="1"/>
  <c r="M467" i="31"/>
  <c r="L468" i="31"/>
  <c r="J469" i="31"/>
  <c r="K469" i="31" s="1"/>
  <c r="N467" i="31"/>
  <c r="P466" i="31"/>
  <c r="O467" i="31" l="1"/>
  <c r="M468" i="31"/>
  <c r="L469" i="31"/>
  <c r="J470" i="31"/>
  <c r="K470" i="31" s="1"/>
  <c r="P467" i="31"/>
  <c r="N468" i="31"/>
  <c r="O468" i="31" l="1"/>
  <c r="M469" i="31"/>
  <c r="L470" i="31"/>
  <c r="J471" i="31"/>
  <c r="K471" i="31" s="1"/>
  <c r="P468" i="31"/>
  <c r="N469" i="31"/>
  <c r="O469" i="31" l="1"/>
  <c r="M470" i="31"/>
  <c r="L471" i="31"/>
  <c r="J472" i="31"/>
  <c r="K472" i="31" s="1"/>
  <c r="P469" i="31"/>
  <c r="N470" i="31"/>
  <c r="O470" i="31" l="1"/>
  <c r="M471" i="31"/>
  <c r="L472" i="31"/>
  <c r="J473" i="31"/>
  <c r="K473" i="31" s="1"/>
  <c r="P470" i="31"/>
  <c r="N471" i="31"/>
  <c r="O471" i="31" l="1"/>
  <c r="M472" i="31"/>
  <c r="L473" i="31"/>
  <c r="J474" i="31"/>
  <c r="K474" i="31" s="1"/>
  <c r="P471" i="31"/>
  <c r="N472" i="31"/>
  <c r="O472" i="31" l="1"/>
  <c r="M473" i="31"/>
  <c r="L474" i="31"/>
  <c r="J475" i="31"/>
  <c r="K475" i="31" s="1"/>
  <c r="N473" i="31"/>
  <c r="P472" i="31"/>
  <c r="O473" i="31" l="1"/>
  <c r="M474" i="31"/>
  <c r="L475" i="31"/>
  <c r="J476" i="31"/>
  <c r="K476" i="31" s="1"/>
  <c r="P473" i="31"/>
  <c r="N474" i="31"/>
  <c r="O474" i="31" l="1"/>
  <c r="M475" i="31"/>
  <c r="L476" i="31"/>
  <c r="J477" i="31"/>
  <c r="K477" i="31" s="1"/>
  <c r="P474" i="31"/>
  <c r="N475" i="31"/>
  <c r="O475" i="31" l="1"/>
  <c r="M476" i="31"/>
  <c r="L477" i="31"/>
  <c r="J478" i="31"/>
  <c r="K478" i="31" s="1"/>
  <c r="P475" i="31"/>
  <c r="N476" i="31"/>
  <c r="O476" i="31" l="1"/>
  <c r="M477" i="31"/>
  <c r="L478" i="31"/>
  <c r="J479" i="31"/>
  <c r="K479" i="31" s="1"/>
  <c r="N477" i="31"/>
  <c r="P476" i="31"/>
  <c r="O477" i="31" l="1"/>
  <c r="M478" i="31"/>
  <c r="L479" i="31"/>
  <c r="J480" i="31"/>
  <c r="K480" i="31" s="1"/>
  <c r="P477" i="31"/>
  <c r="N478" i="31"/>
  <c r="O478" i="31" l="1"/>
  <c r="M479" i="31"/>
  <c r="L480" i="31"/>
  <c r="J481" i="31"/>
  <c r="K481" i="31" s="1"/>
  <c r="P478" i="31"/>
  <c r="N479" i="31"/>
  <c r="O479" i="31" l="1"/>
  <c r="M480" i="31"/>
  <c r="L481" i="31"/>
  <c r="J482" i="31"/>
  <c r="K482" i="31" s="1"/>
  <c r="P479" i="31"/>
  <c r="N480" i="31"/>
  <c r="O480" i="31" l="1"/>
  <c r="M481" i="31"/>
  <c r="L482" i="31"/>
  <c r="J483" i="31"/>
  <c r="K483" i="31" s="1"/>
  <c r="P480" i="31"/>
  <c r="N481" i="31"/>
  <c r="O481" i="31" l="1"/>
  <c r="M482" i="31"/>
  <c r="L483" i="31"/>
  <c r="J484" i="31"/>
  <c r="K484" i="31" s="1"/>
  <c r="N482" i="31"/>
  <c r="P481" i="31"/>
  <c r="O482" i="31" l="1"/>
  <c r="M483" i="31"/>
  <c r="L484" i="31"/>
  <c r="J485" i="31"/>
  <c r="K485" i="31" s="1"/>
  <c r="P482" i="31"/>
  <c r="N483" i="31"/>
  <c r="O483" i="31" l="1"/>
  <c r="M484" i="31"/>
  <c r="L485" i="31"/>
  <c r="J486" i="31"/>
  <c r="K486" i="31" s="1"/>
  <c r="P483" i="31"/>
  <c r="N484" i="31"/>
  <c r="O484" i="31" l="1"/>
  <c r="M485" i="31"/>
  <c r="L486" i="31"/>
  <c r="J487" i="31"/>
  <c r="K487" i="31" s="1"/>
  <c r="P484" i="31"/>
  <c r="N485" i="31"/>
  <c r="O485" i="31" l="1"/>
  <c r="M486" i="31"/>
  <c r="L487" i="31"/>
  <c r="J488" i="31"/>
  <c r="K488" i="31" s="1"/>
  <c r="N486" i="31"/>
  <c r="P485" i="31"/>
  <c r="O486" i="31" l="1"/>
  <c r="M487" i="31"/>
  <c r="L488" i="31"/>
  <c r="J489" i="31"/>
  <c r="K489" i="31" s="1"/>
  <c r="N487" i="31"/>
  <c r="P486" i="31"/>
  <c r="O487" i="31" l="1"/>
  <c r="M488" i="31"/>
  <c r="L489" i="31"/>
  <c r="J490" i="31"/>
  <c r="K490" i="31" s="1"/>
  <c r="P487" i="31"/>
  <c r="N488" i="31"/>
  <c r="O488" i="31" l="1"/>
  <c r="M489" i="31"/>
  <c r="L490" i="31"/>
  <c r="J491" i="31"/>
  <c r="K491" i="31" s="1"/>
  <c r="N489" i="31"/>
  <c r="P488" i="31"/>
  <c r="O489" i="31" l="1"/>
  <c r="M490" i="31"/>
  <c r="L491" i="31"/>
  <c r="J492" i="31"/>
  <c r="K492" i="31" s="1"/>
  <c r="N490" i="31"/>
  <c r="P489" i="31"/>
  <c r="O490" i="31" l="1"/>
  <c r="M491" i="31"/>
  <c r="L492" i="31"/>
  <c r="J493" i="31"/>
  <c r="K493" i="31" s="1"/>
  <c r="P490" i="31"/>
  <c r="N491" i="31"/>
  <c r="O491" i="31" l="1"/>
  <c r="M492" i="31"/>
  <c r="L493" i="31"/>
  <c r="J494" i="31"/>
  <c r="K494" i="31" s="1"/>
  <c r="P491" i="31"/>
  <c r="N492" i="31"/>
  <c r="O492" i="31" l="1"/>
  <c r="M493" i="31"/>
  <c r="L494" i="31"/>
  <c r="J495" i="31"/>
  <c r="K495" i="31" s="1"/>
  <c r="N493" i="31"/>
  <c r="P492" i="31"/>
  <c r="O493" i="31" l="1"/>
  <c r="M494" i="31"/>
  <c r="L495" i="31"/>
  <c r="J496" i="31"/>
  <c r="K496" i="31" s="1"/>
  <c r="P493" i="31"/>
  <c r="N494" i="31"/>
  <c r="O494" i="31" l="1"/>
  <c r="M495" i="31"/>
  <c r="L496" i="31"/>
  <c r="J497" i="31"/>
  <c r="K497" i="31" s="1"/>
  <c r="P494" i="31"/>
  <c r="N495" i="31"/>
  <c r="O495" i="31" l="1"/>
  <c r="M496" i="31"/>
  <c r="L497" i="31"/>
  <c r="J498" i="31"/>
  <c r="K498" i="31" s="1"/>
  <c r="N496" i="31"/>
  <c r="P495" i="31"/>
  <c r="O496" i="31" l="1"/>
  <c r="M497" i="31"/>
  <c r="L498" i="31"/>
  <c r="J499" i="31"/>
  <c r="K499" i="31" s="1"/>
  <c r="N497" i="31"/>
  <c r="P496" i="31"/>
  <c r="O497" i="31" l="1"/>
  <c r="M498" i="31"/>
  <c r="L499" i="31"/>
  <c r="J500" i="31"/>
  <c r="K500" i="31" s="1"/>
  <c r="P497" i="31"/>
  <c r="N498" i="31"/>
  <c r="O498" i="31" l="1"/>
  <c r="M499" i="31"/>
  <c r="L500" i="31"/>
  <c r="J501" i="31"/>
  <c r="P498" i="31"/>
  <c r="N499" i="31"/>
  <c r="K501" i="31" l="1"/>
  <c r="O499" i="31"/>
  <c r="M500" i="31"/>
  <c r="P499" i="31"/>
  <c r="N500" i="31"/>
  <c r="L501" i="31" l="1"/>
  <c r="M501" i="31" s="1"/>
  <c r="O500" i="31"/>
  <c r="G5" i="25"/>
  <c r="I5" i="25"/>
  <c r="D5" i="25"/>
  <c r="N5" i="25"/>
  <c r="P5" i="25"/>
  <c r="E5" i="25"/>
  <c r="M5" i="25"/>
  <c r="P500" i="31"/>
  <c r="H5" i="25"/>
  <c r="N501" i="31"/>
  <c r="Q5" i="25"/>
  <c r="O5" i="25"/>
  <c r="F5" i="25"/>
  <c r="L5" i="25"/>
  <c r="K5" i="25"/>
  <c r="J5" i="25"/>
  <c r="O501" i="31" l="1"/>
  <c r="Q13" i="27"/>
  <c r="Q12" i="27"/>
  <c r="Q11" i="27"/>
  <c r="O4" i="27"/>
  <c r="M11" i="25"/>
  <c r="M14" i="25"/>
  <c r="O12" i="25"/>
  <c r="F15" i="25"/>
  <c r="D13" i="25"/>
  <c r="Q17" i="25"/>
  <c r="E17" i="25"/>
  <c r="K10" i="25"/>
  <c r="M17" i="25"/>
  <c r="F12" i="25"/>
  <c r="O11" i="25"/>
  <c r="Q13" i="25"/>
  <c r="N16" i="25"/>
  <c r="Q11" i="25"/>
  <c r="P16" i="25"/>
  <c r="H17" i="25"/>
  <c r="I16" i="25"/>
  <c r="D9" i="25"/>
  <c r="I13" i="25"/>
  <c r="N15" i="25"/>
  <c r="N14" i="25"/>
  <c r="H11" i="25"/>
  <c r="J11" i="25"/>
  <c r="I14" i="25"/>
  <c r="H10" i="25"/>
  <c r="P12" i="25"/>
  <c r="I17" i="25"/>
  <c r="L17" i="25"/>
  <c r="D17" i="25"/>
  <c r="K13" i="25"/>
  <c r="F16" i="25"/>
  <c r="Q16" i="25"/>
  <c r="M13" i="25"/>
  <c r="L15" i="25"/>
  <c r="G14" i="25"/>
  <c r="H16" i="25"/>
  <c r="J17" i="25"/>
  <c r="J12" i="25"/>
  <c r="G16" i="25"/>
  <c r="O15" i="25"/>
  <c r="N17" i="25"/>
  <c r="E10" i="25"/>
  <c r="O10" i="25"/>
  <c r="G9" i="25"/>
  <c r="I12" i="25"/>
  <c r="H12" i="25"/>
  <c r="L12" i="25"/>
  <c r="Q12" i="25"/>
  <c r="P17" i="25"/>
  <c r="E12" i="25"/>
  <c r="I9" i="25"/>
  <c r="G17" i="25"/>
  <c r="K9" i="25"/>
  <c r="O14" i="25"/>
  <c r="K16" i="25"/>
  <c r="D10" i="25"/>
  <c r="F9" i="25"/>
  <c r="E9" i="25"/>
  <c r="H13" i="25"/>
  <c r="E13" i="25"/>
  <c r="L14" i="25"/>
  <c r="K14" i="25"/>
  <c r="D16" i="25"/>
  <c r="Q9" i="25"/>
  <c r="E11" i="25"/>
  <c r="F10" i="25"/>
  <c r="G13" i="25"/>
  <c r="N10" i="25"/>
  <c r="J9" i="25"/>
  <c r="K11" i="25"/>
  <c r="M10" i="25"/>
  <c r="O13" i="25"/>
  <c r="D12" i="25"/>
  <c r="G15" i="25"/>
  <c r="M15" i="25"/>
  <c r="H15" i="25"/>
  <c r="F13" i="25"/>
  <c r="I11" i="25"/>
  <c r="D11" i="25"/>
  <c r="F14" i="25"/>
  <c r="N13" i="25"/>
  <c r="H9" i="25"/>
  <c r="G12" i="25"/>
  <c r="M16" i="25"/>
  <c r="L10" i="25"/>
  <c r="E15" i="25"/>
  <c r="Q14" i="25"/>
  <c r="P10" i="25"/>
  <c r="N9" i="25"/>
  <c r="M9" i="25"/>
  <c r="F17" i="25"/>
  <c r="F11" i="25"/>
  <c r="I15" i="25"/>
  <c r="P501" i="31"/>
  <c r="N12" i="25"/>
  <c r="K15" i="25"/>
  <c r="J15" i="25"/>
  <c r="Q10" i="25"/>
  <c r="J14" i="25"/>
  <c r="P11" i="25"/>
  <c r="J13" i="25"/>
  <c r="J16" i="25"/>
  <c r="P15" i="25"/>
  <c r="K17" i="25"/>
  <c r="L16" i="25"/>
  <c r="D14" i="25"/>
  <c r="E16" i="25"/>
  <c r="N11" i="25"/>
  <c r="G10" i="25"/>
  <c r="L11" i="25"/>
  <c r="P9" i="25"/>
  <c r="O16" i="25"/>
  <c r="I10" i="25"/>
  <c r="E14" i="25"/>
  <c r="P13" i="25"/>
  <c r="Q15" i="25"/>
  <c r="D15" i="25"/>
  <c r="O17" i="25"/>
  <c r="L13" i="25"/>
  <c r="G11" i="25"/>
  <c r="P14" i="25"/>
  <c r="L9" i="25"/>
  <c r="O9" i="25"/>
  <c r="J10" i="25"/>
  <c r="M12" i="25"/>
  <c r="K12" i="25"/>
  <c r="H14" i="25"/>
  <c r="Q26" i="27" l="1"/>
  <c r="Q24" i="27"/>
  <c r="B18" i="25"/>
  <c r="C5" i="25"/>
  <c r="R18" i="25" l="1"/>
  <c r="E18" i="25"/>
  <c r="N18" i="25"/>
  <c r="P18" i="25"/>
  <c r="D18" i="25"/>
  <c r="C17" i="25"/>
  <c r="J18" i="25"/>
  <c r="C15" i="25"/>
  <c r="K18" i="25"/>
  <c r="H18" i="25"/>
  <c r="M18" i="25"/>
  <c r="G18" i="25"/>
  <c r="O18" i="25"/>
  <c r="I18" i="25"/>
  <c r="Q18" i="25"/>
  <c r="L18" i="25"/>
  <c r="C16" i="25"/>
  <c r="C9" i="25"/>
  <c r="C13" i="25"/>
  <c r="F18" i="25"/>
  <c r="C12" i="25"/>
  <c r="C14" i="25"/>
  <c r="B19" i="25"/>
  <c r="C10" i="25"/>
  <c r="C18" i="25"/>
  <c r="C11" i="25"/>
  <c r="R19" i="25" l="1"/>
  <c r="D19" i="25"/>
  <c r="Q19" i="25"/>
  <c r="P19" i="25"/>
  <c r="G19" i="25"/>
  <c r="I19" i="25"/>
  <c r="M19" i="25"/>
  <c r="C19" i="25"/>
  <c r="H19" i="25"/>
  <c r="N19" i="25"/>
  <c r="L19" i="25"/>
  <c r="O19" i="25"/>
  <c r="K19" i="25"/>
  <c r="J19" i="25"/>
  <c r="B20" i="25"/>
  <c r="F19" i="25"/>
  <c r="E19" i="25"/>
  <c r="R20" i="25" l="1"/>
  <c r="J20" i="25"/>
  <c r="C20" i="25"/>
  <c r="P20" i="25"/>
  <c r="L20" i="25"/>
  <c r="H20" i="25"/>
  <c r="E20" i="25"/>
  <c r="O20" i="25"/>
  <c r="B21" i="25"/>
  <c r="I20" i="25"/>
  <c r="N20" i="25"/>
  <c r="F20" i="25"/>
  <c r="D20" i="25"/>
  <c r="G20" i="25"/>
  <c r="K20" i="25"/>
  <c r="Q20" i="25"/>
  <c r="M20" i="25"/>
  <c r="R21" i="25" l="1"/>
  <c r="B22" i="25"/>
  <c r="J21" i="25"/>
  <c r="Q21" i="25"/>
  <c r="E21" i="25"/>
  <c r="P21" i="25"/>
  <c r="F21" i="25"/>
  <c r="H21" i="25"/>
  <c r="D21" i="25"/>
  <c r="M21" i="25"/>
  <c r="L21" i="25"/>
  <c r="C21" i="25"/>
  <c r="G21" i="25"/>
  <c r="N21" i="25"/>
  <c r="O21" i="25"/>
  <c r="K21" i="25"/>
  <c r="I21" i="25"/>
  <c r="R22" i="25" l="1"/>
  <c r="H22" i="25"/>
  <c r="E22" i="25"/>
  <c r="Q22" i="25"/>
  <c r="B23" i="25"/>
  <c r="J22" i="25"/>
  <c r="O22" i="25"/>
  <c r="N22" i="25"/>
  <c r="G22" i="25"/>
  <c r="C22" i="25"/>
  <c r="L22" i="25"/>
  <c r="I22" i="25"/>
  <c r="P22" i="25"/>
  <c r="K22" i="25"/>
  <c r="F22" i="25"/>
  <c r="D22" i="25"/>
  <c r="M22" i="25"/>
  <c r="R23" i="25" l="1"/>
  <c r="M23" i="25"/>
  <c r="P23" i="25"/>
  <c r="O23" i="25"/>
  <c r="I23" i="25"/>
  <c r="F23" i="25"/>
  <c r="J23" i="25"/>
  <c r="N23" i="25"/>
  <c r="H23" i="25"/>
  <c r="K23" i="25"/>
  <c r="D23" i="25"/>
  <c r="L23" i="25"/>
  <c r="C23" i="25"/>
  <c r="E23" i="25"/>
  <c r="G23" i="25"/>
  <c r="Q23" i="25"/>
  <c r="B24" i="25"/>
  <c r="R24" i="25" l="1"/>
  <c r="E24" i="25"/>
  <c r="N24" i="25"/>
  <c r="F24" i="25"/>
  <c r="O24" i="25"/>
  <c r="P24" i="25"/>
  <c r="H24" i="25"/>
  <c r="G24" i="25"/>
  <c r="D24" i="25"/>
  <c r="I24" i="25"/>
  <c r="B25" i="25"/>
  <c r="J24" i="25"/>
  <c r="C24" i="25"/>
  <c r="L24" i="25"/>
  <c r="K24" i="25"/>
  <c r="Q24" i="25"/>
  <c r="M24" i="25"/>
  <c r="R25" i="25" l="1"/>
  <c r="J25" i="25"/>
  <c r="H25" i="25"/>
  <c r="G25" i="25"/>
  <c r="Q25" i="25"/>
  <c r="K25" i="25"/>
  <c r="C25" i="25"/>
  <c r="N25" i="25"/>
  <c r="B26" i="25"/>
  <c r="D25" i="25"/>
  <c r="O25" i="25"/>
  <c r="E25" i="25"/>
  <c r="M25" i="25"/>
  <c r="I25" i="25"/>
  <c r="F25" i="25"/>
  <c r="P25" i="25"/>
  <c r="L25" i="25"/>
  <c r="R26" i="25" l="1"/>
  <c r="F26" i="25"/>
  <c r="N26" i="25"/>
  <c r="H26" i="25"/>
  <c r="G26" i="25"/>
  <c r="B27" i="25"/>
  <c r="L26" i="25"/>
  <c r="E26" i="25"/>
  <c r="M26" i="25"/>
  <c r="D26" i="25"/>
  <c r="Q26" i="25"/>
  <c r="J26" i="25"/>
  <c r="I26" i="25"/>
  <c r="O26" i="25"/>
  <c r="C26" i="25"/>
  <c r="P26" i="25"/>
  <c r="K26" i="25"/>
  <c r="R27" i="25" l="1"/>
  <c r="D27" i="25"/>
  <c r="G27" i="25"/>
  <c r="K27" i="25"/>
  <c r="E27" i="25"/>
  <c r="B28" i="25"/>
  <c r="P27" i="25"/>
  <c r="C27" i="25"/>
  <c r="N27" i="25"/>
  <c r="H27" i="25"/>
  <c r="I27" i="25"/>
  <c r="F27" i="25"/>
  <c r="L27" i="25"/>
  <c r="J27" i="25"/>
  <c r="O27" i="25"/>
  <c r="M27" i="25"/>
  <c r="Q27" i="25"/>
  <c r="R28" i="25" l="1"/>
  <c r="L28" i="25"/>
  <c r="O28" i="25"/>
  <c r="N28" i="25"/>
  <c r="M28" i="25"/>
  <c r="Q28" i="25"/>
  <c r="P28" i="25"/>
  <c r="J28" i="25"/>
  <c r="K28" i="25"/>
  <c r="D28" i="25"/>
  <c r="G28" i="25"/>
  <c r="H28" i="25"/>
  <c r="F28" i="25"/>
  <c r="E28" i="25"/>
  <c r="C28" i="25"/>
  <c r="B29" i="25"/>
  <c r="I28" i="25"/>
  <c r="R29" i="25" l="1"/>
  <c r="O29" i="25"/>
  <c r="P29" i="25"/>
  <c r="N29" i="25"/>
  <c r="M29" i="25"/>
  <c r="Q29" i="25"/>
  <c r="L29" i="25"/>
  <c r="J29" i="25"/>
  <c r="K29" i="25"/>
  <c r="I29" i="25"/>
  <c r="H29" i="25"/>
  <c r="E29" i="25"/>
  <c r="G29" i="25"/>
  <c r="D29" i="25"/>
  <c r="F29" i="25"/>
  <c r="C29" i="25"/>
  <c r="B30" i="25"/>
  <c r="R30" i="25" l="1"/>
  <c r="P30" i="25"/>
  <c r="N30" i="25"/>
  <c r="Q30" i="25"/>
  <c r="M30" i="25"/>
  <c r="L30" i="25"/>
  <c r="O30" i="25"/>
  <c r="J30" i="25"/>
  <c r="K30" i="25"/>
  <c r="H30" i="25"/>
  <c r="F30" i="25"/>
  <c r="E30" i="25"/>
  <c r="B31" i="25"/>
  <c r="I30" i="25"/>
  <c r="C30" i="25"/>
  <c r="G30" i="25"/>
  <c r="D30" i="25"/>
  <c r="R31" i="25" l="1"/>
  <c r="L31" i="25"/>
  <c r="O31" i="25"/>
  <c r="N31" i="25"/>
  <c r="P31" i="25"/>
  <c r="M31" i="25"/>
  <c r="Q31" i="25"/>
  <c r="K31" i="25"/>
  <c r="J31" i="25"/>
  <c r="B32" i="25"/>
  <c r="E31" i="25"/>
  <c r="C31" i="25"/>
  <c r="I31" i="25"/>
  <c r="G31" i="25"/>
  <c r="H31" i="25"/>
  <c r="F31" i="25"/>
  <c r="D31" i="25"/>
  <c r="R32" i="25" l="1"/>
  <c r="N32" i="25"/>
  <c r="L32" i="25"/>
  <c r="P32" i="25"/>
  <c r="Q32" i="25"/>
  <c r="O32" i="25"/>
  <c r="M32" i="25"/>
  <c r="J32" i="25"/>
  <c r="K32" i="25"/>
  <c r="E32" i="25"/>
  <c r="C32" i="25"/>
  <c r="D32" i="25"/>
  <c r="G32" i="25"/>
  <c r="H32" i="25"/>
  <c r="F32" i="25"/>
  <c r="B33" i="25"/>
  <c r="I32" i="25"/>
  <c r="R33" i="25" l="1"/>
  <c r="P33" i="25"/>
  <c r="N33" i="25"/>
  <c r="O33" i="25"/>
  <c r="M33" i="25"/>
  <c r="L33" i="25"/>
  <c r="Q33" i="25"/>
  <c r="J33" i="25"/>
  <c r="K33" i="25"/>
  <c r="F33" i="25"/>
  <c r="E33" i="25"/>
  <c r="C33" i="25"/>
  <c r="I33" i="25"/>
  <c r="D33" i="25"/>
  <c r="B34" i="25"/>
  <c r="G33" i="25"/>
  <c r="H33" i="25"/>
  <c r="R34" i="25" l="1"/>
  <c r="N34" i="25"/>
  <c r="O34" i="25"/>
  <c r="M34" i="25"/>
  <c r="Q34" i="25"/>
  <c r="L34" i="25"/>
  <c r="P34" i="25"/>
  <c r="J34" i="25"/>
  <c r="K34" i="25"/>
  <c r="I34" i="25"/>
  <c r="F34" i="25"/>
  <c r="H34" i="25"/>
  <c r="G34" i="25"/>
  <c r="E34" i="25"/>
  <c r="C34" i="25"/>
  <c r="B35" i="25"/>
  <c r="D34" i="25"/>
  <c r="R35" i="25" l="1"/>
  <c r="M35" i="25"/>
  <c r="P35" i="25"/>
  <c r="L35" i="25"/>
  <c r="Q35" i="25"/>
  <c r="O35" i="25"/>
  <c r="N35" i="25"/>
  <c r="J35" i="25"/>
  <c r="K35" i="25"/>
  <c r="G35" i="25"/>
  <c r="F35" i="25"/>
  <c r="H35" i="25"/>
  <c r="B36" i="25"/>
  <c r="E35" i="25"/>
  <c r="I35" i="25"/>
  <c r="D35" i="25"/>
  <c r="C35" i="25"/>
  <c r="R36" i="25" l="1"/>
  <c r="Q36" i="25"/>
  <c r="P36" i="25"/>
  <c r="M36" i="25"/>
  <c r="L36" i="25"/>
  <c r="N36" i="25"/>
  <c r="O36" i="25"/>
  <c r="J36" i="25"/>
  <c r="K36" i="25"/>
  <c r="H36" i="25"/>
  <c r="G36" i="25"/>
  <c r="I36" i="25"/>
  <c r="D36" i="25"/>
  <c r="B37" i="25"/>
  <c r="E36" i="25"/>
  <c r="C36" i="25"/>
  <c r="F36" i="25"/>
  <c r="R37" i="25" l="1"/>
  <c r="Q37" i="25"/>
  <c r="M37" i="25"/>
  <c r="O37" i="25"/>
  <c r="P37" i="25"/>
  <c r="N37" i="25"/>
  <c r="L37" i="25"/>
  <c r="J37" i="25"/>
  <c r="K37" i="25"/>
  <c r="E37" i="25"/>
  <c r="C37" i="25"/>
  <c r="D37" i="25"/>
  <c r="G37" i="25"/>
  <c r="H37" i="25"/>
  <c r="F37" i="25"/>
  <c r="B38" i="25"/>
  <c r="I37" i="25"/>
  <c r="R38" i="25" l="1"/>
  <c r="L38" i="25"/>
  <c r="O38" i="25"/>
  <c r="P38" i="25"/>
  <c r="N38" i="25"/>
  <c r="Q38" i="25"/>
  <c r="M38" i="25"/>
  <c r="J38" i="25"/>
  <c r="K38" i="25"/>
  <c r="G38" i="25"/>
  <c r="D38" i="25"/>
  <c r="C38" i="25"/>
  <c r="B39" i="25"/>
  <c r="F38" i="25"/>
  <c r="I38" i="25"/>
  <c r="E38" i="25"/>
  <c r="H38" i="25"/>
  <c r="R39" i="25" l="1"/>
  <c r="O39" i="25"/>
  <c r="L39" i="25"/>
  <c r="N39" i="25"/>
  <c r="Q39" i="25"/>
  <c r="P39" i="25"/>
  <c r="M39" i="25"/>
  <c r="J39" i="25"/>
  <c r="K39" i="25"/>
  <c r="E39" i="25"/>
  <c r="I39" i="25"/>
  <c r="B40" i="25"/>
  <c r="D39" i="25"/>
  <c r="F39" i="25"/>
  <c r="C39" i="25"/>
  <c r="G39" i="25"/>
  <c r="H39" i="25"/>
  <c r="M40" i="25" l="1"/>
  <c r="L40" i="25"/>
  <c r="O40" i="25"/>
  <c r="R40" i="25"/>
  <c r="N40" i="25"/>
  <c r="Q40" i="25"/>
  <c r="P40" i="25"/>
  <c r="K40" i="25"/>
  <c r="J40" i="25"/>
  <c r="F40" i="25"/>
  <c r="H40" i="25"/>
  <c r="D40" i="25"/>
  <c r="I40" i="25"/>
  <c r="C40" i="25"/>
  <c r="B41" i="25"/>
  <c r="E40" i="25"/>
  <c r="G40" i="25"/>
  <c r="P41" i="25" l="1"/>
  <c r="M41" i="25"/>
  <c r="Q41" i="25"/>
  <c r="L41" i="25"/>
  <c r="R41" i="25"/>
  <c r="K41" i="25"/>
  <c r="O41" i="25"/>
  <c r="N41" i="25"/>
  <c r="J41" i="25"/>
  <c r="H41" i="25"/>
  <c r="C41" i="25"/>
  <c r="I41" i="25"/>
  <c r="B42" i="25"/>
  <c r="F41" i="25"/>
  <c r="E41" i="25"/>
  <c r="G41" i="25"/>
  <c r="D41" i="25"/>
  <c r="P42" i="25" l="1"/>
  <c r="L42" i="25"/>
  <c r="M42" i="25"/>
  <c r="K42" i="25"/>
  <c r="Q42" i="25"/>
  <c r="R42" i="25"/>
  <c r="O42" i="25"/>
  <c r="N42" i="25"/>
  <c r="J42" i="25"/>
  <c r="D42" i="25"/>
  <c r="C42" i="25"/>
  <c r="B43" i="25"/>
  <c r="E42" i="25"/>
  <c r="H42" i="25"/>
  <c r="F42" i="25"/>
  <c r="G42" i="25"/>
  <c r="I42" i="25"/>
  <c r="L43" i="25" l="1"/>
  <c r="P43" i="25"/>
  <c r="R43" i="25"/>
  <c r="N43" i="25"/>
  <c r="Q43" i="25"/>
  <c r="O43" i="25"/>
  <c r="K43" i="25"/>
  <c r="M43" i="25"/>
  <c r="J43" i="25"/>
  <c r="H43" i="25"/>
  <c r="E43" i="25"/>
  <c r="C43" i="25"/>
  <c r="F43" i="25"/>
  <c r="G43" i="25"/>
  <c r="D43" i="25"/>
  <c r="I43" i="25"/>
  <c r="B44" i="25"/>
  <c r="M44" i="25" l="1"/>
  <c r="R44" i="25"/>
  <c r="P44" i="25"/>
  <c r="O44" i="25"/>
  <c r="N44" i="25"/>
  <c r="K44" i="25"/>
  <c r="Q44" i="25"/>
  <c r="L44" i="25"/>
  <c r="J44" i="25"/>
  <c r="E44" i="25"/>
  <c r="I44" i="25"/>
  <c r="G44" i="25"/>
  <c r="F44" i="25"/>
  <c r="B45" i="25"/>
  <c r="C44" i="25"/>
  <c r="D44" i="25"/>
  <c r="H44" i="25"/>
  <c r="L45" i="25" l="1"/>
  <c r="O45" i="25"/>
  <c r="K45" i="25"/>
  <c r="M45" i="25"/>
  <c r="P45" i="25"/>
  <c r="N45" i="25"/>
  <c r="Q45" i="25"/>
  <c r="R45" i="25"/>
  <c r="J45" i="25"/>
  <c r="B46" i="25"/>
  <c r="E45" i="25"/>
  <c r="H45" i="25"/>
  <c r="I45" i="25"/>
  <c r="D45" i="25"/>
  <c r="C45" i="25"/>
  <c r="G45" i="25"/>
  <c r="F45" i="25"/>
  <c r="R46" i="25" l="1"/>
  <c r="Q46" i="25"/>
  <c r="O46" i="25"/>
  <c r="P46" i="25"/>
  <c r="K46" i="25"/>
  <c r="M46" i="25"/>
  <c r="N46" i="25"/>
  <c r="L46" i="25"/>
  <c r="J46" i="25"/>
  <c r="H46" i="25"/>
  <c r="D46" i="25"/>
  <c r="B47" i="25"/>
  <c r="C46" i="25"/>
  <c r="E46" i="25"/>
  <c r="I46" i="25"/>
  <c r="G46" i="25"/>
  <c r="F46" i="25"/>
  <c r="M47" i="25" l="1"/>
  <c r="R47" i="25"/>
  <c r="P47" i="25"/>
  <c r="O47" i="25"/>
  <c r="N47" i="25"/>
  <c r="Q47" i="25"/>
  <c r="L47" i="25"/>
  <c r="K47" i="25"/>
  <c r="J47" i="25"/>
  <c r="D47" i="25"/>
  <c r="F47" i="25"/>
  <c r="G47" i="25"/>
  <c r="H47" i="25"/>
  <c r="C47" i="25"/>
  <c r="I47" i="25"/>
  <c r="E47" i="25"/>
  <c r="B48" i="25"/>
  <c r="P48" i="25" l="1"/>
  <c r="R48" i="25"/>
  <c r="O48" i="25"/>
  <c r="L48" i="25"/>
  <c r="Q48" i="25"/>
  <c r="M48" i="25"/>
  <c r="K48" i="25"/>
  <c r="N48" i="25"/>
  <c r="J48" i="25"/>
  <c r="B49" i="25"/>
  <c r="E48" i="25"/>
  <c r="D48" i="25"/>
  <c r="I48" i="25"/>
  <c r="F48" i="25"/>
  <c r="H48" i="25"/>
  <c r="G48" i="25"/>
  <c r="C48" i="25"/>
  <c r="Q49" i="25" l="1"/>
  <c r="O49" i="25"/>
  <c r="N49" i="25"/>
  <c r="R49" i="25"/>
  <c r="K49" i="25"/>
  <c r="L49" i="25"/>
  <c r="M49" i="25"/>
  <c r="P49" i="25"/>
  <c r="J49" i="25"/>
  <c r="G49" i="25"/>
  <c r="E49" i="25"/>
  <c r="F49" i="25"/>
  <c r="D49" i="25"/>
  <c r="H49" i="25"/>
  <c r="I49" i="25"/>
  <c r="B50" i="25"/>
  <c r="C49" i="25"/>
  <c r="N50" i="25" l="1"/>
  <c r="O50" i="25"/>
  <c r="L50" i="25"/>
  <c r="K50" i="25"/>
  <c r="P50" i="25"/>
  <c r="R50" i="25"/>
  <c r="M50" i="25"/>
  <c r="Q50" i="25"/>
  <c r="J50" i="25"/>
  <c r="F50" i="25"/>
  <c r="E50" i="25"/>
  <c r="D50" i="25"/>
  <c r="B51" i="25"/>
  <c r="G50" i="25"/>
  <c r="H50" i="25"/>
  <c r="C50" i="25"/>
  <c r="I50" i="25"/>
  <c r="P51" i="25" l="1"/>
  <c r="O51" i="25"/>
  <c r="N51" i="25"/>
  <c r="L51" i="25"/>
  <c r="K51" i="25"/>
  <c r="R51" i="25"/>
  <c r="M51" i="25"/>
  <c r="Q51" i="25"/>
  <c r="J51" i="25"/>
  <c r="E51" i="25"/>
  <c r="G51" i="25"/>
  <c r="C51" i="25"/>
  <c r="I51" i="25"/>
  <c r="H51" i="25"/>
  <c r="F51" i="25"/>
  <c r="D51" i="25"/>
  <c r="B52" i="25"/>
  <c r="L52" i="25" l="1"/>
  <c r="O52" i="25"/>
  <c r="N52" i="25"/>
  <c r="M52" i="25"/>
  <c r="P52" i="25"/>
  <c r="R52" i="25"/>
  <c r="Q52" i="25"/>
  <c r="K52" i="25"/>
  <c r="J52" i="25"/>
  <c r="G52" i="25"/>
  <c r="H52" i="25"/>
  <c r="D52" i="25"/>
  <c r="B53" i="25"/>
  <c r="C52" i="25"/>
  <c r="I52" i="25"/>
  <c r="F52" i="25"/>
  <c r="E52" i="25"/>
  <c r="N53" i="25" l="1"/>
  <c r="R53" i="25"/>
  <c r="L53" i="25"/>
  <c r="O53" i="25"/>
  <c r="Q53" i="25"/>
  <c r="M53" i="25"/>
  <c r="P53" i="25"/>
  <c r="K53" i="25"/>
  <c r="J53" i="25"/>
  <c r="B54" i="25"/>
  <c r="I53" i="25"/>
  <c r="G53" i="25"/>
  <c r="D53" i="25"/>
  <c r="H53" i="25"/>
  <c r="C53" i="25"/>
  <c r="E53" i="25"/>
  <c r="F53" i="25"/>
  <c r="Q54" i="25" l="1"/>
  <c r="N54" i="25"/>
  <c r="M54" i="25"/>
  <c r="K54" i="25"/>
  <c r="L54" i="25"/>
  <c r="R54" i="25"/>
  <c r="P54" i="25"/>
  <c r="O54" i="25"/>
  <c r="J54" i="25"/>
  <c r="F54" i="25"/>
  <c r="H54" i="25"/>
  <c r="E54" i="25"/>
  <c r="C54" i="25"/>
  <c r="D54" i="25"/>
  <c r="G54" i="25"/>
  <c r="B55" i="25"/>
  <c r="I54" i="25"/>
  <c r="M55" i="25" l="1"/>
  <c r="N55" i="25"/>
  <c r="L55" i="25"/>
  <c r="J55" i="25"/>
  <c r="O55" i="25"/>
  <c r="Q55" i="25"/>
  <c r="R55" i="25"/>
  <c r="P55" i="25"/>
  <c r="K55" i="25"/>
  <c r="G55" i="25"/>
  <c r="H55" i="25"/>
  <c r="F55" i="25"/>
  <c r="I55" i="25"/>
  <c r="E55" i="25"/>
  <c r="C55" i="25"/>
  <c r="D55" i="25"/>
  <c r="B56" i="25"/>
  <c r="M56" i="25" l="1"/>
  <c r="Q56" i="25"/>
  <c r="O56" i="25"/>
  <c r="K56" i="25"/>
  <c r="J56" i="25"/>
  <c r="P56" i="25"/>
  <c r="N56" i="25"/>
  <c r="L56" i="25"/>
  <c r="R56" i="25"/>
  <c r="D56" i="25"/>
  <c r="B57" i="25"/>
  <c r="G56" i="25"/>
  <c r="F56" i="25"/>
  <c r="I56" i="25"/>
  <c r="E56" i="25"/>
  <c r="H56" i="25"/>
  <c r="C56" i="25"/>
  <c r="Q57" i="25" l="1"/>
  <c r="O57" i="25"/>
  <c r="M57" i="25"/>
  <c r="R57" i="25"/>
  <c r="L57" i="25"/>
  <c r="P57" i="25"/>
  <c r="K57" i="25"/>
  <c r="J57" i="25"/>
  <c r="N57" i="25"/>
  <c r="F57" i="25"/>
  <c r="I57" i="25"/>
  <c r="H57" i="25"/>
  <c r="D57" i="25"/>
  <c r="E57" i="25"/>
  <c r="B58" i="25"/>
  <c r="G57" i="25"/>
  <c r="C57" i="25"/>
  <c r="O58" i="25" l="1"/>
  <c r="R58" i="25"/>
  <c r="N58" i="25"/>
  <c r="Q58" i="25"/>
  <c r="J58" i="25"/>
  <c r="M58" i="25"/>
  <c r="K58" i="25"/>
  <c r="P58" i="25"/>
  <c r="L58" i="25"/>
  <c r="E58" i="25"/>
  <c r="H58" i="25"/>
  <c r="F58" i="25"/>
  <c r="I58" i="25"/>
  <c r="G58" i="25"/>
  <c r="C58" i="25"/>
  <c r="B59" i="25"/>
  <c r="D58" i="25"/>
  <c r="M59" i="25" l="1"/>
  <c r="L59" i="25"/>
  <c r="J59" i="25"/>
  <c r="Q59" i="25"/>
  <c r="P59" i="25"/>
  <c r="R59" i="25"/>
  <c r="O59" i="25"/>
  <c r="N59" i="25"/>
  <c r="K59" i="25"/>
  <c r="G59" i="25"/>
  <c r="I59" i="25"/>
  <c r="D59" i="25"/>
  <c r="C59" i="25"/>
  <c r="B60" i="25"/>
  <c r="F59" i="25"/>
  <c r="H59" i="25"/>
  <c r="E59" i="25"/>
  <c r="Q60" i="25" l="1"/>
  <c r="M60" i="25"/>
  <c r="P60" i="25"/>
  <c r="R60" i="25"/>
  <c r="K60" i="25"/>
  <c r="O60" i="25"/>
  <c r="J60" i="25"/>
  <c r="N60" i="25"/>
  <c r="L60" i="25"/>
  <c r="F60" i="25"/>
  <c r="H60" i="25"/>
  <c r="E60" i="25"/>
  <c r="B61" i="25"/>
  <c r="D60" i="25"/>
  <c r="C60" i="25"/>
  <c r="G60" i="25"/>
  <c r="I60" i="25"/>
  <c r="K61" i="25" l="1"/>
  <c r="Q61" i="25"/>
  <c r="J61" i="25"/>
  <c r="P61" i="25"/>
  <c r="O61" i="25"/>
  <c r="R61" i="25"/>
  <c r="M61" i="25"/>
  <c r="N61" i="25"/>
  <c r="L61" i="25"/>
  <c r="H61" i="25"/>
  <c r="I61" i="25"/>
  <c r="C61" i="25"/>
  <c r="E61" i="25"/>
  <c r="F61" i="25"/>
  <c r="G61" i="25"/>
  <c r="B62" i="25"/>
  <c r="D61" i="25"/>
  <c r="N62" i="25" l="1"/>
  <c r="Q62" i="25"/>
  <c r="M62" i="25"/>
  <c r="K62" i="25"/>
  <c r="P62" i="25"/>
  <c r="J62" i="25"/>
  <c r="R62" i="25"/>
  <c r="O62" i="25"/>
  <c r="L62" i="25"/>
  <c r="H62" i="25"/>
  <c r="I62" i="25"/>
  <c r="C62" i="25"/>
  <c r="E62" i="25"/>
  <c r="B63" i="25"/>
  <c r="F62" i="25"/>
  <c r="D62" i="25"/>
  <c r="G62" i="25"/>
  <c r="P63" i="25" l="1"/>
  <c r="J63" i="25"/>
  <c r="R63" i="25"/>
  <c r="L63" i="25"/>
  <c r="N63" i="25"/>
  <c r="K63" i="25"/>
  <c r="Q63" i="25"/>
  <c r="O63" i="25"/>
  <c r="M63" i="25"/>
  <c r="H63" i="25"/>
  <c r="I63" i="25"/>
  <c r="C63" i="25"/>
  <c r="F63" i="25"/>
  <c r="D63" i="25"/>
  <c r="E63" i="25"/>
  <c r="B64" i="25"/>
  <c r="G63" i="25"/>
  <c r="J64" i="25" l="1"/>
  <c r="Q64" i="25"/>
  <c r="K64" i="25"/>
  <c r="P64" i="25"/>
  <c r="L64" i="25"/>
  <c r="R64" i="25"/>
  <c r="O64" i="25"/>
  <c r="M64" i="25"/>
  <c r="N64" i="25"/>
  <c r="I64" i="25"/>
  <c r="H64" i="25"/>
  <c r="C64" i="25"/>
  <c r="F64" i="25"/>
  <c r="E64" i="25"/>
  <c r="G64" i="25"/>
  <c r="D64" i="25"/>
  <c r="B65" i="25"/>
  <c r="M65" i="25" l="1"/>
  <c r="J65" i="25"/>
  <c r="O65" i="25"/>
  <c r="K65" i="25"/>
  <c r="L65" i="25"/>
  <c r="N65" i="25"/>
  <c r="P65" i="25"/>
  <c r="Q65" i="25"/>
  <c r="R65" i="25"/>
  <c r="I65" i="25"/>
  <c r="H65" i="25"/>
  <c r="G65" i="25"/>
  <c r="E65" i="25"/>
  <c r="B66" i="25"/>
  <c r="C65" i="25"/>
  <c r="F65" i="25"/>
  <c r="D65" i="25"/>
  <c r="K66" i="25" l="1"/>
  <c r="J66" i="25"/>
  <c r="R66" i="25"/>
  <c r="O66" i="25"/>
  <c r="L66" i="25"/>
  <c r="M66" i="25"/>
  <c r="Q66" i="25"/>
  <c r="P66" i="25"/>
  <c r="N66" i="25"/>
  <c r="H66" i="25"/>
  <c r="I66" i="25"/>
  <c r="E66" i="25"/>
  <c r="C66" i="25"/>
  <c r="D66" i="25"/>
  <c r="F66" i="25"/>
  <c r="B67" i="25"/>
  <c r="G66" i="25"/>
  <c r="J67" i="25" l="1"/>
  <c r="M67" i="25"/>
  <c r="K67" i="25"/>
  <c r="N67" i="25"/>
  <c r="R67" i="25"/>
  <c r="L67" i="25"/>
  <c r="Q67" i="25"/>
  <c r="O67" i="25"/>
  <c r="P67" i="25"/>
  <c r="H67" i="25"/>
  <c r="I67" i="25"/>
  <c r="F67" i="25"/>
  <c r="C67" i="25"/>
  <c r="E67" i="25"/>
  <c r="D67" i="25"/>
  <c r="B68" i="25"/>
  <c r="G67" i="25"/>
  <c r="L68" i="25" l="1"/>
  <c r="J68" i="25"/>
  <c r="P68" i="25"/>
  <c r="R68" i="25"/>
  <c r="O68" i="25"/>
  <c r="Q68" i="25"/>
  <c r="N68" i="25"/>
  <c r="M68" i="25"/>
  <c r="K68" i="25"/>
  <c r="D68" i="25"/>
  <c r="G68" i="25"/>
  <c r="I68" i="25"/>
  <c r="H68" i="25"/>
  <c r="E68" i="25"/>
  <c r="F68" i="25"/>
  <c r="C68" i="25"/>
  <c r="B69" i="25"/>
  <c r="K69" i="25" l="1"/>
  <c r="R69" i="25"/>
  <c r="J69" i="25"/>
  <c r="Q69" i="25"/>
  <c r="L69" i="25"/>
  <c r="O69" i="25"/>
  <c r="M69" i="25"/>
  <c r="N69" i="25"/>
  <c r="P69" i="25"/>
  <c r="F69" i="25"/>
  <c r="D69" i="25"/>
  <c r="E69" i="25"/>
  <c r="I69" i="25"/>
  <c r="H69" i="25"/>
  <c r="C69" i="25"/>
  <c r="B70" i="25"/>
  <c r="G69" i="25"/>
  <c r="K70" i="25" l="1"/>
  <c r="R70" i="25"/>
  <c r="N70" i="25"/>
  <c r="J70" i="25"/>
  <c r="Q70" i="25"/>
  <c r="L70" i="25"/>
  <c r="M70" i="25"/>
  <c r="P70" i="25"/>
  <c r="O70" i="25"/>
  <c r="C70" i="25"/>
  <c r="E70" i="25"/>
  <c r="B71" i="25"/>
  <c r="G70" i="25"/>
  <c r="F70" i="25"/>
  <c r="H70" i="25"/>
  <c r="D70" i="25"/>
  <c r="I70" i="25"/>
  <c r="O71" i="25" l="1"/>
  <c r="N71" i="25"/>
  <c r="M71" i="25"/>
  <c r="P71" i="25"/>
  <c r="J71" i="25"/>
  <c r="K71" i="25"/>
  <c r="L71" i="25"/>
  <c r="R71" i="25"/>
  <c r="Q71" i="25"/>
  <c r="C71" i="25"/>
  <c r="I71" i="25"/>
  <c r="B72" i="25"/>
  <c r="F71" i="25"/>
  <c r="H71" i="25"/>
  <c r="E71" i="25"/>
  <c r="D71" i="25"/>
  <c r="G71" i="25"/>
  <c r="J72" i="25" l="1"/>
  <c r="R72" i="25"/>
  <c r="N72" i="25"/>
  <c r="O72" i="25"/>
  <c r="K72" i="25"/>
  <c r="Q72" i="25"/>
  <c r="M72" i="25"/>
  <c r="P72" i="25"/>
  <c r="L72" i="25"/>
  <c r="C72" i="25"/>
  <c r="H72" i="25"/>
  <c r="D72" i="25"/>
  <c r="E72" i="25"/>
  <c r="F72" i="25"/>
  <c r="G72" i="25"/>
  <c r="B73" i="25"/>
  <c r="I72" i="25"/>
  <c r="Q73" i="25" l="1"/>
  <c r="R73" i="25"/>
  <c r="K73" i="25"/>
  <c r="O73" i="25"/>
  <c r="L73" i="25"/>
  <c r="M73" i="25"/>
  <c r="P73" i="25"/>
  <c r="N73" i="25"/>
  <c r="J73" i="25"/>
  <c r="G73" i="25"/>
  <c r="I73" i="25"/>
  <c r="B74" i="25"/>
  <c r="H73" i="25"/>
  <c r="D73" i="25"/>
  <c r="E73" i="25"/>
  <c r="C73" i="25"/>
  <c r="F73" i="25"/>
  <c r="L74" i="25" l="1"/>
  <c r="N74" i="25"/>
  <c r="M74" i="25"/>
  <c r="P74" i="25"/>
  <c r="K74" i="25"/>
  <c r="R74" i="25"/>
  <c r="J74" i="25"/>
  <c r="Q74" i="25"/>
  <c r="O74" i="25"/>
  <c r="I74" i="25"/>
  <c r="H74" i="25"/>
  <c r="D74" i="25"/>
  <c r="B75" i="25"/>
  <c r="E74" i="25"/>
  <c r="F74" i="25"/>
  <c r="G74" i="25"/>
  <c r="C74" i="25"/>
  <c r="K75" i="25" l="1"/>
  <c r="M75" i="25"/>
  <c r="O75" i="25"/>
  <c r="L75" i="25"/>
  <c r="Q75" i="25"/>
  <c r="R75" i="25"/>
  <c r="J75" i="25"/>
  <c r="P75" i="25"/>
  <c r="N75" i="25"/>
  <c r="G75" i="25"/>
  <c r="H75" i="25"/>
  <c r="F75" i="25"/>
  <c r="C75" i="25"/>
  <c r="B76" i="25"/>
  <c r="I75" i="25"/>
  <c r="E75" i="25"/>
  <c r="D75" i="25"/>
  <c r="M76" i="25" l="1"/>
  <c r="K76" i="25"/>
  <c r="Q76" i="25"/>
  <c r="R76" i="25"/>
  <c r="O76" i="25"/>
  <c r="N76" i="25"/>
  <c r="P76" i="25"/>
  <c r="L76" i="25"/>
  <c r="J76" i="25"/>
  <c r="D76" i="25"/>
  <c r="C76" i="25"/>
  <c r="H76" i="25"/>
  <c r="I76" i="25"/>
  <c r="B77" i="25"/>
  <c r="E76" i="25"/>
  <c r="G76" i="25"/>
  <c r="F76" i="25"/>
  <c r="O77" i="25" l="1"/>
  <c r="R77" i="25"/>
  <c r="J77" i="25"/>
  <c r="K77" i="25"/>
  <c r="N77" i="25"/>
  <c r="M77" i="25"/>
  <c r="Q77" i="25"/>
  <c r="L77" i="25"/>
  <c r="P77" i="25"/>
  <c r="E77" i="25"/>
  <c r="B78" i="25"/>
  <c r="C77" i="25"/>
  <c r="H77" i="25"/>
  <c r="I77" i="25"/>
  <c r="D77" i="25"/>
  <c r="G77" i="25"/>
  <c r="F77" i="25"/>
  <c r="G78" i="25" l="1"/>
  <c r="R78" i="25"/>
  <c r="N78" i="25"/>
  <c r="C78" i="25"/>
  <c r="L78" i="25"/>
  <c r="E78" i="25"/>
  <c r="B79" i="25"/>
  <c r="D78" i="25"/>
  <c r="F78" i="25"/>
  <c r="H78" i="25"/>
  <c r="P78" i="25"/>
  <c r="I78" i="25"/>
  <c r="K78" i="25"/>
  <c r="M78" i="25"/>
  <c r="O78" i="25"/>
  <c r="J78" i="25"/>
  <c r="Q78" i="25"/>
  <c r="D79" i="25" l="1"/>
  <c r="N79" i="25"/>
  <c r="F79" i="25"/>
  <c r="C79" i="25"/>
  <c r="L79" i="25"/>
  <c r="E79" i="25"/>
  <c r="H79" i="25"/>
  <c r="P79" i="25"/>
  <c r="K79" i="25"/>
  <c r="J79" i="25"/>
  <c r="O79" i="25"/>
  <c r="B80" i="25"/>
  <c r="G79" i="25"/>
  <c r="R79" i="25"/>
  <c r="Q79" i="25"/>
  <c r="I79" i="25"/>
  <c r="M79" i="25"/>
  <c r="L80" i="25" l="1"/>
  <c r="F80" i="25"/>
  <c r="N80" i="25"/>
  <c r="R80" i="25"/>
  <c r="M80" i="25"/>
  <c r="C80" i="25"/>
  <c r="E80" i="25"/>
  <c r="D80" i="25"/>
  <c r="B81" i="25"/>
  <c r="Q80" i="25"/>
  <c r="O80" i="25"/>
  <c r="H80" i="25"/>
  <c r="G80" i="25"/>
  <c r="K80" i="25"/>
  <c r="I80" i="25"/>
  <c r="J80" i="25"/>
  <c r="P80" i="25"/>
  <c r="O81" i="25" l="1"/>
  <c r="F81" i="25"/>
  <c r="R81" i="25"/>
  <c r="N81" i="25"/>
  <c r="L81" i="25"/>
  <c r="I81" i="25"/>
  <c r="J81" i="25"/>
  <c r="K81" i="25"/>
  <c r="Q81" i="25"/>
  <c r="C81" i="25"/>
  <c r="E81" i="25"/>
  <c r="M81" i="25"/>
  <c r="G81" i="25"/>
  <c r="P81" i="25"/>
  <c r="H81" i="25"/>
  <c r="B82" i="25"/>
  <c r="D81" i="25"/>
  <c r="K82" i="25" l="1"/>
  <c r="F82" i="25"/>
  <c r="P82" i="25"/>
  <c r="L82" i="25"/>
  <c r="D82" i="25"/>
  <c r="B83" i="25"/>
  <c r="I82" i="25"/>
  <c r="R82" i="25"/>
  <c r="H82" i="25"/>
  <c r="C82" i="25"/>
  <c r="M82" i="25"/>
  <c r="J82" i="25"/>
  <c r="N82" i="25"/>
  <c r="Q82" i="25"/>
  <c r="G82" i="25"/>
  <c r="O82" i="25"/>
  <c r="E82" i="25"/>
  <c r="N83" i="25" l="1"/>
  <c r="E83" i="25"/>
  <c r="M83" i="25"/>
  <c r="O83" i="25"/>
  <c r="L83" i="25"/>
  <c r="Q83" i="25"/>
  <c r="K83" i="25"/>
  <c r="R83" i="25"/>
  <c r="H83" i="25"/>
  <c r="D83" i="25"/>
  <c r="I83" i="25"/>
  <c r="B84" i="25"/>
  <c r="P83" i="25"/>
  <c r="F83" i="25"/>
  <c r="C83" i="25"/>
  <c r="J83" i="25"/>
  <c r="G83" i="25"/>
  <c r="N84" i="25" l="1"/>
  <c r="G84" i="25"/>
  <c r="P84" i="25"/>
  <c r="E84" i="25"/>
  <c r="D84" i="25"/>
  <c r="R84" i="25"/>
  <c r="J84" i="25"/>
  <c r="I84" i="25"/>
  <c r="F84" i="25"/>
  <c r="H84" i="25"/>
  <c r="O84" i="25"/>
  <c r="M84" i="25"/>
  <c r="L84" i="25"/>
  <c r="K84" i="25"/>
  <c r="Q84" i="25"/>
  <c r="C84" i="25"/>
  <c r="B85" i="25"/>
  <c r="F85" i="25" l="1"/>
  <c r="E85" i="25"/>
  <c r="I85" i="25"/>
  <c r="R85" i="25"/>
  <c r="K85" i="25"/>
  <c r="L85" i="25"/>
  <c r="G85" i="25"/>
  <c r="B86" i="25"/>
  <c r="P85" i="25"/>
  <c r="C85" i="25"/>
  <c r="Q85" i="25"/>
  <c r="H85" i="25"/>
  <c r="D85" i="25"/>
  <c r="O85" i="25"/>
  <c r="J85" i="25"/>
  <c r="N85" i="25"/>
  <c r="M85" i="25"/>
  <c r="K86" i="25" l="1"/>
  <c r="C86" i="25"/>
  <c r="J86" i="25"/>
  <c r="R86" i="25"/>
  <c r="Q86" i="25"/>
  <c r="D86" i="25"/>
  <c r="L86" i="25"/>
  <c r="H86" i="25"/>
  <c r="I86" i="25"/>
  <c r="N86" i="25"/>
  <c r="M86" i="25"/>
  <c r="G86" i="25"/>
  <c r="B87" i="25"/>
  <c r="F86" i="25"/>
  <c r="O86" i="25"/>
  <c r="P86" i="25"/>
  <c r="E86" i="25"/>
  <c r="J87" i="25" l="1"/>
  <c r="G87" i="25"/>
  <c r="I87" i="25"/>
  <c r="R87" i="25"/>
  <c r="M87" i="25"/>
  <c r="K87" i="25"/>
  <c r="L87" i="25"/>
  <c r="C87" i="25"/>
  <c r="B88" i="25"/>
  <c r="H87" i="25"/>
  <c r="N87" i="25"/>
  <c r="Q87" i="25"/>
  <c r="E87" i="25"/>
  <c r="D87" i="25"/>
  <c r="P87" i="25"/>
  <c r="O87" i="25"/>
  <c r="F87" i="25"/>
  <c r="D88" i="25" l="1"/>
  <c r="E88" i="25"/>
  <c r="R88" i="25"/>
  <c r="I88" i="25"/>
  <c r="L88" i="25"/>
  <c r="C88" i="25"/>
  <c r="K88" i="25"/>
  <c r="B89" i="25"/>
  <c r="Q88" i="25"/>
  <c r="H88" i="25"/>
  <c r="N88" i="25"/>
  <c r="M88" i="25"/>
  <c r="O88" i="25"/>
  <c r="F88" i="25"/>
  <c r="G88" i="25"/>
  <c r="P88" i="25"/>
  <c r="J88" i="25"/>
  <c r="F89" i="25" l="1"/>
  <c r="C89" i="25"/>
  <c r="N89" i="25"/>
  <c r="E89" i="25"/>
  <c r="K89" i="25"/>
  <c r="G89" i="25"/>
  <c r="M89" i="25"/>
  <c r="J89" i="25"/>
  <c r="I89" i="25"/>
  <c r="R89" i="25"/>
  <c r="H89" i="25"/>
  <c r="D89" i="25"/>
  <c r="B90" i="25"/>
  <c r="Q89" i="25"/>
  <c r="P89" i="25"/>
  <c r="L89" i="25"/>
  <c r="O89" i="25"/>
  <c r="Q90" i="25" l="1"/>
  <c r="G90" i="25"/>
  <c r="O90" i="25"/>
  <c r="F90" i="25"/>
  <c r="P90" i="25"/>
  <c r="D90" i="25"/>
  <c r="I90" i="25"/>
  <c r="N90" i="25"/>
  <c r="C90" i="25"/>
  <c r="R90" i="25"/>
  <c r="H90" i="25"/>
  <c r="L90" i="25"/>
  <c r="K90" i="25"/>
  <c r="M90" i="25"/>
  <c r="E90" i="25"/>
  <c r="B91" i="25"/>
  <c r="J90" i="25"/>
  <c r="O91" i="25" l="1"/>
  <c r="G91" i="25"/>
  <c r="R91" i="25"/>
  <c r="C91" i="25"/>
  <c r="E91" i="25"/>
  <c r="P91" i="25"/>
  <c r="L91" i="25"/>
  <c r="K91" i="25"/>
  <c r="N91" i="25"/>
  <c r="F91" i="25"/>
  <c r="M91" i="25"/>
  <c r="B92" i="25"/>
  <c r="D91" i="25"/>
  <c r="J91" i="25"/>
  <c r="Q91" i="25"/>
  <c r="I91" i="25"/>
  <c r="H91" i="25"/>
  <c r="N92" i="25" l="1"/>
  <c r="D92" i="25"/>
  <c r="J92" i="25"/>
  <c r="O92" i="25"/>
  <c r="I92" i="25"/>
  <c r="M92" i="25"/>
  <c r="R92" i="25"/>
  <c r="L92" i="25"/>
  <c r="K92" i="25"/>
  <c r="Q92" i="25"/>
  <c r="B93" i="25"/>
  <c r="H92" i="25"/>
  <c r="C92" i="25"/>
  <c r="P92" i="25"/>
  <c r="F92" i="25"/>
  <c r="E92" i="25"/>
  <c r="G92" i="25"/>
  <c r="P93" i="25" l="1"/>
  <c r="G93" i="25"/>
  <c r="Q93" i="25"/>
  <c r="R93" i="25"/>
  <c r="O93" i="25"/>
  <c r="K93" i="25"/>
  <c r="H93" i="25"/>
  <c r="J93" i="25"/>
  <c r="C93" i="25"/>
  <c r="I93" i="25"/>
  <c r="F93" i="25"/>
  <c r="D93" i="25"/>
  <c r="N93" i="25"/>
  <c r="L93" i="25"/>
  <c r="M93" i="25"/>
  <c r="B94" i="25"/>
  <c r="E93" i="25"/>
  <c r="N94" i="25" l="1"/>
  <c r="R94" i="25"/>
  <c r="G94" i="25"/>
  <c r="J94" i="25"/>
  <c r="P94" i="25"/>
  <c r="L94" i="25"/>
  <c r="O94" i="25"/>
  <c r="D94" i="25"/>
  <c r="I94" i="25"/>
  <c r="K94" i="25"/>
  <c r="C94" i="25"/>
  <c r="F94" i="25"/>
  <c r="H94" i="25"/>
  <c r="E94" i="25"/>
  <c r="M94" i="25"/>
  <c r="B95" i="25"/>
  <c r="Q94" i="25"/>
  <c r="E95" i="25" l="1"/>
  <c r="F95" i="25"/>
  <c r="P95" i="25"/>
  <c r="R95" i="25"/>
  <c r="N95" i="25"/>
  <c r="K95" i="25"/>
  <c r="C95" i="25"/>
  <c r="L95" i="25"/>
  <c r="B96" i="25"/>
  <c r="Q95" i="25"/>
  <c r="I95" i="25"/>
  <c r="G95" i="25"/>
  <c r="H95" i="25"/>
  <c r="M95" i="25"/>
  <c r="J95" i="25"/>
  <c r="D95" i="25"/>
  <c r="O95" i="25"/>
  <c r="O96" i="25" l="1"/>
  <c r="G96" i="25"/>
  <c r="I96" i="25"/>
  <c r="R96" i="25"/>
  <c r="L96" i="25"/>
  <c r="F96" i="25"/>
  <c r="N96" i="25"/>
  <c r="P96" i="25"/>
  <c r="E96" i="25"/>
  <c r="K96" i="25"/>
  <c r="M96" i="25"/>
  <c r="C96" i="25"/>
  <c r="Q96" i="25"/>
  <c r="J96" i="25"/>
  <c r="D96" i="25"/>
  <c r="B97" i="25"/>
  <c r="H96" i="25"/>
  <c r="J97" i="25" l="1"/>
  <c r="C97" i="25"/>
  <c r="D97" i="25"/>
  <c r="E97" i="25"/>
  <c r="I97" i="25"/>
  <c r="L97" i="25"/>
  <c r="M97" i="25"/>
  <c r="N97" i="25"/>
  <c r="R97" i="25"/>
  <c r="B98" i="25"/>
  <c r="F97" i="25"/>
  <c r="K97" i="25"/>
  <c r="G97" i="25"/>
  <c r="Q97" i="25"/>
  <c r="P97" i="25"/>
  <c r="O97" i="25"/>
  <c r="H97" i="25"/>
  <c r="C98" i="25" l="1"/>
  <c r="R98" i="25"/>
  <c r="F98" i="25"/>
  <c r="M98" i="25"/>
  <c r="D98" i="25"/>
  <c r="O98" i="25"/>
  <c r="N98" i="25"/>
  <c r="J98" i="25"/>
  <c r="P98" i="25"/>
  <c r="L98" i="25"/>
  <c r="H98" i="25"/>
  <c r="I98" i="25"/>
  <c r="E98" i="25"/>
  <c r="Q98" i="25"/>
  <c r="G98" i="25"/>
  <c r="B99" i="25"/>
  <c r="K98" i="25"/>
  <c r="P99" i="25" l="1"/>
  <c r="E99" i="25"/>
  <c r="R99" i="25"/>
  <c r="Q99" i="25"/>
  <c r="M99" i="25"/>
  <c r="N99" i="25"/>
  <c r="K99" i="25"/>
  <c r="D99" i="25"/>
  <c r="F99" i="25"/>
  <c r="G99" i="25"/>
  <c r="B100" i="25"/>
  <c r="J99" i="25"/>
  <c r="C99" i="25"/>
  <c r="L99" i="25"/>
  <c r="I99" i="25"/>
  <c r="O99" i="25"/>
  <c r="H99" i="25"/>
  <c r="D100" i="25" l="1"/>
  <c r="C100" i="25"/>
  <c r="H100" i="25"/>
  <c r="G100" i="25"/>
  <c r="E100" i="25"/>
  <c r="I100" i="25"/>
  <c r="R100" i="25"/>
  <c r="J100" i="25"/>
  <c r="O100" i="25"/>
  <c r="F100" i="25"/>
  <c r="Q100" i="25"/>
  <c r="P100" i="25"/>
  <c r="B101" i="25"/>
  <c r="K100" i="25"/>
  <c r="M100" i="25"/>
  <c r="L100" i="25"/>
  <c r="N100" i="25"/>
  <c r="E101" i="25" l="1"/>
  <c r="F101" i="25"/>
  <c r="P101" i="25"/>
  <c r="R101" i="25"/>
  <c r="H101" i="25"/>
  <c r="N101" i="25"/>
  <c r="I101" i="25"/>
  <c r="J101" i="25"/>
  <c r="M101" i="25"/>
  <c r="C101" i="25"/>
  <c r="L101" i="25"/>
  <c r="G101" i="25"/>
  <c r="D101" i="25"/>
  <c r="Q101" i="25"/>
  <c r="B102" i="25"/>
  <c r="O101" i="25"/>
  <c r="K101" i="25"/>
  <c r="P102" i="25" l="1"/>
  <c r="G102" i="25"/>
  <c r="H102" i="25"/>
  <c r="O102" i="25"/>
  <c r="J102" i="25"/>
  <c r="R102" i="25"/>
  <c r="M102" i="25"/>
  <c r="D102" i="25"/>
  <c r="F102" i="25"/>
  <c r="I102" i="25"/>
  <c r="Q102" i="25"/>
  <c r="K102" i="25"/>
  <c r="N102" i="25"/>
  <c r="E102" i="25"/>
  <c r="C102" i="25"/>
  <c r="B103" i="25"/>
  <c r="L102" i="25"/>
  <c r="N103" i="25" l="1"/>
  <c r="I103" i="25"/>
  <c r="K103" i="25"/>
  <c r="L103" i="25"/>
  <c r="P103" i="25"/>
  <c r="R103" i="25"/>
  <c r="G103" i="25"/>
  <c r="J103" i="25"/>
  <c r="D103" i="25"/>
  <c r="O103" i="25"/>
  <c r="H103" i="25"/>
  <c r="E103" i="25"/>
  <c r="C103" i="25"/>
  <c r="M103" i="25"/>
  <c r="Q103" i="25"/>
  <c r="F103" i="25"/>
  <c r="B104" i="25"/>
  <c r="J104" i="25" l="1"/>
  <c r="F104" i="25"/>
  <c r="R104" i="25"/>
  <c r="M104" i="25"/>
  <c r="E104" i="25"/>
  <c r="I104" i="25"/>
  <c r="Q104" i="25"/>
  <c r="G104" i="25"/>
  <c r="C104" i="25"/>
  <c r="O104" i="25"/>
  <c r="N104" i="25"/>
  <c r="L104" i="25"/>
  <c r="D104" i="25"/>
  <c r="K104" i="25"/>
  <c r="P104" i="25"/>
  <c r="B105" i="25"/>
  <c r="H104" i="25"/>
  <c r="N105" i="25" l="1"/>
  <c r="G105" i="25"/>
  <c r="R105" i="25"/>
  <c r="M105" i="25"/>
  <c r="E105" i="25"/>
  <c r="H105" i="25"/>
  <c r="Q105" i="25"/>
  <c r="P105" i="25"/>
  <c r="D105" i="25"/>
  <c r="O105" i="25"/>
  <c r="L105" i="25"/>
  <c r="I105" i="25"/>
  <c r="K105" i="25"/>
  <c r="J105" i="25"/>
  <c r="F105" i="25"/>
  <c r="C105" i="25"/>
  <c r="B106" i="25"/>
  <c r="G106" i="25" l="1"/>
  <c r="R106" i="25"/>
  <c r="L106" i="25"/>
  <c r="D106" i="25"/>
  <c r="F106" i="25"/>
  <c r="Q106" i="25"/>
  <c r="J106" i="25"/>
  <c r="K106" i="25"/>
  <c r="O106" i="25"/>
  <c r="N106" i="25"/>
  <c r="P106" i="25"/>
  <c r="H106" i="25"/>
  <c r="I106" i="25"/>
  <c r="E106" i="25"/>
  <c r="B107" i="25"/>
  <c r="C106" i="25"/>
  <c r="M106" i="25"/>
  <c r="J107" i="25" l="1"/>
  <c r="D107" i="25"/>
  <c r="I107" i="25"/>
  <c r="L107" i="25"/>
  <c r="F107" i="25"/>
  <c r="G107" i="25"/>
  <c r="N107" i="25"/>
  <c r="M107" i="25"/>
  <c r="O107" i="25"/>
  <c r="B108" i="25"/>
  <c r="K107" i="25"/>
  <c r="R107" i="25"/>
  <c r="Q107" i="25"/>
  <c r="E107" i="25"/>
  <c r="P107" i="25"/>
  <c r="H107" i="25"/>
  <c r="C107" i="25"/>
  <c r="J108" i="25" l="1"/>
  <c r="C108" i="25"/>
  <c r="G108" i="25"/>
  <c r="M108" i="25"/>
  <c r="P108" i="25"/>
  <c r="O108" i="25"/>
  <c r="D108" i="25"/>
  <c r="E108" i="25"/>
  <c r="L108" i="25"/>
  <c r="N108" i="25"/>
  <c r="R108" i="25"/>
  <c r="B109" i="25"/>
  <c r="Q108" i="25"/>
  <c r="K108" i="25"/>
  <c r="I108" i="25"/>
  <c r="H108" i="25"/>
  <c r="F108" i="25"/>
  <c r="C109" i="25" l="1"/>
  <c r="D109" i="25"/>
  <c r="R109" i="25"/>
  <c r="F109" i="25"/>
  <c r="N109" i="25"/>
  <c r="P109" i="25"/>
  <c r="H109" i="25"/>
  <c r="B110" i="25"/>
  <c r="E109" i="25"/>
  <c r="L109" i="25"/>
  <c r="O109" i="25"/>
  <c r="I109" i="25"/>
  <c r="M109" i="25"/>
  <c r="K109" i="25"/>
  <c r="Q109" i="25"/>
  <c r="J109" i="25"/>
  <c r="G109" i="25"/>
  <c r="F110" i="25" l="1"/>
  <c r="R110" i="25"/>
  <c r="G110" i="25"/>
  <c r="E110" i="25"/>
  <c r="Q110" i="25"/>
  <c r="L110" i="25"/>
  <c r="P110" i="25"/>
  <c r="B111" i="25"/>
  <c r="J110" i="25"/>
  <c r="O110" i="25"/>
  <c r="H110" i="25"/>
  <c r="D110" i="25"/>
  <c r="N110" i="25"/>
  <c r="I110" i="25"/>
  <c r="C110" i="25"/>
  <c r="K110" i="25"/>
  <c r="M110" i="25"/>
  <c r="N111" i="25" l="1"/>
  <c r="R111" i="25"/>
  <c r="J111" i="25"/>
  <c r="F111" i="25"/>
  <c r="C111" i="25"/>
  <c r="K111" i="25"/>
  <c r="O111" i="25"/>
  <c r="M111" i="25"/>
  <c r="E111" i="25"/>
  <c r="D111" i="25"/>
  <c r="G111" i="25"/>
  <c r="L111" i="25"/>
  <c r="B112" i="25"/>
  <c r="P111" i="25"/>
  <c r="Q111" i="25"/>
  <c r="I111" i="25"/>
  <c r="H111" i="25"/>
  <c r="Q112" i="25" l="1"/>
  <c r="R112" i="25"/>
  <c r="O112" i="25"/>
  <c r="F112" i="25"/>
  <c r="P112" i="25"/>
  <c r="K112" i="25"/>
  <c r="I112" i="25"/>
  <c r="B113" i="25"/>
  <c r="J112" i="25"/>
  <c r="D112" i="25"/>
  <c r="M112" i="25"/>
  <c r="L112" i="25"/>
  <c r="G112" i="25"/>
  <c r="E112" i="25"/>
  <c r="H112" i="25"/>
  <c r="C112" i="25"/>
  <c r="N112" i="25"/>
  <c r="H113" i="25" l="1"/>
  <c r="I113" i="25"/>
  <c r="D113" i="25"/>
  <c r="F113" i="25"/>
  <c r="J113" i="25"/>
  <c r="G113" i="25"/>
  <c r="K113" i="25"/>
  <c r="R113" i="25"/>
  <c r="P113" i="25"/>
  <c r="E113" i="25"/>
  <c r="M113" i="25"/>
  <c r="N113" i="25"/>
  <c r="B114" i="25"/>
  <c r="Q113" i="25"/>
  <c r="L113" i="25"/>
  <c r="O113" i="25"/>
  <c r="C113" i="25"/>
  <c r="N114" i="25" l="1"/>
  <c r="R114" i="25"/>
  <c r="G114" i="25"/>
  <c r="E114" i="25"/>
  <c r="H114" i="25"/>
  <c r="K114" i="25"/>
  <c r="F114" i="25"/>
  <c r="I114" i="25"/>
  <c r="J114" i="25"/>
  <c r="D114" i="25"/>
  <c r="O114" i="25"/>
  <c r="B115" i="25"/>
  <c r="P114" i="25"/>
  <c r="Q114" i="25"/>
  <c r="M114" i="25"/>
  <c r="L114" i="25"/>
  <c r="C114" i="25"/>
  <c r="I115" i="25" l="1"/>
  <c r="Q115" i="25"/>
  <c r="D115" i="25"/>
  <c r="R115" i="25"/>
  <c r="F115" i="25"/>
  <c r="C115" i="25"/>
  <c r="B116" i="25"/>
  <c r="J115" i="25"/>
  <c r="M115" i="25"/>
  <c r="H115" i="25"/>
  <c r="P115" i="25"/>
  <c r="K115" i="25"/>
  <c r="L115" i="25"/>
  <c r="O115" i="25"/>
  <c r="N115" i="25"/>
  <c r="G115" i="25"/>
  <c r="E115" i="25"/>
  <c r="P116" i="25" l="1"/>
  <c r="L116" i="25"/>
  <c r="H116" i="25"/>
  <c r="I116" i="25"/>
  <c r="M116" i="25"/>
  <c r="D116" i="25"/>
  <c r="O116" i="25"/>
  <c r="J116" i="25"/>
  <c r="Q116" i="25"/>
  <c r="C116" i="25"/>
  <c r="R116" i="25"/>
  <c r="N116" i="25"/>
  <c r="F116" i="25"/>
  <c r="K116" i="25"/>
  <c r="E116" i="25"/>
  <c r="B117" i="25"/>
  <c r="G116" i="25"/>
  <c r="J117" i="25" l="1"/>
  <c r="R117" i="25"/>
  <c r="M117" i="25"/>
  <c r="E117" i="25"/>
  <c r="H117" i="25"/>
  <c r="G117" i="25"/>
  <c r="C117" i="25"/>
  <c r="Q117" i="25"/>
  <c r="D117" i="25"/>
  <c r="O117" i="25"/>
  <c r="F117" i="25"/>
  <c r="B118" i="25"/>
  <c r="L117" i="25"/>
  <c r="P117" i="25"/>
  <c r="K117" i="25"/>
  <c r="I117" i="25"/>
  <c r="N117" i="25"/>
  <c r="P118" i="25" l="1"/>
  <c r="J118" i="25"/>
  <c r="M118" i="25"/>
  <c r="I118" i="25"/>
  <c r="N118" i="25"/>
  <c r="K118" i="25"/>
  <c r="D118" i="25"/>
  <c r="L118" i="25"/>
  <c r="F118" i="25"/>
  <c r="H118" i="25"/>
  <c r="Q118" i="25"/>
  <c r="G118" i="25"/>
  <c r="E118" i="25"/>
  <c r="C118" i="25"/>
  <c r="B119" i="25"/>
  <c r="O118" i="25"/>
  <c r="R118" i="25"/>
  <c r="L119" i="25" l="1"/>
  <c r="K119" i="25"/>
  <c r="H119" i="25"/>
  <c r="F119" i="25"/>
  <c r="E119" i="25"/>
  <c r="D119" i="25"/>
  <c r="N119" i="25"/>
  <c r="P119" i="25"/>
  <c r="M119" i="25"/>
  <c r="O119" i="25"/>
  <c r="B120" i="25"/>
  <c r="G119" i="25"/>
  <c r="J119" i="25"/>
  <c r="Q119" i="25"/>
  <c r="C119" i="25"/>
  <c r="I119" i="25"/>
  <c r="R119" i="25"/>
  <c r="G120" i="25" l="1"/>
  <c r="R120" i="25"/>
  <c r="I120" i="25"/>
  <c r="F120" i="25"/>
  <c r="M120" i="25"/>
  <c r="K120" i="25"/>
  <c r="J120" i="25"/>
  <c r="Q120" i="25"/>
  <c r="C120" i="25"/>
  <c r="P120" i="25"/>
  <c r="H120" i="25"/>
  <c r="E120" i="25"/>
  <c r="N120" i="25"/>
  <c r="D120" i="25"/>
  <c r="B121" i="25"/>
  <c r="L120" i="25"/>
  <c r="O120" i="25"/>
  <c r="D121" i="25" l="1"/>
  <c r="E121" i="25"/>
  <c r="I121" i="25"/>
  <c r="O121" i="25"/>
  <c r="G121" i="25"/>
  <c r="B122" i="25"/>
  <c r="R121" i="25"/>
  <c r="Q121" i="25"/>
  <c r="P121" i="25"/>
  <c r="C121" i="25"/>
  <c r="N121" i="25"/>
  <c r="M121" i="25"/>
  <c r="H121" i="25"/>
  <c r="K121" i="25"/>
  <c r="J121" i="25"/>
  <c r="F121" i="25"/>
  <c r="L121" i="25"/>
  <c r="N122" i="25" l="1"/>
  <c r="E122" i="25"/>
  <c r="L122" i="25"/>
  <c r="F122" i="25"/>
  <c r="C122" i="25"/>
  <c r="O122" i="25"/>
  <c r="R122" i="25"/>
  <c r="H122" i="25"/>
  <c r="J122" i="25"/>
  <c r="K122" i="25"/>
  <c r="Q122" i="25"/>
  <c r="I122" i="25"/>
  <c r="P122" i="25"/>
  <c r="D122" i="25"/>
  <c r="G122" i="25"/>
  <c r="M122" i="25"/>
  <c r="B123" i="25"/>
  <c r="H123" i="25" l="1"/>
  <c r="K123" i="25"/>
  <c r="F123" i="25"/>
  <c r="G123" i="25"/>
  <c r="I123" i="25"/>
  <c r="Q123" i="25"/>
  <c r="D123" i="25"/>
  <c r="E123" i="25"/>
  <c r="M123" i="25"/>
  <c r="C123" i="25"/>
  <c r="N123" i="25"/>
  <c r="J123" i="25"/>
  <c r="O123" i="25"/>
  <c r="P123" i="25"/>
  <c r="B124" i="25"/>
  <c r="L123" i="25"/>
  <c r="R123" i="25"/>
  <c r="C124" i="25" l="1"/>
  <c r="O124" i="25"/>
  <c r="L124" i="25"/>
  <c r="F124" i="25"/>
  <c r="M124" i="25"/>
  <c r="R124" i="25"/>
  <c r="D124" i="25"/>
  <c r="B125" i="25"/>
  <c r="I124" i="25"/>
  <c r="G124" i="25"/>
  <c r="K124" i="25"/>
  <c r="E124" i="25"/>
  <c r="Q124" i="25"/>
  <c r="H124" i="25"/>
  <c r="J124" i="25"/>
  <c r="P124" i="25"/>
  <c r="N124" i="25"/>
  <c r="H125" i="25" l="1"/>
  <c r="E125" i="25"/>
  <c r="I125" i="25"/>
  <c r="G125" i="25"/>
  <c r="Q125" i="25"/>
  <c r="K125" i="25"/>
  <c r="L125" i="25"/>
  <c r="F125" i="25"/>
  <c r="B126" i="25"/>
  <c r="O125" i="25"/>
  <c r="J125" i="25"/>
  <c r="N125" i="25"/>
  <c r="M125" i="25"/>
  <c r="C125" i="25"/>
  <c r="D125" i="25"/>
  <c r="P125" i="25"/>
  <c r="R125" i="25"/>
  <c r="P126" i="25" l="1"/>
  <c r="N126" i="25"/>
  <c r="C126" i="25"/>
  <c r="I126" i="25"/>
  <c r="L126" i="25"/>
  <c r="M126" i="25"/>
  <c r="E126" i="25"/>
  <c r="O126" i="25"/>
  <c r="K126" i="25"/>
  <c r="G126" i="25"/>
  <c r="F126" i="25"/>
  <c r="H126" i="25"/>
  <c r="J126" i="25"/>
  <c r="D126" i="25"/>
  <c r="Q126" i="25"/>
  <c r="B127" i="25"/>
  <c r="R126" i="25"/>
  <c r="I127" i="25" l="1"/>
  <c r="P127" i="25"/>
  <c r="E127" i="25"/>
  <c r="F127" i="25"/>
  <c r="Q127" i="25"/>
  <c r="L127" i="25"/>
  <c r="K127" i="25"/>
  <c r="O127" i="25"/>
  <c r="M127" i="25"/>
  <c r="N127" i="25"/>
  <c r="G127" i="25"/>
  <c r="J127" i="25"/>
  <c r="H127" i="25"/>
  <c r="D127" i="25"/>
  <c r="R127" i="25"/>
  <c r="C127" i="25"/>
  <c r="B128" i="25"/>
  <c r="I128" i="25" l="1"/>
  <c r="R128" i="25"/>
  <c r="G128" i="25"/>
  <c r="E128" i="25"/>
  <c r="F128" i="25"/>
  <c r="L128" i="25"/>
  <c r="M128" i="25"/>
  <c r="K128" i="25"/>
  <c r="N128" i="25"/>
  <c r="P128" i="25"/>
  <c r="Q128" i="25"/>
  <c r="H128" i="25"/>
  <c r="C128" i="25"/>
  <c r="O128" i="25"/>
  <c r="D128" i="25"/>
  <c r="J128" i="25"/>
  <c r="B129" i="25"/>
  <c r="F129" i="25" l="1"/>
  <c r="D129" i="25"/>
  <c r="M129" i="25"/>
  <c r="C129" i="25"/>
  <c r="G129" i="25"/>
  <c r="J129" i="25"/>
  <c r="O129" i="25"/>
  <c r="H129" i="25"/>
  <c r="B130" i="25"/>
  <c r="P129" i="25"/>
  <c r="K129" i="25"/>
  <c r="E129" i="25"/>
  <c r="I129" i="25"/>
  <c r="L129" i="25"/>
  <c r="N129" i="25"/>
  <c r="Q129" i="25"/>
  <c r="R129" i="25"/>
  <c r="O130" i="25" l="1"/>
  <c r="N130" i="25"/>
  <c r="I130" i="25"/>
  <c r="M130" i="25"/>
  <c r="E130" i="25"/>
  <c r="K130" i="25"/>
  <c r="H130" i="25"/>
  <c r="L130" i="25"/>
  <c r="D130" i="25"/>
  <c r="B131" i="25"/>
  <c r="G130" i="25"/>
  <c r="C130" i="25"/>
  <c r="Q130" i="25"/>
  <c r="P130" i="25"/>
  <c r="R130" i="25"/>
  <c r="F130" i="25"/>
  <c r="J130" i="25"/>
  <c r="L131" i="25" l="1"/>
  <c r="N131" i="25"/>
  <c r="K131" i="25"/>
  <c r="P131" i="25"/>
  <c r="M131" i="25"/>
  <c r="Q131" i="25"/>
  <c r="H131" i="25"/>
  <c r="I131" i="25"/>
  <c r="R131" i="25"/>
  <c r="J131" i="25"/>
  <c r="E131" i="25"/>
  <c r="D131" i="25"/>
  <c r="O131" i="25"/>
  <c r="C131" i="25"/>
  <c r="B132" i="25"/>
  <c r="G131" i="25"/>
  <c r="F131" i="25"/>
  <c r="H132" i="25" l="1"/>
  <c r="R132" i="25"/>
  <c r="M132" i="25"/>
  <c r="G132" i="25"/>
  <c r="F132" i="25"/>
  <c r="I132" i="25"/>
  <c r="D132" i="25"/>
  <c r="N132" i="25"/>
  <c r="J132" i="25"/>
  <c r="Q132" i="25"/>
  <c r="O132" i="25"/>
  <c r="B133" i="25"/>
  <c r="P132" i="25"/>
  <c r="C132" i="25"/>
  <c r="L132" i="25"/>
  <c r="K132" i="25"/>
  <c r="E132" i="25"/>
  <c r="D133" i="25" l="1"/>
  <c r="J133" i="25"/>
  <c r="G133" i="25"/>
  <c r="E133" i="25"/>
  <c r="N133" i="25"/>
  <c r="C133" i="25"/>
  <c r="K133" i="25"/>
  <c r="Q133" i="25"/>
  <c r="F133" i="25"/>
  <c r="H133" i="25"/>
  <c r="B134" i="25"/>
  <c r="R133" i="25"/>
  <c r="O133" i="25"/>
  <c r="L133" i="25"/>
  <c r="P133" i="25"/>
  <c r="M133" i="25"/>
  <c r="I133" i="25"/>
  <c r="H134" i="25" l="1"/>
  <c r="N134" i="25"/>
  <c r="Q134" i="25"/>
  <c r="I134" i="25"/>
  <c r="J134" i="25"/>
  <c r="C134" i="25"/>
  <c r="E134" i="25"/>
  <c r="L134" i="25"/>
  <c r="O134" i="25"/>
  <c r="R134" i="25"/>
  <c r="D134" i="25"/>
  <c r="M134" i="25"/>
  <c r="K134" i="25"/>
  <c r="G134" i="25"/>
  <c r="P134" i="25"/>
  <c r="F134" i="25"/>
  <c r="B135" i="25"/>
  <c r="N135" i="25" l="1"/>
  <c r="Q135" i="25"/>
  <c r="I135" i="25"/>
  <c r="L135" i="25"/>
  <c r="E135" i="25"/>
  <c r="C135" i="25"/>
  <c r="J135" i="25"/>
  <c r="F135" i="25"/>
  <c r="K135" i="25"/>
  <c r="B136" i="25"/>
  <c r="R135" i="25"/>
  <c r="M135" i="25"/>
  <c r="P135" i="25"/>
  <c r="D135" i="25"/>
  <c r="H135" i="25"/>
  <c r="G135" i="25"/>
  <c r="O135" i="25"/>
  <c r="L136" i="25" l="1"/>
  <c r="R136" i="25"/>
  <c r="J136" i="25"/>
  <c r="K136" i="25"/>
  <c r="N136" i="25"/>
  <c r="Q136" i="25"/>
  <c r="M136" i="25"/>
  <c r="C136" i="25"/>
  <c r="I136" i="25"/>
  <c r="H136" i="25"/>
  <c r="P136" i="25"/>
  <c r="E136" i="25"/>
  <c r="F136" i="25"/>
  <c r="G136" i="25"/>
  <c r="D136" i="25"/>
  <c r="O136" i="25"/>
  <c r="B137" i="25"/>
  <c r="I137" i="25" l="1"/>
  <c r="O137" i="25"/>
  <c r="G137" i="25"/>
  <c r="M137" i="25"/>
  <c r="C137" i="25"/>
  <c r="K137" i="25"/>
  <c r="D137" i="25"/>
  <c r="P137" i="25"/>
  <c r="L137" i="25"/>
  <c r="F137" i="25"/>
  <c r="E137" i="25"/>
  <c r="H137" i="25"/>
  <c r="N137" i="25"/>
  <c r="Q137" i="25"/>
  <c r="B138" i="25"/>
  <c r="J137" i="25"/>
  <c r="R137" i="25"/>
  <c r="P138" i="25" l="1"/>
  <c r="I138" i="25"/>
  <c r="K138" i="25"/>
  <c r="E138" i="25"/>
  <c r="O138" i="25"/>
  <c r="C138" i="25"/>
  <c r="G138" i="25"/>
  <c r="D138" i="25"/>
  <c r="N138" i="25"/>
  <c r="F138" i="25"/>
  <c r="H138" i="25"/>
  <c r="Q138" i="25"/>
  <c r="M138" i="25"/>
  <c r="J138" i="25"/>
  <c r="B139" i="25"/>
  <c r="L138" i="25"/>
  <c r="R138" i="25"/>
  <c r="H139" i="25" l="1"/>
  <c r="C139" i="25"/>
  <c r="I139" i="25"/>
  <c r="P139" i="25"/>
  <c r="D139" i="25"/>
  <c r="K139" i="25"/>
  <c r="Q139" i="25"/>
  <c r="M139" i="25"/>
  <c r="B140" i="25"/>
  <c r="O139" i="25"/>
  <c r="R139" i="25"/>
  <c r="L139" i="25"/>
  <c r="F139" i="25"/>
  <c r="G139" i="25"/>
  <c r="N139" i="25"/>
  <c r="J139" i="25"/>
  <c r="E139" i="25"/>
  <c r="I140" i="25" l="1"/>
  <c r="Q140" i="25"/>
  <c r="J140" i="25"/>
  <c r="F140" i="25"/>
  <c r="M140" i="25"/>
  <c r="C140" i="25"/>
  <c r="H140" i="25"/>
  <c r="E140" i="25"/>
  <c r="B141" i="25"/>
  <c r="P140" i="25"/>
  <c r="K140" i="25"/>
  <c r="L140" i="25"/>
  <c r="O140" i="25"/>
  <c r="N140" i="25"/>
  <c r="R140" i="25"/>
  <c r="D140" i="25"/>
  <c r="G140" i="25"/>
  <c r="N141" i="25" l="1"/>
  <c r="C141" i="25"/>
  <c r="O141" i="25"/>
  <c r="D141" i="25"/>
  <c r="L141" i="25"/>
  <c r="K141" i="25"/>
  <c r="M141" i="25"/>
  <c r="I141" i="25"/>
  <c r="Q141" i="25"/>
  <c r="H141" i="25"/>
  <c r="E141" i="25"/>
  <c r="B142" i="25"/>
  <c r="G141" i="25"/>
  <c r="P141" i="25"/>
  <c r="F141" i="25"/>
  <c r="J141" i="25"/>
  <c r="R141" i="25"/>
  <c r="N142" i="25" l="1"/>
  <c r="D142" i="25"/>
  <c r="Q142" i="25"/>
  <c r="M142" i="25"/>
  <c r="J142" i="25"/>
  <c r="O142" i="25"/>
  <c r="F142" i="25"/>
  <c r="L142" i="25"/>
  <c r="K142" i="25"/>
  <c r="E142" i="25"/>
  <c r="H142" i="25"/>
  <c r="P142" i="25"/>
  <c r="I142" i="25"/>
  <c r="C142" i="25"/>
  <c r="R142" i="25"/>
  <c r="B143" i="25"/>
  <c r="G142" i="25"/>
  <c r="L143" i="25" l="1"/>
  <c r="M143" i="25"/>
  <c r="C143" i="25"/>
  <c r="F143" i="25"/>
  <c r="E143" i="25"/>
  <c r="K143" i="25"/>
  <c r="O143" i="25"/>
  <c r="Q143" i="25"/>
  <c r="G143" i="25"/>
  <c r="P143" i="25"/>
  <c r="H143" i="25"/>
  <c r="I143" i="25"/>
  <c r="D143" i="25"/>
  <c r="N143" i="25"/>
  <c r="B144" i="25"/>
  <c r="J143" i="25"/>
  <c r="R143" i="25"/>
  <c r="L144" i="25" l="1"/>
  <c r="C144" i="25"/>
  <c r="N144" i="25"/>
  <c r="M144" i="25"/>
  <c r="R144" i="25"/>
  <c r="H144" i="25"/>
  <c r="D144" i="25"/>
  <c r="B145" i="25"/>
  <c r="K144" i="25"/>
  <c r="F144" i="25"/>
  <c r="J144" i="25"/>
  <c r="Q144" i="25"/>
  <c r="G144" i="25"/>
  <c r="P144" i="25"/>
  <c r="E144" i="25"/>
  <c r="O144" i="25"/>
  <c r="I144" i="25"/>
  <c r="M145" i="25" l="1"/>
  <c r="J145" i="25"/>
  <c r="K145" i="25"/>
  <c r="L145" i="25"/>
  <c r="P145" i="25"/>
  <c r="E145" i="25"/>
  <c r="G145" i="25"/>
  <c r="D145" i="25"/>
  <c r="H145" i="25"/>
  <c r="O145" i="25"/>
  <c r="I145" i="25"/>
  <c r="F145" i="25"/>
  <c r="B146" i="25"/>
  <c r="R145" i="25"/>
  <c r="Q145" i="25"/>
  <c r="N145" i="25"/>
  <c r="C145" i="25"/>
  <c r="N146" i="25" l="1"/>
  <c r="E146" i="25"/>
  <c r="Q146" i="25"/>
  <c r="F146" i="25"/>
  <c r="C146" i="25"/>
  <c r="J146" i="25"/>
  <c r="O146" i="25"/>
  <c r="I146" i="25"/>
  <c r="B147" i="25"/>
  <c r="H146" i="25"/>
  <c r="G146" i="25"/>
  <c r="K146" i="25"/>
  <c r="R146" i="25"/>
  <c r="P146" i="25"/>
  <c r="D146" i="25"/>
  <c r="M146" i="25"/>
  <c r="L146" i="25"/>
  <c r="P147" i="25" l="1"/>
  <c r="C147" i="25"/>
  <c r="M147" i="25"/>
  <c r="I147" i="25"/>
  <c r="N147" i="25"/>
  <c r="L147" i="25"/>
  <c r="G147" i="25"/>
  <c r="K147" i="25"/>
  <c r="Q147" i="25"/>
  <c r="R147" i="25"/>
  <c r="J147" i="25"/>
  <c r="B148" i="25"/>
  <c r="D147" i="25"/>
  <c r="H147" i="25"/>
  <c r="E147" i="25"/>
  <c r="O147" i="25"/>
  <c r="F147" i="25"/>
  <c r="O148" i="25" l="1"/>
  <c r="R148" i="25"/>
  <c r="L148" i="25"/>
  <c r="N148" i="25"/>
  <c r="G148" i="25"/>
  <c r="M148" i="25"/>
  <c r="F148" i="25"/>
  <c r="Q148" i="25"/>
  <c r="K148" i="25"/>
  <c r="E148" i="25"/>
  <c r="B149" i="25"/>
  <c r="J148" i="25"/>
  <c r="H148" i="25"/>
  <c r="P148" i="25"/>
  <c r="C148" i="25"/>
  <c r="I148" i="25"/>
  <c r="D148" i="25"/>
  <c r="P149" i="25" l="1"/>
  <c r="L149" i="25"/>
  <c r="H149" i="25"/>
  <c r="K149" i="25"/>
  <c r="Q149" i="25"/>
  <c r="I149" i="25"/>
  <c r="M149" i="25"/>
  <c r="E149" i="25"/>
  <c r="B150" i="25"/>
  <c r="F149" i="25"/>
  <c r="D149" i="25"/>
  <c r="G149" i="25"/>
  <c r="C149" i="25"/>
  <c r="J149" i="25"/>
  <c r="N149" i="25"/>
  <c r="O149" i="25"/>
  <c r="R149" i="25"/>
  <c r="E150" i="25" l="1"/>
  <c r="P150" i="25"/>
  <c r="I150" i="25"/>
  <c r="O150" i="25"/>
  <c r="Q150" i="25"/>
  <c r="D150" i="25"/>
  <c r="M150" i="25"/>
  <c r="C150" i="25"/>
  <c r="G150" i="25"/>
  <c r="H150" i="25"/>
  <c r="L150" i="25"/>
  <c r="F150" i="25"/>
  <c r="B151" i="25"/>
  <c r="N150" i="25"/>
  <c r="R150" i="25"/>
  <c r="J150" i="25"/>
  <c r="K150" i="25"/>
  <c r="J151" i="25" l="1"/>
  <c r="H151" i="25"/>
  <c r="N151" i="25"/>
  <c r="G151" i="25"/>
  <c r="E151" i="25"/>
  <c r="O151" i="25"/>
  <c r="Q151" i="25"/>
  <c r="R151" i="25"/>
  <c r="L151" i="25"/>
  <c r="C151" i="25"/>
  <c r="M151" i="25"/>
  <c r="K151" i="25"/>
  <c r="D151" i="25"/>
  <c r="B152" i="25"/>
  <c r="F151" i="25"/>
  <c r="P151" i="25"/>
  <c r="I151" i="25"/>
  <c r="G152" i="25" l="1"/>
  <c r="R152" i="25"/>
  <c r="Q152" i="25"/>
  <c r="H152" i="25"/>
  <c r="E152" i="25"/>
  <c r="O152" i="25"/>
  <c r="P152" i="25"/>
  <c r="C152" i="25"/>
  <c r="B153" i="25"/>
  <c r="M152" i="25"/>
  <c r="I152" i="25"/>
  <c r="N152" i="25"/>
  <c r="F152" i="25"/>
  <c r="K152" i="25"/>
  <c r="D152" i="25"/>
  <c r="L152" i="25"/>
  <c r="J152" i="25"/>
  <c r="L153" i="25" l="1"/>
  <c r="I153" i="25"/>
  <c r="Q153" i="25"/>
  <c r="K153" i="25"/>
  <c r="E153" i="25"/>
  <c r="C153" i="25"/>
  <c r="G153" i="25"/>
  <c r="O153" i="25"/>
  <c r="J153" i="25"/>
  <c r="M153" i="25"/>
  <c r="H153" i="25"/>
  <c r="P153" i="25"/>
  <c r="R153" i="25"/>
  <c r="D153" i="25"/>
  <c r="B154" i="25"/>
  <c r="N153" i="25"/>
  <c r="F153" i="25"/>
  <c r="Q154" i="25" l="1"/>
  <c r="J154" i="25"/>
  <c r="P154" i="25"/>
  <c r="K154" i="25"/>
  <c r="O154" i="25"/>
  <c r="D154" i="25"/>
  <c r="B155" i="25"/>
  <c r="G154" i="25"/>
  <c r="H154" i="25"/>
  <c r="I154" i="25"/>
  <c r="R154" i="25"/>
  <c r="F154" i="25"/>
  <c r="E154" i="25"/>
  <c r="L154" i="25"/>
  <c r="N154" i="25"/>
  <c r="C154" i="25"/>
  <c r="M154" i="25"/>
  <c r="M155" i="25" l="1"/>
  <c r="J155" i="25"/>
  <c r="Q155" i="25"/>
  <c r="C155" i="25"/>
  <c r="B156" i="25"/>
  <c r="O155" i="25"/>
  <c r="N155" i="25"/>
  <c r="D155" i="25"/>
  <c r="P155" i="25"/>
  <c r="F155" i="25"/>
  <c r="E155" i="25"/>
  <c r="R155" i="25"/>
  <c r="H155" i="25"/>
  <c r="G155" i="25"/>
  <c r="K155" i="25"/>
  <c r="I155" i="25"/>
  <c r="L155" i="25"/>
  <c r="I156" i="25" l="1"/>
  <c r="R156" i="25"/>
  <c r="K156" i="25"/>
  <c r="O156" i="25"/>
  <c r="E156" i="25"/>
  <c r="M156" i="25"/>
  <c r="B157" i="25"/>
  <c r="N156" i="25"/>
  <c r="D156" i="25"/>
  <c r="P156" i="25"/>
  <c r="J156" i="25"/>
  <c r="F156" i="25"/>
  <c r="C156" i="25"/>
  <c r="L156" i="25"/>
  <c r="H156" i="25"/>
  <c r="Q156" i="25"/>
  <c r="G156" i="25"/>
  <c r="E157" i="25" l="1"/>
  <c r="C157" i="25"/>
  <c r="D157" i="25"/>
  <c r="P157" i="25"/>
  <c r="H157" i="25"/>
  <c r="Q157" i="25"/>
  <c r="F157" i="25"/>
  <c r="N157" i="25"/>
  <c r="R157" i="25"/>
  <c r="I157" i="25"/>
  <c r="K157" i="25"/>
  <c r="B158" i="25"/>
  <c r="O157" i="25"/>
  <c r="J157" i="25"/>
  <c r="L157" i="25"/>
  <c r="M157" i="25"/>
  <c r="G157" i="25"/>
  <c r="J158" i="25" l="1"/>
  <c r="F158" i="25"/>
  <c r="M158" i="25"/>
  <c r="L158" i="25"/>
  <c r="R158" i="25"/>
  <c r="H158" i="25"/>
  <c r="C158" i="25"/>
  <c r="E158" i="25"/>
  <c r="N158" i="25"/>
  <c r="G158" i="25"/>
  <c r="O158" i="25"/>
  <c r="Q158" i="25"/>
  <c r="P158" i="25"/>
  <c r="B159" i="25"/>
  <c r="D158" i="25"/>
  <c r="K158" i="25"/>
  <c r="I158" i="25"/>
  <c r="G159" i="25" l="1"/>
  <c r="P159" i="25"/>
  <c r="M159" i="25"/>
  <c r="Q159" i="25"/>
  <c r="K159" i="25"/>
  <c r="D159" i="25"/>
  <c r="I159" i="25"/>
  <c r="C159" i="25"/>
  <c r="L159" i="25"/>
  <c r="J159" i="25"/>
  <c r="H159" i="25"/>
  <c r="R159" i="25"/>
  <c r="F159" i="25"/>
  <c r="N159" i="25"/>
  <c r="B160" i="25"/>
  <c r="O159" i="25"/>
  <c r="E159" i="25"/>
  <c r="Q160" i="25" l="1"/>
  <c r="R160" i="25"/>
  <c r="F160" i="25"/>
  <c r="B161" i="25"/>
  <c r="M160" i="25"/>
  <c r="L160" i="25"/>
  <c r="O160" i="25"/>
  <c r="K160" i="25"/>
  <c r="G160" i="25"/>
  <c r="N160" i="25"/>
  <c r="P160" i="25"/>
  <c r="J160" i="25"/>
  <c r="C160" i="25"/>
  <c r="I160" i="25"/>
  <c r="H160" i="25"/>
  <c r="E160" i="25"/>
  <c r="D160" i="25"/>
  <c r="O161" i="25" l="1"/>
  <c r="I161" i="25"/>
  <c r="K161" i="25"/>
  <c r="D161" i="25"/>
  <c r="J161" i="25"/>
  <c r="C161" i="25"/>
  <c r="H161" i="25"/>
  <c r="R161" i="25"/>
  <c r="E161" i="25"/>
  <c r="B162" i="25"/>
  <c r="Q161" i="25"/>
  <c r="M161" i="25"/>
  <c r="G161" i="25"/>
  <c r="P161" i="25"/>
  <c r="F161" i="25"/>
  <c r="L161" i="25"/>
  <c r="N161" i="25"/>
  <c r="D162" i="25" l="1"/>
  <c r="G162" i="25"/>
  <c r="M162" i="25"/>
  <c r="E162" i="25"/>
  <c r="K162" i="25"/>
  <c r="Q162" i="25"/>
  <c r="C162" i="25"/>
  <c r="P162" i="25"/>
  <c r="J162" i="25"/>
  <c r="R162" i="25"/>
  <c r="N162" i="25"/>
  <c r="F162" i="25"/>
  <c r="B163" i="25"/>
  <c r="O162" i="25"/>
  <c r="I162" i="25"/>
  <c r="H162" i="25"/>
  <c r="L162" i="25"/>
  <c r="D163" i="25" l="1"/>
  <c r="I163" i="25"/>
  <c r="P163" i="25"/>
  <c r="F163" i="25"/>
  <c r="K163" i="25"/>
  <c r="H163" i="25"/>
  <c r="L163" i="25"/>
  <c r="B164" i="25"/>
  <c r="R163" i="25"/>
  <c r="M163" i="25"/>
  <c r="C163" i="25"/>
  <c r="E163" i="25"/>
  <c r="J163" i="25"/>
  <c r="Q163" i="25"/>
  <c r="O163" i="25"/>
  <c r="N163" i="25"/>
  <c r="G163" i="25"/>
  <c r="E164" i="25" l="1"/>
  <c r="R164" i="25"/>
  <c r="P164" i="25"/>
  <c r="G164" i="25"/>
  <c r="D164" i="25"/>
  <c r="L164" i="25"/>
  <c r="F164" i="25"/>
  <c r="Q164" i="25"/>
  <c r="J164" i="25"/>
  <c r="B165" i="25"/>
  <c r="C164" i="25"/>
  <c r="M164" i="25"/>
  <c r="O164" i="25"/>
  <c r="H164" i="25"/>
  <c r="N164" i="25"/>
  <c r="K164" i="25"/>
  <c r="I164" i="25"/>
  <c r="H165" i="25" l="1"/>
  <c r="L165" i="25"/>
  <c r="Q165" i="25"/>
  <c r="E165" i="25"/>
  <c r="P165" i="25"/>
  <c r="K165" i="25"/>
  <c r="J165" i="25"/>
  <c r="N165" i="25"/>
  <c r="F165" i="25"/>
  <c r="C165" i="25"/>
  <c r="M165" i="25"/>
  <c r="O165" i="25"/>
  <c r="D165" i="25"/>
  <c r="B166" i="25"/>
  <c r="R165" i="25"/>
  <c r="G165" i="25"/>
  <c r="I165" i="25"/>
  <c r="L166" i="25" l="1"/>
  <c r="N166" i="25"/>
  <c r="R166" i="25"/>
  <c r="M166" i="25"/>
  <c r="P166" i="25"/>
  <c r="O166" i="25"/>
  <c r="Q166" i="25"/>
  <c r="G166" i="25"/>
  <c r="H166" i="25"/>
  <c r="F166" i="25"/>
  <c r="K166" i="25"/>
  <c r="J166" i="25"/>
  <c r="B167" i="25"/>
  <c r="D166" i="25"/>
  <c r="C166" i="25"/>
  <c r="I166" i="25"/>
  <c r="E166" i="25"/>
  <c r="P167" i="25" l="1"/>
  <c r="L167" i="25"/>
  <c r="G167" i="25"/>
  <c r="J167" i="25"/>
  <c r="F167" i="25"/>
  <c r="D167" i="25"/>
  <c r="H167" i="25"/>
  <c r="M167" i="25"/>
  <c r="N167" i="25"/>
  <c r="K167" i="25"/>
  <c r="O167" i="25"/>
  <c r="E167" i="25"/>
  <c r="Q167" i="25"/>
  <c r="C167" i="25"/>
  <c r="B168" i="25"/>
  <c r="I167" i="25"/>
  <c r="R167" i="25"/>
  <c r="K168" i="25" l="1"/>
  <c r="R168" i="25"/>
  <c r="C168" i="25"/>
  <c r="D168" i="25"/>
  <c r="G168" i="25"/>
  <c r="M168" i="25"/>
  <c r="J168" i="25"/>
  <c r="I168" i="25"/>
  <c r="Q168" i="25"/>
  <c r="F168" i="25"/>
  <c r="H168" i="25"/>
  <c r="E168" i="25"/>
  <c r="N168" i="25"/>
  <c r="P168" i="25"/>
  <c r="B169" i="25"/>
  <c r="L168" i="25"/>
  <c r="O168" i="25"/>
  <c r="J169" i="25" l="1"/>
  <c r="P169" i="25"/>
  <c r="G169" i="25"/>
  <c r="C169" i="25"/>
  <c r="M169" i="25"/>
  <c r="R169" i="25"/>
  <c r="H169" i="25"/>
  <c r="N169" i="25"/>
  <c r="I169" i="25"/>
  <c r="L169" i="25"/>
  <c r="B170" i="25"/>
  <c r="E169" i="25"/>
  <c r="O169" i="25"/>
  <c r="F169" i="25"/>
  <c r="K169" i="25"/>
  <c r="Q169" i="25"/>
  <c r="D169" i="25"/>
  <c r="N170" i="25" l="1"/>
  <c r="K170" i="25"/>
  <c r="G170" i="25"/>
  <c r="L170" i="25"/>
  <c r="I170" i="25"/>
  <c r="B171" i="25"/>
  <c r="E170" i="25"/>
  <c r="P170" i="25"/>
  <c r="C170" i="25"/>
  <c r="Q170" i="25"/>
  <c r="F170" i="25"/>
  <c r="J170" i="25"/>
  <c r="O170" i="25"/>
  <c r="D170" i="25"/>
  <c r="H170" i="25"/>
  <c r="M170" i="25"/>
  <c r="R170" i="25"/>
  <c r="E171" i="25" l="1"/>
  <c r="K171" i="25"/>
  <c r="F171" i="25"/>
  <c r="R171" i="25"/>
  <c r="P171" i="25"/>
  <c r="C171" i="25"/>
  <c r="Q171" i="25"/>
  <c r="G171" i="25"/>
  <c r="H171" i="25"/>
  <c r="B172" i="25"/>
  <c r="D171" i="25"/>
  <c r="M171" i="25"/>
  <c r="J171" i="25"/>
  <c r="L171" i="25"/>
  <c r="I171" i="25"/>
  <c r="O171" i="25"/>
  <c r="N171" i="25"/>
  <c r="N172" i="25" l="1"/>
  <c r="G172" i="25"/>
  <c r="C172" i="25"/>
  <c r="D172" i="25"/>
  <c r="R172" i="25"/>
  <c r="J172" i="25"/>
  <c r="F172" i="25"/>
  <c r="L172" i="25"/>
  <c r="M172" i="25"/>
  <c r="E172" i="25"/>
  <c r="H172" i="25"/>
  <c r="K172" i="25"/>
  <c r="I172" i="25"/>
  <c r="O172" i="25"/>
  <c r="Q172" i="25"/>
  <c r="B173" i="25"/>
  <c r="P172" i="25"/>
  <c r="P173" i="25" l="1"/>
  <c r="D173" i="25"/>
  <c r="F173" i="25"/>
  <c r="G173" i="25"/>
  <c r="L173" i="25"/>
  <c r="I173" i="25"/>
  <c r="J173" i="25"/>
  <c r="H173" i="25"/>
  <c r="K173" i="25"/>
  <c r="O173" i="25"/>
  <c r="E173" i="25"/>
  <c r="M173" i="25"/>
  <c r="N173" i="25"/>
  <c r="C173" i="25"/>
  <c r="B174" i="25"/>
  <c r="R173" i="25"/>
  <c r="Q173" i="25"/>
  <c r="I174" i="25" l="1"/>
  <c r="L174" i="25"/>
  <c r="C174" i="25"/>
  <c r="H174" i="25"/>
  <c r="J174" i="25"/>
  <c r="E174" i="25"/>
  <c r="M174" i="25"/>
  <c r="B175" i="25"/>
  <c r="R174" i="25"/>
  <c r="Q174" i="25"/>
  <c r="K174" i="25"/>
  <c r="D174" i="25"/>
  <c r="P174" i="25"/>
  <c r="G174" i="25"/>
  <c r="N174" i="25"/>
  <c r="F174" i="25"/>
  <c r="O174" i="25"/>
  <c r="J175" i="25" l="1"/>
  <c r="F175" i="25"/>
  <c r="I175" i="25"/>
  <c r="H175" i="25"/>
  <c r="E175" i="25"/>
  <c r="G175" i="25"/>
  <c r="N175" i="25"/>
  <c r="M175" i="25"/>
  <c r="K175" i="25"/>
  <c r="O175" i="25"/>
  <c r="Q175" i="25"/>
  <c r="D175" i="25"/>
  <c r="C175" i="25"/>
  <c r="L175" i="25"/>
  <c r="B176" i="25"/>
  <c r="P175" i="25"/>
  <c r="R175" i="25"/>
  <c r="P176" i="25" l="1"/>
  <c r="K176" i="25"/>
  <c r="C176" i="25"/>
  <c r="R176" i="25"/>
  <c r="H176" i="25"/>
  <c r="E176" i="25"/>
  <c r="J176" i="25"/>
  <c r="I176" i="25"/>
  <c r="L176" i="25"/>
  <c r="N176" i="25"/>
  <c r="B177" i="25"/>
  <c r="D176" i="25"/>
  <c r="Q176" i="25"/>
  <c r="M176" i="25"/>
  <c r="O176" i="25"/>
  <c r="G176" i="25"/>
  <c r="F176" i="25"/>
  <c r="I177" i="25" l="1"/>
  <c r="L177" i="25"/>
  <c r="C177" i="25"/>
  <c r="K177" i="25"/>
  <c r="J177" i="25"/>
  <c r="F177" i="25"/>
  <c r="G177" i="25"/>
  <c r="B178" i="25"/>
  <c r="M177" i="25"/>
  <c r="O177" i="25"/>
  <c r="N177" i="25"/>
  <c r="Q177" i="25"/>
  <c r="P177" i="25"/>
  <c r="E177" i="25"/>
  <c r="H177" i="25"/>
  <c r="D177" i="25"/>
  <c r="R177" i="25"/>
  <c r="H178" i="25" l="1"/>
  <c r="D178" i="25"/>
  <c r="Q178" i="25"/>
  <c r="F178" i="25"/>
  <c r="K178" i="25"/>
  <c r="J178" i="25"/>
  <c r="B179" i="25"/>
  <c r="P178" i="25"/>
  <c r="O178" i="25"/>
  <c r="R178" i="25"/>
  <c r="C178" i="25"/>
  <c r="N178" i="25"/>
  <c r="I178" i="25"/>
  <c r="G178" i="25"/>
  <c r="M178" i="25"/>
  <c r="E178" i="25"/>
  <c r="L178" i="25"/>
  <c r="I179" i="25" l="1"/>
  <c r="R179" i="25"/>
  <c r="K179" i="25"/>
  <c r="E179" i="25"/>
  <c r="F179" i="25"/>
  <c r="H179" i="25"/>
  <c r="M179" i="25"/>
  <c r="P179" i="25"/>
  <c r="O179" i="25"/>
  <c r="C179" i="25"/>
  <c r="B180" i="25"/>
  <c r="D179" i="25"/>
  <c r="G179" i="25"/>
  <c r="J179" i="25"/>
  <c r="N179" i="25"/>
  <c r="Q179" i="25"/>
  <c r="L179" i="25"/>
  <c r="O180" i="25" l="1"/>
  <c r="E180" i="25"/>
  <c r="D180" i="25"/>
  <c r="H180" i="25"/>
  <c r="C180" i="25"/>
  <c r="R180" i="25"/>
  <c r="P180" i="25"/>
  <c r="L180" i="25"/>
  <c r="I180" i="25"/>
  <c r="N180" i="25"/>
  <c r="G180" i="25"/>
  <c r="Q180" i="25"/>
  <c r="M180" i="25"/>
  <c r="F180" i="25"/>
  <c r="B181" i="25"/>
  <c r="K180" i="25"/>
  <c r="J180" i="25"/>
  <c r="M181" i="25" l="1"/>
  <c r="I181" i="25"/>
  <c r="O181" i="25"/>
  <c r="D181" i="25"/>
  <c r="N181" i="25"/>
  <c r="P181" i="25"/>
  <c r="E181" i="25"/>
  <c r="L181" i="25"/>
  <c r="J181" i="25"/>
  <c r="B182" i="25"/>
  <c r="K181" i="25"/>
  <c r="Q181" i="25"/>
  <c r="F181" i="25"/>
  <c r="G181" i="25"/>
  <c r="R181" i="25"/>
  <c r="C181" i="25"/>
  <c r="H181" i="25"/>
  <c r="M182" i="25" l="1"/>
  <c r="K182" i="25"/>
  <c r="R182" i="25"/>
  <c r="C182" i="25"/>
  <c r="O182" i="25"/>
  <c r="Q182" i="25"/>
  <c r="N182" i="25"/>
  <c r="E182" i="25"/>
  <c r="F182" i="25"/>
  <c r="B183" i="25"/>
  <c r="L182" i="25"/>
  <c r="J182" i="25"/>
  <c r="H182" i="25"/>
  <c r="G182" i="25"/>
  <c r="I182" i="25"/>
  <c r="D182" i="25"/>
  <c r="P182" i="25"/>
  <c r="Q183" i="25" l="1"/>
  <c r="C183" i="25"/>
  <c r="N183" i="25"/>
  <c r="G183" i="25"/>
  <c r="I183" i="25"/>
  <c r="F183" i="25"/>
  <c r="L183" i="25"/>
  <c r="K183" i="25"/>
  <c r="B184" i="25"/>
  <c r="O183" i="25"/>
  <c r="D183" i="25"/>
  <c r="E183" i="25"/>
  <c r="H183" i="25"/>
  <c r="M183" i="25"/>
  <c r="J183" i="25"/>
  <c r="R183" i="25"/>
  <c r="P183" i="25"/>
  <c r="G184" i="25" l="1"/>
  <c r="C184" i="25"/>
  <c r="F184" i="25"/>
  <c r="L184" i="25"/>
  <c r="O184" i="25"/>
  <c r="D184" i="25"/>
  <c r="J184" i="25"/>
  <c r="I184" i="25"/>
  <c r="E184" i="25"/>
  <c r="P184" i="25"/>
  <c r="M184" i="25"/>
  <c r="N184" i="25"/>
  <c r="R184" i="25"/>
  <c r="K184" i="25"/>
  <c r="Q184" i="25"/>
  <c r="H184" i="25"/>
  <c r="B185" i="25"/>
  <c r="N185" i="25" l="1"/>
  <c r="Q185" i="25"/>
  <c r="D185" i="25"/>
  <c r="K185" i="25"/>
  <c r="M185" i="25"/>
  <c r="H185" i="25"/>
  <c r="L185" i="25"/>
  <c r="C185" i="25"/>
  <c r="R185" i="25"/>
  <c r="P185" i="25"/>
  <c r="F185" i="25"/>
  <c r="J185" i="25"/>
  <c r="G185" i="25"/>
  <c r="E185" i="25"/>
  <c r="O185" i="25"/>
  <c r="I185" i="25"/>
  <c r="B186" i="25"/>
  <c r="D186" i="25" l="1"/>
  <c r="N186" i="25"/>
  <c r="L186" i="25"/>
  <c r="F186" i="25"/>
  <c r="Q186" i="25"/>
  <c r="P186" i="25"/>
  <c r="H186" i="25"/>
  <c r="M186" i="25"/>
  <c r="B187" i="25"/>
  <c r="C186" i="25"/>
  <c r="K186" i="25"/>
  <c r="O186" i="25"/>
  <c r="I186" i="25"/>
  <c r="J186" i="25"/>
  <c r="G186" i="25"/>
  <c r="R186" i="25"/>
  <c r="E186" i="25"/>
  <c r="D187" i="25" l="1"/>
  <c r="E187" i="25"/>
  <c r="R187" i="25"/>
  <c r="H187" i="25"/>
  <c r="O187" i="25"/>
  <c r="G187" i="25"/>
  <c r="N187" i="25"/>
  <c r="I187" i="25"/>
  <c r="C187" i="25"/>
  <c r="B188" i="25"/>
  <c r="F187" i="25"/>
  <c r="P187" i="25"/>
  <c r="K187" i="25"/>
  <c r="Q187" i="25"/>
  <c r="L187" i="25"/>
  <c r="J187" i="25"/>
  <c r="M187" i="25"/>
  <c r="G188" i="25" l="1"/>
  <c r="Q188" i="25"/>
  <c r="M188" i="25"/>
  <c r="R188" i="25"/>
  <c r="K188" i="25"/>
  <c r="C188" i="25"/>
  <c r="O188" i="25"/>
  <c r="D188" i="25"/>
  <c r="H188" i="25"/>
  <c r="P188" i="25"/>
  <c r="I188" i="25"/>
  <c r="E188" i="25"/>
  <c r="N188" i="25"/>
  <c r="F188" i="25"/>
  <c r="B189" i="25"/>
  <c r="L188" i="25"/>
  <c r="J188" i="25"/>
  <c r="J189" i="25" l="1"/>
  <c r="L189" i="25"/>
  <c r="H189" i="25"/>
  <c r="P189" i="25"/>
  <c r="F189" i="25"/>
  <c r="N189" i="25"/>
  <c r="D189" i="25"/>
  <c r="G189" i="25"/>
  <c r="K189" i="25"/>
  <c r="I189" i="25"/>
  <c r="C189" i="25"/>
  <c r="O189" i="25"/>
  <c r="R189" i="25"/>
  <c r="B190" i="25"/>
  <c r="M189" i="25"/>
  <c r="Q189" i="25"/>
  <c r="E189" i="25"/>
  <c r="M190" i="25" l="1"/>
  <c r="R190" i="25"/>
  <c r="L190" i="25"/>
  <c r="E190" i="25"/>
  <c r="J190" i="25"/>
  <c r="K190" i="25"/>
  <c r="C190" i="25"/>
  <c r="Q190" i="25"/>
  <c r="H190" i="25"/>
  <c r="I190" i="25"/>
  <c r="B191" i="25"/>
  <c r="N190" i="25"/>
  <c r="D190" i="25"/>
  <c r="O190" i="25"/>
  <c r="P190" i="25"/>
  <c r="F190" i="25"/>
  <c r="G190" i="25"/>
  <c r="J191" i="25" l="1"/>
  <c r="R191" i="25"/>
  <c r="C191" i="25"/>
  <c r="O191" i="25"/>
  <c r="F191" i="25"/>
  <c r="L191" i="25"/>
  <c r="D191" i="25"/>
  <c r="P191" i="25"/>
  <c r="I191" i="25"/>
  <c r="Q191" i="25"/>
  <c r="M191" i="25"/>
  <c r="K191" i="25"/>
  <c r="N191" i="25"/>
  <c r="G191" i="25"/>
  <c r="E191" i="25"/>
  <c r="B192" i="25"/>
  <c r="H191" i="25"/>
  <c r="C192" i="25" l="1"/>
  <c r="D192" i="25"/>
  <c r="K192" i="25"/>
  <c r="J192" i="25"/>
  <c r="I192" i="25"/>
  <c r="Q192" i="25"/>
  <c r="P192" i="25"/>
  <c r="F192" i="25"/>
  <c r="R192" i="25"/>
  <c r="B193" i="25"/>
  <c r="L192" i="25"/>
  <c r="N192" i="25"/>
  <c r="H192" i="25"/>
  <c r="E192" i="25"/>
  <c r="M192" i="25"/>
  <c r="O192" i="25"/>
  <c r="G192" i="25"/>
  <c r="O193" i="25" l="1"/>
  <c r="R193" i="25"/>
  <c r="M193" i="25"/>
  <c r="L193" i="25"/>
  <c r="Q193" i="25"/>
  <c r="J193" i="25"/>
  <c r="H193" i="25"/>
  <c r="I193" i="25"/>
  <c r="F193" i="25"/>
  <c r="P193" i="25"/>
  <c r="C193" i="25"/>
  <c r="D193" i="25"/>
  <c r="K193" i="25"/>
  <c r="E193" i="25"/>
  <c r="B194" i="25"/>
  <c r="N193" i="25"/>
  <c r="G193" i="25"/>
  <c r="D194" i="25" l="1"/>
  <c r="O194" i="25"/>
  <c r="R194" i="25"/>
  <c r="K194" i="25"/>
  <c r="G194" i="25"/>
  <c r="Q194" i="25"/>
  <c r="J194" i="25"/>
  <c r="I194" i="25"/>
  <c r="F194" i="25"/>
  <c r="C194" i="25"/>
  <c r="P194" i="25"/>
  <c r="N194" i="25"/>
  <c r="H194" i="25"/>
  <c r="E194" i="25"/>
  <c r="M194" i="25"/>
  <c r="B195" i="25"/>
  <c r="L194" i="25"/>
  <c r="C195" i="25" l="1"/>
  <c r="M195" i="25"/>
  <c r="L195" i="25"/>
  <c r="H195" i="25"/>
  <c r="J195" i="25"/>
  <c r="P195" i="25"/>
  <c r="R195" i="25"/>
  <c r="K195" i="25"/>
  <c r="Q195" i="25"/>
  <c r="F195" i="25"/>
  <c r="D195" i="25"/>
  <c r="B196" i="25"/>
  <c r="N195" i="25"/>
  <c r="O195" i="25"/>
  <c r="E195" i="25"/>
  <c r="G195" i="25"/>
  <c r="I195" i="25"/>
  <c r="M196" i="25" l="1"/>
  <c r="N196" i="25"/>
  <c r="O196" i="25"/>
  <c r="E196" i="25"/>
  <c r="H196" i="25"/>
  <c r="K196" i="25"/>
  <c r="F196" i="25"/>
  <c r="C196" i="25"/>
  <c r="Q196" i="25"/>
  <c r="I196" i="25"/>
  <c r="D196" i="25"/>
  <c r="G196" i="25"/>
  <c r="L196" i="25"/>
  <c r="P196" i="25"/>
  <c r="J196" i="25"/>
  <c r="R196" i="25"/>
  <c r="B197" i="25"/>
  <c r="H197" i="25" l="1"/>
  <c r="F197" i="25"/>
  <c r="O197" i="25"/>
  <c r="B198" i="25"/>
  <c r="L197" i="25"/>
  <c r="C197" i="25"/>
  <c r="P197" i="25"/>
  <c r="I197" i="25"/>
  <c r="Q197" i="25"/>
  <c r="J197" i="25"/>
  <c r="M197" i="25"/>
  <c r="E197" i="25"/>
  <c r="R197" i="25"/>
  <c r="D197" i="25"/>
  <c r="K197" i="25"/>
  <c r="N197" i="25"/>
  <c r="G197" i="25"/>
  <c r="N198" i="25" l="1"/>
  <c r="J198" i="25"/>
  <c r="R198" i="25"/>
  <c r="D198" i="25"/>
  <c r="C198" i="25"/>
  <c r="F198" i="25"/>
  <c r="B199" i="25"/>
  <c r="E198" i="25"/>
  <c r="O198" i="25"/>
  <c r="G198" i="25"/>
  <c r="M198" i="25"/>
  <c r="Q198" i="25"/>
  <c r="L198" i="25"/>
  <c r="H198" i="25"/>
  <c r="K198" i="25"/>
  <c r="I198" i="25"/>
  <c r="P198" i="25"/>
  <c r="R199" i="25" l="1"/>
  <c r="E199" i="25"/>
  <c r="G199" i="25"/>
  <c r="J199" i="25"/>
  <c r="F199" i="25"/>
  <c r="O199" i="25"/>
  <c r="P199" i="25"/>
  <c r="L199" i="25"/>
  <c r="Q199" i="25"/>
  <c r="M199" i="25"/>
  <c r="I199" i="25"/>
  <c r="D199" i="25"/>
  <c r="K199" i="25"/>
  <c r="N199" i="25"/>
  <c r="B200" i="25"/>
  <c r="H199" i="25"/>
  <c r="C199" i="25"/>
  <c r="O200" i="25" l="1"/>
  <c r="G200" i="25"/>
  <c r="R200" i="25"/>
  <c r="H200" i="25"/>
  <c r="P200" i="25"/>
  <c r="Q200" i="25"/>
  <c r="L200" i="25"/>
  <c r="K200" i="25"/>
  <c r="C200" i="25"/>
  <c r="I200" i="25"/>
  <c r="B201" i="25"/>
  <c r="N200" i="25"/>
  <c r="F200" i="25"/>
  <c r="D200" i="25"/>
  <c r="M200" i="25"/>
  <c r="J200" i="25"/>
  <c r="E200" i="25"/>
  <c r="J201" i="25" l="1"/>
  <c r="K201" i="25"/>
  <c r="R201" i="25"/>
  <c r="E201" i="25"/>
  <c r="I201" i="25"/>
  <c r="D201" i="25"/>
  <c r="F201" i="25"/>
  <c r="P201" i="25"/>
  <c r="N201" i="25"/>
  <c r="H201" i="25"/>
  <c r="M201" i="25"/>
  <c r="O201" i="25"/>
  <c r="Q201" i="25"/>
  <c r="C201" i="25"/>
  <c r="B202" i="25"/>
  <c r="L201" i="25"/>
  <c r="G201" i="25"/>
  <c r="O202" i="25" l="1"/>
  <c r="K202" i="25"/>
  <c r="I202" i="25"/>
  <c r="R202" i="25"/>
  <c r="P202" i="25"/>
  <c r="J202" i="25"/>
  <c r="N202" i="25"/>
  <c r="Q202" i="25"/>
  <c r="L202" i="25"/>
  <c r="H202" i="25"/>
  <c r="M202" i="25"/>
  <c r="D202" i="25"/>
  <c r="E202" i="25"/>
  <c r="F202" i="25"/>
  <c r="B203" i="25"/>
  <c r="G202" i="25"/>
  <c r="C202" i="25"/>
  <c r="L203" i="25" l="1"/>
  <c r="K203" i="25"/>
  <c r="H203" i="25"/>
  <c r="J203" i="25"/>
  <c r="Q203" i="25"/>
  <c r="E203" i="25"/>
  <c r="P203" i="25"/>
  <c r="B204" i="25"/>
  <c r="C203" i="25"/>
  <c r="I203" i="25"/>
  <c r="R203" i="25"/>
  <c r="D203" i="25"/>
  <c r="M203" i="25"/>
  <c r="O203" i="25"/>
  <c r="G203" i="25"/>
  <c r="F203" i="25"/>
  <c r="N203" i="25"/>
  <c r="K204" i="25" l="1"/>
  <c r="H204" i="25"/>
  <c r="O204" i="25"/>
  <c r="J204" i="25"/>
  <c r="L204" i="25"/>
  <c r="D204" i="25"/>
  <c r="E204" i="25"/>
  <c r="B205" i="25"/>
  <c r="G204" i="25"/>
  <c r="M204" i="25"/>
  <c r="Q204" i="25"/>
  <c r="N204" i="25"/>
  <c r="P204" i="25"/>
  <c r="R204" i="25"/>
  <c r="I204" i="25"/>
  <c r="C204" i="25"/>
  <c r="F204" i="25"/>
  <c r="N205" i="25" l="1"/>
  <c r="L205" i="25"/>
  <c r="E205" i="25"/>
  <c r="J205" i="25"/>
  <c r="F205" i="25"/>
  <c r="R205" i="25"/>
  <c r="B206" i="25"/>
  <c r="C205" i="25"/>
  <c r="H205" i="25"/>
  <c r="Q205" i="25"/>
  <c r="D205" i="25"/>
  <c r="O205" i="25"/>
  <c r="K205" i="25"/>
  <c r="M205" i="25"/>
  <c r="G205" i="25"/>
  <c r="I205" i="25"/>
  <c r="P205" i="25"/>
  <c r="P206" i="25" l="1"/>
  <c r="D206" i="25"/>
  <c r="C206" i="25"/>
  <c r="E206" i="25"/>
  <c r="H206" i="25"/>
  <c r="O206" i="25"/>
  <c r="N206" i="25"/>
  <c r="B207" i="25"/>
  <c r="F206" i="25"/>
  <c r="G206" i="25"/>
  <c r="K206" i="25"/>
  <c r="I206" i="25"/>
  <c r="M206" i="25"/>
  <c r="Q206" i="25"/>
  <c r="J206" i="25"/>
  <c r="R206" i="25"/>
  <c r="L206" i="25"/>
  <c r="J207" i="25" l="1"/>
  <c r="R207" i="25"/>
  <c r="P207" i="25"/>
  <c r="Q207" i="25"/>
  <c r="K207" i="25"/>
  <c r="E207" i="25"/>
  <c r="L207" i="25"/>
  <c r="I207" i="25"/>
  <c r="H207" i="25"/>
  <c r="G207" i="25"/>
  <c r="N207" i="25"/>
  <c r="O207" i="25"/>
  <c r="C207" i="25"/>
  <c r="F207" i="25"/>
  <c r="B208" i="25"/>
  <c r="M207" i="25"/>
  <c r="D207" i="25"/>
  <c r="I208" i="25" l="1"/>
  <c r="N208" i="25"/>
  <c r="O208" i="25"/>
  <c r="J208" i="25"/>
  <c r="F208" i="25"/>
  <c r="Q208" i="25"/>
  <c r="R208" i="25"/>
  <c r="K208" i="25"/>
  <c r="L208" i="25"/>
  <c r="M208" i="25"/>
  <c r="D208" i="25"/>
  <c r="C208" i="25"/>
  <c r="H208" i="25"/>
  <c r="P208" i="25"/>
  <c r="E208" i="25"/>
  <c r="G208" i="25"/>
</calcChain>
</file>

<file path=xl/sharedStrings.xml><?xml version="1.0" encoding="utf-8"?>
<sst xmlns="http://schemas.openxmlformats.org/spreadsheetml/2006/main" count="5707" uniqueCount="2152">
  <si>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</si>
  <si>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</si>
  <si>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</si>
  <si>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</si>
  <si>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</si>
  <si>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</si>
  <si>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</si>
  <si>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</si>
  <si>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</si>
  <si>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</si>
  <si>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</si>
  <si>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</si>
  <si>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</si>
  <si>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</si>
  <si>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</si>
  <si>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</si>
  <si>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</si>
  <si>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</si>
  <si>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</si>
  <si>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</si>
  <si>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</si>
  <si>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</si>
  <si>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</si>
  <si>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</si>
  <si>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</si>
  <si>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</si>
  <si>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</si>
  <si>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</si>
  <si>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</si>
  <si>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</si>
  <si>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</si>
  <si>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</si>
  <si>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</si>
  <si>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</si>
  <si>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</si>
  <si>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</si>
  <si>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</si>
  <si>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</si>
  <si>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</si>
  <si>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</si>
  <si>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</si>
  <si>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</si>
  <si>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</si>
  <si>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</si>
  <si>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</si>
  <si>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</si>
  <si>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</si>
  <si>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</si>
  <si>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</si>
  <si>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</si>
  <si>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</si>
  <si>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</si>
  <si>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</si>
  <si>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</si>
  <si>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</si>
  <si>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</si>
  <si>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</si>
  <si>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</si>
  <si>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</si>
  <si>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</si>
  <si>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</si>
  <si>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</si>
  <si>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</si>
  <si>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</si>
  <si>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</si>
  <si>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</si>
  <si>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</si>
  <si>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</si>
  <si>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</si>
  <si>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</si>
  <si>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</si>
  <si>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</si>
  <si>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</si>
  <si>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</si>
  <si>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</si>
  <si>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</si>
  <si>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</si>
  <si>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</si>
  <si>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</si>
  <si>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</si>
  <si>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</si>
  <si>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</si>
  <si>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</si>
  <si>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</si>
  <si>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</si>
  <si>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</si>
  <si>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</si>
  <si>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</si>
  <si>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</si>
  <si>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</si>
  <si>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</si>
  <si>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</si>
  <si>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</si>
  <si>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</si>
  <si>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</si>
  <si>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</si>
  <si>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</si>
  <si>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</si>
  <si>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</si>
  <si>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</si>
  <si>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</si>
  <si>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</si>
  <si>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</si>
  <si>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</si>
  <si>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</si>
  <si>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</si>
  <si>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</si>
  <si>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</si>
  <si>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</si>
  <si>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</si>
  <si>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</si>
  <si>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</si>
  <si>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</si>
  <si>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</si>
  <si>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</si>
  <si>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</si>
  <si>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</si>
  <si>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</si>
  <si>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</si>
  <si>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</si>
  <si>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</si>
  <si>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</si>
  <si>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</si>
  <si>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</si>
  <si>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</si>
  <si>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</si>
  <si>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</si>
  <si>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</si>
  <si>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</si>
  <si>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</si>
  <si>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</si>
  <si>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</si>
  <si>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</si>
  <si>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</si>
  <si>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</si>
  <si>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</si>
  <si>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</si>
  <si>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</si>
  <si>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</si>
  <si>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</si>
  <si>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</si>
  <si>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</si>
  <si>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</si>
  <si>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</si>
  <si>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</si>
  <si>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</si>
  <si>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</si>
  <si>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</si>
  <si>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</si>
  <si>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</si>
  <si>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</si>
  <si>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</si>
  <si>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</si>
  <si>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</si>
  <si>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</si>
  <si>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</si>
  <si>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</si>
  <si>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</si>
  <si>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</si>
  <si>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</si>
  <si>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</si>
  <si>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</si>
  <si>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</si>
  <si>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</si>
  <si>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</si>
  <si>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</si>
  <si>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</si>
  <si>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</si>
  <si>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</si>
  <si>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</si>
  <si>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</si>
  <si>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</si>
  <si>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</si>
  <si>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</si>
  <si>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</si>
  <si>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</si>
  <si>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</si>
  <si>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</si>
  <si>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</si>
  <si>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</si>
  <si>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</si>
  <si>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</si>
  <si>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</si>
  <si>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</si>
  <si>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</si>
  <si>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</si>
  <si>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</si>
  <si>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</si>
  <si>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</si>
  <si>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</si>
  <si>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</si>
  <si>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</si>
  <si>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</si>
  <si>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</si>
  <si>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</si>
  <si>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</si>
  <si>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</si>
  <si>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</si>
  <si>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</si>
  <si>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</si>
  <si>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</si>
  <si>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</si>
  <si>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</si>
  <si>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</si>
  <si>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</si>
  <si>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</si>
  <si>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</si>
  <si>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</si>
  <si>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</si>
  <si>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</si>
  <si>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</si>
  <si>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</si>
  <si>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</si>
  <si>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</si>
  <si>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</si>
  <si>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</si>
  <si>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</si>
  <si>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</si>
  <si>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</si>
  <si>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</si>
  <si>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</si>
  <si>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</si>
  <si>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</si>
  <si>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</si>
  <si>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</si>
  <si>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</si>
  <si>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</si>
  <si>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</si>
  <si>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</si>
  <si>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</si>
  <si>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</si>
  <si>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</si>
  <si>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</si>
  <si>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</si>
  <si>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</si>
  <si>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</si>
  <si>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</si>
  <si>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</si>
  <si>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</si>
  <si>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</si>
  <si>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</si>
  <si>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</si>
  <si>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</si>
  <si>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</si>
  <si>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</si>
  <si>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</si>
  <si>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</si>
  <si>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</si>
  <si>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</si>
  <si>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</si>
  <si>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</si>
  <si>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</si>
  <si>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</si>
  <si>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</si>
  <si>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</si>
  <si>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</si>
  <si>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</si>
  <si>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</si>
  <si>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</si>
  <si>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</si>
  <si>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</si>
  <si>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</si>
  <si>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</si>
  <si>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</si>
  <si>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</si>
  <si>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</si>
  <si>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</si>
  <si>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</si>
  <si>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</si>
  <si>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</si>
  <si>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</si>
  <si>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</si>
  <si>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</si>
  <si>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</si>
  <si>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</si>
  <si>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</si>
  <si>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</si>
  <si>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</si>
  <si>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</si>
  <si>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</si>
  <si>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</si>
  <si>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</si>
  <si>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</si>
  <si>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</si>
  <si>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</si>
  <si>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</si>
  <si>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</si>
  <si>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</si>
  <si>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</si>
  <si>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</si>
  <si>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</si>
  <si>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</si>
  <si>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</si>
  <si>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</si>
  <si>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</si>
  <si>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</si>
  <si>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</si>
  <si>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</si>
  <si>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</si>
  <si>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</si>
  <si>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</si>
  <si>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</si>
  <si>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</si>
  <si>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</si>
  <si>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</si>
  <si>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</si>
  <si>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</si>
  <si>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</si>
  <si>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</si>
  <si>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</si>
  <si>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</si>
  <si>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</si>
  <si>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</si>
  <si>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</si>
  <si>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</si>
  <si>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</si>
  <si>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</si>
  <si>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</si>
  <si>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</si>
  <si>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</si>
  <si>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</si>
  <si>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</si>
  <si>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</si>
  <si>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</si>
  <si>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</si>
  <si>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</si>
  <si>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</si>
  <si>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</si>
  <si>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</si>
  <si>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</si>
  <si>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</si>
  <si>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</si>
  <si>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</si>
  <si>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</si>
  <si>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</si>
  <si>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</si>
  <si>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</si>
  <si>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</si>
  <si>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</si>
  <si>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</si>
  <si>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</si>
  <si>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</si>
  <si>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</si>
  <si>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</si>
  <si>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</si>
  <si>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</si>
  <si>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</si>
  <si>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</si>
  <si>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</si>
  <si>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</si>
  <si>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</si>
  <si>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</si>
  <si>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</si>
  <si>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</si>
  <si>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</si>
  <si>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</si>
  <si>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</si>
  <si>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</si>
  <si>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</si>
  <si>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</si>
  <si>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</si>
  <si>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</si>
  <si>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</si>
  <si>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</si>
  <si>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</si>
  <si>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</si>
  <si>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</si>
  <si>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</si>
  <si>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</si>
  <si>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</si>
  <si>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</si>
  <si>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</si>
  <si>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</si>
  <si>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</si>
  <si>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</si>
  <si>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</si>
  <si>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</si>
  <si>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</si>
  <si>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</si>
  <si>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</si>
  <si>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</si>
  <si>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</si>
  <si>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</si>
  <si>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</si>
  <si>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</si>
  <si>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</si>
  <si>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</si>
  <si>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</si>
  <si>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</si>
  <si>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</si>
  <si>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</si>
  <si>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</si>
  <si>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</si>
  <si>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</si>
  <si>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</si>
  <si>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</si>
  <si>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</si>
  <si>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</si>
  <si>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</si>
  <si>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</si>
  <si>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</si>
  <si>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</si>
  <si>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</si>
  <si>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</si>
  <si>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</si>
  <si>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</si>
  <si>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</si>
  <si>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</si>
  <si>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</si>
  <si>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</si>
  <si>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</si>
  <si>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</si>
  <si>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</si>
  <si>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</si>
  <si>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</si>
  <si>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</si>
  <si>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</si>
  <si>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</si>
  <si>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</si>
  <si>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</si>
  <si>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</si>
  <si>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</si>
  <si>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</si>
  <si>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</si>
  <si>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</si>
  <si>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</si>
  <si>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</si>
  <si>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</si>
  <si>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</si>
  <si>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</si>
  <si>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</si>
  <si>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</si>
  <si>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</si>
  <si>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</si>
  <si>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</si>
  <si>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</si>
  <si>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</si>
  <si>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</si>
  <si>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</si>
  <si>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</si>
  <si>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</si>
  <si>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</si>
  <si>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</si>
  <si>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</si>
  <si>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</si>
  <si>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</si>
  <si>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</si>
  <si>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</si>
  <si>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</si>
  <si>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</si>
  <si>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</si>
  <si>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</si>
  <si>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</si>
  <si>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</si>
  <si>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</si>
  <si>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</si>
  <si>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</si>
  <si>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</si>
  <si>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</si>
  <si>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</si>
  <si>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</si>
  <si>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</si>
  <si>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</si>
  <si>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</si>
  <si>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</si>
  <si>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</si>
  <si>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</si>
  <si>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</si>
  <si>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</si>
  <si>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</si>
  <si>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</si>
  <si>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</si>
  <si>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</si>
  <si>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</si>
  <si>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</si>
  <si>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</si>
  <si>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</si>
  <si>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</si>
  <si>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</si>
  <si>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</si>
  <si>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</si>
  <si>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</si>
  <si>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</si>
  <si>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</si>
  <si>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</si>
  <si>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</si>
  <si>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</si>
  <si>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</si>
  <si>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</si>
  <si>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</si>
  <si>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</si>
  <si>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</si>
  <si>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</si>
  <si>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</si>
  <si>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</si>
  <si>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</si>
  <si>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</si>
  <si>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</si>
  <si>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</si>
  <si>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</si>
  <si>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</si>
  <si>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</si>
  <si>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</si>
  <si>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</si>
  <si>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</si>
  <si>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</si>
  <si>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</si>
  <si>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</si>
  <si>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</si>
  <si>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</si>
  <si>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</si>
  <si>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</si>
  <si>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</si>
  <si>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</si>
  <si>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</si>
  <si>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</si>
  <si>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</si>
  <si>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</si>
  <si>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</si>
  <si>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</si>
  <si>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</si>
  <si>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</si>
  <si>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</si>
  <si>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</si>
  <si>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</si>
  <si>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</si>
  <si>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</si>
  <si>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</si>
  <si>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</si>
  <si>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</si>
  <si>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</si>
  <si>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</si>
  <si>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</si>
  <si>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</si>
  <si>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</si>
  <si>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</si>
  <si>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</si>
  <si>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</si>
  <si>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</si>
  <si>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</si>
  <si>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</si>
  <si>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</si>
  <si>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</si>
  <si>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</si>
  <si>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</si>
  <si>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</si>
  <si>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</si>
  <si>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</si>
  <si>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</si>
  <si>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</si>
  <si>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</si>
  <si>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</si>
  <si>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</si>
  <si>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</si>
  <si>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</si>
  <si>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</si>
  <si>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</si>
  <si>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</si>
  <si>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</si>
  <si>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</si>
  <si>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</si>
  <si>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</si>
  <si>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</si>
  <si>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</si>
  <si>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</si>
  <si>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</si>
  <si>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</si>
  <si>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</si>
  <si>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</si>
  <si>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</si>
  <si>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</si>
  <si>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</si>
  <si>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</si>
  <si>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</si>
  <si>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</si>
  <si>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</si>
  <si>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</si>
  <si>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</si>
  <si>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</si>
  <si>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</si>
  <si>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</si>
  <si>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</si>
  <si>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</si>
  <si>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</si>
  <si>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</si>
  <si>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</si>
  <si>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</si>
  <si>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</si>
  <si>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</si>
  <si>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</si>
  <si>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</si>
  <si>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</si>
  <si>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</si>
  <si>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</si>
  <si>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</si>
  <si>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</si>
  <si>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</si>
  <si>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</si>
  <si>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</si>
  <si>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</si>
  <si>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</si>
  <si>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</si>
  <si>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</si>
  <si>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</si>
  <si>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</si>
  <si>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</si>
  <si>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</si>
  <si>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</si>
  <si>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</si>
  <si>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</si>
  <si>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</si>
  <si>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</si>
  <si>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</si>
  <si>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</si>
  <si>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</si>
  <si>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</si>
  <si>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</si>
  <si>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</si>
  <si>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</si>
  <si>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</si>
  <si>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</si>
  <si>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</si>
  <si>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</si>
  <si>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</si>
  <si>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</si>
  <si>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</si>
  <si>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</si>
  <si>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</si>
  <si>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</si>
  <si>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</si>
  <si>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</si>
  <si>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</si>
  <si>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</si>
  <si>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</si>
  <si>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</si>
  <si>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</si>
  <si>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</si>
  <si>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</si>
  <si>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</si>
  <si>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</si>
  <si>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</si>
  <si>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</si>
  <si>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</si>
  <si>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</si>
  <si>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</si>
  <si>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</si>
  <si>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</si>
  <si>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</si>
  <si>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</si>
  <si>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</si>
  <si>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</si>
  <si>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</si>
  <si>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</si>
  <si>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</si>
  <si>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</si>
  <si>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</si>
  <si>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</si>
  <si>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</si>
  <si>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</si>
  <si>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</si>
  <si>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</si>
  <si>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</si>
  <si>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</si>
  <si>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</si>
  <si>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</si>
  <si>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</si>
  <si>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</si>
  <si>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</si>
  <si>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</si>
  <si>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</si>
  <si>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</si>
  <si>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</si>
  <si>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</si>
  <si>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</si>
  <si>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</si>
  <si>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</si>
  <si>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</si>
  <si>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</si>
  <si>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</si>
  <si>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</si>
  <si>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</si>
  <si>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</si>
  <si>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</si>
  <si>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</si>
  <si>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</si>
  <si>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</si>
  <si>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</si>
  <si>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</si>
  <si>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</si>
  <si>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</si>
  <si>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</si>
  <si>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</si>
  <si>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</si>
  <si>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</si>
  <si>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</si>
  <si>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</si>
  <si>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</si>
  <si>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</si>
  <si>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</si>
  <si>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</si>
  <si>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</si>
  <si>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</si>
  <si>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</si>
  <si>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</si>
  <si>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</si>
  <si>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</si>
  <si>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</si>
  <si>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</si>
  <si>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</si>
  <si>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</si>
  <si>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</si>
  <si>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</si>
  <si>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</si>
  <si>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</si>
  <si>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</si>
  <si>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</si>
  <si>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</si>
  <si>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</si>
  <si>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</si>
  <si>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</si>
  <si>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</si>
  <si>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</si>
  <si>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</si>
  <si>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</si>
  <si>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</si>
  <si>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</si>
  <si>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</si>
  <si>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</si>
  <si>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</si>
  <si>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</si>
  <si>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</si>
  <si>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</si>
  <si>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</si>
  <si>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</si>
  <si>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</si>
  <si>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</si>
  <si>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</si>
  <si>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</si>
  <si>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</si>
  <si>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</si>
  <si>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</si>
  <si>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</si>
  <si>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</si>
  <si>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</si>
  <si>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</si>
  <si>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</si>
  <si>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</si>
  <si>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</si>
  <si>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</si>
  <si>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</si>
  <si>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</si>
  <si>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</si>
  <si>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</si>
  <si>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</si>
  <si>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</si>
  <si>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</si>
  <si>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</si>
  <si>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</si>
  <si>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</si>
  <si>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</si>
  <si>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</si>
  <si>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</si>
  <si>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</si>
  <si>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</si>
  <si>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</si>
  <si>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</si>
  <si>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</si>
  <si>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</si>
  <si>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</si>
  <si>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</si>
  <si>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</si>
  <si>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</si>
  <si>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</si>
  <si>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</si>
  <si>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</si>
  <si>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</si>
  <si>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</si>
  <si>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</si>
  <si>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</si>
  <si>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</si>
  <si>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</si>
  <si>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</si>
  <si>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</si>
  <si>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</si>
  <si>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</si>
  <si>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</si>
  <si>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</si>
  <si>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</si>
  <si>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</si>
  <si>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</si>
  <si>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</si>
  <si>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</si>
  <si>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</si>
  <si>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</si>
  <si>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</si>
  <si>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</si>
  <si>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</si>
  <si>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</si>
  <si>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</si>
  <si>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</si>
  <si>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</si>
  <si>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</si>
  <si>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</si>
  <si>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</si>
  <si>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</si>
  <si>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</si>
  <si>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</si>
  <si>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</si>
  <si>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</si>
  <si>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</si>
  <si>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</si>
  <si>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</si>
  <si>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</si>
  <si>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</si>
  <si>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</si>
  <si>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</si>
  <si>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</si>
  <si>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</si>
  <si>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</si>
  <si>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</si>
  <si>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</si>
  <si>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</si>
  <si>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</si>
  <si>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</si>
  <si>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</si>
  <si>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</si>
  <si>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</si>
  <si>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</si>
  <si>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</si>
  <si>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</si>
  <si>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</si>
  <si>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</si>
  <si>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</si>
  <si>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</si>
  <si>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</si>
  <si>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</si>
  <si>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</si>
  <si>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</si>
  <si>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</si>
  <si>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</si>
  <si>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</si>
  <si>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</si>
  <si>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</si>
  <si>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</si>
  <si>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</si>
  <si>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</si>
  <si>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</si>
  <si>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</si>
  <si>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</si>
  <si>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</si>
  <si>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</si>
  <si>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</si>
  <si>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</si>
  <si>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</si>
  <si>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</si>
  <si>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</si>
  <si>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</si>
  <si>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</si>
  <si>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</si>
  <si>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</si>
  <si>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</si>
  <si>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</si>
  <si>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</si>
  <si>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</si>
  <si>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</si>
  <si>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</si>
  <si>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</si>
  <si>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</si>
  <si>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</si>
  <si>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</si>
  <si>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</si>
  <si>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</si>
  <si>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</si>
  <si>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</si>
  <si>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</si>
  <si>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</si>
  <si>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</si>
  <si>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</si>
  <si>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</si>
  <si>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</si>
  <si>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</si>
  <si>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</si>
  <si>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</si>
  <si>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</si>
  <si>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</si>
  <si>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</si>
  <si>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</si>
  <si>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</si>
  <si>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</si>
  <si>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</si>
  <si>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</si>
  <si>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start_date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</si>
  <si>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</si>
  <si>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</si>
  <si>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</si>
  <si>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</si>
  <si>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</si>
  <si>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</si>
  <si>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</si>
  <si>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</si>
  <si>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</si>
  <si>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</si>
  <si>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</si>
  <si>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</si>
  <si>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</si>
  <si>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</si>
  <si>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</si>
  <si>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</si>
  <si>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</si>
  <si>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</si>
  <si>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</si>
  <si>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</si>
  <si>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</si>
  <si>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</si>
  <si>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</si>
  <si>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</si>
  <si>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</si>
  <si>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</si>
  <si>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</si>
  <si>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</si>
  <si>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</si>
  <si>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</si>
  <si>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</si>
  <si>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</si>
  <si>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</si>
  <si>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</si>
  <si>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</si>
  <si>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</si>
  <si>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</si>
  <si>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</si>
  <si>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</si>
  <si>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</si>
  <si>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</si>
  <si>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</si>
  <si>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</si>
  <si>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</si>
  <si>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</si>
  <si>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</si>
  <si>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</si>
  <si>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</si>
  <si>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</si>
  <si>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</si>
  <si>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</si>
  <si>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</si>
  <si>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</si>
  <si>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</si>
  <si>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</si>
  <si>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</si>
  <si>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</si>
  <si>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</si>
  <si>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</si>
  <si>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</si>
  <si>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</si>
  <si>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</si>
  <si>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</si>
  <si>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</si>
  <si>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</si>
  <si>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</si>
  <si>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</si>
  <si>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</si>
  <si>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</si>
  <si>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</si>
  <si>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</si>
  <si>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</si>
  <si>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</si>
  <si>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</si>
  <si>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</si>
  <si>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</si>
  <si>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</si>
  <si>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</si>
  <si>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</si>
  <si>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</si>
  <si>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</si>
  <si>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</si>
  <si>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</si>
  <si>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</si>
  <si>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</si>
  <si>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</si>
  <si>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</si>
  <si>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</si>
  <si>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</si>
  <si>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</si>
  <si>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</si>
  <si>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</si>
  <si>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</si>
  <si>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</si>
  <si>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</si>
  <si>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</si>
  <si>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</si>
  <si>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</si>
  <si>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</si>
  <si>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</si>
  <si>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</si>
  <si>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</si>
  <si>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</si>
  <si>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</si>
  <si>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</si>
  <si>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</si>
  <si>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</si>
  <si>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</si>
  <si>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</si>
  <si>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</si>
  <si>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</si>
  <si>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</si>
  <si>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</si>
  <si>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</si>
  <si>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</si>
  <si>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</si>
  <si>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</si>
  <si>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</si>
  <si>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</si>
  <si>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</si>
  <si>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</si>
  <si>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</si>
  <si>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</si>
  <si>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</si>
  <si>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</si>
  <si>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</si>
  <si>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</si>
  <si>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</si>
  <si>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</si>
  <si>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</si>
  <si>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</si>
  <si>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</si>
  <si>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</si>
  <si>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</si>
  <si>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</si>
  <si>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</si>
  <si>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</si>
  <si>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</si>
  <si>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</si>
  <si>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</si>
  <si>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</si>
  <si>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</si>
  <si>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</si>
  <si>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</si>
  <si>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</si>
  <si>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</si>
  <si>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</si>
  <si>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</si>
  <si>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</si>
  <si>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</si>
  <si>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</si>
  <si>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</si>
  <si>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</si>
  <si>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</si>
  <si>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</si>
  <si>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</si>
  <si>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</si>
  <si>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</si>
  <si>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</si>
  <si>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</si>
  <si>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</si>
  <si>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</si>
  <si>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</si>
  <si>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</si>
  <si>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</si>
  <si>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</si>
  <si>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</si>
  <si>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</si>
  <si>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</si>
  <si>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</si>
  <si>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</si>
  <si>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</si>
  <si>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</si>
  <si>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</si>
  <si>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</si>
  <si>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</si>
  <si>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</si>
  <si>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</si>
  <si>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</si>
  <si>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</si>
  <si>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</si>
  <si>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</si>
  <si>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</si>
  <si>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</si>
  <si>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</si>
  <si>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</si>
  <si>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</si>
  <si>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</si>
  <si>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</si>
  <si>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</si>
  <si>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</si>
  <si>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</si>
  <si>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</si>
  <si>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</si>
  <si>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</si>
  <si>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</si>
  <si>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</si>
  <si>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</si>
  <si>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</si>
  <si>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</si>
  <si>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</si>
  <si>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</si>
  <si>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</si>
  <si>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</si>
  <si>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</si>
  <si>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</si>
  <si>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</si>
  <si>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</si>
  <si>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</si>
  <si>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</si>
  <si>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</si>
  <si>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</si>
  <si>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</si>
  <si>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</si>
  <si>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</si>
  <si>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</si>
  <si>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</si>
  <si>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</si>
  <si>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</si>
  <si>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</si>
  <si>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</si>
  <si>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</si>
  <si>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</si>
  <si>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</si>
  <si>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</si>
  <si>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</si>
  <si>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</si>
  <si>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</si>
  <si>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</si>
  <si>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</si>
  <si>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</si>
  <si>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</si>
  <si>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</si>
  <si>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</si>
  <si>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</si>
  <si>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</si>
  <si>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</si>
  <si>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</si>
  <si>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</si>
  <si>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</si>
  <si>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</si>
  <si>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</si>
  <si>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</si>
  <si>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</si>
  <si>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</si>
  <si>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</si>
  <si>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</si>
  <si>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</si>
  <si>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</si>
  <si>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</si>
  <si>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</si>
  <si>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</si>
  <si>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</si>
  <si>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</si>
  <si>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</si>
  <si>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</si>
  <si>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</si>
  <si>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</si>
  <si>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</si>
  <si>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</si>
  <si>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</si>
  <si>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</si>
  <si>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</si>
  <si>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</si>
  <si>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</si>
  <si>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</si>
  <si>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</si>
  <si>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</si>
  <si>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</si>
  <si>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</si>
  <si>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</si>
  <si>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</si>
  <si>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</si>
  <si>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</si>
  <si>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</si>
  <si>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</si>
  <si>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</si>
  <si>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</si>
  <si>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</si>
  <si>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</si>
  <si>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</si>
  <si>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</si>
  <si>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</si>
  <si>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</si>
  <si>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</si>
  <si>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</si>
  <si>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</si>
  <si>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</si>
  <si>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</si>
  <si>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</si>
  <si>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</si>
  <si>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</si>
  <si>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</si>
  <si>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</si>
  <si>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</si>
  <si>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</si>
  <si>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</si>
  <si>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</si>
  <si>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</si>
  <si>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</si>
  <si>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</si>
  <si>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</si>
  <si>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</si>
  <si>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</si>
  <si>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</si>
  <si>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</si>
  <si>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</si>
  <si>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</si>
  <si>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</si>
  <si>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</si>
  <si>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</si>
  <si>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</si>
  <si>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</si>
  <si>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</si>
  <si>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</si>
  <si>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</si>
  <si>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</si>
  <si>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</si>
  <si>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</si>
  <si>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</si>
  <si>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</si>
  <si>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</si>
  <si>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</si>
  <si>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</si>
  <si>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</si>
  <si>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</si>
  <si>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</si>
  <si>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</si>
  <si>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</si>
  <si>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</si>
  <si>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</si>
  <si>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</si>
  <si>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</si>
  <si>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</si>
  <si>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</si>
  <si>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</si>
  <si>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</si>
  <si>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</si>
  <si>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</si>
  <si>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</si>
  <si>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</si>
  <si>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</si>
  <si>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</si>
  <si>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</si>
  <si>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</si>
  <si>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</si>
  <si>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</si>
  <si>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</si>
  <si>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</si>
  <si>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</si>
  <si>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</si>
  <si>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</si>
  <si>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</si>
  <si>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</si>
  <si>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</si>
  <si>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</si>
  <si>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</si>
  <si>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</si>
  <si>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</si>
  <si>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</si>
  <si>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</si>
  <si>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</si>
  <si>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</si>
  <si>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</si>
  <si>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</si>
  <si>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</si>
  <si>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</si>
  <si>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</si>
  <si>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</si>
  <si>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</si>
  <si>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</si>
  <si>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</si>
  <si>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</si>
  <si>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</si>
  <si>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</si>
  <si>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</si>
  <si>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</si>
  <si>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</si>
  <si>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</si>
  <si>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</si>
  <si>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</si>
  <si>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</si>
  <si>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</si>
  <si>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</si>
  <si>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</si>
  <si>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</si>
  <si>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Fiscalyearmaster</t>
  </si>
  <si>
    <t>Functiondetail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</si>
  <si>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</si>
  <si>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</si>
  <si>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</si>
  <si>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</si>
  <si>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</si>
  <si>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</si>
  <si>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</si>
  <si>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</si>
  <si>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Transaction</t>
  </si>
  <si>
    <t>TransactionDetail</t>
  </si>
  <si>
    <t>DData</t>
  </si>
  <si>
    <t>SalesOrder</t>
  </si>
  <si>
    <t>SalesOrderItem</t>
  </si>
  <si>
    <t>StockTransfer</t>
  </si>
  <si>
    <t>WBin</t>
  </si>
  <si>
    <t>Settings</t>
  </si>
  <si>
    <t>Fiscal Year</t>
  </si>
  <si>
    <t>ePlus Functions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</si>
  <si>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</si>
  <si>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</si>
  <si>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</si>
  <si>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</si>
  <si>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</si>
  <si>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</si>
  <si>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</si>
  <si>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</si>
  <si>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Transactions</t>
  </si>
  <si>
    <t>Transaction Details</t>
  </si>
  <si>
    <t>ePlus DData</t>
  </si>
  <si>
    <t>Sales Orders</t>
  </si>
  <si>
    <t>Sales Order Items</t>
  </si>
  <si>
    <t>Stock Transfers</t>
  </si>
  <si>
    <t>Waste Bin</t>
  </si>
  <si>
    <t>Settings available in web and mob interface</t>
  </si>
  <si>
    <t>Financial Years</t>
  </si>
  <si>
    <t>ePlus functions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</si>
  <si>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</si>
  <si>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</si>
  <si>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</si>
  <si>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</si>
  <si>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</si>
  <si>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</si>
  <si>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Transaction header - customer, date, document number</t>
  </si>
  <si>
    <t>Products in a transaction, its price tax etc</t>
  </si>
  <si>
    <t>Sales orders</t>
  </si>
  <si>
    <t>Sales order items</t>
  </si>
  <si>
    <t>Stock transfer from and to a store</t>
  </si>
  <si>
    <t>Waste bin used while ePlus direct import</t>
  </si>
  <si>
    <t>hasMany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</si>
  <si>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</si>
  <si>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</si>
  <si>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</si>
  <si>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</si>
  <si>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</si>
  <si>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</si>
  <si>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</si>
  <si>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</si>
  <si>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</si>
  <si>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</si>
  <si>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</si>
  <si>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</si>
  <si>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</si>
  <si>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</si>
  <si>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</si>
  <si>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</si>
  <si>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</si>
  <si>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</si>
  <si>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</si>
  <si>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Details</t>
  </si>
  <si>
    <t>Product wise details of transaction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</si>
  <si>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</si>
  <si>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</si>
  <si>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</si>
  <si>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</si>
  <si>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</si>
  <si>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</si>
  <si>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Status</t>
  </si>
  <si>
    <t>Save</t>
  </si>
  <si>
    <t>required</t>
  </si>
  <si>
    <t>Name is mandatory</t>
  </si>
  <si>
    <t>Reset</t>
  </si>
  <si>
    <t>eplus_administrators</t>
  </si>
  <si>
    <t>ePlus administrators role</t>
  </si>
  <si>
    <t>actions_availability</t>
  </si>
  <si>
    <t>actions</t>
  </si>
  <si>
    <t>New</t>
  </si>
  <si>
    <t>primary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</si>
  <si>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</si>
  <si>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</si>
  <si>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</si>
  <si>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</si>
  <si>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</si>
  <si>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</si>
  <si>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</si>
  <si>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</si>
  <si>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</si>
  <si>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</si>
  <si>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</si>
  <si>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</si>
  <si>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</si>
  <si>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</si>
  <si>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</si>
  <si>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</si>
  <si>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</si>
  <si>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</si>
  <si>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</si>
  <si>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</si>
  <si>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</si>
  <si>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</si>
  <si>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</si>
  <si>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</si>
  <si>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</si>
  <si>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</si>
  <si>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</si>
  <si>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</si>
  <si>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</si>
  <si>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</si>
  <si>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</si>
  <si>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</si>
  <si>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</si>
  <si>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</si>
  <si>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</si>
  <si>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</si>
  <si>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</si>
  <si>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</si>
  <si>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</si>
  <si>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</si>
  <si>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</si>
  <si>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</si>
  <si>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</si>
  <si>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</si>
  <si>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</si>
  <si>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</si>
  <si>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</si>
  <si>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</si>
  <si>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</si>
  <si>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</si>
  <si>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</si>
  <si>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</si>
  <si>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</si>
  <si>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</si>
  <si>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</si>
  <si>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</si>
  <si>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</si>
  <si>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</si>
  <si>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truncate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</si>
  <si>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</si>
  <si>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</si>
  <si>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</si>
  <si>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</si>
  <si>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</si>
  <si>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</si>
  <si>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</si>
  <si>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</si>
  <si>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</si>
  <si>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</si>
  <si>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</si>
  <si>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</si>
  <si>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</si>
  <si>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</si>
  <si>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</si>
  <si>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</si>
  <si>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</si>
  <si>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</si>
  <si>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</si>
  <si>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</si>
  <si>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</si>
  <si>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</si>
  <si>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</si>
  <si>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</si>
  <si>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</si>
  <si>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</si>
  <si>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</si>
  <si>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</si>
  <si>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</si>
  <si>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</si>
  <si>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</si>
  <si>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</si>
  <si>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</si>
  <si>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</si>
  <si>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</si>
  <si>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</si>
  <si>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</si>
  <si>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</si>
  <si>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</si>
  <si>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</si>
  <si>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</si>
  <si>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</si>
  <si>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</si>
  <si>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</si>
  <si>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</si>
  <si>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</si>
  <si>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</si>
  <si>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</si>
  <si>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</si>
  <si>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</si>
  <si>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</si>
  <si>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</si>
  <si>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</si>
  <si>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</si>
  <si>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</si>
  <si>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</si>
  <si>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</si>
  <si>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</si>
  <si>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</si>
  <si>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</si>
  <si>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</si>
  <si>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</si>
  <si>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</si>
  <si>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</si>
  <si>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</si>
  <si>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</si>
  <si>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</si>
  <si>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</si>
  <si>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</si>
  <si>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</si>
  <si>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</si>
  <si>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</si>
  <si>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</si>
  <si>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</si>
  <si>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</si>
  <si>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</si>
  <si>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</si>
  <si>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</si>
  <si>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</si>
  <si>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</si>
  <si>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</si>
  <si>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</si>
  <si>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</si>
  <si>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</si>
  <si>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</si>
  <si>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</si>
  <si>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</si>
  <si>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</si>
  <si>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</si>
  <si>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</si>
  <si>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</si>
  <si>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</si>
  <si>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</si>
  <si>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</si>
  <si>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</si>
  <si>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</si>
  <si>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</si>
  <si>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</si>
  <si>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</si>
  <si>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</si>
  <si>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</si>
  <si>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</si>
  <si>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</si>
  <si>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</si>
  <si>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</si>
  <si>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</si>
  <si>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</si>
  <si>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</si>
  <si>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</si>
  <si>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</si>
  <si>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</si>
  <si>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</si>
  <si>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</si>
  <si>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</si>
  <si>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</si>
  <si>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</si>
  <si>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</si>
  <si>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</si>
  <si>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</si>
  <si>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</si>
  <si>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</si>
  <si>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</si>
  <si>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</si>
  <si>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</si>
  <si>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</si>
  <si>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</si>
  <si>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</si>
  <si>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</si>
  <si>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</si>
  <si>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</si>
  <si>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</si>
  <si>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</si>
  <si>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</si>
  <si>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</si>
  <si>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</si>
  <si>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</si>
  <si>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</si>
  <si>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</si>
  <si>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</si>
  <si>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</si>
  <si>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</si>
  <si>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</si>
  <si>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</si>
  <si>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</si>
  <si>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</si>
  <si>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</si>
  <si>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</si>
  <si>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</si>
  <si>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</si>
  <si>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</si>
  <si>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</si>
  <si>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</si>
  <si>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</si>
  <si>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</si>
  <si>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</si>
  <si>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</si>
  <si>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</si>
  <si>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</si>
  <si>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</si>
  <si>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</si>
  <si>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</si>
  <si>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</si>
  <si>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</si>
  <si>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</si>
  <si>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</si>
  <si>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</si>
  <si>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</si>
  <si>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</si>
  <si>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</si>
  <si>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</si>
  <si>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</si>
  <si>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</si>
  <si>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</si>
  <si>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</si>
  <si>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</si>
  <si>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</si>
  <si>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</si>
  <si>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</si>
  <si>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</si>
  <si>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</si>
  <si>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</si>
  <si>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</si>
  <si>
    <t>_ref_trans</t>
  </si>
  <si>
    <t>_ref_spt</t>
  </si>
  <si>
    <t>receipts</t>
  </si>
  <si>
    <t>mode</t>
  </si>
  <si>
    <t>payment_mode</t>
  </si>
  <si>
    <t>['Cash','Cheque']</t>
  </si>
  <si>
    <t>default('Cash')</t>
  </si>
  <si>
    <t>bank</t>
  </si>
  <si>
    <t>cheque</t>
  </si>
  <si>
    <t>cheque_date</t>
  </si>
  <si>
    <t>2019_03_28_000046_create_setup_table.php</t>
  </si>
  <si>
    <t>Receipt</t>
  </si>
  <si>
    <t>fn_reserves</t>
  </si>
  <si>
    <t>start_num</t>
  </si>
  <si>
    <t>end_num</t>
  </si>
  <si>
    <t>unsignedInteger</t>
  </si>
  <si>
    <t>reserve_progress</t>
  </si>
  <si>
    <t>['Awaiting','Processing','Completed']</t>
  </si>
  <si>
    <t>default('Awaiting')</t>
  </si>
  <si>
    <t>abr</t>
  </si>
  <si>
    <t>co_abr</t>
  </si>
  <si>
    <t>br_abr</t>
  </si>
  <si>
    <t>payment_type</t>
  </si>
  <si>
    <t>['Cash','Credit','Card','Cheque','DemandDraft','Digital Wallet','Multi']</t>
  </si>
  <si>
    <t>Receipts</t>
  </si>
  <si>
    <t>FnReserve</t>
  </si>
  <si>
    <t>Function Reserves</t>
  </si>
  <si>
    <t>AssignedCustomerReceipts</t>
  </si>
  <si>
    <t>Receipts related to customers who are assigned to the requesting executive</t>
  </si>
  <si>
    <t>assignedCustomerReceipts</t>
  </si>
  <si>
    <t>reserve_current</t>
  </si>
  <si>
    <t>current</t>
  </si>
  <si>
    <t>foreign_transaction_null</t>
  </si>
  <si>
    <t>sos_sale_quantity</t>
  </si>
  <si>
    <t>sale_quantity</t>
  </si>
  <si>
    <t>default ('Item Serial')</t>
  </si>
  <si>
    <t>default('Storage Bin')</t>
  </si>
  <si>
    <t>category</t>
  </si>
  <si>
    <t>function_category</t>
  </si>
  <si>
    <t>function_wtype</t>
  </si>
  <si>
    <t>wtype</t>
  </si>
  <si>
    <t>_ITEMCODE</t>
  </si>
  <si>
    <t>ITEMCODE</t>
  </si>
  <si>
    <t>_UNITCODE</t>
  </si>
  <si>
    <t>UNITCODE</t>
  </si>
  <si>
    <t>_QTY</t>
  </si>
  <si>
    <t>QTY</t>
  </si>
  <si>
    <t>default('1')</t>
  </si>
  <si>
    <t>_PARTCODE2</t>
  </si>
  <si>
    <t>_RATE</t>
  </si>
  <si>
    <t>RATE</t>
  </si>
  <si>
    <t>_DISCOUNT</t>
  </si>
  <si>
    <t>DISCOUNT</t>
  </si>
  <si>
    <t>StockOutTransactions</t>
  </si>
  <si>
    <t>STOut</t>
  </si>
  <si>
    <t>StockInTransactions</t>
  </si>
  <si>
    <t>TransferIn transactions</t>
  </si>
  <si>
    <t>TransferOut transactions</t>
  </si>
  <si>
    <t>STIn</t>
  </si>
  <si>
    <t>hasOne</t>
  </si>
  <si>
    <t>sTPending</t>
  </si>
  <si>
    <t>PendingStockTransfer</t>
  </si>
  <si>
    <t>pending</t>
  </si>
  <si>
    <t>StockTransferPending</t>
  </si>
  <si>
    <t>currency</t>
  </si>
  <si>
    <t>taxfactor02</t>
  </si>
  <si>
    <t>subtaxfactor02</t>
  </si>
  <si>
    <t>Stock transfers which are pending</t>
  </si>
  <si>
    <t>The transactions which are all pending stock transfer</t>
  </si>
  <si>
    <t>product_group_master</t>
  </si>
  <si>
    <t>list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</si>
  <si>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</si>
  <si>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</si>
  <si>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</si>
  <si>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</si>
  <si>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</si>
  <si>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</si>
  <si>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</si>
  <si>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</si>
  <si>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</si>
  <si>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</si>
  <si>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function_list</t>
  </si>
  <si>
    <t>default('01')</t>
  </si>
  <si>
    <t>product_groups</t>
  </si>
  <si>
    <t>ProductGroupMaster</t>
  </si>
  <si>
    <t>ProductGroups</t>
  </si>
  <si>
    <t>taxcode02</t>
  </si>
  <si>
    <t>taxfactor01</t>
  </si>
  <si>
    <t>subtaxfactor01</t>
  </si>
  <si>
    <t>taxcode01</t>
  </si>
  <si>
    <t>product_images</t>
  </si>
  <si>
    <t>image01</t>
  </si>
  <si>
    <t>image02</t>
  </si>
  <si>
    <t>image03</t>
  </si>
  <si>
    <t>image04</t>
  </si>
  <si>
    <t>image05</t>
  </si>
  <si>
    <t>default_image</t>
  </si>
  <si>
    <t>default</t>
  </si>
  <si>
    <t>['Image 01','Image 02','Image 03','Image 04','Image 05']</t>
  </si>
  <si>
    <t>default('Image 01')</t>
  </si>
  <si>
    <t>ProductImages</t>
  </si>
  <si>
    <t>ProductGroup</t>
  </si>
  <si>
    <t>Groups like Category, Brand etc</t>
  </si>
  <si>
    <t>Products and the groups they belongs to</t>
  </si>
  <si>
    <t>Product Group Masters</t>
  </si>
  <si>
    <t>Product Groups</t>
  </si>
  <si>
    <t>ProductImage</t>
  </si>
  <si>
    <t>Images for  a product</t>
  </si>
  <si>
    <t>Product Images</t>
  </si>
  <si>
    <t>AddProductImage</t>
  </si>
  <si>
    <t>Form to add product images</t>
  </si>
  <si>
    <t>ProductImage/AddProductImage</t>
  </si>
  <si>
    <t>file</t>
  </si>
  <si>
    <t>Image 01</t>
  </si>
  <si>
    <t>Image 02</t>
  </si>
  <si>
    <t>Image 03</t>
  </si>
  <si>
    <t>Image 04</t>
  </si>
  <si>
    <t>Image 05</t>
  </si>
  <si>
    <t>Set Default Image</t>
  </si>
  <si>
    <t>Images of a product</t>
  </si>
  <si>
    <t>Images</t>
  </si>
  <si>
    <t>AddProductImages</t>
  </si>
  <si>
    <t>Action to add images to a product</t>
  </si>
  <si>
    <t>(Forms) ProductImage/AddProductImage</t>
  </si>
  <si>
    <t>ProductImageView</t>
  </si>
  <si>
    <t>View images of a product</t>
  </si>
  <si>
    <t>product.name</t>
  </si>
  <si>
    <t>ProductImage/ProductImageView</t>
  </si>
  <si>
    <t>ProductDetails</t>
  </si>
  <si>
    <t>Product Details</t>
  </si>
  <si>
    <t>ProductImage/Product</t>
  </si>
  <si>
    <t>ProductImage/ProductImageView/1</t>
  </si>
  <si>
    <t>EditProductImages</t>
  </si>
  <si>
    <t>Action to edit images to a product</t>
  </si>
  <si>
    <t>Add New</t>
  </si>
  <si>
    <t>Edit Details</t>
  </si>
  <si>
    <t>(Data) ProductImage/ProductImageView</t>
  </si>
  <si>
    <t>ProductImageList</t>
  </si>
  <si>
    <t>ProductImage/ProductImageList</t>
  </si>
  <si>
    <t>product.narration</t>
  </si>
  <si>
    <t>ListProductImages</t>
  </si>
  <si>
    <t>List all entries of product images</t>
  </si>
  <si>
    <t>(Lists) ProductImage/ProductImageList</t>
  </si>
  <si>
    <t>ProductImage/EditProductImages</t>
  </si>
  <si>
    <t>FunctionDetailList</t>
  </si>
  <si>
    <t>List All entries</t>
  </si>
  <si>
    <t>List All functions available</t>
  </si>
  <si>
    <t>Function details list</t>
  </si>
  <si>
    <t>Functiondetail/FunctionDetailList</t>
  </si>
  <si>
    <t>Digit Length</t>
  </si>
  <si>
    <t>AddFNReserves</t>
  </si>
  <si>
    <t>Form to add function reserves</t>
  </si>
  <si>
    <t>FnReserve/AddFNReserves</t>
  </si>
  <si>
    <t>Select FN Code</t>
  </si>
  <si>
    <t>Select Store</t>
  </si>
  <si>
    <t>Enter Sequence Start Number</t>
  </si>
  <si>
    <t>ReserveView</t>
  </si>
  <si>
    <t>View reserve details</t>
  </si>
  <si>
    <t>FnReserve/ReserveView</t>
  </si>
  <si>
    <t>FnReserve/ReserveView/1</t>
  </si>
  <si>
    <t>Progress</t>
  </si>
  <si>
    <t>Start</t>
  </si>
  <si>
    <t>End</t>
  </si>
  <si>
    <t>Quantity</t>
  </si>
  <si>
    <t>ReserveUser</t>
  </si>
  <si>
    <t>ReserveStore</t>
  </si>
  <si>
    <t>User details of reserve</t>
  </si>
  <si>
    <t>Store details of reserve</t>
  </si>
  <si>
    <t>FnReserve/User</t>
  </si>
  <si>
    <t>FnReserve/Store</t>
  </si>
  <si>
    <t>FnReserve/ReserveView/2</t>
  </si>
  <si>
    <t>Current</t>
  </si>
  <si>
    <t>ReservesList</t>
  </si>
  <si>
    <t>List all reserves</t>
  </si>
  <si>
    <t>FnReserve/ReservesList</t>
  </si>
  <si>
    <t>ListReserves</t>
  </si>
  <si>
    <t>List all reserve entries</t>
  </si>
  <si>
    <t>(Lists) FnReserve/ReservesList</t>
  </si>
  <si>
    <t>AddReserveEntry</t>
  </si>
  <si>
    <t>Add new reserve details</t>
  </si>
  <si>
    <t>(Forms) FnReserve/AddFNReserves</t>
  </si>
  <si>
    <t>ViewFnReserve</t>
  </si>
  <si>
    <t>View details of reserve</t>
  </si>
  <si>
    <t>(Data) FnReserve/ReserveView</t>
  </si>
  <si>
    <t>FnReserve/ViewFnReserve</t>
  </si>
  <si>
    <t>UpdateReserves</t>
  </si>
  <si>
    <t>FnReserve/UpdateReserves</t>
  </si>
  <si>
    <t>Start Num</t>
  </si>
  <si>
    <t>End Num</t>
  </si>
  <si>
    <t>UpdateReserveAction</t>
  </si>
  <si>
    <t>Update reserve details</t>
  </si>
  <si>
    <t>(Forms) FnReserve/UpdateReserves</t>
  </si>
  <si>
    <t>FnReserve/UpdateReserveAction</t>
  </si>
  <si>
    <t>UncompletedReserves</t>
  </si>
  <si>
    <t>Reserve entries which have progress not equal to Completed</t>
  </si>
  <si>
    <t>unCompleted</t>
  </si>
  <si>
    <t>UncompletedReservesList</t>
  </si>
  <si>
    <t>List all reserve entries which are uncompleted</t>
  </si>
  <si>
    <t>FnReserve/UncompletedReservesList</t>
  </si>
  <si>
    <t>FnReserve/UncompletedReserves</t>
  </si>
  <si>
    <t>Abbreviation</t>
  </si>
  <si>
    <t>ListUncompletedReserves</t>
  </si>
  <si>
    <t>List all uncompleted reserves</t>
  </si>
  <si>
    <t>Uncompleted</t>
  </si>
  <si>
    <t>(Lists) FnReserve/UncompletedReservesList</t>
  </si>
  <si>
    <t>password</t>
  </si>
  <si>
    <t>Milestone Setup</t>
  </si>
  <si>
    <t>setup@milestoneit.net</t>
  </si>
  <si>
    <t>Milestone Administrator</t>
  </si>
  <si>
    <t>metalic</t>
  </si>
  <si>
    <t>admin@milestoneit.net</t>
  </si>
  <si>
    <t>ViewProductImage</t>
  </si>
  <si>
    <t>View details of a product image entry</t>
  </si>
  <si>
    <t>ProductImage/ViewProductImage</t>
  </si>
  <si>
    <t>ProductImageController</t>
  </si>
  <si>
    <t>Milestone\SS\Controller</t>
  </si>
  <si>
    <t>display_name</t>
  </si>
  <si>
    <t>pricelist_foreign_null</t>
  </si>
  <si>
    <t>icon</t>
  </si>
  <si>
    <t>menu_drawer_display</t>
  </si>
  <si>
    <t>drawer_display</t>
  </si>
  <si>
    <t>sort_order</t>
  </si>
  <si>
    <t>order</t>
  </si>
  <si>
    <t>menu_types</t>
  </si>
  <si>
    <t>soi</t>
  </si>
  <si>
    <t>MenuType</t>
  </si>
  <si>
    <t>FnReserves</t>
  </si>
  <si>
    <t>Menu group to display name mapper</t>
  </si>
  <si>
    <t>Menu details</t>
  </si>
  <si>
    <t>Menu Group</t>
  </si>
  <si>
    <t>SALES</t>
  </si>
  <si>
    <t>PURCHASE</t>
  </si>
  <si>
    <t>PURCHASE RETURN</t>
  </si>
  <si>
    <t>PURCHASE ORDER</t>
  </si>
  <si>
    <t>PAYMENT</t>
  </si>
  <si>
    <t>SALES RETURN</t>
  </si>
  <si>
    <t>SALES ORDER</t>
  </si>
  <si>
    <t>RECEIPT</t>
  </si>
  <si>
    <t>MATERIAL TRANSFER</t>
  </si>
  <si>
    <t>PUR1,PUR2,PUR3,PUR4,PUR5</t>
  </si>
  <si>
    <t>PR1,PR2,PR3</t>
  </si>
  <si>
    <t>PO1</t>
  </si>
  <si>
    <t>CP1,BP1,BP2</t>
  </si>
  <si>
    <t>SL1,SL2,SL3,SL4,SL5</t>
  </si>
  <si>
    <t>SO1,SO2</t>
  </si>
  <si>
    <t>CR1,BR1,BR2</t>
  </si>
  <si>
    <t>MT1,MT2</t>
  </si>
  <si>
    <t>fncodes</t>
  </si>
  <si>
    <t>tinyInteger</t>
  </si>
  <si>
    <t>2019_03_28_000047_create_menu_types_table.php</t>
  </si>
  <si>
    <t>2019_03_28_000048_create_menu_table.php</t>
  </si>
  <si>
    <t>2019_03_28_000049_create_settings_table.php</t>
  </si>
  <si>
    <t>2019_03_28_000050_create_fiscalyearmaster_table.php</t>
  </si>
  <si>
    <t>2019_03_28_000058_create_stores_table.php</t>
  </si>
  <si>
    <t>2019_03_28_000059_create_areas_table.php</t>
  </si>
  <si>
    <t>2019_03_28_000060_create_area_users_table.php</t>
  </si>
  <si>
    <t>2019_03_28_000061_create_user_settings_table.php</t>
  </si>
  <si>
    <t>2019_03_28_000062_create_user_store_area_table.php</t>
  </si>
  <si>
    <t>2019_03_28_000068_create_stock_transfer_table.php</t>
  </si>
  <si>
    <t>2019_03_28_000069_create_receipts_table.php</t>
  </si>
  <si>
    <t>2019_03_28_000070_create_fn_reserves_table.php</t>
  </si>
  <si>
    <t>2019_03_28_000071_create_w_bin_table.php</t>
  </si>
  <si>
    <t>soi_foreign</t>
  </si>
  <si>
    <t>menu_home_display</t>
  </si>
  <si>
    <t>home_display</t>
  </si>
  <si>
    <t>BRANCH TRANSFER</t>
  </si>
  <si>
    <t>MT3,MT4</t>
  </si>
  <si>
    <t>SR1,SR2,SR3</t>
  </si>
  <si>
    <t>create_source</t>
  </si>
  <si>
    <t>source</t>
  </si>
  <si>
    <t>['ePlus','SS']</t>
  </si>
  <si>
    <t>default('ePlus')</t>
  </si>
  <si>
    <t>_PASSWORDENCODING</t>
  </si>
  <si>
    <t>['Utf8','Utf16']</t>
  </si>
  <si>
    <t>PASSWORDENCODING</t>
  </si>
  <si>
    <t>default('Utf16')</t>
  </si>
  <si>
    <t>StoreDetails</t>
  </si>
  <si>
    <t>Store details of a transaction entry</t>
  </si>
  <si>
    <t>Store details of a sales order entry</t>
  </si>
  <si>
    <t>Store details of a sales order</t>
  </si>
  <si>
    <t>LoginUsers</t>
  </si>
  <si>
    <t>Users having login info</t>
  </si>
  <si>
    <t>loginUsers</t>
  </si>
  <si>
    <t>loginExecutives</t>
  </si>
  <si>
    <t>Sales Executives having logins</t>
  </si>
  <si>
    <t>LoginExecutives</t>
  </si>
  <si>
    <t>Users having login details</t>
  </si>
  <si>
    <t>LoginSalesExecutives</t>
  </si>
  <si>
    <t>Sales Executive having login details</t>
  </si>
  <si>
    <t>User/LoginUsers</t>
  </si>
  <si>
    <t>User/LoginSalesExecutives</t>
  </si>
  <si>
    <t>User/LoginExecutives</t>
  </si>
  <si>
    <t>login</t>
  </si>
  <si>
    <t>Login</t>
  </si>
  <si>
    <t>ListLoginUsers</t>
  </si>
  <si>
    <t>Action to list all login users</t>
  </si>
  <si>
    <t>Login Users</t>
  </si>
  <si>
    <t>(Lists) User/LoginUsers</t>
  </si>
  <si>
    <t>ListLoginExecutives</t>
  </si>
  <si>
    <t>Login Executives</t>
  </si>
  <si>
    <t>Action to list all executives having login</t>
  </si>
  <si>
    <t>(Lists) User/LoginSalesExecutives</t>
  </si>
  <si>
    <t>UpdateMenu</t>
  </si>
  <si>
    <t>Form to update reserves</t>
  </si>
  <si>
    <t>Form to update menu details</t>
  </si>
  <si>
    <t>Menu/UpdateMenu</t>
  </si>
  <si>
    <t>Icon (material icon name)</t>
  </si>
  <si>
    <t>Home Menu Display Text</t>
  </si>
  <si>
    <t>Drawer Menu Display Text</t>
  </si>
  <si>
    <t>Display Order</t>
  </si>
  <si>
    <t>MenuView</t>
  </si>
  <si>
    <t>View menu details</t>
  </si>
  <si>
    <t>Menu/MenuView</t>
  </si>
  <si>
    <t>FN Code</t>
  </si>
  <si>
    <t>ICON</t>
  </si>
  <si>
    <t>Home display text</t>
  </si>
  <si>
    <t>Drawer display text</t>
  </si>
  <si>
    <t>Menu/MenuView/1</t>
  </si>
  <si>
    <t>MenuList</t>
  </si>
  <si>
    <t>List all menu</t>
  </si>
  <si>
    <t>Menu/MenuList</t>
  </si>
  <si>
    <t>Home display</t>
  </si>
  <si>
    <t>Drawer display</t>
  </si>
  <si>
    <t>ListMenu</t>
  </si>
  <si>
    <t>Action to list all menu</t>
  </si>
  <si>
    <t>(Lists) Menu/MenuList</t>
  </si>
  <si>
    <t>Action to update menu</t>
  </si>
  <si>
    <t>(Forms) Menu/UpdateMenu</t>
  </si>
  <si>
    <t>(Data) Menu/MenuView</t>
  </si>
  <si>
    <t>Action to view details</t>
  </si>
  <si>
    <t>End Num (enter 0 to take maximum)</t>
  </si>
  <si>
    <t>FnReserve/UpdateReserves/end_num</t>
  </si>
  <si>
    <t>user_executive</t>
  </si>
  <si>
    <t>login_user</t>
  </si>
  <si>
    <t>executive_user</t>
  </si>
  <si>
    <t>2019_03_28_000051_create_product_group_master_table.php</t>
  </si>
  <si>
    <t>2019_03_28_000052_create_products_table.php</t>
  </si>
  <si>
    <t>2019_03_28_000053_create_product_groups_table.php</t>
  </si>
  <si>
    <t>2019_03_28_000054_create_product_images_table.php</t>
  </si>
  <si>
    <t>2019_03_28_000055_create_pricelist_table.php</t>
  </si>
  <si>
    <t>2019_03_28_000056_create_pricelist_products_table.php</t>
  </si>
  <si>
    <t>2019_03_28_000057_create_functiondetails_table.php</t>
  </si>
  <si>
    <t>2019_03_28_000063_create_sales_order_table.php</t>
  </si>
  <si>
    <t>2019_03_28_000064_create_sales_order_items_table.php</t>
  </si>
  <si>
    <t>2019_03_28_000065_create_transactions_table.php</t>
  </si>
  <si>
    <t>2019_03_28_000066_create_transaction_details_table.php</t>
  </si>
  <si>
    <t>2019_03_28_000067_create_d_data_table.php</t>
  </si>
  <si>
    <t>UserExecutive</t>
  </si>
  <si>
    <t>User Executive Login Map</t>
  </si>
  <si>
    <t>User Executive Map</t>
  </si>
  <si>
    <t>LoginUser</t>
  </si>
  <si>
    <t>ExecutiveUser</t>
  </si>
  <si>
    <t>Login user details</t>
  </si>
  <si>
    <t>Executive user details</t>
  </si>
  <si>
    <t>UserToExecutiveMapList</t>
  </si>
  <si>
    <t>User to Executive maps</t>
  </si>
  <si>
    <t>executive.name</t>
  </si>
  <si>
    <t>UserExecutive/UserToExecutiveMapList</t>
  </si>
  <si>
    <t>UserExecutive/User</t>
  </si>
  <si>
    <t>UserExecutive/Executive</t>
  </si>
  <si>
    <t>Executive Name</t>
  </si>
  <si>
    <t>Login ID</t>
  </si>
  <si>
    <t>NewExecutiveLoginMap</t>
  </si>
  <si>
    <t>Form to map a user to login</t>
  </si>
  <si>
    <t>Map Executive</t>
  </si>
  <si>
    <t>Set</t>
  </si>
  <si>
    <t>UserExecutive/NewExecutiveLoginMap</t>
  </si>
  <si>
    <t>Login User</t>
  </si>
  <si>
    <t>Executive User</t>
  </si>
  <si>
    <t>Action to view User Executive entries</t>
  </si>
  <si>
    <t>(Lists) UserExecutive/UserToExecutiveMapList</t>
  </si>
  <si>
    <t>AddUserExecutiveEntries</t>
  </si>
  <si>
    <t>ListUserExecutiveEntries</t>
  </si>
  <si>
    <t>Action to add User to Executive map</t>
  </si>
  <si>
    <t>Add New Map</t>
  </si>
  <si>
    <t>(Forms) UserExecutive/NewExecutiveLoginMap</t>
  </si>
  <si>
    <t>name_reference</t>
  </si>
  <si>
    <t>name_login</t>
  </si>
  <si>
    <t>query1</t>
  </si>
  <si>
    <t>query2</t>
  </si>
  <si>
    <t>query3</t>
  </si>
  <si>
    <t>header1</t>
  </si>
  <si>
    <t>header2</t>
  </si>
  <si>
    <t>header3</t>
  </si>
  <si>
    <t>query1_props</t>
  </si>
  <si>
    <t>query2_props</t>
  </si>
  <si>
    <t>query3_props</t>
  </si>
  <si>
    <t>footer1</t>
  </si>
  <si>
    <t>footer2</t>
  </si>
  <si>
    <t>footer3</t>
  </si>
  <si>
    <t>object</t>
  </si>
  <si>
    <t>2019_03_28_000072_create_user_executive_table.php</t>
  </si>
  <si>
    <t>printings</t>
  </si>
  <si>
    <t>Printing</t>
  </si>
  <si>
    <t>Printing details</t>
  </si>
  <si>
    <t>Prints</t>
  </si>
  <si>
    <t>ePlus ddata for detailed transaction bills</t>
  </si>
  <si>
    <t>template</t>
  </si>
  <si>
    <t>NewPrintThroughForm</t>
  </si>
  <si>
    <t>Form to add new print using filling form</t>
  </si>
  <si>
    <t>Printing/NewPrintThroughForm</t>
  </si>
  <si>
    <t>Template</t>
  </si>
  <si>
    <t>Object</t>
  </si>
  <si>
    <t>FNCode</t>
  </si>
  <si>
    <t>Header 1</t>
  </si>
  <si>
    <t>Header 2</t>
  </si>
  <si>
    <t>Header 3</t>
  </si>
  <si>
    <t>Footer 1</t>
  </si>
  <si>
    <t>Footer 2</t>
  </si>
  <si>
    <t>Footer 3</t>
  </si>
  <si>
    <t>This Object</t>
  </si>
  <si>
    <t>Query 1</t>
  </si>
  <si>
    <t>Query 1 Props</t>
  </si>
  <si>
    <t>Query 2</t>
  </si>
  <si>
    <t>Query 3</t>
  </si>
  <si>
    <t>Query 2 Props</t>
  </si>
  <si>
    <t>Query 3 Props</t>
  </si>
  <si>
    <t>print_file</t>
  </si>
  <si>
    <t>Print</t>
  </si>
  <si>
    <t>NewPrintThroughUpload</t>
  </si>
  <si>
    <t>Form to add new print using file upload</t>
  </si>
  <si>
    <t>Printing/NewPrintThroughUpload</t>
  </si>
  <si>
    <t>File</t>
  </si>
  <si>
    <t>PrintList</t>
  </si>
  <si>
    <t>List all available prints</t>
  </si>
  <si>
    <t>Printing/PrintList</t>
  </si>
  <si>
    <t>PrintView</t>
  </si>
  <si>
    <t>View print details</t>
  </si>
  <si>
    <t>Printing/PrintView</t>
  </si>
  <si>
    <t>Queries</t>
  </si>
  <si>
    <t>Headers</t>
  </si>
  <si>
    <t>Footers</t>
  </si>
  <si>
    <t>Printing/PrintView/1</t>
  </si>
  <si>
    <t>Printing/PrintView/2</t>
  </si>
  <si>
    <t>Printing/PrintView/3</t>
  </si>
  <si>
    <t>Printing/PrintView/4</t>
  </si>
  <si>
    <t>Printing/PrintView/5</t>
  </si>
  <si>
    <t>Printing/PrintView/6</t>
  </si>
  <si>
    <t>ListAllPrintAction</t>
  </si>
  <si>
    <t>Action to list all prints</t>
  </si>
  <si>
    <t>(Lists) Printing/PrintList</t>
  </si>
  <si>
    <t>AddNewPrintWithFormAction</t>
  </si>
  <si>
    <t>Add (Form)</t>
  </si>
  <si>
    <t>(Forms) Printing/NewPrintThroughForm</t>
  </si>
  <si>
    <t>Action to view details of a selected print</t>
  </si>
  <si>
    <t>(Data) Printing/PrintView</t>
  </si>
  <si>
    <t>UpdatePrintDetailsAction</t>
  </si>
  <si>
    <t>ViewPrintDetailsAction</t>
  </si>
  <si>
    <t>AddNewPrintWithUploadAction</t>
  </si>
  <si>
    <t>Action to add a print using file upload</t>
  </si>
  <si>
    <t>Action to add a print using form filling</t>
  </si>
  <si>
    <t>Add (Upload)</t>
  </si>
  <si>
    <t>(Forms) Printing/NewPrintThroughUpload</t>
  </si>
  <si>
    <t>Action to update select print details</t>
  </si>
  <si>
    <t>Printing/UpdatePrintDetailsAction</t>
  </si>
  <si>
    <t>Printing/ViewPrintDetailsAction</t>
  </si>
  <si>
    <t>code_name</t>
  </si>
  <si>
    <t>Executives</t>
  </si>
  <si>
    <t>Users having reference like SE%</t>
  </si>
  <si>
    <t>executives</t>
  </si>
  <si>
    <t>User/Executives</t>
  </si>
  <si>
    <t>home_screen_out_standing</t>
  </si>
  <si>
    <t>Customers outstanding and overdue metric should display in Home Screen</t>
  </si>
  <si>
    <t>home_screen_sales_order_progress</t>
  </si>
  <si>
    <t>Sales order progress which mentions the incomplete and partially completed sales orders count</t>
  </si>
  <si>
    <t>receipts_daily_weekly_metric_on_receipt_index</t>
  </si>
  <si>
    <t>Receipts daily and weekly total amount display metric on receipts index window.</t>
  </si>
  <si>
    <t>receipts_monthly_metric_on_receipt_index</t>
  </si>
  <si>
    <t>Receipts monthly total amount display metric on receipts index window.</t>
  </si>
  <si>
    <t>daily_sales_total_amount_in_sales_index</t>
  </si>
  <si>
    <t>Total Sales amount in a day to be displayed in sales transaction index window</t>
  </si>
  <si>
    <t>weekly_and_monthly_sales_total_amount_in_sales_index</t>
  </si>
  <si>
    <t>Total Sales amount in the current week and month to be displayed in sales transaction index window</t>
  </si>
  <si>
    <t>daily_sales_total_amount_in_sales_order_index</t>
  </si>
  <si>
    <t>weekly_and_monthly_sales_total_amount_in_sales_order_index</t>
  </si>
  <si>
    <t>ePlus Administrators</t>
  </si>
  <si>
    <t>shift</t>
  </si>
  <si>
    <t>opening</t>
  </si>
  <si>
    <t>closing</t>
  </si>
  <si>
    <t>difference</t>
  </si>
  <si>
    <t>shift_status</t>
  </si>
  <si>
    <t>['Approved','Pending','Rejected','Completed','Cancelled']</t>
  </si>
  <si>
    <t>default('Approved')</t>
  </si>
  <si>
    <t>cancel</t>
  </si>
  <si>
    <t>['No','Yes']</t>
  </si>
  <si>
    <t>startdate</t>
  </si>
  <si>
    <t>enddate</t>
  </si>
  <si>
    <t>allow_difference</t>
  </si>
  <si>
    <t>shift_allowcheque</t>
  </si>
  <si>
    <t>allow_cheque</t>
  </si>
  <si>
    <t>shift_allowdifference</t>
  </si>
  <si>
    <t>ssinit</t>
  </si>
  <si>
    <t>shift_transactions</t>
  </si>
  <si>
    <t>foreign_shift</t>
  </si>
  <si>
    <t>cash</t>
  </si>
  <si>
    <t>shift_cash</t>
  </si>
  <si>
    <t>shift_credit</t>
  </si>
  <si>
    <t>shift_card</t>
  </si>
  <si>
    <t>shift_cheque</t>
  </si>
  <si>
    <t>shift_wallet</t>
  </si>
  <si>
    <t>credit</t>
  </si>
  <si>
    <t>card</t>
  </si>
  <si>
    <t>digitalwallet</t>
  </si>
  <si>
    <t>shift_active</t>
  </si>
  <si>
    <t>foreign_shift_null</t>
  </si>
  <si>
    <t>shift_docno</t>
  </si>
  <si>
    <t>2019_03_28_000073_create_printings_table.php</t>
  </si>
  <si>
    <t>2020_01_16_173831_create_shift_table.php</t>
  </si>
  <si>
    <t>2020_01_16_173859_create_shift_transactions_table.php</t>
  </si>
  <si>
    <t>Shift</t>
  </si>
  <si>
    <t>Employee working shifts</t>
  </si>
  <si>
    <t>Shifts</t>
  </si>
  <si>
    <t>ShiftTransaction</t>
  </si>
  <si>
    <t>Transactions in a shift</t>
  </si>
  <si>
    <t>Shift Transactions</t>
  </si>
  <si>
    <t>OwnShifts</t>
  </si>
  <si>
    <t>Shifts which assigned to requesting user</t>
  </si>
  <si>
    <t>own</t>
  </si>
  <si>
    <t>ShiftTransactions</t>
  </si>
  <si>
    <t>Transactions of a shift</t>
  </si>
  <si>
    <t>TransactionShift</t>
  </si>
  <si>
    <t>Shift details ofa transaction</t>
  </si>
  <si>
    <t>OwnShiftTransactions</t>
  </si>
  <si>
    <t>Transactions belongs to shift which assigned to a user</t>
  </si>
  <si>
    <t>Width to be allocated for the left portion</t>
  </si>
  <si>
    <t>The space between left and right portions</t>
  </si>
  <si>
    <t>The padding amount of  container where Filter, Items and Pagination exists</t>
  </si>
  <si>
    <t>Width of main filter - right to container</t>
  </si>
  <si>
    <t>Height of secondary filter - top to container</t>
  </si>
  <si>
    <t>Product list item - width to height ratio</t>
  </si>
  <si>
    <t>Items to be shown in one page</t>
  </si>
  <si>
    <t>Items to be shown in one row</t>
  </si>
  <si>
    <t>Container width in percentage</t>
  </si>
  <si>
    <t>advance_sale_left_portion_width</t>
  </si>
  <si>
    <t>advance_sale_space_between_left_portion_and_right_portion</t>
  </si>
  <si>
    <t>advance_sale_items_container_padding</t>
  </si>
  <si>
    <t>advance_sale_container_width</t>
  </si>
  <si>
    <t>advance_sale_main_filter_width</t>
  </si>
  <si>
    <t>advance_sale_secondary_filter_height</t>
  </si>
  <si>
    <t>advance_sale_items_per_page</t>
  </si>
  <si>
    <t>advance_sale_items_per_row</t>
  </si>
  <si>
    <t>The space between each items</t>
  </si>
  <si>
    <t>advance_sale_space_between_each_item</t>
  </si>
  <si>
    <t>advance_sale_item_width_to_height_ratio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</si>
</sst>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4" fillId="0" borderId="0" xfId="0" applyNumberFormat="1" applyFont="1" applyFill="1" applyAlignment="1">
      <alignment horizontal="left"/>
    </xf>
    <xf numFmtId="0" fontId="2" fillId="4" borderId="0" xfId="0" applyFont="1" applyFill="1"/>
    <xf numFmtId="0" fontId="2" fillId="4" borderId="0" xfId="0" applyNumberFormat="1" applyFont="1" applyFill="1"/>
    <xf numFmtId="0" fontId="2" fillId="4" borderId="0" xfId="0" applyNumberFormat="1" applyFont="1" applyFill="1" applyAlignment="1">
      <alignment horizontal="left"/>
    </xf>
    <xf numFmtId="0" fontId="2" fillId="4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5" fillId="0" borderId="0" xfId="0" applyFont="1"/>
    <xf numFmtId="0" fontId="2" fillId="0" borderId="0" xfId="0" applyFont="1" applyFill="1" applyAlignment="1">
      <alignment horizontal="left"/>
    </xf>
    <xf numFmtId="0" fontId="4" fillId="0" borderId="0" xfId="0" applyNumberFormat="1" applyFont="1"/>
    <xf numFmtId="0" fontId="1" fillId="0" borderId="0" xfId="0" applyFont="1" applyFill="1" applyBorder="1"/>
    <xf numFmtId="0" fontId="1" fillId="4" borderId="0" xfId="0" applyNumberFormat="1" applyFont="1" applyFill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6" totalsRowShown="0" dataDxfId="471">
  <autoFilter ref="A1:J76"/>
  <tableColumns count="10">
    <tableColumn id="2" name="Name" dataDxfId="470"/>
    <tableColumn id="10" name="Table" dataDxfId="469">
      <calculatedColumnFormula>Tables[Name]</calculatedColumnFormula>
    </tableColumn>
    <tableColumn id="5" name="Singular Name" dataDxfId="468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67">
      <calculatedColumnFormula>"Milestone\SS\Model"</calculatedColumnFormula>
    </tableColumn>
    <tableColumn id="4" name="Class Name" dataDxfId="466">
      <calculatedColumnFormula>SUBSTITUTE(PROPER(Tables[Singular Name]),"_","")</calculatedColumnFormula>
    </tableColumn>
    <tableColumn id="1" name="Migration Artisan" dataDxfId="465">
      <calculatedColumnFormula>"php artisan make:migration create_"&amp;Tables[Table]&amp;"_table --create="&amp;Tables[Table]</calculatedColumnFormula>
    </tableColumn>
    <tableColumn id="6" name="Model Artisan" dataDxfId="464">
      <calculatedColumnFormula>"php artisan make:model "&amp;Tables[Class Name]</calculatedColumnFormula>
    </tableColumn>
    <tableColumn id="3" name="Model Statement" dataDxfId="463">
      <calculatedColumnFormula>"protected $table = '"&amp;Tables[Table]&amp;"';"</calculatedColumnFormula>
    </tableColumn>
    <tableColumn id="7" name="Seeder Artisan" dataDxfId="462">
      <calculatedColumnFormula>"php artisan make:seed "&amp;Tables[Class Name]&amp;"TableSeeder"</calculatedColumnFormula>
    </tableColumn>
    <tableColumn id="9" name="Seeder Class" dataDxfId="461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6" name="ResourceForms" displayName="ResourceForms" ref="A1:K13" totalsRowShown="0" headerRowDxfId="354" dataDxfId="353">
  <autoFilter ref="A1:K13"/>
  <tableColumns count="11">
    <tableColumn id="1" name="Primary" dataDxfId="352">
      <calculatedColumnFormula>'Table Seed Map'!$A$11&amp;"-"&amp;(COUNTA($F$1:ResourceForms[[#This Row],[Resource]])-2)</calculatedColumnFormula>
    </tableColumn>
    <tableColumn id="11" name="FormName" dataDxfId="351">
      <calculatedColumnFormula>ResourceForms[[#This Row],[Resource Name]]&amp;"/"&amp;ResourceForms[[#This Row],[Name]]</calculatedColumnFormula>
    </tableColumn>
    <tableColumn id="10" name="No" dataDxfId="350">
      <calculatedColumnFormula>COUNTA($A$1:ResourceForms[[#This Row],[Primary]])-2</calculatedColumnFormula>
    </tableColumn>
    <tableColumn id="2" name="Resource Name" dataDxfId="349"/>
    <tableColumn id="12" name="ID" dataDxfId="348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347">
      <calculatedColumnFormula>IFERROR(VLOOKUP(ResourceForms[[#This Row],[Resource Name]],ResourceTable[[RName]:[No]],3,0),"resource")</calculatedColumnFormula>
    </tableColumn>
    <tableColumn id="4" name="Name" dataDxfId="346"/>
    <tableColumn id="5" name="Description" dataDxfId="345"/>
    <tableColumn id="6" name="Title" dataDxfId="344"/>
    <tableColumn id="7" name="Action Text" dataDxfId="343"/>
    <tableColumn id="8" name="Form ID" dataDxfId="342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2" name="FormFields" displayName="FormFields" ref="M1:BA61" headerRowDxfId="341" dataDxfId="340">
  <autoFilter ref="M1:BA61"/>
  <tableColumns count="41">
    <tableColumn id="23" name="Primary" dataDxfId="339">
      <calculatedColumnFormula>'Table Seed Map'!$A$12&amp;"-"&amp;FormFields[[#This Row],[No]]</calculatedColumnFormula>
    </tableColumn>
    <tableColumn id="1" name="Form Name" totalsRowLabel="Total" dataDxfId="338"/>
    <tableColumn id="44" name="No" dataDxfId="337">
      <calculatedColumnFormula>COUNTA($N$1:FormFields[[#This Row],[Form Name]])-1</calculatedColumnFormula>
    </tableColumn>
    <tableColumn id="24" name="Field Name" dataDxfId="336">
      <calculatedColumnFormula>FormFields[[#This Row],[Form Name]]&amp;"/"&amp;FormFields[[#This Row],[Name]]</calculatedColumnFormula>
    </tableColumn>
    <tableColumn id="11" name="ID" dataDxfId="335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334">
      <calculatedColumnFormula>IFERROR(VLOOKUP(FormFields[[#This Row],[Form Name]],ResourceForms[[FormName]:[ID]],4,0),"resource_form")</calculatedColumnFormula>
    </tableColumn>
    <tableColumn id="3" name="Name" dataDxfId="333"/>
    <tableColumn id="4" name="Type" dataDxfId="332"/>
    <tableColumn id="5" name="Label" dataDxfId="331"/>
    <tableColumn id="6" name="Rel" dataDxfId="330"/>
    <tableColumn id="7" name="Rel1" dataDxfId="329"/>
    <tableColumn id="8" name="Rel2" dataDxfId="328"/>
    <tableColumn id="9" name="Rel3" dataDxfId="327"/>
    <tableColumn id="45" name="Primary FD" dataDxfId="326">
      <calculatedColumnFormula>'Table Seed Map'!$A$13&amp;"-"&amp;FormFields[[#This Row],[NO2]]</calculatedColumnFormula>
    </tableColumn>
    <tableColumn id="46" name="NO2" dataDxfId="325">
      <calculatedColumnFormula>COUNTIFS($AB$1:FormFields[[#This Row],[Exists]],1)-1</calculatedColumnFormula>
    </tableColumn>
    <tableColumn id="49" name="Exists" dataDxfId="324">
      <calculatedColumnFormula>IF(AND(FormFields[[#This Row],[Attribute]]="",FormFields[[#This Row],[Rel]]=""),0,1)</calculatedColumnFormula>
    </tableColumn>
    <tableColumn id="47" name="NO3" dataDxfId="323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322">
      <calculatedColumnFormula>IF(FormFields[[#This Row],[ID]]="id","form_field",FormFields[[#This Row],[ID]])</calculatedColumnFormula>
    </tableColumn>
    <tableColumn id="40" name="Attribute" dataDxfId="321">
      <calculatedColumnFormula>IF(FormFields[[#This Row],[No]]=0,"attribute",FormFields[[#This Row],[Name]])</calculatedColumnFormula>
    </tableColumn>
    <tableColumn id="12" name="Relation" dataDxfId="320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319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318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317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316">
      <calculatedColumnFormula>IF(OR(FormFields[[#This Row],[Option Type]]="",FormFields[[#This Row],[Option Type]]="type"),0,1)</calculatedColumnFormula>
    </tableColumn>
    <tableColumn id="50" name="Primary FO" dataDxfId="315">
      <calculatedColumnFormula>'Table Seed Map'!$A$14&amp;"-"&amp;FormFields[[#This Row],[NO4]]</calculatedColumnFormula>
    </tableColumn>
    <tableColumn id="51" name="NO4" dataDxfId="314">
      <calculatedColumnFormula>COUNTIF($AJ$2:FormFields[[#This Row],[Exists FO]],1)</calculatedColumnFormula>
    </tableColumn>
    <tableColumn id="53" name="NO5" dataDxfId="313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312">
      <calculatedColumnFormula>IF(FormFields[[#This Row],[ID]]="id","form_field",FormFields[[#This Row],[ID]])</calculatedColumnFormula>
    </tableColumn>
    <tableColumn id="18" name="Option Type" dataDxfId="311"/>
    <tableColumn id="19" name="Detail" dataDxfId="310"/>
    <tableColumn id="20" name="Value Attr" dataDxfId="309"/>
    <tableColumn id="21" name="Label Attr" dataDxfId="308"/>
    <tableColumn id="22" name="Preload" dataDxfId="307"/>
    <tableColumn id="67" name="Exists FL" dataDxfId="306">
      <calculatedColumnFormula>IF(OR(FormFields[[#This Row],[Colspan]]="",FormFields[[#This Row],[Colspan]]="colspan"),0,1)</calculatedColumnFormula>
    </tableColumn>
    <tableColumn id="68" name="Primary FL" dataDxfId="305">
      <calculatedColumnFormula>'Table Seed Map'!$A$19&amp;"-"&amp;FormFields[[#This Row],[NO8]]</calculatedColumnFormula>
    </tableColumn>
    <tableColumn id="69" name="NO8" dataDxfId="304">
      <calculatedColumnFormula>COUNTIF($AT$1:FormFields[[#This Row],[Exists FL]],1)</calculatedColumnFormula>
    </tableColumn>
    <tableColumn id="70" name="FL ID" dataDxfId="303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302">
      <calculatedColumnFormula>FormFields[Form]</calculatedColumnFormula>
    </tableColumn>
    <tableColumn id="42" name="Layout Field ID" dataDxfId="301">
      <calculatedColumnFormula>IF(FormFields[[#This Row],[ID]]="id","form_field",FormFields[[#This Row],[ID]])</calculatedColumnFormula>
    </tableColumn>
    <tableColumn id="43" name="Colspan" dataDxfId="300"/>
    <tableColumn id="16" name="Field ID" dataDxfId="299">
      <calculatedColumnFormula>FormFields[[#This Row],[ID]]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3" name="FieldAttrs" displayName="FieldAttrs" ref="BC1:BH7" totalsRowShown="0" headerRowDxfId="298" dataDxfId="297">
  <autoFilter ref="BC1:BH7"/>
  <tableColumns count="6">
    <tableColumn id="1" name="ATTR Field" dataDxfId="296"/>
    <tableColumn id="5" name="Primary" dataDxfId="295">
      <calculatedColumnFormula>'Table Seed Map'!$A$15&amp;"-"&amp;(-1+COUNTA($BC$1:FieldAttrs[[#This Row],[ATTR Field]]))</calculatedColumnFormula>
    </tableColumn>
    <tableColumn id="6" name="No" dataDxfId="294">
      <calculatedColumnFormula>IF(FieldAttrs[[#This Row],[ATTR Field]]="","id",-1+COUNTA($BC$1:FieldAttrs[[#This Row],[ATTR Field]])+VLOOKUP('Table Seed Map'!$A$15,SeedMap[],9,0))</calculatedColumnFormula>
    </tableColumn>
    <tableColumn id="4" name="Field" dataDxfId="293">
      <calculatedColumnFormula>IFERROR(VLOOKUP(FieldAttrs[ATTR Field],FormFields[[Field Name]:[ID]],2,0),"form_field")</calculatedColumnFormula>
    </tableColumn>
    <tableColumn id="2" name="Name" dataDxfId="292"/>
    <tableColumn id="3" name="Value" dataDxfId="291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id="14" name="FieldValidations" displayName="FieldValidations" ref="BJ1:BS3" totalsRowShown="0" headerRowDxfId="290" dataDxfId="289">
  <autoFilter ref="BJ1:BS3"/>
  <tableColumns count="10">
    <tableColumn id="1" name="Validation Field" dataDxfId="288"/>
    <tableColumn id="10" name="ID No" dataDxfId="287">
      <calculatedColumnFormula>COUNTA($BJ$2:FieldValidations[[#This Row],[Validation Field]])</calculatedColumnFormula>
    </tableColumn>
    <tableColumn id="8" name="Primary" dataDxfId="286">
      <calculatedColumnFormula>'Table Seed Map'!$A$17&amp;"-"&amp;FieldValidations[[#This Row],[ID No]]</calculatedColumnFormula>
    </tableColumn>
    <tableColumn id="9" name="No" dataDxfId="285">
      <calculatedColumnFormula>IF(FieldValidations[[#This Row],[ID No]]=0,"id",FieldValidations[[#This Row],[ID No]]+VLOOKUP('Table Seed Map'!$A$17,SeedMap[],9,0))</calculatedColumnFormula>
    </tableColumn>
    <tableColumn id="7" name="Field" dataDxfId="284">
      <calculatedColumnFormula>VLOOKUP(FieldValidations[Validation Field],FormFields[[Field Name]:[ID]],2,0)</calculatedColumnFormula>
    </tableColumn>
    <tableColumn id="2" name="Rule" dataDxfId="283"/>
    <tableColumn id="3" name="Message" dataDxfId="282"/>
    <tableColumn id="4" name="Arg 1" dataDxfId="281"/>
    <tableColumn id="5" name="Arg 2" dataDxfId="280"/>
    <tableColumn id="6" name="Arg 3" dataDxfId="279"/>
  </tableColumns>
  <tableStyleInfo name="TableStyleLight10" showFirstColumn="0" showLastColumn="0" showRowStripes="1" showColumnStripes="0"/>
</table>
</file>

<file path=xl/tables/table14.xml><?xml version="1.0" encoding="utf-8"?>
<table xmlns="http://schemas.openxmlformats.org/spreadsheetml/2006/main" id="7" name="FormDefault" displayName="FormDefault" ref="CF1:CZ2" totalsRowShown="0" dataDxfId="278">
  <autoFilter ref="CF1:CZ2"/>
  <tableColumns count="21">
    <tableColumn id="41" name="No" dataDxfId="277">
      <calculatedColumnFormula>COUNTA($CH$1:FormDefault[[#This Row],[Form for Default]])-1</calculatedColumnFormula>
    </tableColumn>
    <tableColumn id="1" name="Primary" dataDxfId="276">
      <calculatedColumnFormula>'Table Seed Map'!$A$21&amp;"-"&amp;FormDefault[[#This Row],[No]]</calculatedColumnFormula>
    </tableColumn>
    <tableColumn id="2" name="Form for Default" dataDxfId="275"/>
    <tableColumn id="3" name="ID" dataDxfId="274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73">
      <calculatedColumnFormula>IFERROR(VLOOKUP(FormDefault[[#This Row],[Form for Default]],ResourceForms[[FormName]:[ID]],4,0),"resource_form")</calculatedColumnFormula>
    </tableColumn>
    <tableColumn id="4" name="Name" dataDxfId="272"/>
    <tableColumn id="5" name="Value" dataDxfId="271"/>
    <tableColumn id="6" name="Relation" dataDxfId="270">
      <calculatedColumnFormula>IFERROR(VLOOKUP(FormDefault[[#This Row],[R]],RelationTable[[Display]:[RELID]],2,0),"")</calculatedColumnFormula>
    </tableColumn>
    <tableColumn id="7" name="Attribute" dataDxfId="269"/>
    <tableColumn id="20" name="REL1" dataDxfId="268">
      <calculatedColumnFormula>IFERROR(VLOOKUP(FormDefault[[#This Row],[R1]],RelationTable[[Display]:[RELID]],2,0),"")</calculatedColumnFormula>
    </tableColumn>
    <tableColumn id="19" name="REL2" dataDxfId="267">
      <calculatedColumnFormula>IFERROR(VLOOKUP(FormDefault[[#This Row],[R2]],RelationTable[[Display]:[RELID]],2,0),"")</calculatedColumnFormula>
    </tableColumn>
    <tableColumn id="18" name="REL3" dataDxfId="266">
      <calculatedColumnFormula>IFERROR(VLOOKUP(FormDefault[[#This Row],[R3]],RelationTable[[Display]:[RELID]],2,0),"")</calculatedColumnFormula>
    </tableColumn>
    <tableColumn id="13" name="Method" dataDxfId="265"/>
    <tableColumn id="17" name="R" dataDxfId="264"/>
    <tableColumn id="14" name="R1" dataDxfId="263"/>
    <tableColumn id="15" name="R2" dataDxfId="262"/>
    <tableColumn id="16" name="R3" dataDxfId="261"/>
    <tableColumn id="8" name="R12" dataDxfId="260"/>
    <tableColumn id="9" name="R22" dataDxfId="259"/>
    <tableColumn id="10" name="R32" dataDxfId="258"/>
    <tableColumn id="11" name="Method2" dataDxfId="257"/>
  </tableColumns>
  <tableStyleInfo name="TableStyleLight11" showFirstColumn="0" showLastColumn="0" showRowStripes="1" showColumnStripes="0"/>
</table>
</file>

<file path=xl/tables/table15.xml><?xml version="1.0" encoding="utf-8"?>
<table xmlns="http://schemas.openxmlformats.org/spreadsheetml/2006/main" id="17" name="FormCollection" displayName="FormCollection" ref="BU1:CD2" totalsRowShown="0" headerRowDxfId="256" dataDxfId="255">
  <autoFilter ref="BU1:CD2"/>
  <tableColumns count="10">
    <tableColumn id="1" name="Primary" dataDxfId="254">
      <calculatedColumnFormula>'Table Seed Map'!$A$22&amp;"-"&amp;COUNTA($BV$1:FormCollection[[#This Row],[Main Form for Collection]])-1</calculatedColumnFormula>
    </tableColumn>
    <tableColumn id="2" name="Main Form for Collection" dataDxfId="253"/>
    <tableColumn id="3" name="Collection Form" dataDxfId="252"/>
    <tableColumn id="4" name="Relation" dataDxfId="251"/>
    <tableColumn id="5" name="Foreign Field" dataDxfId="250"/>
    <tableColumn id="6" name="No" dataDxfId="249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248">
      <calculatedColumnFormula>IFERROR(VLOOKUP(FormCollection[Main Form for Collection],ResourceForms[[FormName]:[ID]],4,0),"resource_form")</calculatedColumnFormula>
    </tableColumn>
    <tableColumn id="8" name="Collection Form2" dataDxfId="247">
      <calculatedColumnFormula>IFERROR(VLOOKUP(FormCollection[Collection Form],ResourceForms[[FormName]:[ID]],4,0),"collection_form")</calculatedColumnFormula>
    </tableColumn>
    <tableColumn id="9" name="Relation3" dataDxfId="246">
      <calculatedColumnFormula>IFERROR(VLOOKUP(FormCollection[Relation],RelationTable[[Display]:[RELID]],2,0),"")</calculatedColumnFormula>
    </tableColumn>
    <tableColumn id="10" name="Foreign" dataDxfId="245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29" name="FieldDepends" displayName="FieldDepends" ref="DB1:DL2" totalsRowShown="0" headerRowDxfId="244" dataDxfId="243">
  <autoFilter ref="DB1:DL2"/>
  <tableColumns count="11">
    <tableColumn id="1" name="Field for Depend" dataDxfId="242"/>
    <tableColumn id="9" name="Primary" dataDxfId="241">
      <calculatedColumnFormula>'Table Seed Map'!$A$18&amp;"-"&amp;COUNTA($DB$2:FieldDepends[[#This Row],[Field for Depend]])</calculatedColumnFormula>
    </tableColumn>
    <tableColumn id="10" name="ID" dataDxfId="240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239">
      <calculatedColumnFormula>IFERROR(VLOOKUP(FieldDepends[[#This Row],[Field for Depend]],FormFields[[Field Name]:[ID]],2,0),"form_field")</calculatedColumnFormula>
    </tableColumn>
    <tableColumn id="2" name="Field name - depends on" dataDxfId="238"/>
    <tableColumn id="3" name="Database Field" dataDxfId="237"/>
    <tableColumn id="4" name="Operator" dataDxfId="236"/>
    <tableColumn id="5" name="Compare Method" dataDxfId="235"/>
    <tableColumn id="11" name="Method" dataDxfId="234"/>
    <tableColumn id="6" name="Value DB Field" dataDxfId="233"/>
    <tableColumn id="7" name="Ignore Null" dataDxfId="232"/>
  </tableColumns>
  <tableStyleInfo name="TableStyleLight7" showFirstColumn="0" showLastColumn="0" showRowStripes="1" showColumnStripes="0"/>
</table>
</file>

<file path=xl/tables/table17.xml><?xml version="1.0" encoding="utf-8"?>
<table xmlns="http://schemas.openxmlformats.org/spreadsheetml/2006/main" id="30" name="FieldDynamic" displayName="FieldDynamic" ref="DN1:DW2" totalsRowShown="0" headerRowDxfId="231" dataDxfId="230">
  <autoFilter ref="DN1:DW2"/>
  <tableColumns count="10">
    <tableColumn id="1" name="Field for Dynamic" dataDxfId="229"/>
    <tableColumn id="9" name="Primary" dataDxfId="228">
      <calculatedColumnFormula>'Table Seed Map'!$A$16&amp;"-"&amp;COUNTA($DN$2:FieldDynamic[[#This Row],[Field for Dynamic]])</calculatedColumnFormula>
    </tableColumn>
    <tableColumn id="10" name="ID" dataDxfId="227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226">
      <calculatedColumnFormula>IFERROR(VLOOKUP(FieldDynamic[[#This Row],[Field for Dynamic]],FormFields[[Field Name]:[ID]],2,0),"form_field")</calculatedColumnFormula>
    </tableColumn>
    <tableColumn id="2" name="Type" dataDxfId="225"/>
    <tableColumn id="3" name="Depend Field" dataDxfId="224"/>
    <tableColumn id="4" name="Alter On" dataDxfId="223"/>
    <tableColumn id="5" name="Value" dataDxfId="222"/>
    <tableColumn id="11" name="Values" dataDxfId="221"/>
    <tableColumn id="6" name="Operator" dataDxfId="220"/>
  </tableColumns>
  <tableStyleInfo name="TableStyleLight6" showFirstColumn="0" showLastColumn="0" showRowStripes="1" showColumnStripes="0"/>
</table>
</file>

<file path=xl/tables/table18.xml><?xml version="1.0" encoding="utf-8"?>
<table xmlns="http://schemas.openxmlformats.org/spreadsheetml/2006/main" id="31" name="FormDataMapping" displayName="FormDataMapping" ref="DY1:ES2" totalsRowShown="0" headerRowDxfId="219" dataDxfId="218">
  <autoFilter ref="DY1:ES2"/>
  <tableColumns count="21">
    <tableColumn id="1" name="Form for Data Mapping" dataDxfId="217"/>
    <tableColumn id="2" name="Resource Data" dataDxfId="216"/>
    <tableColumn id="3" name="Form Field" dataDxfId="215"/>
    <tableColumn id="4" name="Primary" dataDxfId="214">
      <calculatedColumnFormula>'Table Seed Map'!$A$20&amp;"-"&amp;-1+COUNTA($DY$1:FormDataMapping[[#This Row],[Form for Data Mapping]])</calculatedColumnFormula>
    </tableColumn>
    <tableColumn id="5" name="ID" dataDxfId="213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212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211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210">
      <calculatedColumnFormula>IF(FormDataMapping[[#This Row],[Form for Data Mapping]]="","form_field",VLOOKUP(FormDataMapping[Form Field],FormFields[[Field Name]:[ID]],2,0))</calculatedColumnFormula>
    </tableColumn>
    <tableColumn id="9" name="Attribute" dataDxfId="209"/>
    <tableColumn id="10" name="R0" dataDxfId="208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207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206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205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204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203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202"/>
    <tableColumn id="17" name="Rel1" dataDxfId="201"/>
    <tableColumn id="18" name="Rel2" dataDxfId="200"/>
    <tableColumn id="19" name="Rel3" dataDxfId="199"/>
    <tableColumn id="20" name="Rel4" dataDxfId="198"/>
    <tableColumn id="21" name="Rel5" dataDxfId="197"/>
  </tableColumns>
  <tableStyleInfo name="TableStyleLight19" showFirstColumn="0" showLastColumn="0" showRowStripes="1" showColumnStripes="0"/>
</table>
</file>

<file path=xl/tables/table19.xml><?xml version="1.0" encoding="utf-8"?>
<table xmlns="http://schemas.openxmlformats.org/spreadsheetml/2006/main" id="4" name="MigrationRenamer" displayName="MigrationRenamer" ref="A1:H31" totalsRowShown="0" dataDxfId="196">
  <autoFilter ref="A1:H31"/>
  <tableColumns count="8">
    <tableColumn id="1" name="No" dataDxfId="195">
      <calculatedColumnFormula>IFERROR($A1+1,1)</calculatedColumnFormula>
    </tableColumn>
    <tableColumn id="2" name="Filename" dataDxfId="194"/>
    <tableColumn id="9" name="Table" dataDxfId="193">
      <calculatedColumnFormula>MID(MigrationRenamer[Filename],26,LEN(MigrationRenamer[Filename])-35)</calculatedColumnFormula>
    </tableColumn>
    <tableColumn id="3" name="Date Part" dataDxfId="192">
      <calculatedColumnFormula>"2020_01_16_"</calculatedColumnFormula>
    </tableColumn>
    <tableColumn id="4" name="Sequence" dataDxfId="191">
      <calculatedColumnFormula>TEXT(MATCH(MigrationRenamer[[#This Row],[Table]],Tables[Table],0),"000000")</calculatedColumnFormula>
    </tableColumn>
    <tableColumn id="5" name="Name Part" dataDxfId="190">
      <calculatedColumnFormula>RIGHT(MigrationRenamer[Filename],LEN(MigrationRenamer[Filename])-LEN(MigrationRenamer[Date Part])-LEN(MigrationRenamer[Sequence]))</calculatedColumnFormula>
    </tableColumn>
    <tableColumn id="6" name="New Name" dataDxfId="189">
      <calculatedColumnFormula>MigrationRenamer[Date Part]&amp;MigrationRenamer[Sequence]&amp;MigrationRenamer[Name Part]</calculatedColumnFormula>
    </tableColumn>
    <tableColumn id="7" name="CMD" dataDxfId="188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328" totalsRowShown="0" dataDxfId="460">
  <autoFilter ref="A1:J328"/>
  <tableColumns count="10">
    <tableColumn id="1" name="Column" dataDxfId="459"/>
    <tableColumn id="2" name="Type" dataDxfId="458"/>
    <tableColumn id="3" name="Name" dataDxfId="457"/>
    <tableColumn id="4" name="Length/Enum" dataDxfId="456"/>
    <tableColumn id="5" name="Method1" dataDxfId="455"/>
    <tableColumn id="6" name="Method2" dataDxfId="454"/>
    <tableColumn id="7" name="Method3" dataDxfId="453"/>
    <tableColumn id="8" name="Method4" dataDxfId="452"/>
    <tableColumn id="9" name="Method5" dataDxfId="451"/>
    <tableColumn id="10" name="Usage" dataDxfId="450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18" name="ResourceList" displayName="ResourceList" ref="A1:K18" totalsRowShown="0" dataDxfId="187">
  <autoFilter ref="A1:K18"/>
  <tableColumns count="11">
    <tableColumn id="1" name="Primary" dataDxfId="186">
      <calculatedColumnFormula>'Table Seed Map'!$A$24&amp;"-"&amp;COUNTA($B$1:ResourceList[[#This Row],[Resource Name]])-1</calculatedColumnFormula>
    </tableColumn>
    <tableColumn id="2" name="Resource Name" dataDxfId="185"/>
    <tableColumn id="8" name="ListDisplayName" dataDxfId="184">
      <calculatedColumnFormula>ResourceList[[#This Row],[Resource Name]]&amp;"/"&amp;ResourceList[[#This Row],[Name]]</calculatedColumnFormula>
    </tableColumn>
    <tableColumn id="3" name="No" dataDxfId="183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82">
      <calculatedColumnFormula>IFERROR(VLOOKUP(ResourceList[[#This Row],[Resource Name]],ResourceTable[[RName]:[No]],3,0),"resource")</calculatedColumnFormula>
    </tableColumn>
    <tableColumn id="4" name="Name" dataDxfId="181"/>
    <tableColumn id="5" name="Description" dataDxfId="180"/>
    <tableColumn id="6" name="Title" dataDxfId="179"/>
    <tableColumn id="11" name="Identity" dataDxfId="178"/>
    <tableColumn id="10" name="Page" dataDxfId="177"/>
    <tableColumn id="9" name="ID" dataDxfId="176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1.xml><?xml version="1.0" encoding="utf-8"?>
<table xmlns="http://schemas.openxmlformats.org/spreadsheetml/2006/main" id="19" name="ListExtras" displayName="ListExtras" ref="M1:AD17" totalsRowShown="0" headerRowDxfId="175" dataDxfId="174">
  <autoFilter ref="M1:AD17"/>
  <tableColumns count="18">
    <tableColumn id="1" name="List Name" dataDxfId="173"/>
    <tableColumn id="2" name="LID" dataDxfId="172">
      <calculatedColumnFormula>VLOOKUP(ListExtras[[#This Row],[List Name]],ResourceList[[ListDisplayName]:[No]],2,0)</calculatedColumnFormula>
    </tableColumn>
    <tableColumn id="3" name="Scope Name" dataDxfId="171"/>
    <tableColumn id="4" name="Relation Name" dataDxfId="170"/>
    <tableColumn id="5" name="R1 Name" dataDxfId="169"/>
    <tableColumn id="6" name="R2 Name" dataDxfId="168"/>
    <tableColumn id="7" name="R3 Name" dataDxfId="167"/>
    <tableColumn id="8" name="Scope Primary" dataDxfId="166">
      <calculatedColumnFormula>'Table Seed Map'!$A$25&amp;"-"&amp;COUNT($W$1:ListExtras[[#This Row],[Scope ID]])</calculatedColumnFormula>
    </tableColumn>
    <tableColumn id="9" name="Scope Table ID" dataDxfId="165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64">
      <calculatedColumnFormula>IF(ListExtras[[#This Row],[LID]]=0,"resource_list",ListExtras[[#This Row],[LID]])</calculatedColumnFormula>
    </tableColumn>
    <tableColumn id="11" name="Scope ID" dataDxfId="163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62">
      <calculatedColumnFormula>'Table Seed Map'!$A$26&amp;"-"&amp;COUNT($AA$1:ListExtras[[#This Row],[Relation]])</calculatedColumnFormula>
    </tableColumn>
    <tableColumn id="13" name="Relation Table ID" dataDxfId="161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60">
      <calculatedColumnFormula>IF(ListExtras[[#This Row],[LID]]=0,"resource_list",ListExtras[[#This Row],[LID]])</calculatedColumnFormula>
    </tableColumn>
    <tableColumn id="15" name="Relation" dataDxfId="159">
      <calculatedColumnFormula>IFERROR(VLOOKUP(ListExtras[[#This Row],[Relation Name]],RelationTable[[Display]:[RELID]],2,0),IF(ListExtras[[#This Row],[LID]]=0,"relation",""))</calculatedColumnFormula>
    </tableColumn>
    <tableColumn id="16" name="R1" dataDxfId="158">
      <calculatedColumnFormula>IFERROR(VLOOKUP(ListExtras[[#This Row],[R1 Name]],RelationTable[[Display]:[RELID]],2,0),IF(ListExtras[[#This Row],[LID]]=0,"nest_relation1",""))</calculatedColumnFormula>
    </tableColumn>
    <tableColumn id="17" name="R2" dataDxfId="157">
      <calculatedColumnFormula>IFERROR(VLOOKUP(ListExtras[[#This Row],[R2 Name]],RelationTable[[Display]:[RELID]],2,0),IF(ListExtras[[#This Row],[LID]]=0,"nest_relation2",""))</calculatedColumnFormula>
    </tableColumn>
    <tableColumn id="18" name="R3" dataDxfId="156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id="20" name="ListSearch" displayName="ListSearch" ref="AF1:AR32" totalsRowShown="0" headerRowDxfId="155" dataDxfId="154">
  <autoFilter ref="AF1:AR32"/>
  <tableColumns count="13">
    <tableColumn id="13" name="Primary" dataDxfId="153">
      <calculatedColumnFormula>'Table Seed Map'!$A$28&amp;"-"&amp;COUNTA($AH$1:ListSearch[[#This Row],[No]])-2</calculatedColumnFormula>
    </tableColumn>
    <tableColumn id="1" name="List Name for Search" dataDxfId="152"/>
    <tableColumn id="2" name="No" dataDxfId="151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150">
      <calculatedColumnFormula>IFERROR(VLOOKUP(ListSearch[[#This Row],[List Name for Search]],ResourceList[[ListDisplayName]:[No]],2,0),"resource_list")</calculatedColumnFormula>
    </tableColumn>
    <tableColumn id="4" name="Field" dataDxfId="149"/>
    <tableColumn id="5" name="REL" dataDxfId="148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47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46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45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144"/>
    <tableColumn id="10" name="Relation 1" dataDxfId="143"/>
    <tableColumn id="11" name="Relation 2" dataDxfId="142"/>
    <tableColumn id="12" name="Relation 3" dataDxfId="141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id="21" name="ListLayout" displayName="ListLayout" ref="AT1:BE54" totalsRowShown="0" headerRowDxfId="140" dataDxfId="139">
  <autoFilter ref="AT1:BE54"/>
  <tableColumns count="12">
    <tableColumn id="13" name="Primary" dataDxfId="138">
      <calculatedColumnFormula>'Table Seed Map'!$A$27&amp;"-"&amp;COUNTA($AV$1:ListLayout[[#This Row],[No]])-2</calculatedColumnFormula>
    </tableColumn>
    <tableColumn id="1" name="List Name for Layout" dataDxfId="137"/>
    <tableColumn id="2" name="No" dataDxfId="136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135">
      <calculatedColumnFormula>IFERROR(VLOOKUP(ListLayout[[#This Row],[List Name for Layout]],ResourceList[[ListDisplayName]:[No]],2,0),"resource_list")</calculatedColumnFormula>
    </tableColumn>
    <tableColumn id="14" name="Label" dataDxfId="134"/>
    <tableColumn id="4" name="Field" dataDxfId="133"/>
    <tableColumn id="5" name="REL" dataDxfId="132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131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130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129"/>
    <tableColumn id="10" name="Relation 1" dataDxfId="128"/>
    <tableColumn id="11" name="Relation 2" dataDxfId="127"/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id="22" name="ResourceData" displayName="ResourceData" ref="A1:J9" totalsRowShown="0" dataDxfId="126">
  <autoFilter ref="A1:J9"/>
  <tableColumns count="10">
    <tableColumn id="1" name="Primary" dataDxfId="125">
      <calculatedColumnFormula>'Table Seed Map'!$A$29&amp;"-"&amp;COUNTA($E$1:ResourceData[[#This Row],[Resource]])-2</calculatedColumnFormula>
    </tableColumn>
    <tableColumn id="2" name="Resource Name" dataDxfId="124"/>
    <tableColumn id="8" name="DataDisplayName" dataDxfId="123">
      <calculatedColumnFormula>ResourceData[[#This Row],[Resource Name]]&amp;"/"&amp;ResourceData[[#This Row],[Name]]</calculatedColumnFormula>
    </tableColumn>
    <tableColumn id="3" name="No" dataDxfId="122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121">
      <calculatedColumnFormula>IFERROR(VLOOKUP(ResourceData[[#This Row],[Resource Name]],ResourceTable[[RName]:[No]],3,0),"resource")</calculatedColumnFormula>
    </tableColumn>
    <tableColumn id="4" name="Name" dataDxfId="120"/>
    <tableColumn id="5" name="Description" dataDxfId="119"/>
    <tableColumn id="6" name="Title Field" dataDxfId="118"/>
    <tableColumn id="9" name="Method" dataDxfId="117"/>
    <tableColumn id="10" name="ID" dataDxfId="116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5.xml><?xml version="1.0" encoding="utf-8"?>
<table xmlns="http://schemas.openxmlformats.org/spreadsheetml/2006/main" id="23" name="DataExtra" displayName="DataExtra" ref="L1:AC10" totalsRowShown="0" headerRowDxfId="115" dataDxfId="114">
  <autoFilter ref="L1:AC10"/>
  <tableColumns count="18">
    <tableColumn id="1" name="Data Name" dataDxfId="113"/>
    <tableColumn id="2" name="DID" dataDxfId="112">
      <calculatedColumnFormula>VLOOKUP(DataExtra[[#This Row],[Data Name]],ResourceData[[DataDisplayName]:[No]],2,0)</calculatedColumnFormula>
    </tableColumn>
    <tableColumn id="3" name="Scope Name" dataDxfId="111"/>
    <tableColumn id="4" name="Relation Name" dataDxfId="110"/>
    <tableColumn id="5" name="R1 Name" dataDxfId="109"/>
    <tableColumn id="6" name="R2 Name" dataDxfId="108"/>
    <tableColumn id="7" name="R3 Name" dataDxfId="107"/>
    <tableColumn id="8" name="Scope Primary" dataDxfId="106">
      <calculatedColumnFormula>'Table Seed Map'!$A$30&amp;"-"&amp;COUNT($V$1:DataExtra[[#This Row],[Scope ID]])</calculatedColumnFormula>
    </tableColumn>
    <tableColumn id="9" name="Scope Table ID" dataDxfId="105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104">
      <calculatedColumnFormula>IF(DataExtra[[#This Row],[DID]]=0,"resource_data",DataExtra[[#This Row],[DID]])</calculatedColumnFormula>
    </tableColumn>
    <tableColumn id="11" name="Scope ID" dataDxfId="103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102">
      <calculatedColumnFormula>'Table Seed Map'!$A$31&amp;"-"&amp;COUNT($Z$1:DataExtra[[#This Row],[Relation]])</calculatedColumnFormula>
    </tableColumn>
    <tableColumn id="13" name="Relation Table ID" dataDxfId="101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100">
      <calculatedColumnFormula>IF(DataExtra[[#This Row],[DID]]=0,"resource_data",DataExtra[[#This Row],[DID]])</calculatedColumnFormula>
    </tableColumn>
    <tableColumn id="15" name="Relation" dataDxfId="99">
      <calculatedColumnFormula>IFERROR(VLOOKUP(DataExtra[[#This Row],[Relation Name]],RelationTable[[Display]:[RELID]],2,0),IF(DataExtra[[#This Row],[DID]]=0,"relation",""))</calculatedColumnFormula>
    </tableColumn>
    <tableColumn id="16" name="R1" dataDxfId="98">
      <calculatedColumnFormula>IFERROR(VLOOKUP(DataExtra[[#This Row],[R1 Name]],RelationTable[[Display]:[RELID]],2,0),IF(DataExtra[[#This Row],[DID]]=0,"nest_relation1",""))</calculatedColumnFormula>
    </tableColumn>
    <tableColumn id="17" name="R2" dataDxfId="97">
      <calculatedColumnFormula>IFERROR(VLOOKUP(DataExtra[[#This Row],[R2 Name]],RelationTable[[Display]:[RELID]],2,0),IF(DataExtra[[#This Row],[DID]]=0,"nest_relation2",""))</calculatedColumnFormula>
    </tableColumn>
    <tableColumn id="18" name="R3" dataDxfId="96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id="24" name="DataViewSection" displayName="DataViewSection" ref="AE1:AN16" totalsRowShown="0" headerRowDxfId="95" dataDxfId="94">
  <autoFilter ref="AE1:AN16"/>
  <tableColumns count="10">
    <tableColumn id="13" name="Primary" dataDxfId="93">
      <calculatedColumnFormula>'Table Seed Map'!$A$32&amp;"-"&amp;COUNTA($AF$1:DataViewSection[[#This Row],[Data Name for Layout]])-1</calculatedColumnFormula>
    </tableColumn>
    <tableColumn id="1" name="Data Name for Layout" dataDxfId="92"/>
    <tableColumn id="17" name="DataSectionDisplayName" dataDxfId="91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90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89">
      <calculatedColumnFormula>IFERROR(VLOOKUP(DataViewSection[[#This Row],[Data Name for Layout]],ResourceData[[DataDisplayName]:[No]],2,0),"resource_data")</calculatedColumnFormula>
    </tableColumn>
    <tableColumn id="14" name="Title" dataDxfId="88"/>
    <tableColumn id="15" name="Title Field" dataDxfId="87"/>
    <tableColumn id="16" name="Rel" dataDxfId="86">
      <calculatedColumnFormula>IFERROR(VLOOKUP(DataViewSection[[#This Row],[Relation]],RelationTable[[Display]:[RELID]],2,0),"")</calculatedColumnFormula>
    </tableColumn>
    <tableColumn id="4" name="Colspan" dataDxfId="85"/>
    <tableColumn id="9" name="Relation" dataDxfId="84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5" name="DataViewSectionItem" displayName="DataViewSectionItem" ref="AP1:AW51" totalsRowShown="0" headerRowDxfId="83" dataDxfId="82">
  <autoFilter ref="AP1:AW51"/>
  <tableColumns count="8">
    <tableColumn id="13" name="Primary" dataDxfId="81">
      <calculatedColumnFormula>'Table Seed Map'!$A$33&amp;"-"&amp;-1+COUNTA($AQ$1:DataViewSectionItem[[#This Row],[Data Section for Items]])</calculatedColumnFormula>
    </tableColumn>
    <tableColumn id="1" name="Data Section for Items" dataDxfId="80"/>
    <tableColumn id="2" name="No" dataDxfId="79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78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77"/>
    <tableColumn id="4" name="Attribute" dataDxfId="76"/>
    <tableColumn id="5" name="REL" dataDxfId="75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74"/>
  </tableColumns>
  <tableStyleInfo name="TableStyleLight2" showFirstColumn="0" showLastColumn="0" showRowStripes="1" showColumnStripes="0"/>
</table>
</file>

<file path=xl/tables/table28.xml><?xml version="1.0" encoding="utf-8"?>
<table xmlns="http://schemas.openxmlformats.org/spreadsheetml/2006/main" id="15" name="ResourceAction" displayName="ResourceAction" ref="A1:Y48" totalsRowShown="0" headerRowDxfId="73" dataDxfId="72">
  <autoFilter ref="A1:Y48"/>
  <tableColumns count="25">
    <tableColumn id="10" name="Primary" dataDxfId="71">
      <calculatedColumnFormula>'Table Seed Map'!$A$34&amp;"-"&amp;(COUNTA($E$1:ResourceAction[[#This Row],[Resource]])-2)</calculatedColumnFormula>
    </tableColumn>
    <tableColumn id="13" name="Display" dataDxfId="70">
      <calculatedColumnFormula>ResourceAction[[#This Row],[Resource Name]]&amp;"/"&amp;ResourceAction[[#This Row],[Name]]</calculatedColumnFormula>
    </tableColumn>
    <tableColumn id="2" name="Resource Name" dataDxfId="69"/>
    <tableColumn id="11" name="No" dataDxfId="68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67">
      <calculatedColumnFormula>IFERROR(VLOOKUP(ResourceAction[[#This Row],[Resource Name]],ResourceTable[[RName]:[No]],3,0),"resource")</calculatedColumnFormula>
    </tableColumn>
    <tableColumn id="4" name="Name" dataDxfId="66"/>
    <tableColumn id="6" name="Description" dataDxfId="65"/>
    <tableColumn id="7" name="Title" dataDxfId="64"/>
    <tableColumn id="8" name="Type" dataDxfId="63"/>
    <tableColumn id="9" name="Menu" dataDxfId="62"/>
    <tableColumn id="20" name="Primary Method" dataDxfId="61">
      <calculatedColumnFormula>'Table Seed Map'!$A$35&amp;"-"&amp;(COUNTA($E$1:ResourceAction[[#This Row],[Resource]])-2)</calculatedColumnFormula>
    </tableColumn>
    <tableColumn id="12" name="Method ID" dataDxfId="60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59">
      <calculatedColumnFormula>IF(ResourceAction[[#This Row],[No]]="id","resource_action",ResourceAction[[#This Row],[No]])</calculatedColumnFormula>
    </tableColumn>
    <tableColumn id="15" name="Method Type" dataDxfId="58"/>
    <tableColumn id="16" name="IDN 1" dataDxfId="57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56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55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54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53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52"/>
    <tableColumn id="22" name="IDN2" dataDxfId="51"/>
    <tableColumn id="24" name="IDN3" dataDxfId="50"/>
    <tableColumn id="25" name="IDN4" dataDxfId="49"/>
    <tableColumn id="23" name="IDN5" dataDxfId="48"/>
    <tableColumn id="1" name="AID" dataDxfId="47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id="16" name="ActionListNData" displayName="ActionListNData" ref="AA1:AL27" totalsRowShown="0" headerRowDxfId="46" dataDxfId="45">
  <autoFilter ref="AA1:AL27"/>
  <tableColumns count="12">
    <tableColumn id="1" name="Action Name" dataDxfId="44"/>
    <tableColumn id="3" name="Action" dataDxfId="43">
      <calculatedColumnFormula>VLOOKUP(ActionListNData[[#This Row],[Action Name]],ResourceAction[[Display]:[No]],3,0)</calculatedColumnFormula>
    </tableColumn>
    <tableColumn id="5" name="Resource List" dataDxfId="42"/>
    <tableColumn id="6" name="Resource Data" dataDxfId="41"/>
    <tableColumn id="9" name="Primary List" dataDxfId="40">
      <calculatedColumnFormula>'Table Seed Map'!$A$37&amp;"-"&amp;-1+COUNTA($AC$1:ActionListNData[[#This Row],[Resource List]])</calculatedColumnFormula>
    </tableColumn>
    <tableColumn id="10" name="List ID" dataDxfId="39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8">
      <calculatedColumnFormula>ActionListNData[[#This Row],[Action]]</calculatedColumnFormula>
    </tableColumn>
    <tableColumn id="4" name="List" dataDxfId="37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6">
      <calculatedColumnFormula>'Table Seed Map'!$A$38&amp;"-"&amp;-1+COUNTA($AD$1:ActionListNData[[#This Row],[Resource Data]])</calculatedColumnFormula>
    </tableColumn>
    <tableColumn id="12" name="Data ID" dataDxfId="35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4">
      <calculatedColumnFormula>ActionListNData[[#This Row],[Action]]</calculatedColumnFormula>
    </tableColumn>
    <tableColumn id="2" name="Data" dataDxfId="33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402" totalsRowShown="0" dataDxfId="449">
  <autoFilter ref="A1:K402"/>
  <tableColumns count="11">
    <tableColumn id="2" name="Table" dataDxfId="448"/>
    <tableColumn id="3" name="Field" dataDxfId="447"/>
    <tableColumn id="5" name="Type" dataDxfId="446">
      <calculatedColumnFormula>VLOOKUP(TableFields[Field],Columns[],2,0)&amp;"("</calculatedColumnFormula>
    </tableColumn>
    <tableColumn id="4" name="Name" dataDxfId="445">
      <calculatedColumnFormula>IF(VLOOKUP(TableFields[Field],Columns[],3,0)&lt;&gt;"","'"&amp;VLOOKUP(TableFields[Field],Columns[],3,0)&amp;"'","")</calculatedColumnFormula>
    </tableColumn>
    <tableColumn id="6" name="Arg2" dataDxfId="444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43">
      <calculatedColumnFormula>IF(VLOOKUP(TableFields[Field],Columns[],5,0)=0,"","-&gt;"&amp;VLOOKUP(TableFields[Field],Columns[],5,0))</calculatedColumnFormula>
    </tableColumn>
    <tableColumn id="8" name="Method2" dataDxfId="442">
      <calculatedColumnFormula>IF(VLOOKUP(TableFields[Field],Columns[],6,0)=0,"","-&gt;"&amp;VLOOKUP(TableFields[Field],Columns[],6,0))</calculatedColumnFormula>
    </tableColumn>
    <tableColumn id="9" name="Method3" dataDxfId="441">
      <calculatedColumnFormula>IF(VLOOKUP(TableFields[Field],Columns[],7,0)=0,"","-&gt;"&amp;VLOOKUP(TableFields[Field],Columns[],7,0))</calculatedColumnFormula>
    </tableColumn>
    <tableColumn id="10" name="Method4" dataDxfId="440">
      <calculatedColumnFormula>IF(VLOOKUP(TableFields[Field],Columns[],8,0)=0,"","-&gt;"&amp;VLOOKUP(TableFields[Field],Columns[],8,0))</calculatedColumnFormula>
    </tableColumn>
    <tableColumn id="11" name="Method5" dataDxfId="439">
      <calculatedColumnFormula>IF(VLOOKUP(TableFields[Field],Columns[],9,0)=0,"","-&gt;"&amp;VLOOKUP(TableFields[Field],Columns[],9,0))</calculatedColumnFormula>
    </tableColumn>
    <tableColumn id="12" name="Statement" dataDxfId="438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6" name="ActionAttr" displayName="ActionAttr" ref="AN1:AS2" totalsRowShown="0" headerRowDxfId="32" dataDxfId="31">
  <autoFilter ref="AN1:AS2"/>
  <tableColumns count="6">
    <tableColumn id="1" name="Action Name for Attr" dataDxfId="30"/>
    <tableColumn id="5" name="Primary" dataDxfId="29">
      <calculatedColumnFormula>'Table Seed Map'!$A$36&amp;"-"&amp;(COUNTA($AN$2:ActionAttr[[#This Row],[Action Name for Attr]]))</calculatedColumnFormula>
    </tableColumn>
    <tableColumn id="6" name="No" dataDxfId="28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27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26"/>
    <tableColumn id="3" name="Value" dataDxfId="25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24" dataDxfId="23">
  <autoFilter ref="A1:H6"/>
  <tableColumns count="8">
    <tableColumn id="1" name="Type" dataDxfId="22"/>
    <tableColumn id="2" name="Table Name" dataDxfId="21"/>
    <tableColumn id="3" name="Count Field" dataDxfId="20"/>
    <tableColumn id="4" name="Count Reduce" dataDxfId="19"/>
    <tableColumn id="5" name="Records" dataDxfId="18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7"/>
    <tableColumn id="8" name="Name Field Position" dataDxfId="16"/>
    <tableColumn id="9" name="ID Field Position" dataDxfId="15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14" dataDxfId="13">
  <autoFilter ref="J1:P501"/>
  <tableColumns count="7">
    <tableColumn id="1" name="No" dataDxfId="12">
      <calculatedColumnFormula>IFERROR($J1+1,1)</calculatedColumnFormula>
    </tableColumn>
    <tableColumn id="2" name="Type" dataDxfId="11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10">
      <calculatedColumnFormula>IF(IDNMaps[[#This Row],[Type]]="","",COUNTIF($K$1:IDNMaps[[#This Row],[Type]],IDNMaps[[#This Row],[Type]]))</calculatedColumnFormula>
    </tableColumn>
    <tableColumn id="4" name="Primary" dataDxfId="9">
      <calculatedColumnFormula>IFERROR(VLOOKUP(IDNMaps[[#This Row],[Type]],RecordCount[],6,0)&amp;"-"&amp;IDNMaps[[#This Row],[Type Count]],"")</calculatedColumnFormula>
    </tableColumn>
    <tableColumn id="5" name="Name" dataDxfId="8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7">
      <calculatedColumnFormula>IF(IDNMaps[[#This Row],[Name]]="","","("&amp;IDNMaps[[#This Row],[Type]]&amp;") "&amp;IDNMaps[[#This Row],[Name]])</calculatedColumnFormula>
    </tableColumn>
    <tableColumn id="7" name="ID" dataDxfId="6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82" totalsRowShown="0" headerRowDxfId="437" dataDxfId="436">
  <autoFilter ref="A1:R82"/>
  <tableColumns count="18">
    <tableColumn id="19" name="TRCode" dataDxfId="435">
      <calculatedColumnFormula>TableData[Table Name]&amp;"-"&amp;(COUNTIF($B$1:TableData[[#This Row],[Table Name]],TableData[[#This Row],[Table Name]])-1)</calculatedColumnFormula>
    </tableColumn>
    <tableColumn id="1" name="Table Name" dataDxfId="434"/>
    <tableColumn id="2" name="Record No" dataDxfId="433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32"/>
    <tableColumn id="4" name="2" dataDxfId="431"/>
    <tableColumn id="5" name="3" dataDxfId="430"/>
    <tableColumn id="6" name="4" dataDxfId="429"/>
    <tableColumn id="7" name="5" dataDxfId="428"/>
    <tableColumn id="8" name="6" dataDxfId="427"/>
    <tableColumn id="9" name="7" dataDxfId="426"/>
    <tableColumn id="10" name="8" dataDxfId="425"/>
    <tableColumn id="11" name="9" dataDxfId="424"/>
    <tableColumn id="12" name="10" dataDxfId="423"/>
    <tableColumn id="13" name="11" dataDxfId="422"/>
    <tableColumn id="14" name="12" dataDxfId="421"/>
    <tableColumn id="15" name="13" dataDxfId="420"/>
    <tableColumn id="16" name="14" dataDxfId="419"/>
    <tableColumn id="17" name="15" dataDxfId="418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72" totalsRowShown="0" dataDxfId="417">
  <autoFilter ref="A1:K72"/>
  <tableColumns count="11">
    <tableColumn id="1" name="Name" dataDxfId="416"/>
    <tableColumn id="3" name="Table Name" dataDxfId="415"/>
    <tableColumn id="20" name="NS" dataDxfId="414">
      <calculatedColumnFormula>VLOOKUP(SeedMap[Table Name],Tables[],4,0)</calculatedColumnFormula>
    </tableColumn>
    <tableColumn id="21" name="Model" dataDxfId="413">
      <calculatedColumnFormula>VLOOKUP(SeedMap[Table Name],Tables[],5,0)</calculatedColumnFormula>
    </tableColumn>
    <tableColumn id="6" name="Data Table" dataDxfId="412"/>
    <tableColumn id="7" name="Data Range" dataDxfId="411"/>
    <tableColumn id="8" name="Skip Columns" dataDxfId="410"/>
    <tableColumn id="4" name="Query Method" dataDxfId="409"/>
    <tableColumn id="2" name="Last ID" dataDxfId="408"/>
    <tableColumn id="5" name="AI Change Query" dataDxfId="407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06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3" totalsRowShown="0" dataDxfId="405">
  <autoFilter ref="A1:M33"/>
  <tableColumns count="13">
    <tableColumn id="11" name="Primary" dataDxfId="404">
      <calculatedColumnFormula>Page&amp;"-"&amp;(COUNTA($E$1:ResourceTable[[#This Row],[Name]])-2)</calculatedColumnFormula>
    </tableColumn>
    <tableColumn id="12" name="RName" dataDxfId="403">
      <calculatedColumnFormula>ResourceTable[[#This Row],[Name]]</calculatedColumnFormula>
    </tableColumn>
    <tableColumn id="13" name="RID" dataDxfId="402">
      <calculatedColumnFormula>COUNTA($A$1:ResourceTable[[#This Row],[Primary]])-2</calculatedColumnFormula>
    </tableColumn>
    <tableColumn id="1" name="No" dataDxfId="401">
      <calculatedColumnFormula>IF(ResourceTable[[#This Row],[RID]]=0,"id",ResourceTable[[#This Row],[RID]]+IF(ISNUMBER(VLOOKUP(Page,SeedMap[],9,0)),VLOOKUP(Page,SeedMap[],9,0),0))</calculatedColumnFormula>
    </tableColumn>
    <tableColumn id="2" name="Name" dataDxfId="400"/>
    <tableColumn id="3" name="Description" dataDxfId="399"/>
    <tableColumn id="4" name="Title" dataDxfId="398"/>
    <tableColumn id="5" name="NS" dataDxfId="397">
      <calculatedColumnFormula>"Milestone\SS\Model"</calculatedColumnFormula>
    </tableColumn>
    <tableColumn id="6" name="Table" dataDxfId="396"/>
    <tableColumn id="8" name="Controller" dataDxfId="395"/>
    <tableColumn id="9" name="Controller NS" dataDxfId="394"/>
    <tableColumn id="7" name="Development" dataDxfId="393"/>
    <tableColumn id="10" name="RID2" dataDxfId="392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5" totalsRowShown="0" dataDxfId="391">
  <autoFilter ref="O1:Z5"/>
  <tableColumns count="12">
    <tableColumn id="1" name="Select Resource for Default" dataDxfId="390"/>
    <tableColumn id="2" name="List" dataDxfId="389"/>
    <tableColumn id="3" name="Form" dataDxfId="388"/>
    <tableColumn id="4" name="Data" dataDxfId="387"/>
    <tableColumn id="5" name="FormWithData" dataDxfId="386"/>
    <tableColumn id="6" name="Primary" dataDxfId="385">
      <calculatedColumnFormula>'Table Seed Map'!$A$39&amp;"-"&amp;COUNTA($O$2:ResourceDefaultsTable[[#This Row],[Select Resource for Default]])</calculatedColumnFormula>
    </tableColumn>
    <tableColumn id="12" name="ID" dataDxfId="384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83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82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81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80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9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45" totalsRowShown="0" dataDxfId="378">
  <autoFilter ref="A1:N45"/>
  <tableColumns count="14">
    <tableColumn id="11" name="Primary" dataDxfId="377">
      <calculatedColumnFormula>Page&amp;"-"&amp;(COUNTA($E$1:RelationTable[[#This Row],[Resource]])-1)</calculatedColumnFormula>
    </tableColumn>
    <tableColumn id="1" name="No" dataDxfId="376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75">
      <calculatedColumnFormula>RelationTable[[#This Row],[Resource]]&amp;"/"&amp;RelationTable[[#This Row],[Method]]</calculatedColumnFormula>
    </tableColumn>
    <tableColumn id="14" name="RELID" dataDxfId="374">
      <calculatedColumnFormula>RelationTable[[#This Row],[No]]</calculatedColumnFormula>
    </tableColumn>
    <tableColumn id="3" name="Resource" dataDxfId="373"/>
    <tableColumn id="4" name="Relate Resource" dataDxfId="372"/>
    <tableColumn id="12" name="ID" dataDxfId="371">
      <calculatedColumnFormula>RelationTable[[#This Row],[No]]</calculatedColumnFormula>
    </tableColumn>
    <tableColumn id="2" name="Resource Id" dataDxfId="370">
      <calculatedColumnFormula>IF(RelationTable[[#This Row],[No]]="id","resource",VLOOKUP(RelationTable[Resource],CHOOSE({1,2},ResourceTable[Name],ResourceTable[No]),2,0))</calculatedColumnFormula>
    </tableColumn>
    <tableColumn id="5" name="Name" dataDxfId="369"/>
    <tableColumn id="6" name="Description" dataDxfId="368"/>
    <tableColumn id="7" name="Method" dataDxfId="367"/>
    <tableColumn id="8" name="Type" dataDxfId="366"/>
    <tableColumn id="10" name="Relate Id" dataDxfId="365">
      <calculatedColumnFormula>VLOOKUP(RelationTable[Relate Resource],CHOOSE({1,2},ResourceTable[Name],ResourceTable[No]),2,0)</calculatedColumnFormula>
    </tableColumn>
    <tableColumn id="9" name="RID" dataDxfId="364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6" totalsRowShown="0" dataDxfId="363">
  <autoFilter ref="P1:W16"/>
  <tableColumns count="8">
    <tableColumn id="1" name="Primary" dataDxfId="362">
      <calculatedColumnFormula>'Table Seed Map'!$A$9&amp;"-"&amp;COUNTA($Q$1:ResourceScopes[[#This Row],[Resource for Scope]])-1</calculatedColumnFormula>
    </tableColumn>
    <tableColumn id="2" name="Resource for Scope" dataDxfId="361"/>
    <tableColumn id="8" name="ScopesDisplayNames" dataDxfId="360">
      <calculatedColumnFormula>ResourceScopes[[#This Row],[Resource for Scope]]&amp;"/"&amp;ResourceScopes[[#This Row],[Name]]</calculatedColumnFormula>
    </tableColumn>
    <tableColumn id="3" name="No" dataDxfId="359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8">
      <calculatedColumnFormula>IFERROR(VLOOKUP(ResourceScopes[[#This Row],[Resource for Scope]],CHOOSE({1,2},ResourceTable[Name],ResourceTable[No]),2,0),"resource")</calculatedColumnFormula>
    </tableColumn>
    <tableColumn id="4" name="Name" dataDxfId="357"/>
    <tableColumn id="5" name="Description" dataDxfId="356"/>
    <tableColumn id="6" name="Method" dataDxfId="35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Relationship Id="rId4" Type="http://schemas.openxmlformats.org/officeDocument/2006/relationships/table" Target="../tables/table2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opLeftCell="D58" workbookViewId="0">
      <selection activeCell="F75" sqref="F75:F76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 x14ac:dyDescent="0.25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 x14ac:dyDescent="0.25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 x14ac:dyDescent="0.25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 x14ac:dyDescent="0.25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 x14ac:dyDescent="0.25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 x14ac:dyDescent="0.25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 x14ac:dyDescent="0.25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 x14ac:dyDescent="0.25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 x14ac:dyDescent="0.25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 x14ac:dyDescent="0.25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 x14ac:dyDescent="0.25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 x14ac:dyDescent="0.25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 x14ac:dyDescent="0.25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 x14ac:dyDescent="0.25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 x14ac:dyDescent="0.25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 x14ac:dyDescent="0.25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 x14ac:dyDescent="0.25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 x14ac:dyDescent="0.25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 x14ac:dyDescent="0.25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 x14ac:dyDescent="0.25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 x14ac:dyDescent="0.25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 x14ac:dyDescent="0.25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 x14ac:dyDescent="0.25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 x14ac:dyDescent="0.25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 x14ac:dyDescent="0.25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 x14ac:dyDescent="0.25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 x14ac:dyDescent="0.25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 x14ac:dyDescent="0.25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 x14ac:dyDescent="0.25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 x14ac:dyDescent="0.25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 x14ac:dyDescent="0.25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 x14ac:dyDescent="0.25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 x14ac:dyDescent="0.25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 x14ac:dyDescent="0.25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 x14ac:dyDescent="0.25">
      <c r="A46" s="4" t="s">
        <v>64</v>
      </c>
      <c r="B46" s="7" t="str">
        <f>Tables[Name]</f>
        <v>user</v>
      </c>
      <c r="C46" s="7" t="str">
        <f>IF(RIGHT(Tables[Name],3)="ies",MID(Tables[Name],1,LEN(Tables[Name])-3)&amp;"y",IF(RIGHT(Tables[Name],1)="s",MID(Tables[Name],1,LEN(Tables[Name])-1),Tables[Name]))</f>
        <v>user</v>
      </c>
      <c r="D46" s="8" t="str">
        <f>"Milestone\SS\Model"</f>
        <v>Milestone\SS\Model</v>
      </c>
      <c r="E46" s="7" t="str">
        <f>SUBSTITUTE(PROPER(Tables[Singular Name]),"_","")</f>
        <v>User</v>
      </c>
      <c r="F46" s="7" t="str">
        <f>"php artisan make:migration create_"&amp;Tables[Table]&amp;"_table --create="&amp;Tables[Table]</f>
        <v>php artisan make:migration create_user_table --create=user</v>
      </c>
      <c r="G46" s="7" t="str">
        <f>"php artisan make:model "&amp;Tables[Class Name]</f>
        <v>php artisan make:model User</v>
      </c>
      <c r="H46" s="7" t="str">
        <f>"protected $table = '"&amp;Tables[Table]&amp;"';"</f>
        <v>protected $table = 'user';</v>
      </c>
      <c r="I46" s="7" t="str">
        <f>"php artisan make:seed "&amp;Tables[Class Name]&amp;"TableSeeder"</f>
        <v>php artisan make:seed UserTableSeeder</v>
      </c>
      <c r="J46" s="7" t="str">
        <f>Tables[Class Name]&amp;"TableSeeder"&amp;"::class,"</f>
        <v>UserTableSeeder::class,</v>
      </c>
    </row>
    <row r="47" spans="1:10" x14ac:dyDescent="0.25">
      <c r="A47" s="4" t="s">
        <v>1071</v>
      </c>
      <c r="B47" s="7" t="str">
        <f>Tables[Name]</f>
        <v>setup</v>
      </c>
      <c r="C47" s="7" t="str">
        <f>IF(RIGHT(Tables[Name],3)="ies",MID(Tables[Name],1,LEN(Tables[Name])-3)&amp;"y",IF(RIGHT(Tables[Name],1)="s",MID(Tables[Name],1,LEN(Tables[Name])-1),Tables[Name]))</f>
        <v>setup</v>
      </c>
      <c r="D47" s="8" t="str">
        <f t="shared" ref="D47:D63" si="0">"Milestone\SS\Model"</f>
        <v>Milestone\SS\Model</v>
      </c>
      <c r="E47" s="7" t="str">
        <f>SUBSTITUTE(PROPER(Tables[Singular Name]),"_","")</f>
        <v>Setup</v>
      </c>
      <c r="F47" s="7" t="str">
        <f>"php artisan make:migration create_"&amp;Tables[Table]&amp;"_table --create="&amp;Tables[Table]</f>
        <v>php artisan make:migration create_setup_table --create=setup</v>
      </c>
      <c r="G47" s="7" t="str">
        <f>"php artisan make:model "&amp;Tables[Class Name]</f>
        <v>php artisan make:model Setup</v>
      </c>
      <c r="H47" s="7" t="str">
        <f>"protected $table = '"&amp;Tables[Table]&amp;"';"</f>
        <v>protected $table = 'setup';</v>
      </c>
      <c r="I47" s="7" t="str">
        <f>"php artisan make:seed "&amp;Tables[Class Name]&amp;"TableSeeder"</f>
        <v>php artisan make:seed SetupTableSeeder</v>
      </c>
      <c r="J47" s="7" t="str">
        <f>Tables[Class Name]&amp;"TableSeeder"&amp;"::class,"</f>
        <v>SetupTableSeeder::class,</v>
      </c>
    </row>
    <row r="48" spans="1:10" x14ac:dyDescent="0.25">
      <c r="A48" s="2" t="s">
        <v>1831</v>
      </c>
      <c r="B48" s="9" t="str">
        <f>Tables[Name]</f>
        <v>menu_types</v>
      </c>
      <c r="C48" s="9" t="str">
        <f>IF(RIGHT(Tables[Name],3)="ies",MID(Tables[Name],1,LEN(Tables[Name])-3)&amp;"y",IF(RIGHT(Tables[Name],1)="s",MID(Tables[Name],1,LEN(Tables[Name])-1),Tables[Name]))</f>
        <v>menu_type</v>
      </c>
      <c r="D48" s="6" t="str">
        <f>"Milestone\SS\Model"</f>
        <v>Milestone\SS\Model</v>
      </c>
      <c r="E48" s="9" t="str">
        <f>SUBSTITUTE(PROPER(Tables[Singular Name]),"_","")</f>
        <v>MenuType</v>
      </c>
      <c r="F48" s="9" t="str">
        <f>"php artisan make:migration create_"&amp;Tables[Table]&amp;"_table --create="&amp;Tables[Table]</f>
        <v>php artisan make:migration create_menu_types_table --create=menu_types</v>
      </c>
      <c r="G48" s="9" t="str">
        <f>"php artisan make:model "&amp;Tables[Class Name]</f>
        <v>php artisan make:model MenuType</v>
      </c>
      <c r="H48" s="9" t="str">
        <f>"protected $table = '"&amp;Tables[Table]&amp;"';"</f>
        <v>protected $table = 'menu_types';</v>
      </c>
      <c r="I48" s="9" t="str">
        <f>"php artisan make:seed "&amp;Tables[Class Name]&amp;"TableSeeder"</f>
        <v>php artisan make:seed MenuTypeTableSeeder</v>
      </c>
      <c r="J48" s="9" t="str">
        <f>Tables[Class Name]&amp;"TableSeeder"&amp;"::class,"</f>
        <v>MenuTypeTableSeeder::class,</v>
      </c>
    </row>
    <row r="49" spans="1:10" x14ac:dyDescent="0.25">
      <c r="A49" s="4" t="s">
        <v>114</v>
      </c>
      <c r="B49" s="7" t="str">
        <f>Tables[Name]</f>
        <v>menu</v>
      </c>
      <c r="C49" s="7" t="str">
        <f>IF(RIGHT(Tables[Name],3)="ies",MID(Tables[Name],1,LEN(Tables[Name])-3)&amp;"y",IF(RIGHT(Tables[Name],1)="s",MID(Tables[Name],1,LEN(Tables[Name])-1),Tables[Name]))</f>
        <v>menu</v>
      </c>
      <c r="D49" s="8" t="str">
        <f t="shared" ref="D49" si="1">"Milestone\SS\Model"</f>
        <v>Milestone\SS\Model</v>
      </c>
      <c r="E49" s="7" t="str">
        <f>SUBSTITUTE(PROPER(Tables[Singular Name]),"_","")</f>
        <v>Menu</v>
      </c>
      <c r="F49" s="7" t="str">
        <f>"php artisan make:migration create_"&amp;Tables[Table]&amp;"_table --create="&amp;Tables[Table]</f>
        <v>php artisan make:migration create_menu_table --create=menu</v>
      </c>
      <c r="G49" s="7" t="str">
        <f>"php artisan make:model "&amp;Tables[Class Name]</f>
        <v>php artisan make:model Menu</v>
      </c>
      <c r="H49" s="7" t="str">
        <f>"protected $table = '"&amp;Tables[Table]&amp;"';"</f>
        <v>protected $table = 'menu';</v>
      </c>
      <c r="I49" s="7" t="str">
        <f>"php artisan make:seed "&amp;Tables[Class Name]&amp;"TableSeeder"</f>
        <v>php artisan make:seed MenuTableSeeder</v>
      </c>
      <c r="J49" s="7" t="str">
        <f>Tables[Class Name]&amp;"TableSeeder"&amp;"::class,"</f>
        <v>MenuTableSeeder::class,</v>
      </c>
    </row>
    <row r="50" spans="1:10" x14ac:dyDescent="0.25">
      <c r="A50" s="4" t="s">
        <v>1270</v>
      </c>
      <c r="B50" s="7" t="str">
        <f>Tables[Name]</f>
        <v>settings</v>
      </c>
      <c r="C50" s="7" t="str">
        <f>IF(RIGHT(Tables[Name],3)="ies",MID(Tables[Name],1,LEN(Tables[Name])-3)&amp;"y",IF(RIGHT(Tables[Name],1)="s",MID(Tables[Name],1,LEN(Tables[Name])-1),Tables[Name]))</f>
        <v>setting</v>
      </c>
      <c r="D50" s="8" t="str">
        <f t="shared" si="0"/>
        <v>Milestone\SS\Model</v>
      </c>
      <c r="E50" s="7" t="str">
        <f>SUBSTITUTE(PROPER(Tables[Singular Name]),"_","")</f>
        <v>Setting</v>
      </c>
      <c r="F50" s="7" t="str">
        <f>"php artisan make:migration create_"&amp;Tables[Table]&amp;"_table --create="&amp;Tables[Table]</f>
        <v>php artisan make:migration create_settings_table --create=settings</v>
      </c>
      <c r="G50" s="7" t="str">
        <f>"php artisan make:model "&amp;Tables[Class Name]</f>
        <v>php artisan make:model Setting</v>
      </c>
      <c r="H50" s="7" t="str">
        <f>"protected $table = '"&amp;Tables[Table]&amp;"';"</f>
        <v>protected $table = 'settings';</v>
      </c>
      <c r="I50" s="7" t="str">
        <f>"php artisan make:seed "&amp;Tables[Class Name]&amp;"TableSeeder"</f>
        <v>php artisan make:seed SettingTableSeeder</v>
      </c>
      <c r="J50" s="7" t="str">
        <f>Tables[Class Name]&amp;"TableSeeder"&amp;"::class,"</f>
        <v>SettingTableSeeder::class,</v>
      </c>
    </row>
    <row r="51" spans="1:10" x14ac:dyDescent="0.25">
      <c r="A51" s="4" t="s">
        <v>890</v>
      </c>
      <c r="B51" s="7" t="str">
        <f>Tables[Name]</f>
        <v>fiscalyearmaster</v>
      </c>
      <c r="C51" s="7" t="str">
        <f>IF(RIGHT(Tables[Name],3)="ies",MID(Tables[Name],1,LEN(Tables[Name])-3)&amp;"y",IF(RIGHT(Tables[Name],1)="s",MID(Tables[Name],1,LEN(Tables[Name])-1),Tables[Name]))</f>
        <v>fiscalyearmaster</v>
      </c>
      <c r="D51" s="8" t="str">
        <f t="shared" si="0"/>
        <v>Milestone\SS\Model</v>
      </c>
      <c r="E51" s="7" t="str">
        <f>SUBSTITUTE(PROPER(Tables[Singular Name]),"_","")</f>
        <v>Fiscalyearmaster</v>
      </c>
      <c r="F51" s="7" t="str">
        <f>"php artisan make:migration create_"&amp;Tables[Table]&amp;"_table --create="&amp;Tables[Table]</f>
        <v>php artisan make:migration create_fiscalyearmaster_table --create=fiscalyearmaster</v>
      </c>
      <c r="G51" s="7" t="str">
        <f>"php artisan make:model "&amp;Tables[Class Name]</f>
        <v>php artisan make:model Fiscalyearmaster</v>
      </c>
      <c r="H51" s="7" t="str">
        <f>"protected $table = '"&amp;Tables[Table]&amp;"';"</f>
        <v>protected $table = 'fiscalyearmaster';</v>
      </c>
      <c r="I51" s="7" t="str">
        <f>"php artisan make:seed "&amp;Tables[Class Name]&amp;"TableSeeder"</f>
        <v>php artisan make:seed FiscalyearmasterTableSeeder</v>
      </c>
      <c r="J51" s="7" t="str">
        <f>Tables[Class Name]&amp;"TableSeeder"&amp;"::class,"</f>
        <v>FiscalyearmasterTableSeeder::class,</v>
      </c>
    </row>
    <row r="52" spans="1:10" x14ac:dyDescent="0.25">
      <c r="A52" s="4" t="s">
        <v>1677</v>
      </c>
      <c r="B52" s="7" t="str">
        <f>Tables[Name]</f>
        <v>product_group_master</v>
      </c>
      <c r="C52" s="7" t="str">
        <f>IF(RIGHT(Tables[Name],3)="ies",MID(Tables[Name],1,LEN(Tables[Name])-3)&amp;"y",IF(RIGHT(Tables[Name],1)="s",MID(Tables[Name],1,LEN(Tables[Name])-1),Tables[Name]))</f>
        <v>product_group_master</v>
      </c>
      <c r="D52" s="8" t="str">
        <f>"Milestone\SS\Model"</f>
        <v>Milestone\SS\Model</v>
      </c>
      <c r="E52" s="7" t="str">
        <f>SUBSTITUTE(PROPER(Tables[Singular Name]),"_","")</f>
        <v>ProductGroupMaster</v>
      </c>
      <c r="F52" s="7" t="str">
        <f>"php artisan make:migration create_"&amp;Tables[Table]&amp;"_table --create="&amp;Tables[Table]</f>
        <v>php artisan make:migration create_product_group_master_table --create=product_group_master</v>
      </c>
      <c r="G52" s="7" t="str">
        <f>"php artisan make:model "&amp;Tables[Class Name]</f>
        <v>php artisan make:model ProductGroupMaster</v>
      </c>
      <c r="H52" s="7" t="str">
        <f>"protected $table = '"&amp;Tables[Table]&amp;"';"</f>
        <v>protected $table = 'product_group_master';</v>
      </c>
      <c r="I52" s="7" t="str">
        <f>"php artisan make:seed "&amp;Tables[Class Name]&amp;"TableSeeder"</f>
        <v>php artisan make:seed ProductGroupMasterTableSeeder</v>
      </c>
      <c r="J52" s="7" t="str">
        <f>Tables[Class Name]&amp;"TableSeeder"&amp;"::class,"</f>
        <v>ProductGroupMasterTableSeeder::class,</v>
      </c>
    </row>
    <row r="53" spans="1:10" x14ac:dyDescent="0.25">
      <c r="A53" s="4" t="s">
        <v>760</v>
      </c>
      <c r="B53" s="7" t="str">
        <f>Tables[Name]</f>
        <v>products</v>
      </c>
      <c r="C53" s="7" t="str">
        <f>IF(RIGHT(Tables[Name],3)="ies",MID(Tables[Name],1,LEN(Tables[Name])-3)&amp;"y",IF(RIGHT(Tables[Name],1)="s",MID(Tables[Name],1,LEN(Tables[Name])-1),Tables[Name]))</f>
        <v>product</v>
      </c>
      <c r="D53" s="8" t="str">
        <f t="shared" si="0"/>
        <v>Milestone\SS\Model</v>
      </c>
      <c r="E53" s="7" t="str">
        <f>SUBSTITUTE(PROPER(Tables[Singular Name]),"_","")</f>
        <v>Product</v>
      </c>
      <c r="F53" s="7" t="str">
        <f>"php artisan make:migration create_"&amp;Tables[Table]&amp;"_table --create="&amp;Tables[Table]</f>
        <v>php artisan make:migration create_products_table --create=products</v>
      </c>
      <c r="G53" s="7" t="str">
        <f>"php artisan make:model "&amp;Tables[Class Name]</f>
        <v>php artisan make:model Product</v>
      </c>
      <c r="H53" s="7" t="str">
        <f>"protected $table = '"&amp;Tables[Table]&amp;"';"</f>
        <v>protected $table = 'products';</v>
      </c>
      <c r="I53" s="7" t="str">
        <f>"php artisan make:seed "&amp;Tables[Class Name]&amp;"TableSeeder"</f>
        <v>php artisan make:seed ProductTableSeeder</v>
      </c>
      <c r="J53" s="7" t="str">
        <f>Tables[Class Name]&amp;"TableSeeder"&amp;"::class,"</f>
        <v>ProductTableSeeder::class,</v>
      </c>
    </row>
    <row r="54" spans="1:10" x14ac:dyDescent="0.25">
      <c r="A54" s="4" t="s">
        <v>1691</v>
      </c>
      <c r="B54" s="7" t="str">
        <f>Tables[Name]</f>
        <v>product_groups</v>
      </c>
      <c r="C54" s="7" t="str">
        <f>IF(RIGHT(Tables[Name],3)="ies",MID(Tables[Name],1,LEN(Tables[Name])-3)&amp;"y",IF(RIGHT(Tables[Name],1)="s",MID(Tables[Name],1,LEN(Tables[Name])-1),Tables[Name]))</f>
        <v>product_group</v>
      </c>
      <c r="D54" s="8" t="str">
        <f>"Milestone\SS\Model"</f>
        <v>Milestone\SS\Model</v>
      </c>
      <c r="E54" s="7" t="str">
        <f>SUBSTITUTE(PROPER(Tables[Singular Name]),"_","")</f>
        <v>ProductGroup</v>
      </c>
      <c r="F54" s="7" t="str">
        <f>"php artisan make:migration create_"&amp;Tables[Table]&amp;"_table --create="&amp;Tables[Table]</f>
        <v>php artisan make:migration create_product_groups_table --create=product_groups</v>
      </c>
      <c r="G54" s="7" t="str">
        <f>"php artisan make:model "&amp;Tables[Class Name]</f>
        <v>php artisan make:model ProductGroup</v>
      </c>
      <c r="H54" s="7" t="str">
        <f>"protected $table = '"&amp;Tables[Table]&amp;"';"</f>
        <v>protected $table = 'product_groups';</v>
      </c>
      <c r="I54" s="7" t="str">
        <f>"php artisan make:seed "&amp;Tables[Class Name]&amp;"TableSeeder"</f>
        <v>php artisan make:seed ProductGroupTableSeeder</v>
      </c>
      <c r="J54" s="7" t="str">
        <f>Tables[Class Name]&amp;"TableSeeder"&amp;"::class,"</f>
        <v>ProductGroupTableSeeder::class,</v>
      </c>
    </row>
    <row r="55" spans="1:10" x14ac:dyDescent="0.25">
      <c r="A55" s="4" t="s">
        <v>1698</v>
      </c>
      <c r="B55" s="7" t="str">
        <f>Tables[Name]</f>
        <v>product_images</v>
      </c>
      <c r="C55" s="7" t="str">
        <f>IF(RIGHT(Tables[Name],3)="ies",MID(Tables[Name],1,LEN(Tables[Name])-3)&amp;"y",IF(RIGHT(Tables[Name],1)="s",MID(Tables[Name],1,LEN(Tables[Name])-1),Tables[Name]))</f>
        <v>product_image</v>
      </c>
      <c r="D55" s="8" t="str">
        <f>"Milestone\SS\Model"</f>
        <v>Milestone\SS\Model</v>
      </c>
      <c r="E55" s="7" t="str">
        <f>SUBSTITUTE(PROPER(Tables[Singular Name]),"_","")</f>
        <v>ProductImage</v>
      </c>
      <c r="F55" s="7" t="str">
        <f>"php artisan make:migration create_"&amp;Tables[Table]&amp;"_table --create="&amp;Tables[Table]</f>
        <v>php artisan make:migration create_product_images_table --create=product_images</v>
      </c>
      <c r="G55" s="7" t="str">
        <f>"php artisan make:model "&amp;Tables[Class Name]</f>
        <v>php artisan make:model ProductImage</v>
      </c>
      <c r="H55" s="7" t="str">
        <f>"protected $table = '"&amp;Tables[Table]&amp;"';"</f>
        <v>protected $table = 'product_images';</v>
      </c>
      <c r="I55" s="7" t="str">
        <f>"php artisan make:seed "&amp;Tables[Class Name]&amp;"TableSeeder"</f>
        <v>php artisan make:seed ProductImageTableSeeder</v>
      </c>
      <c r="J55" s="7" t="str">
        <f>Tables[Class Name]&amp;"TableSeeder"&amp;"::class,"</f>
        <v>ProductImageTableSeeder::class,</v>
      </c>
    </row>
    <row r="56" spans="1:10" x14ac:dyDescent="0.25">
      <c r="A56" s="4" t="s">
        <v>762</v>
      </c>
      <c r="B56" s="7" t="str">
        <f>Tables[Name]</f>
        <v>pricelist</v>
      </c>
      <c r="C56" s="7" t="str">
        <f>IF(RIGHT(Tables[Name],3)="ies",MID(Tables[Name],1,LEN(Tables[Name])-3)&amp;"y",IF(RIGHT(Tables[Name],1)="s",MID(Tables[Name],1,LEN(Tables[Name])-1),Tables[Name]))</f>
        <v>pricelist</v>
      </c>
      <c r="D56" s="8" t="str">
        <f t="shared" si="0"/>
        <v>Milestone\SS\Model</v>
      </c>
      <c r="E56" s="7" t="str">
        <f>SUBSTITUTE(PROPER(Tables[Singular Name]),"_","")</f>
        <v>Pricelist</v>
      </c>
      <c r="F56" s="7" t="str">
        <f>"php artisan make:migration create_"&amp;Tables[Table]&amp;"_table --create="&amp;Tables[Table]</f>
        <v>php artisan make:migration create_pricelist_table --create=pricelist</v>
      </c>
      <c r="G56" s="7" t="str">
        <f>"php artisan make:model "&amp;Tables[Class Name]</f>
        <v>php artisan make:model Pricelist</v>
      </c>
      <c r="H56" s="7" t="str">
        <f>"protected $table = '"&amp;Tables[Table]&amp;"';"</f>
        <v>protected $table = 'pricelist';</v>
      </c>
      <c r="I56" s="7" t="str">
        <f>"php artisan make:seed "&amp;Tables[Class Name]&amp;"TableSeeder"</f>
        <v>php artisan make:seed PricelistTableSeeder</v>
      </c>
      <c r="J56" s="7" t="str">
        <f>Tables[Class Name]&amp;"TableSeeder"&amp;"::class,"</f>
        <v>PricelistTableSeeder::class,</v>
      </c>
    </row>
    <row r="57" spans="1:10" x14ac:dyDescent="0.25">
      <c r="A57" s="4" t="s">
        <v>763</v>
      </c>
      <c r="B57" s="7" t="str">
        <f>Tables[Name]</f>
        <v>pricelist_products</v>
      </c>
      <c r="C57" s="7" t="str">
        <f>IF(RIGHT(Tables[Name],3)="ies",MID(Tables[Name],1,LEN(Tables[Name])-3)&amp;"y",IF(RIGHT(Tables[Name],1)="s",MID(Tables[Name],1,LEN(Tables[Name])-1),Tables[Name]))</f>
        <v>pricelist_product</v>
      </c>
      <c r="D57" s="8" t="str">
        <f t="shared" si="0"/>
        <v>Milestone\SS\Model</v>
      </c>
      <c r="E57" s="7" t="str">
        <f>SUBSTITUTE(PROPER(Tables[Singular Name]),"_","")</f>
        <v>PricelistProduct</v>
      </c>
      <c r="F57" s="7" t="str">
        <f>"php artisan make:migration create_"&amp;Tables[Table]&amp;"_table --create="&amp;Tables[Table]</f>
        <v>php artisan make:migration create_pricelist_products_table --create=pricelist_products</v>
      </c>
      <c r="G57" s="7" t="str">
        <f>"php artisan make:model "&amp;Tables[Class Name]</f>
        <v>php artisan make:model PricelistProduct</v>
      </c>
      <c r="H57" s="7" t="str">
        <f>"protected $table = '"&amp;Tables[Table]&amp;"';"</f>
        <v>protected $table = 'pricelist_products';</v>
      </c>
      <c r="I57" s="7" t="str">
        <f>"php artisan make:seed "&amp;Tables[Class Name]&amp;"TableSeeder"</f>
        <v>php artisan make:seed PricelistProductTableSeeder</v>
      </c>
      <c r="J57" s="7" t="str">
        <f>Tables[Class Name]&amp;"TableSeeder"&amp;"::class,"</f>
        <v>PricelistProductTableSeeder::class,</v>
      </c>
    </row>
    <row r="58" spans="1:10" x14ac:dyDescent="0.25">
      <c r="A58" s="4" t="s">
        <v>850</v>
      </c>
      <c r="B58" s="7" t="str">
        <f>Tables[Name]</f>
        <v>functiondetails</v>
      </c>
      <c r="C58" s="7" t="str">
        <f>IF(RIGHT(Tables[Name],3)="ies",MID(Tables[Name],1,LEN(Tables[Name])-3)&amp;"y",IF(RIGHT(Tables[Name],1)="s",MID(Tables[Name],1,LEN(Tables[Name])-1),Tables[Name]))</f>
        <v>functiondetail</v>
      </c>
      <c r="D58" s="8" t="str">
        <f>"Milestone\SS\Model"</f>
        <v>Milestone\SS\Model</v>
      </c>
      <c r="E58" s="7" t="str">
        <f>SUBSTITUTE(PROPER(Tables[Singular Name]),"_","")</f>
        <v>Functiondetail</v>
      </c>
      <c r="F58" s="7" t="str">
        <f>"php artisan make:migration create_"&amp;Tables[Table]&amp;"_table --create="&amp;Tables[Table]</f>
        <v>php artisan make:migration create_functiondetails_table --create=functiondetails</v>
      </c>
      <c r="G58" s="7" t="str">
        <f>"php artisan make:model "&amp;Tables[Class Name]</f>
        <v>php artisan make:model Functiondetail</v>
      </c>
      <c r="H58" s="7" t="str">
        <f>"protected $table = '"&amp;Tables[Table]&amp;"';"</f>
        <v>protected $table = 'functiondetails';</v>
      </c>
      <c r="I58" s="7" t="str">
        <f>"php artisan make:seed "&amp;Tables[Class Name]&amp;"TableSeeder"</f>
        <v>php artisan make:seed FunctiondetailTableSeeder</v>
      </c>
      <c r="J58" s="7" t="str">
        <f>Tables[Class Name]&amp;"TableSeeder"&amp;"::class,"</f>
        <v>FunctiondetailTableSeeder::class,</v>
      </c>
    </row>
    <row r="59" spans="1:10" x14ac:dyDescent="0.25">
      <c r="A59" s="4" t="s">
        <v>757</v>
      </c>
      <c r="B59" s="7" t="str">
        <f>Tables[Name]</f>
        <v>stores</v>
      </c>
      <c r="C59" s="7" t="str">
        <f>IF(RIGHT(Tables[Name],3)="ies",MID(Tables[Name],1,LEN(Tables[Name])-3)&amp;"y",IF(RIGHT(Tables[Name],1)="s",MID(Tables[Name],1,LEN(Tables[Name])-1),Tables[Name]))</f>
        <v>store</v>
      </c>
      <c r="D59" s="8" t="str">
        <f t="shared" si="0"/>
        <v>Milestone\SS\Model</v>
      </c>
      <c r="E59" s="7" t="str">
        <f>SUBSTITUTE(PROPER(Tables[Singular Name]),"_","")</f>
        <v>Store</v>
      </c>
      <c r="F59" s="7" t="str">
        <f>"php artisan make:migration create_"&amp;Tables[Table]&amp;"_table --create="&amp;Tables[Table]</f>
        <v>php artisan make:migration create_stores_table --create=stores</v>
      </c>
      <c r="G59" s="7" t="str">
        <f>"php artisan make:model "&amp;Tables[Class Name]</f>
        <v>php artisan make:model Store</v>
      </c>
      <c r="H59" s="7" t="str">
        <f>"protected $table = '"&amp;Tables[Table]&amp;"';"</f>
        <v>protected $table = 'stores';</v>
      </c>
      <c r="I59" s="7" t="str">
        <f>"php artisan make:seed "&amp;Tables[Class Name]&amp;"TableSeeder"</f>
        <v>php artisan make:seed StoreTableSeeder</v>
      </c>
      <c r="J59" s="7" t="str">
        <f>Tables[Class Name]&amp;"TableSeeder"&amp;"::class,"</f>
        <v>StoreTableSeeder::class,</v>
      </c>
    </row>
    <row r="60" spans="1:10" x14ac:dyDescent="0.25">
      <c r="A60" s="4" t="s">
        <v>758</v>
      </c>
      <c r="B60" s="7" t="str">
        <f>Tables[Name]</f>
        <v>areas</v>
      </c>
      <c r="C60" s="7" t="str">
        <f>IF(RIGHT(Tables[Name],3)="ies",MID(Tables[Name],1,LEN(Tables[Name])-3)&amp;"y",IF(RIGHT(Tables[Name],1)="s",MID(Tables[Name],1,LEN(Tables[Name])-1),Tables[Name]))</f>
        <v>area</v>
      </c>
      <c r="D60" s="8" t="str">
        <f t="shared" si="0"/>
        <v>Milestone\SS\Model</v>
      </c>
      <c r="E60" s="7" t="str">
        <f>SUBSTITUTE(PROPER(Tables[Singular Name]),"_","")</f>
        <v>Area</v>
      </c>
      <c r="F60" s="7" t="str">
        <f>"php artisan make:migration create_"&amp;Tables[Table]&amp;"_table --create="&amp;Tables[Table]</f>
        <v>php artisan make:migration create_areas_table --create=areas</v>
      </c>
      <c r="G60" s="7" t="str">
        <f>"php artisan make:model "&amp;Tables[Class Name]</f>
        <v>php artisan make:model Area</v>
      </c>
      <c r="H60" s="7" t="str">
        <f>"protected $table = '"&amp;Tables[Table]&amp;"';"</f>
        <v>protected $table = 'areas';</v>
      </c>
      <c r="I60" s="7" t="str">
        <f>"php artisan make:seed "&amp;Tables[Class Name]&amp;"TableSeeder"</f>
        <v>php artisan make:seed AreaTableSeeder</v>
      </c>
      <c r="J60" s="7" t="str">
        <f>Tables[Class Name]&amp;"TableSeeder"&amp;"::class,"</f>
        <v>AreaTableSeeder::class,</v>
      </c>
    </row>
    <row r="61" spans="1:10" x14ac:dyDescent="0.25">
      <c r="A61" s="4" t="s">
        <v>755</v>
      </c>
      <c r="B61" s="7" t="str">
        <f>Tables[Name]</f>
        <v>area_users</v>
      </c>
      <c r="C61" s="7" t="str">
        <f>IF(RIGHT(Tables[Name],3)="ies",MID(Tables[Name],1,LEN(Tables[Name])-3)&amp;"y",IF(RIGHT(Tables[Name],1)="s",MID(Tables[Name],1,LEN(Tables[Name])-1),Tables[Name]))</f>
        <v>area_user</v>
      </c>
      <c r="D61" s="8" t="str">
        <f t="shared" si="0"/>
        <v>Milestone\SS\Model</v>
      </c>
      <c r="E61" s="7" t="str">
        <f>SUBSTITUTE(PROPER(Tables[Singular Name]),"_","")</f>
        <v>AreaUser</v>
      </c>
      <c r="F61" s="7" t="str">
        <f>"php artisan make:migration create_"&amp;Tables[Table]&amp;"_table --create="&amp;Tables[Table]</f>
        <v>php artisan make:migration create_area_users_table --create=area_users</v>
      </c>
      <c r="G61" s="7" t="str">
        <f>"php artisan make:model "&amp;Tables[Class Name]</f>
        <v>php artisan make:model AreaUser</v>
      </c>
      <c r="H61" s="7" t="str">
        <f>"protected $table = '"&amp;Tables[Table]&amp;"';"</f>
        <v>protected $table = 'area_users';</v>
      </c>
      <c r="I61" s="7" t="str">
        <f>"php artisan make:seed "&amp;Tables[Class Name]&amp;"TableSeeder"</f>
        <v>php artisan make:seed AreaUserTableSeeder</v>
      </c>
      <c r="J61" s="7" t="str">
        <f>Tables[Class Name]&amp;"TableSeeder"&amp;"::class,"</f>
        <v>AreaUserTableSeeder::class,</v>
      </c>
    </row>
    <row r="62" spans="1:10" x14ac:dyDescent="0.25">
      <c r="A62" s="4" t="s">
        <v>1271</v>
      </c>
      <c r="B62" s="7" t="str">
        <f>Tables[Name]</f>
        <v>user_settings</v>
      </c>
      <c r="C62" s="7" t="str">
        <f>IF(RIGHT(Tables[Name],3)="ies",MID(Tables[Name],1,LEN(Tables[Name])-3)&amp;"y",IF(RIGHT(Tables[Name],1)="s",MID(Tables[Name],1,LEN(Tables[Name])-1),Tables[Name]))</f>
        <v>user_setting</v>
      </c>
      <c r="D62" s="8" t="str">
        <f t="shared" si="0"/>
        <v>Milestone\SS\Model</v>
      </c>
      <c r="E62" s="7" t="str">
        <f>SUBSTITUTE(PROPER(Tables[Singular Name]),"_","")</f>
        <v>UserSetting</v>
      </c>
      <c r="F62" s="7" t="str">
        <f>"php artisan make:migration create_"&amp;Tables[Table]&amp;"_table --create="&amp;Tables[Table]</f>
        <v>php artisan make:migration create_user_settings_table --create=user_settings</v>
      </c>
      <c r="G62" s="7" t="str">
        <f>"php artisan make:model "&amp;Tables[Class Name]</f>
        <v>php artisan make:model UserSetting</v>
      </c>
      <c r="H62" s="7" t="str">
        <f>"protected $table = '"&amp;Tables[Table]&amp;"';"</f>
        <v>protected $table = 'user_settings';</v>
      </c>
      <c r="I62" s="7" t="str">
        <f>"php artisan make:seed "&amp;Tables[Class Name]&amp;"TableSeeder"</f>
        <v>php artisan make:seed UserSettingTableSeeder</v>
      </c>
      <c r="J62" s="7" t="str">
        <f>Tables[Class Name]&amp;"TableSeeder"&amp;"::class,"</f>
        <v>UserSettingTableSeeder::class,</v>
      </c>
    </row>
    <row r="63" spans="1:10" x14ac:dyDescent="0.25">
      <c r="A63" s="4" t="s">
        <v>759</v>
      </c>
      <c r="B63" s="7" t="str">
        <f>Tables[Name]</f>
        <v>user_store_area</v>
      </c>
      <c r="C63" s="7" t="str">
        <f>IF(RIGHT(Tables[Name],3)="ies",MID(Tables[Name],1,LEN(Tables[Name])-3)&amp;"y",IF(RIGHT(Tables[Name],1)="s",MID(Tables[Name],1,LEN(Tables[Name])-1),Tables[Name]))</f>
        <v>user_store_area</v>
      </c>
      <c r="D63" s="8" t="str">
        <f t="shared" si="0"/>
        <v>Milestone\SS\Model</v>
      </c>
      <c r="E63" s="7" t="str">
        <f>SUBSTITUTE(PROPER(Tables[Singular Name]),"_","")</f>
        <v>UserStoreArea</v>
      </c>
      <c r="F63" s="7" t="str">
        <f>"php artisan make:migration create_"&amp;Tables[Table]&amp;"_table --create="&amp;Tables[Table]</f>
        <v>php artisan make:migration create_user_store_area_table --create=user_store_area</v>
      </c>
      <c r="G63" s="7" t="str">
        <f>"php artisan make:model "&amp;Tables[Class Name]</f>
        <v>php artisan make:model UserStoreArea</v>
      </c>
      <c r="H63" s="7" t="str">
        <f>"protected $table = '"&amp;Tables[Table]&amp;"';"</f>
        <v>protected $table = 'user_store_area';</v>
      </c>
      <c r="I63" s="7" t="str">
        <f>"php artisan make:seed "&amp;Tables[Class Name]&amp;"TableSeeder"</f>
        <v>php artisan make:seed UserStoreAreaTableSeeder</v>
      </c>
      <c r="J63" s="7" t="str">
        <f>Tables[Class Name]&amp;"TableSeeder"&amp;"::class,"</f>
        <v>UserStoreAreaTableSeeder::class,</v>
      </c>
    </row>
    <row r="64" spans="1:10" x14ac:dyDescent="0.25">
      <c r="A64" s="4" t="s">
        <v>947</v>
      </c>
      <c r="B64" s="7" t="str">
        <f>Tables[Name]</f>
        <v>sales_order</v>
      </c>
      <c r="C64" s="7" t="str">
        <f>IF(RIGHT(Tables[Name],3)="ies",MID(Tables[Name],1,LEN(Tables[Name])-3)&amp;"y",IF(RIGHT(Tables[Name],1)="s",MID(Tables[Name],1,LEN(Tables[Name])-1),Tables[Name]))</f>
        <v>sales_order</v>
      </c>
      <c r="D64" s="8" t="str">
        <f t="shared" ref="D64:D65" si="2">"Milestone\SS\Model"</f>
        <v>Milestone\SS\Model</v>
      </c>
      <c r="E64" s="7" t="str">
        <f>SUBSTITUTE(PROPER(Tables[Singular Name]),"_","")</f>
        <v>SalesOrder</v>
      </c>
      <c r="F64" s="7" t="str">
        <f>"php artisan make:migration create_"&amp;Tables[Table]&amp;"_table --create="&amp;Tables[Table]</f>
        <v>php artisan make:migration create_sales_order_table --create=sales_order</v>
      </c>
      <c r="G64" s="7" t="str">
        <f>"php artisan make:model "&amp;Tables[Class Name]</f>
        <v>php artisan make:model SalesOrder</v>
      </c>
      <c r="H64" s="7" t="str">
        <f>"protected $table = '"&amp;Tables[Table]&amp;"';"</f>
        <v>protected $table = 'sales_order';</v>
      </c>
      <c r="I64" s="7" t="str">
        <f>"php artisan make:seed "&amp;Tables[Class Name]&amp;"TableSeeder"</f>
        <v>php artisan make:seed SalesOrderTableSeeder</v>
      </c>
      <c r="J64" s="7" t="str">
        <f>Tables[Class Name]&amp;"TableSeeder"&amp;"::class,"</f>
        <v>SalesOrderTableSeeder::class,</v>
      </c>
    </row>
    <row r="65" spans="1:10" x14ac:dyDescent="0.25">
      <c r="A65" s="4" t="s">
        <v>948</v>
      </c>
      <c r="B65" s="7" t="str">
        <f>Tables[Name]</f>
        <v>sales_order_items</v>
      </c>
      <c r="C65" s="7" t="str">
        <f>IF(RIGHT(Tables[Name],3)="ies",MID(Tables[Name],1,LEN(Tables[Name])-3)&amp;"y",IF(RIGHT(Tables[Name],1)="s",MID(Tables[Name],1,LEN(Tables[Name])-1),Tables[Name]))</f>
        <v>sales_order_item</v>
      </c>
      <c r="D65" s="8" t="str">
        <f t="shared" si="2"/>
        <v>Milestone\SS\Model</v>
      </c>
      <c r="E65" s="7" t="str">
        <f>SUBSTITUTE(PROPER(Tables[Singular Name]),"_","")</f>
        <v>SalesOrderItem</v>
      </c>
      <c r="F65" s="7" t="str">
        <f>"php artisan make:migration create_"&amp;Tables[Table]&amp;"_table --create="&amp;Tables[Table]</f>
        <v>php artisan make:migration create_sales_order_items_table --create=sales_order_items</v>
      </c>
      <c r="G65" s="7" t="str">
        <f>"php artisan make:model "&amp;Tables[Class Name]</f>
        <v>php artisan make:model SalesOrderItem</v>
      </c>
      <c r="H65" s="7" t="str">
        <f>"protected $table = '"&amp;Tables[Table]&amp;"';"</f>
        <v>protected $table = 'sales_order_items';</v>
      </c>
      <c r="I65" s="7" t="str">
        <f>"php artisan make:seed "&amp;Tables[Class Name]&amp;"TableSeeder"</f>
        <v>php artisan make:seed SalesOrderItemTableSeeder</v>
      </c>
      <c r="J65" s="7" t="str">
        <f>Tables[Class Name]&amp;"TableSeeder"&amp;"::class,"</f>
        <v>SalesOrderItemTableSeeder::class,</v>
      </c>
    </row>
    <row r="66" spans="1:10" x14ac:dyDescent="0.25">
      <c r="A66" s="4" t="s">
        <v>896</v>
      </c>
      <c r="B66" s="7" t="str">
        <f>Tables[Name]</f>
        <v>transactions</v>
      </c>
      <c r="C66" s="7" t="str">
        <f>IF(RIGHT(Tables[Name],3)="ies",MID(Tables[Name],1,LEN(Tables[Name])-3)&amp;"y",IF(RIGHT(Tables[Name],1)="s",MID(Tables[Name],1,LEN(Tables[Name])-1),Tables[Name]))</f>
        <v>transaction</v>
      </c>
      <c r="D66" s="7" t="str">
        <f t="shared" ref="D66:D72" si="3">"Milestone\SS\Model"</f>
        <v>Milestone\SS\Model</v>
      </c>
      <c r="E66" s="7" t="str">
        <f>SUBSTITUTE(PROPER(Tables[Singular Name]),"_","")</f>
        <v>Transaction</v>
      </c>
      <c r="F66" s="7" t="str">
        <f>"php artisan make:migration create_"&amp;Tables[Table]&amp;"_table --create="&amp;Tables[Table]</f>
        <v>php artisan make:migration create_transactions_table --create=transactions</v>
      </c>
      <c r="G66" s="7" t="str">
        <f>"php artisan make:model "&amp;Tables[Class Name]</f>
        <v>php artisan make:model Transaction</v>
      </c>
      <c r="H66" s="7" t="str">
        <f>"protected $table = '"&amp;Tables[Table]&amp;"';"</f>
        <v>protected $table = 'transactions';</v>
      </c>
      <c r="I66" s="7" t="str">
        <f>"php artisan make:seed "&amp;Tables[Class Name]&amp;"TableSeeder"</f>
        <v>php artisan make:seed TransactionTableSeeder</v>
      </c>
      <c r="J66" s="7" t="str">
        <f>Tables[Class Name]&amp;"TableSeeder"&amp;"::class,"</f>
        <v>TransactionTableSeeder::class,</v>
      </c>
    </row>
    <row r="67" spans="1:10" x14ac:dyDescent="0.25">
      <c r="A67" s="4" t="s">
        <v>897</v>
      </c>
      <c r="B67" s="7" t="str">
        <f>Tables[Name]</f>
        <v>transaction_details</v>
      </c>
      <c r="C67" s="7" t="str">
        <f>IF(RIGHT(Tables[Name],3)="ies",MID(Tables[Name],1,LEN(Tables[Name])-3)&amp;"y",IF(RIGHT(Tables[Name],1)="s",MID(Tables[Name],1,LEN(Tables[Name])-1),Tables[Name]))</f>
        <v>transaction_detail</v>
      </c>
      <c r="D67" s="7" t="str">
        <f t="shared" si="3"/>
        <v>Milestone\SS\Model</v>
      </c>
      <c r="E67" s="7" t="str">
        <f>SUBSTITUTE(PROPER(Tables[Singular Name]),"_","")</f>
        <v>TransactionDetail</v>
      </c>
      <c r="F67" s="7" t="str">
        <f>"php artisan make:migration create_"&amp;Tables[Table]&amp;"_table --create="&amp;Tables[Table]</f>
        <v>php artisan make:migration create_transaction_details_table --create=transaction_details</v>
      </c>
      <c r="G67" s="7" t="str">
        <f>"php artisan make:model "&amp;Tables[Class Name]</f>
        <v>php artisan make:model TransactionDetail</v>
      </c>
      <c r="H67" s="7" t="str">
        <f>"protected $table = '"&amp;Tables[Table]&amp;"';"</f>
        <v>protected $table = 'transaction_details';</v>
      </c>
      <c r="I67" s="7" t="str">
        <f>"php artisan make:seed "&amp;Tables[Class Name]&amp;"TableSeeder"</f>
        <v>php artisan make:seed TransactionDetailTableSeeder</v>
      </c>
      <c r="J67" s="7" t="str">
        <f>Tables[Class Name]&amp;"TableSeeder"&amp;"::class,"</f>
        <v>TransactionDetailTableSeeder::class,</v>
      </c>
    </row>
    <row r="68" spans="1:10" x14ac:dyDescent="0.25">
      <c r="A68" s="4" t="s">
        <v>1052</v>
      </c>
      <c r="B68" s="7" t="str">
        <f>Tables[Name]</f>
        <v>d_data</v>
      </c>
      <c r="C68" s="7" t="str">
        <f>IF(RIGHT(Tables[Name],3)="ies",MID(Tables[Name],1,LEN(Tables[Name])-3)&amp;"y",IF(RIGHT(Tables[Name],1)="s",MID(Tables[Name],1,LEN(Tables[Name])-1),Tables[Name]))</f>
        <v>d_data</v>
      </c>
      <c r="D68" s="7" t="str">
        <f>"Milestone\SS\Model"</f>
        <v>Milestone\SS\Model</v>
      </c>
      <c r="E68" s="7" t="str">
        <f>SUBSTITUTE(PROPER(Tables[Singular Name]),"_","")</f>
        <v>DData</v>
      </c>
      <c r="F68" s="7" t="str">
        <f>"php artisan make:migration create_"&amp;Tables[Table]&amp;"_table --create="&amp;Tables[Table]</f>
        <v>php artisan make:migration create_d_data_table --create=d_data</v>
      </c>
      <c r="G68" s="7" t="str">
        <f>"php artisan make:model "&amp;Tables[Class Name]</f>
        <v>php artisan make:model DData</v>
      </c>
      <c r="H68" s="7" t="str">
        <f>"protected $table = '"&amp;Tables[Table]&amp;"';"</f>
        <v>protected $table = 'd_data';</v>
      </c>
      <c r="I68" s="7" t="str">
        <f>"php artisan make:seed "&amp;Tables[Class Name]&amp;"TableSeeder"</f>
        <v>php artisan make:seed DDataTableSeeder</v>
      </c>
      <c r="J68" s="7" t="str">
        <f>Tables[Class Name]&amp;"TableSeeder"&amp;"::class,"</f>
        <v>DDataTableSeeder::class,</v>
      </c>
    </row>
    <row r="69" spans="1:10" x14ac:dyDescent="0.25">
      <c r="A69" s="4" t="s">
        <v>904</v>
      </c>
      <c r="B69" s="7" t="str">
        <f>Tables[Name]</f>
        <v>stock_transfer</v>
      </c>
      <c r="C69" s="7" t="str">
        <f>IF(RIGHT(Tables[Name],3)="ies",MID(Tables[Name],1,LEN(Tables[Name])-3)&amp;"y",IF(RIGHT(Tables[Name],1)="s",MID(Tables[Name],1,LEN(Tables[Name])-1),Tables[Name]))</f>
        <v>stock_transfer</v>
      </c>
      <c r="D69" s="7" t="str">
        <f t="shared" si="3"/>
        <v>Milestone\SS\Model</v>
      </c>
      <c r="E69" s="7" t="str">
        <f>SUBSTITUTE(PROPER(Tables[Singular Name]),"_","")</f>
        <v>StockTransfer</v>
      </c>
      <c r="F69" s="7" t="str">
        <f>"php artisan make:migration create_"&amp;Tables[Table]&amp;"_table --create="&amp;Tables[Table]</f>
        <v>php artisan make:migration create_stock_transfer_table --create=stock_transfer</v>
      </c>
      <c r="G69" s="7" t="str">
        <f>"php artisan make:model "&amp;Tables[Class Name]</f>
        <v>php artisan make:model StockTransfer</v>
      </c>
      <c r="H69" s="7" t="str">
        <f>"protected $table = '"&amp;Tables[Table]&amp;"';"</f>
        <v>protected $table = 'stock_transfer';</v>
      </c>
      <c r="I69" s="7" t="str">
        <f>"php artisan make:seed "&amp;Tables[Class Name]&amp;"TableSeeder"</f>
        <v>php artisan make:seed StockTransferTableSeeder</v>
      </c>
      <c r="J69" s="7" t="str">
        <f>Tables[Class Name]&amp;"TableSeeder"&amp;"::class,"</f>
        <v>StockTransferTableSeeder::class,</v>
      </c>
    </row>
    <row r="70" spans="1:10" x14ac:dyDescent="0.25">
      <c r="A70" s="4" t="s">
        <v>1610</v>
      </c>
      <c r="B70" s="7" t="str">
        <f>Tables[Name]</f>
        <v>receipts</v>
      </c>
      <c r="C70" s="7" t="str">
        <f>IF(RIGHT(Tables[Name],3)="ies",MID(Tables[Name],1,LEN(Tables[Name])-3)&amp;"y",IF(RIGHT(Tables[Name],1)="s",MID(Tables[Name],1,LEN(Tables[Name])-1),Tables[Name]))</f>
        <v>receipt</v>
      </c>
      <c r="D70" s="7" t="str">
        <f>"Milestone\SS\Model"</f>
        <v>Milestone\SS\Model</v>
      </c>
      <c r="E70" s="7" t="str">
        <f>SUBSTITUTE(PROPER(Tables[Singular Name]),"_","")</f>
        <v>Receipt</v>
      </c>
      <c r="F70" s="7" t="str">
        <f>"php artisan make:migration create_"&amp;Tables[Table]&amp;"_table --create="&amp;Tables[Table]</f>
        <v>php artisan make:migration create_receipts_table --create=receipts</v>
      </c>
      <c r="G70" s="7" t="str">
        <f>"php artisan make:model "&amp;Tables[Class Name]</f>
        <v>php artisan make:model Receipt</v>
      </c>
      <c r="H70" s="7" t="str">
        <f>"protected $table = '"&amp;Tables[Table]&amp;"';"</f>
        <v>protected $table = 'receipts';</v>
      </c>
      <c r="I70" s="7" t="str">
        <f>"php artisan make:seed "&amp;Tables[Class Name]&amp;"TableSeeder"</f>
        <v>php artisan make:seed ReceiptTableSeeder</v>
      </c>
      <c r="J70" s="7" t="str">
        <f>Tables[Class Name]&amp;"TableSeeder"&amp;"::class,"</f>
        <v>ReceiptTableSeeder::class,</v>
      </c>
    </row>
    <row r="71" spans="1:10" x14ac:dyDescent="0.25">
      <c r="A71" s="4" t="s">
        <v>1620</v>
      </c>
      <c r="B71" s="7" t="str">
        <f>Tables[Name]</f>
        <v>fn_reserves</v>
      </c>
      <c r="C71" s="7" t="str">
        <f>IF(RIGHT(Tables[Name],3)="ies",MID(Tables[Name],1,LEN(Tables[Name])-3)&amp;"y",IF(RIGHT(Tables[Name],1)="s",MID(Tables[Name],1,LEN(Tables[Name])-1),Tables[Name]))</f>
        <v>fn_reserve</v>
      </c>
      <c r="D71" s="7" t="str">
        <f>"Milestone\SS\Model"</f>
        <v>Milestone\SS\Model</v>
      </c>
      <c r="E71" s="7" t="str">
        <f>SUBSTITUTE(PROPER(Tables[Singular Name]),"_","")</f>
        <v>FnReserve</v>
      </c>
      <c r="F71" s="7" t="str">
        <f>"php artisan make:migration create_"&amp;Tables[Table]&amp;"_table --create="&amp;Tables[Table]</f>
        <v>php artisan make:migration create_fn_reserves_table --create=fn_reserves</v>
      </c>
      <c r="G71" s="7" t="str">
        <f>"php artisan make:model "&amp;Tables[Class Name]</f>
        <v>php artisan make:model FnReserve</v>
      </c>
      <c r="H71" s="7" t="str">
        <f>"protected $table = '"&amp;Tables[Table]&amp;"';"</f>
        <v>protected $table = 'fn_reserves';</v>
      </c>
      <c r="I71" s="7" t="str">
        <f>"php artisan make:seed "&amp;Tables[Class Name]&amp;"TableSeeder"</f>
        <v>php artisan make:seed FnReserveTableSeeder</v>
      </c>
      <c r="J71" s="7" t="str">
        <f>Tables[Class Name]&amp;"TableSeeder"&amp;"::class,"</f>
        <v>FnReserveTableSeeder::class,</v>
      </c>
    </row>
    <row r="72" spans="1:10" x14ac:dyDescent="0.25">
      <c r="A72" s="4" t="s">
        <v>882</v>
      </c>
      <c r="B72" s="7" t="str">
        <f>Tables[Name]</f>
        <v>w_bin</v>
      </c>
      <c r="C72" s="7" t="str">
        <f>IF(RIGHT(Tables[Name],3)="ies",MID(Tables[Name],1,LEN(Tables[Name])-3)&amp;"y",IF(RIGHT(Tables[Name],1)="s",MID(Tables[Name],1,LEN(Tables[Name])-1),Tables[Name]))</f>
        <v>w_bin</v>
      </c>
      <c r="D72" s="7" t="str">
        <f t="shared" si="3"/>
        <v>Milestone\SS\Model</v>
      </c>
      <c r="E72" s="7" t="str">
        <f>SUBSTITUTE(PROPER(Tables[Singular Name]),"_","")</f>
        <v>WBin</v>
      </c>
      <c r="F72" s="7" t="str">
        <f>"php artisan make:migration create_"&amp;Tables[Table]&amp;"_table --create="&amp;Tables[Table]</f>
        <v>php artisan make:migration create_w_bin_table --create=w_bin</v>
      </c>
      <c r="G72" s="7" t="str">
        <f>"php artisan make:model "&amp;Tables[Class Name]</f>
        <v>php artisan make:model WBin</v>
      </c>
      <c r="H72" s="7" t="str">
        <f>"protected $table = '"&amp;Tables[Table]&amp;"';"</f>
        <v>protected $table = 'w_bin';</v>
      </c>
      <c r="I72" s="7" t="str">
        <f>"php artisan make:seed "&amp;Tables[Class Name]&amp;"TableSeeder"</f>
        <v>php artisan make:seed WBinTableSeeder</v>
      </c>
      <c r="J72" s="7" t="str">
        <f>Tables[Class Name]&amp;"TableSeeder"&amp;"::class,"</f>
        <v>WBinTableSeeder::class,</v>
      </c>
    </row>
    <row r="73" spans="1:10" x14ac:dyDescent="0.25">
      <c r="A73" s="5" t="s">
        <v>1940</v>
      </c>
      <c r="B73" s="8" t="str">
        <f>Tables[Name]</f>
        <v>user_executive</v>
      </c>
      <c r="C73" s="8" t="str">
        <f>IF(RIGHT(Tables[Name],3)="ies",MID(Tables[Name],1,LEN(Tables[Name])-3)&amp;"y",IF(RIGHT(Tables[Name],1)="s",MID(Tables[Name],1,LEN(Tables[Name])-1),Tables[Name]))</f>
        <v>user_executive</v>
      </c>
      <c r="D73" s="8" t="str">
        <f>"Milestone\SS\Model"</f>
        <v>Milestone\SS\Model</v>
      </c>
      <c r="E73" s="8" t="str">
        <f>SUBSTITUTE(PROPER(Tables[Singular Name]),"_","")</f>
        <v>UserExecutive</v>
      </c>
      <c r="F73" s="8" t="str">
        <f>"php artisan make:migration create_"&amp;Tables[Table]&amp;"_table --create="&amp;Tables[Table]</f>
        <v>php artisan make:migration create_user_executive_table --create=user_executive</v>
      </c>
      <c r="G73" s="8" t="str">
        <f>"php artisan make:model "&amp;Tables[Class Name]</f>
        <v>php artisan make:model UserExecutive</v>
      </c>
      <c r="H73" s="8" t="str">
        <f>"protected $table = '"&amp;Tables[Table]&amp;"';"</f>
        <v>protected $table = 'user_executive';</v>
      </c>
      <c r="I73" s="8" t="str">
        <f>"php artisan make:seed "&amp;Tables[Class Name]&amp;"TableSeeder"</f>
        <v>php artisan make:seed UserExecutiveTableSeeder</v>
      </c>
      <c r="J73" s="8" t="str">
        <f>Tables[Class Name]&amp;"TableSeeder"&amp;"::class,"</f>
        <v>UserExecutiveTableSeeder::class,</v>
      </c>
    </row>
    <row r="74" spans="1:10" x14ac:dyDescent="0.25">
      <c r="A74" s="5" t="s">
        <v>2000</v>
      </c>
      <c r="B74" s="8" t="str">
        <f>Tables[Name]</f>
        <v>printings</v>
      </c>
      <c r="C74" s="8" t="str">
        <f>IF(RIGHT(Tables[Name],3)="ies",MID(Tables[Name],1,LEN(Tables[Name])-3)&amp;"y",IF(RIGHT(Tables[Name],1)="s",MID(Tables[Name],1,LEN(Tables[Name])-1),Tables[Name]))</f>
        <v>printing</v>
      </c>
      <c r="D74" s="8" t="str">
        <f>"Milestone\SS\Model"</f>
        <v>Milestone\SS\Model</v>
      </c>
      <c r="E74" s="8" t="str">
        <f>SUBSTITUTE(PROPER(Tables[Singular Name]),"_","")</f>
        <v>Printing</v>
      </c>
      <c r="F74" s="8" t="str">
        <f>"php artisan make:migration create_"&amp;Tables[Table]&amp;"_table --create="&amp;Tables[Table]</f>
        <v>php artisan make:migration create_printings_table --create=printings</v>
      </c>
      <c r="G74" s="8" t="str">
        <f>"php artisan make:model "&amp;Tables[Class Name]</f>
        <v>php artisan make:model Printing</v>
      </c>
      <c r="H74" s="8" t="str">
        <f>"protected $table = '"&amp;Tables[Table]&amp;"';"</f>
        <v>protected $table = 'printings';</v>
      </c>
      <c r="I74" s="8" t="str">
        <f>"php artisan make:seed "&amp;Tables[Class Name]&amp;"TableSeeder"</f>
        <v>php artisan make:seed PrintingTableSeeder</v>
      </c>
      <c r="J74" s="8" t="str">
        <f>Tables[Class Name]&amp;"TableSeeder"&amp;"::class,"</f>
        <v>PrintingTableSeeder::class,</v>
      </c>
    </row>
    <row r="75" spans="1:10" x14ac:dyDescent="0.25">
      <c r="A75" s="5" t="s">
        <v>2084</v>
      </c>
      <c r="B75" s="8" t="str">
        <f>Tables[Name]</f>
        <v>shift</v>
      </c>
      <c r="C75" s="8" t="str">
        <f>IF(RIGHT(Tables[Name],3)="ies",MID(Tables[Name],1,LEN(Tables[Name])-3)&amp;"y",IF(RIGHT(Tables[Name],1)="s",MID(Tables[Name],1,LEN(Tables[Name])-1),Tables[Name]))</f>
        <v>shift</v>
      </c>
      <c r="D75" s="8" t="str">
        <f>"Milestone\SS\Model"</f>
        <v>Milestone\SS\Model</v>
      </c>
      <c r="E75" s="8" t="str">
        <f>SUBSTITUTE(PROPER(Tables[Singular Name]),"_","")</f>
        <v>Shift</v>
      </c>
      <c r="F75" s="8" t="str">
        <f>"php artisan make:migration create_"&amp;Tables[Table]&amp;"_table --create="&amp;Tables[Table]</f>
        <v>php artisan make:migration create_shift_table --create=shift</v>
      </c>
      <c r="G75" s="8" t="str">
        <f>"php artisan make:model "&amp;Tables[Class Name]</f>
        <v>php artisan make:model Shift</v>
      </c>
      <c r="H75" s="8" t="str">
        <f>"protected $table = '"&amp;Tables[Table]&amp;"';"</f>
        <v>protected $table = 'shift';</v>
      </c>
      <c r="I75" s="8" t="str">
        <f>"php artisan make:seed "&amp;Tables[Class Name]&amp;"TableSeeder"</f>
        <v>php artisan make:seed ShiftTableSeeder</v>
      </c>
      <c r="J75" s="8" t="str">
        <f>Tables[Class Name]&amp;"TableSeeder"&amp;"::class,"</f>
        <v>ShiftTableSeeder::class,</v>
      </c>
    </row>
    <row r="76" spans="1:10" x14ac:dyDescent="0.25">
      <c r="A76" s="5" t="s">
        <v>2100</v>
      </c>
      <c r="B76" s="8" t="str">
        <f>Tables[Name]</f>
        <v>shift_transactions</v>
      </c>
      <c r="C76" s="8" t="str">
        <f>IF(RIGHT(Tables[Name],3)="ies",MID(Tables[Name],1,LEN(Tables[Name])-3)&amp;"y",IF(RIGHT(Tables[Name],1)="s",MID(Tables[Name],1,LEN(Tables[Name])-1),Tables[Name]))</f>
        <v>shift_transaction</v>
      </c>
      <c r="D76" s="8" t="str">
        <f>"Milestone\SS\Model"</f>
        <v>Milestone\SS\Model</v>
      </c>
      <c r="E76" s="8" t="str">
        <f>SUBSTITUTE(PROPER(Tables[Singular Name]),"_","")</f>
        <v>ShiftTransaction</v>
      </c>
      <c r="F76" s="8" t="str">
        <f>"php artisan make:migration create_"&amp;Tables[Table]&amp;"_table --create="&amp;Tables[Table]</f>
        <v>php artisan make:migration create_shift_transactions_table --create=shift_transactions</v>
      </c>
      <c r="G76" s="8" t="str">
        <f>"php artisan make:model "&amp;Tables[Class Name]</f>
        <v>php artisan make:model ShiftTransaction</v>
      </c>
      <c r="H76" s="8" t="str">
        <f>"protected $table = '"&amp;Tables[Table]&amp;"';"</f>
        <v>protected $table = 'shift_transactions';</v>
      </c>
      <c r="I76" s="8" t="str">
        <f>"php artisan make:seed "&amp;Tables[Class Name]&amp;"TableSeeder"</f>
        <v>php artisan make:seed ShiftTransactionTableSeeder</v>
      </c>
      <c r="J76" s="8" t="str">
        <f>Tables[Class Name]&amp;"TableSeeder"&amp;"::class,"</f>
        <v>ShiftTransactionTableSeeder::class,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H2" sqref="H2:H31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32">
        <f t="shared" ref="A2:A31" si="0">IFERROR($A1+1,1)</f>
        <v>1</v>
      </c>
      <c r="B2" s="1" t="s">
        <v>1618</v>
      </c>
      <c r="C2" s="8" t="str">
        <f>MID(MigrationRenamer[Filename],26,LEN(MigrationRenamer[Filename])-35)</f>
        <v>setup</v>
      </c>
      <c r="D2" s="8" t="str">
        <f t="shared" ref="D2:D31" si="1">"2020_01_16_"</f>
        <v>2020_01_16_</v>
      </c>
      <c r="E2" s="8" t="str">
        <f>TEXT(MATCH(MigrationRenamer[[#This Row],[Table]],Tables[Table],0),"000000")</f>
        <v>000046</v>
      </c>
      <c r="F2" s="8" t="str">
        <f>RIGHT(MigrationRenamer[Filename],LEN(MigrationRenamer[Filename])-LEN(MigrationRenamer[Date Part])-LEN(MigrationRenamer[Sequence]))</f>
        <v>_create_setup_table.php</v>
      </c>
      <c r="G2" s="8" t="str">
        <f>MigrationRenamer[Date Part]&amp;MigrationRenamer[Sequence]&amp;MigrationRenamer[Name Part]</f>
        <v>2020_01_16_000046_create_setup_table.php</v>
      </c>
      <c r="H2" s="8" t="str">
        <f>IFERROR("ren "&amp;MigrationRenamer[Filename]&amp;" "&amp;MigrationRenamer[New Name],"del "&amp;MigrationRenamer[Filename])</f>
        <v>ren 2019_03_28_000046_create_setup_table.php 2020_01_16_000046_create_setup_table.php</v>
      </c>
    </row>
    <row r="3" spans="1:8" x14ac:dyDescent="0.25">
      <c r="A3" s="32">
        <f t="shared" si="0"/>
        <v>2</v>
      </c>
      <c r="B3" s="1" t="s">
        <v>1857</v>
      </c>
      <c r="C3" s="8" t="str">
        <f>MID(MigrationRenamer[Filename],26,LEN(MigrationRenamer[Filename])-35)</f>
        <v>menu_types</v>
      </c>
      <c r="D3" s="8" t="str">
        <f t="shared" si="1"/>
        <v>2020_01_16_</v>
      </c>
      <c r="E3" s="8" t="str">
        <f>TEXT(MATCH(MigrationRenamer[[#This Row],[Table]],Tables[Table],0),"000000")</f>
        <v>000047</v>
      </c>
      <c r="F3" s="8" t="str">
        <f>RIGHT(MigrationRenamer[Filename],LEN(MigrationRenamer[Filename])-LEN(MigrationRenamer[Date Part])-LEN(MigrationRenamer[Sequence]))</f>
        <v>_create_menu_types_table.php</v>
      </c>
      <c r="G3" s="8" t="str">
        <f>MigrationRenamer[Date Part]&amp;MigrationRenamer[Sequence]&amp;MigrationRenamer[Name Part]</f>
        <v>2020_01_16_000047_create_menu_types_table.php</v>
      </c>
      <c r="H3" s="8" t="str">
        <f>IFERROR("ren "&amp;MigrationRenamer[Filename]&amp;" "&amp;MigrationRenamer[New Name],"del "&amp;MigrationRenamer[Filename])</f>
        <v>ren 2019_03_28_000047_create_menu_types_table.php 2020_01_16_000047_create_menu_types_table.php</v>
      </c>
    </row>
    <row r="4" spans="1:8" x14ac:dyDescent="0.25">
      <c r="A4" s="32">
        <f t="shared" si="0"/>
        <v>3</v>
      </c>
      <c r="B4" s="1" t="s">
        <v>1858</v>
      </c>
      <c r="C4" s="8" t="str">
        <f>MID(MigrationRenamer[Filename],26,LEN(MigrationRenamer[Filename])-35)</f>
        <v>menu</v>
      </c>
      <c r="D4" s="8" t="str">
        <f t="shared" si="1"/>
        <v>2020_01_16_</v>
      </c>
      <c r="E4" s="8" t="str">
        <f>TEXT(MATCH(MigrationRenamer[[#This Row],[Table]],Tables[Table],0),"000000")</f>
        <v>000048</v>
      </c>
      <c r="F4" s="8" t="str">
        <f>RIGHT(MigrationRenamer[Filename],LEN(MigrationRenamer[Filename])-LEN(MigrationRenamer[Date Part])-LEN(MigrationRenamer[Sequence]))</f>
        <v>_create_menu_table.php</v>
      </c>
      <c r="G4" s="8" t="str">
        <f>MigrationRenamer[Date Part]&amp;MigrationRenamer[Sequence]&amp;MigrationRenamer[Name Part]</f>
        <v>2020_01_16_000048_create_menu_table.php</v>
      </c>
      <c r="H4" s="8" t="str">
        <f>IFERROR("ren "&amp;MigrationRenamer[Filename]&amp;" "&amp;MigrationRenamer[New Name],"del "&amp;MigrationRenamer[Filename])</f>
        <v>ren 2019_03_28_000048_create_menu_table.php 2020_01_16_000048_create_menu_table.php</v>
      </c>
    </row>
    <row r="5" spans="1:8" x14ac:dyDescent="0.25">
      <c r="A5" s="32">
        <f t="shared" si="0"/>
        <v>4</v>
      </c>
      <c r="B5" s="1" t="s">
        <v>1859</v>
      </c>
      <c r="C5" s="8" t="str">
        <f>MID(MigrationRenamer[Filename],26,LEN(MigrationRenamer[Filename])-35)</f>
        <v>settings</v>
      </c>
      <c r="D5" s="8" t="str">
        <f t="shared" si="1"/>
        <v>2020_01_16_</v>
      </c>
      <c r="E5" s="8" t="str">
        <f>TEXT(MATCH(MigrationRenamer[[#This Row],[Table]],Tables[Table],0),"000000")</f>
        <v>000049</v>
      </c>
      <c r="F5" s="8" t="str">
        <f>RIGHT(MigrationRenamer[Filename],LEN(MigrationRenamer[Filename])-LEN(MigrationRenamer[Date Part])-LEN(MigrationRenamer[Sequence]))</f>
        <v>_create_settings_table.php</v>
      </c>
      <c r="G5" s="8" t="str">
        <f>MigrationRenamer[Date Part]&amp;MigrationRenamer[Sequence]&amp;MigrationRenamer[Name Part]</f>
        <v>2020_01_16_000049_create_settings_table.php</v>
      </c>
      <c r="H5" s="8" t="str">
        <f>IFERROR("ren "&amp;MigrationRenamer[Filename]&amp;" "&amp;MigrationRenamer[New Name],"del "&amp;MigrationRenamer[Filename])</f>
        <v>ren 2019_03_28_000049_create_settings_table.php 2020_01_16_000049_create_settings_table.php</v>
      </c>
    </row>
    <row r="6" spans="1:8" x14ac:dyDescent="0.25">
      <c r="A6" s="32">
        <f t="shared" si="0"/>
        <v>5</v>
      </c>
      <c r="B6" s="1" t="s">
        <v>1860</v>
      </c>
      <c r="C6" s="8" t="str">
        <f>MID(MigrationRenamer[Filename],26,LEN(MigrationRenamer[Filename])-35)</f>
        <v>fiscalyearmaster</v>
      </c>
      <c r="D6" s="8" t="str">
        <f t="shared" si="1"/>
        <v>2020_01_16_</v>
      </c>
      <c r="E6" s="8" t="str">
        <f>TEXT(MATCH(MigrationRenamer[[#This Row],[Table]],Tables[Table],0),"000000")</f>
        <v>000050</v>
      </c>
      <c r="F6" s="8" t="str">
        <f>RIGHT(MigrationRenamer[Filename],LEN(MigrationRenamer[Filename])-LEN(MigrationRenamer[Date Part])-LEN(MigrationRenamer[Sequence]))</f>
        <v>_create_fiscalyearmaster_table.php</v>
      </c>
      <c r="G6" s="8" t="str">
        <f>MigrationRenamer[Date Part]&amp;MigrationRenamer[Sequence]&amp;MigrationRenamer[Name Part]</f>
        <v>2020_01_16_000050_create_fiscalyearmaster_table.php</v>
      </c>
      <c r="H6" s="8" t="str">
        <f>IFERROR("ren "&amp;MigrationRenamer[Filename]&amp;" "&amp;MigrationRenamer[New Name],"del "&amp;MigrationRenamer[Filename])</f>
        <v>ren 2019_03_28_000050_create_fiscalyearmaster_table.php 2020_01_16_000050_create_fiscalyearmaster_table.php</v>
      </c>
    </row>
    <row r="7" spans="1:8" x14ac:dyDescent="0.25">
      <c r="A7" s="32">
        <f t="shared" si="0"/>
        <v>6</v>
      </c>
      <c r="B7" s="1" t="s">
        <v>1943</v>
      </c>
      <c r="C7" s="8" t="str">
        <f>MID(MigrationRenamer[Filename],26,LEN(MigrationRenamer[Filename])-35)</f>
        <v>product_group_master</v>
      </c>
      <c r="D7" s="8" t="str">
        <f t="shared" si="1"/>
        <v>2020_01_16_</v>
      </c>
      <c r="E7" s="8" t="str">
        <f>TEXT(MATCH(MigrationRenamer[[#This Row],[Table]],Tables[Table],0),"000000")</f>
        <v>000051</v>
      </c>
      <c r="F7" s="8" t="str">
        <f>RIGHT(MigrationRenamer[Filename],LEN(MigrationRenamer[Filename])-LEN(MigrationRenamer[Date Part])-LEN(MigrationRenamer[Sequence]))</f>
        <v>_create_product_group_master_table.php</v>
      </c>
      <c r="G7" s="8" t="str">
        <f>MigrationRenamer[Date Part]&amp;MigrationRenamer[Sequence]&amp;MigrationRenamer[Name Part]</f>
        <v>2020_01_16_000051_create_product_group_master_table.php</v>
      </c>
      <c r="H7" s="8" t="str">
        <f>IFERROR("ren "&amp;MigrationRenamer[Filename]&amp;" "&amp;MigrationRenamer[New Name],"del "&amp;MigrationRenamer[Filename])</f>
        <v>ren 2019_03_28_000051_create_product_group_master_table.php 2020_01_16_000051_create_product_group_master_table.php</v>
      </c>
    </row>
    <row r="8" spans="1:8" x14ac:dyDescent="0.25">
      <c r="A8" s="32">
        <f t="shared" si="0"/>
        <v>7</v>
      </c>
      <c r="B8" s="1" t="s">
        <v>1944</v>
      </c>
      <c r="C8" s="8" t="str">
        <f>MID(MigrationRenamer[Filename],26,LEN(MigrationRenamer[Filename])-35)</f>
        <v>products</v>
      </c>
      <c r="D8" s="8" t="str">
        <f t="shared" si="1"/>
        <v>2020_01_16_</v>
      </c>
      <c r="E8" s="8" t="str">
        <f>TEXT(MATCH(MigrationRenamer[[#This Row],[Table]],Tables[Table],0),"000000")</f>
        <v>000052</v>
      </c>
      <c r="F8" s="8" t="str">
        <f>RIGHT(MigrationRenamer[Filename],LEN(MigrationRenamer[Filename])-LEN(MigrationRenamer[Date Part])-LEN(MigrationRenamer[Sequence]))</f>
        <v>_create_products_table.php</v>
      </c>
      <c r="G8" s="8" t="str">
        <f>MigrationRenamer[Date Part]&amp;MigrationRenamer[Sequence]&amp;MigrationRenamer[Name Part]</f>
        <v>2020_01_16_000052_create_products_table.php</v>
      </c>
      <c r="H8" s="8" t="str">
        <f>IFERROR("ren "&amp;MigrationRenamer[Filename]&amp;" "&amp;MigrationRenamer[New Name],"del "&amp;MigrationRenamer[Filename])</f>
        <v>ren 2019_03_28_000052_create_products_table.php 2020_01_16_000052_create_products_table.php</v>
      </c>
    </row>
    <row r="9" spans="1:8" x14ac:dyDescent="0.25">
      <c r="A9" s="32">
        <f t="shared" si="0"/>
        <v>8</v>
      </c>
      <c r="B9" s="1" t="s">
        <v>1945</v>
      </c>
      <c r="C9" s="8" t="str">
        <f>MID(MigrationRenamer[Filename],26,LEN(MigrationRenamer[Filename])-35)</f>
        <v>product_groups</v>
      </c>
      <c r="D9" s="8" t="str">
        <f t="shared" si="1"/>
        <v>2020_01_16_</v>
      </c>
      <c r="E9" s="8" t="str">
        <f>TEXT(MATCH(MigrationRenamer[[#This Row],[Table]],Tables[Table],0),"000000")</f>
        <v>000053</v>
      </c>
      <c r="F9" s="8" t="str">
        <f>RIGHT(MigrationRenamer[Filename],LEN(MigrationRenamer[Filename])-LEN(MigrationRenamer[Date Part])-LEN(MigrationRenamer[Sequence]))</f>
        <v>_create_product_groups_table.php</v>
      </c>
      <c r="G9" s="8" t="str">
        <f>MigrationRenamer[Date Part]&amp;MigrationRenamer[Sequence]&amp;MigrationRenamer[Name Part]</f>
        <v>2020_01_16_000053_create_product_groups_table.php</v>
      </c>
      <c r="H9" s="8" t="str">
        <f>IFERROR("ren "&amp;MigrationRenamer[Filename]&amp;" "&amp;MigrationRenamer[New Name],"del "&amp;MigrationRenamer[Filename])</f>
        <v>ren 2019_03_28_000053_create_product_groups_table.php 2020_01_16_000053_create_product_groups_table.php</v>
      </c>
    </row>
    <row r="10" spans="1:8" x14ac:dyDescent="0.25">
      <c r="A10" s="32">
        <f t="shared" si="0"/>
        <v>9</v>
      </c>
      <c r="B10" s="1" t="s">
        <v>1946</v>
      </c>
      <c r="C10" s="8" t="str">
        <f>MID(MigrationRenamer[Filename],26,LEN(MigrationRenamer[Filename])-35)</f>
        <v>product_images</v>
      </c>
      <c r="D10" s="8" t="str">
        <f t="shared" si="1"/>
        <v>2020_01_16_</v>
      </c>
      <c r="E10" s="8" t="str">
        <f>TEXT(MATCH(MigrationRenamer[[#This Row],[Table]],Tables[Table],0),"000000")</f>
        <v>000054</v>
      </c>
      <c r="F10" s="8" t="str">
        <f>RIGHT(MigrationRenamer[Filename],LEN(MigrationRenamer[Filename])-LEN(MigrationRenamer[Date Part])-LEN(MigrationRenamer[Sequence]))</f>
        <v>_create_product_images_table.php</v>
      </c>
      <c r="G10" s="8" t="str">
        <f>MigrationRenamer[Date Part]&amp;MigrationRenamer[Sequence]&amp;MigrationRenamer[Name Part]</f>
        <v>2020_01_16_000054_create_product_images_table.php</v>
      </c>
      <c r="H10" s="8" t="str">
        <f>IFERROR("ren "&amp;MigrationRenamer[Filename]&amp;" "&amp;MigrationRenamer[New Name],"del "&amp;MigrationRenamer[Filename])</f>
        <v>ren 2019_03_28_000054_create_product_images_table.php 2020_01_16_000054_create_product_images_table.php</v>
      </c>
    </row>
    <row r="11" spans="1:8" x14ac:dyDescent="0.25">
      <c r="A11" s="32">
        <f t="shared" si="0"/>
        <v>10</v>
      </c>
      <c r="B11" s="1" t="s">
        <v>1947</v>
      </c>
      <c r="C11" s="8" t="str">
        <f>MID(MigrationRenamer[Filename],26,LEN(MigrationRenamer[Filename])-35)</f>
        <v>pricelist</v>
      </c>
      <c r="D11" s="8" t="str">
        <f t="shared" si="1"/>
        <v>2020_01_16_</v>
      </c>
      <c r="E11" s="8" t="str">
        <f>TEXT(MATCH(MigrationRenamer[[#This Row],[Table]],Tables[Table],0),"000000")</f>
        <v>000055</v>
      </c>
      <c r="F11" s="8" t="str">
        <f>RIGHT(MigrationRenamer[Filename],LEN(MigrationRenamer[Filename])-LEN(MigrationRenamer[Date Part])-LEN(MigrationRenamer[Sequence]))</f>
        <v>_create_pricelist_table.php</v>
      </c>
      <c r="G11" s="8" t="str">
        <f>MigrationRenamer[Date Part]&amp;MigrationRenamer[Sequence]&amp;MigrationRenamer[Name Part]</f>
        <v>2020_01_16_000055_create_pricelist_table.php</v>
      </c>
      <c r="H11" s="8" t="str">
        <f>IFERROR("ren "&amp;MigrationRenamer[Filename]&amp;" "&amp;MigrationRenamer[New Name],"del "&amp;MigrationRenamer[Filename])</f>
        <v>ren 2019_03_28_000055_create_pricelist_table.php 2020_01_16_000055_create_pricelist_table.php</v>
      </c>
    </row>
    <row r="12" spans="1:8" x14ac:dyDescent="0.25">
      <c r="A12" s="32">
        <f t="shared" si="0"/>
        <v>11</v>
      </c>
      <c r="B12" s="1" t="s">
        <v>1948</v>
      </c>
      <c r="C12" s="8" t="str">
        <f>MID(MigrationRenamer[Filename],26,LEN(MigrationRenamer[Filename])-35)</f>
        <v>pricelist_products</v>
      </c>
      <c r="D12" s="8" t="str">
        <f t="shared" si="1"/>
        <v>2020_01_16_</v>
      </c>
      <c r="E12" s="8" t="str">
        <f>TEXT(MATCH(MigrationRenamer[[#This Row],[Table]],Tables[Table],0),"000000")</f>
        <v>000056</v>
      </c>
      <c r="F12" s="8" t="str">
        <f>RIGHT(MigrationRenamer[Filename],LEN(MigrationRenamer[Filename])-LEN(MigrationRenamer[Date Part])-LEN(MigrationRenamer[Sequence]))</f>
        <v>_create_pricelist_products_table.php</v>
      </c>
      <c r="G12" s="8" t="str">
        <f>MigrationRenamer[Date Part]&amp;MigrationRenamer[Sequence]&amp;MigrationRenamer[Name Part]</f>
        <v>2020_01_16_000056_create_pricelist_products_table.php</v>
      </c>
      <c r="H12" s="8" t="str">
        <f>IFERROR("ren "&amp;MigrationRenamer[Filename]&amp;" "&amp;MigrationRenamer[New Name],"del "&amp;MigrationRenamer[Filename])</f>
        <v>ren 2019_03_28_000056_create_pricelist_products_table.php 2020_01_16_000056_create_pricelist_products_table.php</v>
      </c>
    </row>
    <row r="13" spans="1:8" x14ac:dyDescent="0.25">
      <c r="A13" s="32">
        <f t="shared" si="0"/>
        <v>12</v>
      </c>
      <c r="B13" s="1" t="s">
        <v>1949</v>
      </c>
      <c r="C13" s="8" t="str">
        <f>MID(MigrationRenamer[Filename],26,LEN(MigrationRenamer[Filename])-35)</f>
        <v>functiondetails</v>
      </c>
      <c r="D13" s="8" t="str">
        <f t="shared" si="1"/>
        <v>2020_01_16_</v>
      </c>
      <c r="E13" s="8" t="str">
        <f>TEXT(MATCH(MigrationRenamer[[#This Row],[Table]],Tables[Table],0),"000000")</f>
        <v>000057</v>
      </c>
      <c r="F13" s="8" t="str">
        <f>RIGHT(MigrationRenamer[Filename],LEN(MigrationRenamer[Filename])-LEN(MigrationRenamer[Date Part])-LEN(MigrationRenamer[Sequence]))</f>
        <v>_create_functiondetails_table.php</v>
      </c>
      <c r="G13" s="8" t="str">
        <f>MigrationRenamer[Date Part]&amp;MigrationRenamer[Sequence]&amp;MigrationRenamer[Name Part]</f>
        <v>2020_01_16_000057_create_functiondetails_table.php</v>
      </c>
      <c r="H13" s="8" t="str">
        <f>IFERROR("ren "&amp;MigrationRenamer[Filename]&amp;" "&amp;MigrationRenamer[New Name],"del "&amp;MigrationRenamer[Filename])</f>
        <v>ren 2019_03_28_000057_create_functiondetails_table.php 2020_01_16_000057_create_functiondetails_table.php</v>
      </c>
    </row>
    <row r="14" spans="1:8" x14ac:dyDescent="0.25">
      <c r="A14" s="32">
        <f t="shared" si="0"/>
        <v>13</v>
      </c>
      <c r="B14" s="1" t="s">
        <v>1861</v>
      </c>
      <c r="C14" s="8" t="str">
        <f>MID(MigrationRenamer[Filename],26,LEN(MigrationRenamer[Filename])-35)</f>
        <v>stores</v>
      </c>
      <c r="D14" s="8" t="str">
        <f t="shared" si="1"/>
        <v>2020_01_16_</v>
      </c>
      <c r="E14" s="8" t="str">
        <f>TEXT(MATCH(MigrationRenamer[[#This Row],[Table]],Tables[Table],0),"000000")</f>
        <v>000058</v>
      </c>
      <c r="F14" s="8" t="str">
        <f>RIGHT(MigrationRenamer[Filename],LEN(MigrationRenamer[Filename])-LEN(MigrationRenamer[Date Part])-LEN(MigrationRenamer[Sequence]))</f>
        <v>_create_stores_table.php</v>
      </c>
      <c r="G14" s="8" t="str">
        <f>MigrationRenamer[Date Part]&amp;MigrationRenamer[Sequence]&amp;MigrationRenamer[Name Part]</f>
        <v>2020_01_16_000058_create_stores_table.php</v>
      </c>
      <c r="H14" s="8" t="str">
        <f>IFERROR("ren "&amp;MigrationRenamer[Filename]&amp;" "&amp;MigrationRenamer[New Name],"del "&amp;MigrationRenamer[Filename])</f>
        <v>ren 2019_03_28_000058_create_stores_table.php 2020_01_16_000058_create_stores_table.php</v>
      </c>
    </row>
    <row r="15" spans="1:8" x14ac:dyDescent="0.25">
      <c r="A15" s="32">
        <f t="shared" si="0"/>
        <v>14</v>
      </c>
      <c r="B15" s="1" t="s">
        <v>1862</v>
      </c>
      <c r="C15" s="8" t="str">
        <f>MID(MigrationRenamer[Filename],26,LEN(MigrationRenamer[Filename])-35)</f>
        <v>areas</v>
      </c>
      <c r="D15" s="8" t="str">
        <f t="shared" si="1"/>
        <v>2020_01_16_</v>
      </c>
      <c r="E15" s="8" t="str">
        <f>TEXT(MATCH(MigrationRenamer[[#This Row],[Table]],Tables[Table],0),"000000")</f>
        <v>000059</v>
      </c>
      <c r="F15" s="8" t="str">
        <f>RIGHT(MigrationRenamer[Filename],LEN(MigrationRenamer[Filename])-LEN(MigrationRenamer[Date Part])-LEN(MigrationRenamer[Sequence]))</f>
        <v>_create_areas_table.php</v>
      </c>
      <c r="G15" s="8" t="str">
        <f>MigrationRenamer[Date Part]&amp;MigrationRenamer[Sequence]&amp;MigrationRenamer[Name Part]</f>
        <v>2020_01_16_000059_create_areas_table.php</v>
      </c>
      <c r="H15" s="8" t="str">
        <f>IFERROR("ren "&amp;MigrationRenamer[Filename]&amp;" "&amp;MigrationRenamer[New Name],"del "&amp;MigrationRenamer[Filename])</f>
        <v>ren 2019_03_28_000059_create_areas_table.php 2020_01_16_000059_create_areas_table.php</v>
      </c>
    </row>
    <row r="16" spans="1:8" x14ac:dyDescent="0.25">
      <c r="A16" s="32">
        <f t="shared" si="0"/>
        <v>15</v>
      </c>
      <c r="B16" s="1" t="s">
        <v>1863</v>
      </c>
      <c r="C16" s="8" t="str">
        <f>MID(MigrationRenamer[Filename],26,LEN(MigrationRenamer[Filename])-35)</f>
        <v>area_users</v>
      </c>
      <c r="D16" s="8" t="str">
        <f t="shared" si="1"/>
        <v>2020_01_16_</v>
      </c>
      <c r="E16" s="8" t="str">
        <f>TEXT(MATCH(MigrationRenamer[[#This Row],[Table]],Tables[Table],0),"000000")</f>
        <v>000060</v>
      </c>
      <c r="F16" s="8" t="str">
        <f>RIGHT(MigrationRenamer[Filename],LEN(MigrationRenamer[Filename])-LEN(MigrationRenamer[Date Part])-LEN(MigrationRenamer[Sequence]))</f>
        <v>_create_area_users_table.php</v>
      </c>
      <c r="G16" s="8" t="str">
        <f>MigrationRenamer[Date Part]&amp;MigrationRenamer[Sequence]&amp;MigrationRenamer[Name Part]</f>
        <v>2020_01_16_000060_create_area_users_table.php</v>
      </c>
      <c r="H16" s="8" t="str">
        <f>IFERROR("ren "&amp;MigrationRenamer[Filename]&amp;" "&amp;MigrationRenamer[New Name],"del "&amp;MigrationRenamer[Filename])</f>
        <v>ren 2019_03_28_000060_create_area_users_table.php 2020_01_16_000060_create_area_users_table.php</v>
      </c>
    </row>
    <row r="17" spans="1:8" x14ac:dyDescent="0.25">
      <c r="A17" s="32">
        <f t="shared" si="0"/>
        <v>16</v>
      </c>
      <c r="B17" s="1" t="s">
        <v>1864</v>
      </c>
      <c r="C17" s="8" t="str">
        <f>MID(MigrationRenamer[Filename],26,LEN(MigrationRenamer[Filename])-35)</f>
        <v>user_settings</v>
      </c>
      <c r="D17" s="8" t="str">
        <f t="shared" si="1"/>
        <v>2020_01_16_</v>
      </c>
      <c r="E17" s="8" t="str">
        <f>TEXT(MATCH(MigrationRenamer[[#This Row],[Table]],Tables[Table],0),"000000")</f>
        <v>000061</v>
      </c>
      <c r="F17" s="8" t="str">
        <f>RIGHT(MigrationRenamer[Filename],LEN(MigrationRenamer[Filename])-LEN(MigrationRenamer[Date Part])-LEN(MigrationRenamer[Sequence]))</f>
        <v>_create_user_settings_table.php</v>
      </c>
      <c r="G17" s="8" t="str">
        <f>MigrationRenamer[Date Part]&amp;MigrationRenamer[Sequence]&amp;MigrationRenamer[Name Part]</f>
        <v>2020_01_16_000061_create_user_settings_table.php</v>
      </c>
      <c r="H17" s="8" t="str">
        <f>IFERROR("ren "&amp;MigrationRenamer[Filename]&amp;" "&amp;MigrationRenamer[New Name],"del "&amp;MigrationRenamer[Filename])</f>
        <v>ren 2019_03_28_000061_create_user_settings_table.php 2020_01_16_000061_create_user_settings_table.php</v>
      </c>
    </row>
    <row r="18" spans="1:8" x14ac:dyDescent="0.25">
      <c r="A18" s="32">
        <f t="shared" si="0"/>
        <v>17</v>
      </c>
      <c r="B18" s="1" t="s">
        <v>1865</v>
      </c>
      <c r="C18" s="8" t="str">
        <f>MID(MigrationRenamer[Filename],26,LEN(MigrationRenamer[Filename])-35)</f>
        <v>user_store_area</v>
      </c>
      <c r="D18" s="8" t="str">
        <f t="shared" si="1"/>
        <v>2020_01_16_</v>
      </c>
      <c r="E18" s="8" t="str">
        <f>TEXT(MATCH(MigrationRenamer[[#This Row],[Table]],Tables[Table],0),"000000")</f>
        <v>000062</v>
      </c>
      <c r="F18" s="8" t="str">
        <f>RIGHT(MigrationRenamer[Filename],LEN(MigrationRenamer[Filename])-LEN(MigrationRenamer[Date Part])-LEN(MigrationRenamer[Sequence]))</f>
        <v>_create_user_store_area_table.php</v>
      </c>
      <c r="G18" s="8" t="str">
        <f>MigrationRenamer[Date Part]&amp;MigrationRenamer[Sequence]&amp;MigrationRenamer[Name Part]</f>
        <v>2020_01_16_000062_create_user_store_area_table.php</v>
      </c>
      <c r="H18" s="8" t="str">
        <f>IFERROR("ren "&amp;MigrationRenamer[Filename]&amp;" "&amp;MigrationRenamer[New Name],"del "&amp;MigrationRenamer[Filename])</f>
        <v>ren 2019_03_28_000062_create_user_store_area_table.php 2020_01_16_000062_create_user_store_area_table.php</v>
      </c>
    </row>
    <row r="19" spans="1:8" x14ac:dyDescent="0.25">
      <c r="A19" s="32">
        <f t="shared" si="0"/>
        <v>18</v>
      </c>
      <c r="B19" s="1" t="s">
        <v>1950</v>
      </c>
      <c r="C19" s="8" t="str">
        <f>MID(MigrationRenamer[Filename],26,LEN(MigrationRenamer[Filename])-35)</f>
        <v>sales_order</v>
      </c>
      <c r="D19" s="8" t="str">
        <f t="shared" si="1"/>
        <v>2020_01_16_</v>
      </c>
      <c r="E19" s="8" t="str">
        <f>TEXT(MATCH(MigrationRenamer[[#This Row],[Table]],Tables[Table],0),"000000")</f>
        <v>000063</v>
      </c>
      <c r="F19" s="8" t="str">
        <f>RIGHT(MigrationRenamer[Filename],LEN(MigrationRenamer[Filename])-LEN(MigrationRenamer[Date Part])-LEN(MigrationRenamer[Sequence]))</f>
        <v>_create_sales_order_table.php</v>
      </c>
      <c r="G19" s="8" t="str">
        <f>MigrationRenamer[Date Part]&amp;MigrationRenamer[Sequence]&amp;MigrationRenamer[Name Part]</f>
        <v>2020_01_16_000063_create_sales_order_table.php</v>
      </c>
      <c r="H19" s="8" t="str">
        <f>IFERROR("ren "&amp;MigrationRenamer[Filename]&amp;" "&amp;MigrationRenamer[New Name],"del "&amp;MigrationRenamer[Filename])</f>
        <v>ren 2019_03_28_000063_create_sales_order_table.php 2020_01_16_000063_create_sales_order_table.php</v>
      </c>
    </row>
    <row r="20" spans="1:8" x14ac:dyDescent="0.25">
      <c r="A20" s="32">
        <f t="shared" si="0"/>
        <v>19</v>
      </c>
      <c r="B20" s="1" t="s">
        <v>1951</v>
      </c>
      <c r="C20" s="8" t="str">
        <f>MID(MigrationRenamer[Filename],26,LEN(MigrationRenamer[Filename])-35)</f>
        <v>sales_order_items</v>
      </c>
      <c r="D20" s="8" t="str">
        <f t="shared" si="1"/>
        <v>2020_01_16_</v>
      </c>
      <c r="E20" s="8" t="str">
        <f>TEXT(MATCH(MigrationRenamer[[#This Row],[Table]],Tables[Table],0),"000000")</f>
        <v>000064</v>
      </c>
      <c r="F20" s="8" t="str">
        <f>RIGHT(MigrationRenamer[Filename],LEN(MigrationRenamer[Filename])-LEN(MigrationRenamer[Date Part])-LEN(MigrationRenamer[Sequence]))</f>
        <v>_create_sales_order_items_table.php</v>
      </c>
      <c r="G20" s="8" t="str">
        <f>MigrationRenamer[Date Part]&amp;MigrationRenamer[Sequence]&amp;MigrationRenamer[Name Part]</f>
        <v>2020_01_16_000064_create_sales_order_items_table.php</v>
      </c>
      <c r="H20" s="8" t="str">
        <f>IFERROR("ren "&amp;MigrationRenamer[Filename]&amp;" "&amp;MigrationRenamer[New Name],"del "&amp;MigrationRenamer[Filename])</f>
        <v>ren 2019_03_28_000064_create_sales_order_items_table.php 2020_01_16_000064_create_sales_order_items_table.php</v>
      </c>
    </row>
    <row r="21" spans="1:8" x14ac:dyDescent="0.25">
      <c r="A21" s="32">
        <f t="shared" si="0"/>
        <v>20</v>
      </c>
      <c r="B21" s="1" t="s">
        <v>1952</v>
      </c>
      <c r="C21" s="8" t="str">
        <f>MID(MigrationRenamer[Filename],26,LEN(MigrationRenamer[Filename])-35)</f>
        <v>transactions</v>
      </c>
      <c r="D21" s="8" t="str">
        <f t="shared" si="1"/>
        <v>2020_01_16_</v>
      </c>
      <c r="E21" s="8" t="str">
        <f>TEXT(MATCH(MigrationRenamer[[#This Row],[Table]],Tables[Table],0),"000000")</f>
        <v>000065</v>
      </c>
      <c r="F21" s="8" t="str">
        <f>RIGHT(MigrationRenamer[Filename],LEN(MigrationRenamer[Filename])-LEN(MigrationRenamer[Date Part])-LEN(MigrationRenamer[Sequence]))</f>
        <v>_create_transactions_table.php</v>
      </c>
      <c r="G21" s="8" t="str">
        <f>MigrationRenamer[Date Part]&amp;MigrationRenamer[Sequence]&amp;MigrationRenamer[Name Part]</f>
        <v>2020_01_16_000065_create_transactions_table.php</v>
      </c>
      <c r="H21" s="8" t="str">
        <f>IFERROR("ren "&amp;MigrationRenamer[Filename]&amp;" "&amp;MigrationRenamer[New Name],"del "&amp;MigrationRenamer[Filename])</f>
        <v>ren 2019_03_28_000065_create_transactions_table.php 2020_01_16_000065_create_transactions_table.php</v>
      </c>
    </row>
    <row r="22" spans="1:8" x14ac:dyDescent="0.25">
      <c r="A22" s="32">
        <f t="shared" si="0"/>
        <v>21</v>
      </c>
      <c r="B22" s="1" t="s">
        <v>1953</v>
      </c>
      <c r="C22" s="8" t="str">
        <f>MID(MigrationRenamer[Filename],26,LEN(MigrationRenamer[Filename])-35)</f>
        <v>transaction_details</v>
      </c>
      <c r="D22" s="8" t="str">
        <f t="shared" si="1"/>
        <v>2020_01_16_</v>
      </c>
      <c r="E22" s="8" t="str">
        <f>TEXT(MATCH(MigrationRenamer[[#This Row],[Table]],Tables[Table],0),"000000")</f>
        <v>000066</v>
      </c>
      <c r="F22" s="8" t="str">
        <f>RIGHT(MigrationRenamer[Filename],LEN(MigrationRenamer[Filename])-LEN(MigrationRenamer[Date Part])-LEN(MigrationRenamer[Sequence]))</f>
        <v>_create_transaction_details_table.php</v>
      </c>
      <c r="G22" s="8" t="str">
        <f>MigrationRenamer[Date Part]&amp;MigrationRenamer[Sequence]&amp;MigrationRenamer[Name Part]</f>
        <v>2020_01_16_000066_create_transaction_details_table.php</v>
      </c>
      <c r="H22" s="8" t="str">
        <f>IFERROR("ren "&amp;MigrationRenamer[Filename]&amp;" "&amp;MigrationRenamer[New Name],"del "&amp;MigrationRenamer[Filename])</f>
        <v>ren 2019_03_28_000066_create_transaction_details_table.php 2020_01_16_000066_create_transaction_details_table.php</v>
      </c>
    </row>
    <row r="23" spans="1:8" x14ac:dyDescent="0.25">
      <c r="A23" s="32">
        <f t="shared" si="0"/>
        <v>22</v>
      </c>
      <c r="B23" s="1" t="s">
        <v>1954</v>
      </c>
      <c r="C23" s="8" t="str">
        <f>MID(MigrationRenamer[Filename],26,LEN(MigrationRenamer[Filename])-35)</f>
        <v>d_data</v>
      </c>
      <c r="D23" s="8" t="str">
        <f t="shared" si="1"/>
        <v>2020_01_16_</v>
      </c>
      <c r="E23" s="8" t="str">
        <f>TEXT(MATCH(MigrationRenamer[[#This Row],[Table]],Tables[Table],0),"000000")</f>
        <v>000067</v>
      </c>
      <c r="F23" s="8" t="str">
        <f>RIGHT(MigrationRenamer[Filename],LEN(MigrationRenamer[Filename])-LEN(MigrationRenamer[Date Part])-LEN(MigrationRenamer[Sequence]))</f>
        <v>_create_d_data_table.php</v>
      </c>
      <c r="G23" s="8" t="str">
        <f>MigrationRenamer[Date Part]&amp;MigrationRenamer[Sequence]&amp;MigrationRenamer[Name Part]</f>
        <v>2020_01_16_000067_create_d_data_table.php</v>
      </c>
      <c r="H23" s="8" t="str">
        <f>IFERROR("ren "&amp;MigrationRenamer[Filename]&amp;" "&amp;MigrationRenamer[New Name],"del "&amp;MigrationRenamer[Filename])</f>
        <v>ren 2019_03_28_000067_create_d_data_table.php 2020_01_16_000067_create_d_data_table.php</v>
      </c>
    </row>
    <row r="24" spans="1:8" x14ac:dyDescent="0.25">
      <c r="A24" s="32">
        <f t="shared" si="0"/>
        <v>23</v>
      </c>
      <c r="B24" s="1" t="s">
        <v>1866</v>
      </c>
      <c r="C24" s="8" t="str">
        <f>MID(MigrationRenamer[Filename],26,LEN(MigrationRenamer[Filename])-35)</f>
        <v>stock_transfer</v>
      </c>
      <c r="D24" s="8" t="str">
        <f t="shared" si="1"/>
        <v>2020_01_16_</v>
      </c>
      <c r="E24" s="8" t="str">
        <f>TEXT(MATCH(MigrationRenamer[[#This Row],[Table]],Tables[Table],0),"000000")</f>
        <v>000068</v>
      </c>
      <c r="F24" s="8" t="str">
        <f>RIGHT(MigrationRenamer[Filename],LEN(MigrationRenamer[Filename])-LEN(MigrationRenamer[Date Part])-LEN(MigrationRenamer[Sequence]))</f>
        <v>_create_stock_transfer_table.php</v>
      </c>
      <c r="G24" s="8" t="str">
        <f>MigrationRenamer[Date Part]&amp;MigrationRenamer[Sequence]&amp;MigrationRenamer[Name Part]</f>
        <v>2020_01_16_000068_create_stock_transfer_table.php</v>
      </c>
      <c r="H24" s="8" t="str">
        <f>IFERROR("ren "&amp;MigrationRenamer[Filename]&amp;" "&amp;MigrationRenamer[New Name],"del "&amp;MigrationRenamer[Filename])</f>
        <v>ren 2019_03_28_000068_create_stock_transfer_table.php 2020_01_16_000068_create_stock_transfer_table.php</v>
      </c>
    </row>
    <row r="25" spans="1:8" x14ac:dyDescent="0.25">
      <c r="A25" s="32">
        <f t="shared" si="0"/>
        <v>24</v>
      </c>
      <c r="B25" s="1" t="s">
        <v>1867</v>
      </c>
      <c r="C25" s="8" t="str">
        <f>MID(MigrationRenamer[Filename],26,LEN(MigrationRenamer[Filename])-35)</f>
        <v>receipts</v>
      </c>
      <c r="D25" s="8" t="str">
        <f t="shared" si="1"/>
        <v>2020_01_16_</v>
      </c>
      <c r="E25" s="8" t="str">
        <f>TEXT(MATCH(MigrationRenamer[[#This Row],[Table]],Tables[Table],0),"000000")</f>
        <v>000069</v>
      </c>
      <c r="F25" s="8" t="str">
        <f>RIGHT(MigrationRenamer[Filename],LEN(MigrationRenamer[Filename])-LEN(MigrationRenamer[Date Part])-LEN(MigrationRenamer[Sequence]))</f>
        <v>_create_receipts_table.php</v>
      </c>
      <c r="G25" s="8" t="str">
        <f>MigrationRenamer[Date Part]&amp;MigrationRenamer[Sequence]&amp;MigrationRenamer[Name Part]</f>
        <v>2020_01_16_000069_create_receipts_table.php</v>
      </c>
      <c r="H25" s="8" t="str">
        <f>IFERROR("ren "&amp;MigrationRenamer[Filename]&amp;" "&amp;MigrationRenamer[New Name],"del "&amp;MigrationRenamer[Filename])</f>
        <v>ren 2019_03_28_000069_create_receipts_table.php 2020_01_16_000069_create_receipts_table.php</v>
      </c>
    </row>
    <row r="26" spans="1:8" x14ac:dyDescent="0.25">
      <c r="A26" s="32">
        <f t="shared" si="0"/>
        <v>25</v>
      </c>
      <c r="B26" s="1" t="s">
        <v>1868</v>
      </c>
      <c r="C26" s="8" t="str">
        <f>MID(MigrationRenamer[Filename],26,LEN(MigrationRenamer[Filename])-35)</f>
        <v>fn_reserves</v>
      </c>
      <c r="D26" s="8" t="str">
        <f t="shared" si="1"/>
        <v>2020_01_16_</v>
      </c>
      <c r="E26" s="8" t="str">
        <f>TEXT(MATCH(MigrationRenamer[[#This Row],[Table]],Tables[Table],0),"000000")</f>
        <v>000070</v>
      </c>
      <c r="F26" s="8" t="str">
        <f>RIGHT(MigrationRenamer[Filename],LEN(MigrationRenamer[Filename])-LEN(MigrationRenamer[Date Part])-LEN(MigrationRenamer[Sequence]))</f>
        <v>_create_fn_reserves_table.php</v>
      </c>
      <c r="G26" s="8" t="str">
        <f>MigrationRenamer[Date Part]&amp;MigrationRenamer[Sequence]&amp;MigrationRenamer[Name Part]</f>
        <v>2020_01_16_000070_create_fn_reserves_table.php</v>
      </c>
      <c r="H26" s="8" t="str">
        <f>IFERROR("ren "&amp;MigrationRenamer[Filename]&amp;" "&amp;MigrationRenamer[New Name],"del "&amp;MigrationRenamer[Filename])</f>
        <v>ren 2019_03_28_000070_create_fn_reserves_table.php 2020_01_16_000070_create_fn_reserves_table.php</v>
      </c>
    </row>
    <row r="27" spans="1:8" x14ac:dyDescent="0.25">
      <c r="A27" s="32">
        <f t="shared" si="0"/>
        <v>26</v>
      </c>
      <c r="B27" s="1" t="s">
        <v>1869</v>
      </c>
      <c r="C27" s="8" t="str">
        <f>MID(MigrationRenamer[Filename],26,LEN(MigrationRenamer[Filename])-35)</f>
        <v>w_bin</v>
      </c>
      <c r="D27" s="8" t="str">
        <f t="shared" si="1"/>
        <v>2020_01_16_</v>
      </c>
      <c r="E27" s="8" t="str">
        <f>TEXT(MATCH(MigrationRenamer[[#This Row],[Table]],Tables[Table],0),"000000")</f>
        <v>000071</v>
      </c>
      <c r="F27" s="8" t="str">
        <f>RIGHT(MigrationRenamer[Filename],LEN(MigrationRenamer[Filename])-LEN(MigrationRenamer[Date Part])-LEN(MigrationRenamer[Sequence]))</f>
        <v>_create_w_bin_table.php</v>
      </c>
      <c r="G27" s="8" t="str">
        <f>MigrationRenamer[Date Part]&amp;MigrationRenamer[Sequence]&amp;MigrationRenamer[Name Part]</f>
        <v>2020_01_16_000071_create_w_bin_table.php</v>
      </c>
      <c r="H27" s="8" t="str">
        <f>IFERROR("ren "&amp;MigrationRenamer[Filename]&amp;" "&amp;MigrationRenamer[New Name],"del "&amp;MigrationRenamer[Filename])</f>
        <v>ren 2019_03_28_000071_create_w_bin_table.php 2020_01_16_000071_create_w_bin_table.php</v>
      </c>
    </row>
    <row r="28" spans="1:8" x14ac:dyDescent="0.25">
      <c r="A28" s="32">
        <f t="shared" si="0"/>
        <v>27</v>
      </c>
      <c r="B28" s="1" t="s">
        <v>1999</v>
      </c>
      <c r="C28" s="8" t="str">
        <f>MID(MigrationRenamer[Filename],26,LEN(MigrationRenamer[Filename])-35)</f>
        <v>user_executive</v>
      </c>
      <c r="D28" s="8" t="str">
        <f t="shared" si="1"/>
        <v>2020_01_16_</v>
      </c>
      <c r="E28" s="8" t="str">
        <f>TEXT(MATCH(MigrationRenamer[[#This Row],[Table]],Tables[Table],0),"000000")</f>
        <v>000072</v>
      </c>
      <c r="F28" s="8" t="str">
        <f>RIGHT(MigrationRenamer[Filename],LEN(MigrationRenamer[Filename])-LEN(MigrationRenamer[Date Part])-LEN(MigrationRenamer[Sequence]))</f>
        <v>_create_user_executive_table.php</v>
      </c>
      <c r="G28" s="8" t="str">
        <f>MigrationRenamer[Date Part]&amp;MigrationRenamer[Sequence]&amp;MigrationRenamer[Name Part]</f>
        <v>2020_01_16_000072_create_user_executive_table.php</v>
      </c>
      <c r="H28" s="8" t="str">
        <f>IFERROR("ren "&amp;MigrationRenamer[Filename]&amp;" "&amp;MigrationRenamer[New Name],"del "&amp;MigrationRenamer[Filename])</f>
        <v>ren 2019_03_28_000072_create_user_executive_table.php 2020_01_16_000072_create_user_executive_table.php</v>
      </c>
    </row>
    <row r="29" spans="1:8" x14ac:dyDescent="0.25">
      <c r="A29" s="32">
        <f t="shared" si="0"/>
        <v>28</v>
      </c>
      <c r="B29" s="1" t="s">
        <v>2114</v>
      </c>
      <c r="C29" s="8" t="str">
        <f>MID(MigrationRenamer[Filename],26,LEN(MigrationRenamer[Filename])-35)</f>
        <v>printings</v>
      </c>
      <c r="D29" s="8" t="str">
        <f t="shared" si="1"/>
        <v>2020_01_16_</v>
      </c>
      <c r="E29" s="8" t="str">
        <f>TEXT(MATCH(MigrationRenamer[[#This Row],[Table]],Tables[Table],0),"000000")</f>
        <v>000073</v>
      </c>
      <c r="F29" s="8" t="str">
        <f>RIGHT(MigrationRenamer[Filename],LEN(MigrationRenamer[Filename])-LEN(MigrationRenamer[Date Part])-LEN(MigrationRenamer[Sequence]))</f>
        <v>_create_printings_table.php</v>
      </c>
      <c r="G29" s="8" t="str">
        <f>MigrationRenamer[Date Part]&amp;MigrationRenamer[Sequence]&amp;MigrationRenamer[Name Part]</f>
        <v>2020_01_16_000073_create_printings_table.php</v>
      </c>
      <c r="H29" s="8" t="str">
        <f>IFERROR("ren "&amp;MigrationRenamer[Filename]&amp;" "&amp;MigrationRenamer[New Name],"del "&amp;MigrationRenamer[Filename])</f>
        <v>ren 2019_03_28_000073_create_printings_table.php 2020_01_16_000073_create_printings_table.php</v>
      </c>
    </row>
    <row r="30" spans="1:8" x14ac:dyDescent="0.25">
      <c r="A30" s="32">
        <f t="shared" si="0"/>
        <v>29</v>
      </c>
      <c r="B30" s="1" t="s">
        <v>2115</v>
      </c>
      <c r="C30" s="8" t="str">
        <f>MID(MigrationRenamer[Filename],26,LEN(MigrationRenamer[Filename])-35)</f>
        <v>shift</v>
      </c>
      <c r="D30" s="8" t="str">
        <f t="shared" si="1"/>
        <v>2020_01_16_</v>
      </c>
      <c r="E30" s="8" t="str">
        <f>TEXT(MATCH(MigrationRenamer[[#This Row],[Table]],Tables[Table],0),"000000")</f>
        <v>000074</v>
      </c>
      <c r="F30" s="8" t="str">
        <f>RIGHT(MigrationRenamer[Filename],LEN(MigrationRenamer[Filename])-LEN(MigrationRenamer[Date Part])-LEN(MigrationRenamer[Sequence]))</f>
        <v>_create_shift_table.php</v>
      </c>
      <c r="G30" s="8" t="str">
        <f>MigrationRenamer[Date Part]&amp;MigrationRenamer[Sequence]&amp;MigrationRenamer[Name Part]</f>
        <v>2020_01_16_000074_create_shift_table.php</v>
      </c>
      <c r="H30" s="8" t="str">
        <f>IFERROR("ren "&amp;MigrationRenamer[Filename]&amp;" "&amp;MigrationRenamer[New Name],"del "&amp;MigrationRenamer[Filename])</f>
        <v>ren 2020_01_16_173831_create_shift_table.php 2020_01_16_000074_create_shift_table.php</v>
      </c>
    </row>
    <row r="31" spans="1:8" x14ac:dyDescent="0.25">
      <c r="A31" s="32">
        <f t="shared" si="0"/>
        <v>30</v>
      </c>
      <c r="B31" s="1" t="s">
        <v>2116</v>
      </c>
      <c r="C31" s="8" t="str">
        <f>MID(MigrationRenamer[Filename],26,LEN(MigrationRenamer[Filename])-35)</f>
        <v>shift_transactions</v>
      </c>
      <c r="D31" s="8" t="str">
        <f t="shared" si="1"/>
        <v>2020_01_16_</v>
      </c>
      <c r="E31" s="8" t="str">
        <f>TEXT(MATCH(MigrationRenamer[[#This Row],[Table]],Tables[Table],0),"000000")</f>
        <v>000075</v>
      </c>
      <c r="F31" s="8" t="str">
        <f>RIGHT(MigrationRenamer[Filename],LEN(MigrationRenamer[Filename])-LEN(MigrationRenamer[Date Part])-LEN(MigrationRenamer[Sequence]))</f>
        <v>_create_shift_transactions_table.php</v>
      </c>
      <c r="G31" s="8" t="str">
        <f>MigrationRenamer[Date Part]&amp;MigrationRenamer[Sequence]&amp;MigrationRenamer[Name Part]</f>
        <v>2020_01_16_000075_create_shift_transactions_table.php</v>
      </c>
      <c r="H31" s="8" t="str">
        <f>IFERROR("ren "&amp;MigrationRenamer[Filename]&amp;" "&amp;MigrationRenamer[New Name],"del "&amp;MigrationRenamer[Filename])</f>
        <v>ren 2020_01_16_173859_create_shift_transactions_table.php 2020_01_16_000075_create_shift_transactions_table.php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4"/>
  <sheetViews>
    <sheetView topLeftCell="AG30" workbookViewId="0">
      <selection activeCell="AU37" sqref="AU37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 x14ac:dyDescent="0.25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7" t="str">
        <f>'Table Seed Map'!$A$24&amp;"-"&amp;COUNTA($B$1:ResourceList[[#This Row],[Resource Name]])-1</f>
        <v>Resource Lists-1</v>
      </c>
      <c r="B3" s="4" t="s">
        <v>1277</v>
      </c>
      <c r="C3" s="7" t="str">
        <f>ResourceList[[#This Row],[Resource Name]]&amp;"/"&amp;ResourceList[[#This Row],[Name]]</f>
        <v>Setting/Settings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305105</v>
      </c>
      <c r="F3" s="64" t="s">
        <v>1295</v>
      </c>
      <c r="G3" s="64" t="s">
        <v>1376</v>
      </c>
      <c r="H3" s="64" t="s">
        <v>1295</v>
      </c>
      <c r="I3" s="64" t="s">
        <v>23</v>
      </c>
      <c r="J3" s="64">
        <v>20</v>
      </c>
      <c r="K3" s="58">
        <f>ResourceList[No]</f>
        <v>322101</v>
      </c>
      <c r="M3" s="4" t="s">
        <v>1417</v>
      </c>
      <c r="N3" s="7">
        <f>VLOOKUP(ListExtras[[#This Row],[List Name]],ResourceList[[ListDisplayName]:[No]],2,0)</f>
        <v>322103</v>
      </c>
      <c r="O3" s="4"/>
      <c r="P3" s="4" t="s">
        <v>1403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322103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322103</v>
      </c>
      <c r="AA3" s="60">
        <f>IFERROR(VLOOKUP(ListExtras[[#This Row],[Relation Name]],RelationTable[[Display]:[RELID]],2,0),IF(ListExtras[[#This Row],[LID]]=0,"relation",""))</f>
        <v>308109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1377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4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4"/>
      <c r="AP3" s="64"/>
      <c r="AQ3" s="64"/>
      <c r="AR3" s="64"/>
      <c r="AT3" s="60" t="str">
        <f>'Table Seed Map'!$A$27&amp;"-"&amp;COUNTA($AV$1:ListLayout[[#This Row],[No]])-2</f>
        <v>List Layout-1</v>
      </c>
      <c r="AU3" s="4" t="s">
        <v>1377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4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4"/>
      <c r="BD3" s="64"/>
      <c r="BE3" s="64"/>
    </row>
    <row r="4" spans="1:57" x14ac:dyDescent="0.25">
      <c r="A4" s="7" t="str">
        <f>'Table Seed Map'!$A$24&amp;"-"&amp;COUNTA($B$1:ResourceList[[#This Row],[Resource Name]])-1</f>
        <v>Resource Lists-2</v>
      </c>
      <c r="B4" s="4" t="s">
        <v>74</v>
      </c>
      <c r="C4" s="7" t="str">
        <f>ResourceList[[#This Row],[Resource Name]]&amp;"/"&amp;ResourceList[[#This Row],[Name]]</f>
        <v>User/ListAllUsers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305101</v>
      </c>
      <c r="F4" s="64" t="s">
        <v>1406</v>
      </c>
      <c r="G4" s="64" t="s">
        <v>1407</v>
      </c>
      <c r="H4" s="64" t="s">
        <v>78</v>
      </c>
      <c r="I4" s="64" t="s">
        <v>23</v>
      </c>
      <c r="J4" s="64">
        <v>50</v>
      </c>
      <c r="K4" s="58">
        <f>ResourceList[No]</f>
        <v>322102</v>
      </c>
      <c r="M4" s="4" t="s">
        <v>1417</v>
      </c>
      <c r="N4" s="7">
        <f>VLOOKUP(ListExtras[[#This Row],[List Name]],ResourceList[[ListDisplayName]:[No]],2,0)</f>
        <v>322103</v>
      </c>
      <c r="O4" s="4"/>
      <c r="P4" s="4" t="s">
        <v>1404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322103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322103</v>
      </c>
      <c r="AA4" s="60">
        <f>IFERROR(VLOOKUP(ListExtras[[#This Row],[Relation Name]],RelationTable[[Display]:[RELID]],2,0),IF(ListExtras[[#This Row],[LID]]=0,"relation",""))</f>
        <v>308111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1377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322101</v>
      </c>
      <c r="AJ4" s="64" t="s">
        <v>24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4"/>
      <c r="AP4" s="64"/>
      <c r="AQ4" s="64"/>
      <c r="AR4" s="64"/>
      <c r="AT4" s="60" t="str">
        <f>'Table Seed Map'!$A$27&amp;"-"&amp;COUNTA($AV$1:ListLayout[[#This Row],[No]])-2</f>
        <v>List Layout-2</v>
      </c>
      <c r="AU4" s="4" t="s">
        <v>1377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1374</v>
      </c>
      <c r="AY4" s="64" t="s">
        <v>44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4"/>
      <c r="BD4" s="64"/>
      <c r="BE4" s="64"/>
    </row>
    <row r="5" spans="1:57" x14ac:dyDescent="0.25">
      <c r="A5" s="7" t="str">
        <f>'Table Seed Map'!$A$24&amp;"-"&amp;COUNTA($B$1:ResourceList[[#This Row],[Resource Name]])-1</f>
        <v>Resource Lists-3</v>
      </c>
      <c r="B5" s="4" t="s">
        <v>1286</v>
      </c>
      <c r="C5" s="7" t="str">
        <f>ResourceList[[#This Row],[Resource Name]]&amp;"/"&amp;ResourceList[[#This Row],[Name]]</f>
        <v>UserSetting/ListAllUserSetting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305117</v>
      </c>
      <c r="F5" s="64" t="s">
        <v>1415</v>
      </c>
      <c r="G5" s="64" t="s">
        <v>1416</v>
      </c>
      <c r="H5" s="64" t="s">
        <v>1304</v>
      </c>
      <c r="I5" s="64" t="s">
        <v>1446</v>
      </c>
      <c r="J5" s="64">
        <v>50</v>
      </c>
      <c r="K5" s="58">
        <f>ResourceList[No]</f>
        <v>322103</v>
      </c>
      <c r="M5" s="4" t="s">
        <v>1436</v>
      </c>
      <c r="N5" s="7">
        <f>VLOOKUP(ListExtras[[#This Row],[List Name]],ResourceList[[ListDisplayName]:[No]],2,0)</f>
        <v>322104</v>
      </c>
      <c r="O5" s="4" t="s">
        <v>2068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322104</v>
      </c>
      <c r="W5" s="60">
        <f>IFERROR(VLOOKUP(ListExtras[[#This Row],[Scope Name]],ResourceScopes[[ScopesDisplayNames]:[No]],2,0),IF(ListExtras[[#This Row],[LID]]=0,"scope",""))</f>
        <v>307112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322104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1408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322102</v>
      </c>
      <c r="AJ5" s="64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4"/>
      <c r="AP5" s="64"/>
      <c r="AQ5" s="64"/>
      <c r="AR5" s="64"/>
      <c r="AT5" s="60" t="str">
        <f>'Table Seed Map'!$A$27&amp;"-"&amp;COUNTA($AV$1:ListLayout[[#This Row],[No]])-2</f>
        <v>List Layout-3</v>
      </c>
      <c r="AU5" s="4" t="s">
        <v>1377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322101</v>
      </c>
      <c r="AX5" s="60" t="s">
        <v>1356</v>
      </c>
      <c r="AY5" s="64" t="s">
        <v>776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4"/>
      <c r="BD5" s="64"/>
      <c r="BE5" s="64"/>
    </row>
    <row r="6" spans="1:57" x14ac:dyDescent="0.25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User/SalesExecutiveUserList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4" t="s">
        <v>1433</v>
      </c>
      <c r="G6" s="64" t="s">
        <v>1434</v>
      </c>
      <c r="H6" s="64" t="s">
        <v>1435</v>
      </c>
      <c r="I6" s="64" t="s">
        <v>23</v>
      </c>
      <c r="J6" s="64">
        <v>50</v>
      </c>
      <c r="K6" s="58">
        <f>ResourceList[No]</f>
        <v>322104</v>
      </c>
      <c r="M6" s="4" t="s">
        <v>1497</v>
      </c>
      <c r="N6" s="7">
        <f>VLOOKUP(ListExtras[[#This Row],[List Name]],ResourceList[[ListDisplayName]:[No]],2,0)</f>
        <v>322105</v>
      </c>
      <c r="O6" s="4"/>
      <c r="P6" s="4" t="s">
        <v>1498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322105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322105</v>
      </c>
      <c r="AA6" s="60">
        <f>IFERROR(VLOOKUP(ListExtras[[#This Row],[Relation Name]],RelationTable[[Display]:[RELID]],2,0),IF(ListExtras[[#This Row],[LID]]=0,"relation",""))</f>
        <v>308113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1408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322102</v>
      </c>
      <c r="AJ6" s="64" t="s">
        <v>1409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4"/>
      <c r="AP6" s="64"/>
      <c r="AQ6" s="64"/>
      <c r="AR6" s="64"/>
      <c r="AT6" s="60" t="str">
        <f>'Table Seed Map'!$A$27&amp;"-"&amp;COUNTA($AV$1:ListLayout[[#This Row],[No]])-2</f>
        <v>List Layout-4</v>
      </c>
      <c r="AU6" s="4" t="s">
        <v>1408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</v>
      </c>
      <c r="AY6" s="64" t="s">
        <v>23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4"/>
      <c r="BD6" s="64"/>
      <c r="BE6" s="64"/>
    </row>
    <row r="7" spans="1:57" x14ac:dyDescent="0.25">
      <c r="A7" s="7" t="str">
        <f>'Table Seed Map'!$A$24&amp;"-"&amp;COUNTA($B$1:ResourceList[[#This Row],[Resource Name]])-1</f>
        <v>Resource Lists-5</v>
      </c>
      <c r="B7" s="4" t="s">
        <v>1287</v>
      </c>
      <c r="C7" s="7" t="str">
        <f>ResourceList[[#This Row],[Resource Name]]&amp;"/"&amp;ResourceList[[#This Row],[Name]]</f>
        <v>UserStoreArea/UserStoreAreaList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305118</v>
      </c>
      <c r="F7" s="64" t="s">
        <v>1495</v>
      </c>
      <c r="G7" s="64" t="s">
        <v>1496</v>
      </c>
      <c r="H7" s="64" t="s">
        <v>1492</v>
      </c>
      <c r="I7" s="64" t="s">
        <v>1446</v>
      </c>
      <c r="J7" s="64">
        <v>50</v>
      </c>
      <c r="K7" s="58">
        <f>ResourceList[No]</f>
        <v>322105</v>
      </c>
      <c r="M7" s="4" t="s">
        <v>1497</v>
      </c>
      <c r="N7" s="7">
        <f>VLOOKUP(ListExtras[[#This Row],[List Name]],ResourceList[[ListDisplayName]:[No]],2,0)</f>
        <v>322105</v>
      </c>
      <c r="O7" s="4"/>
      <c r="P7" s="4" t="s">
        <v>1499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322105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322105</v>
      </c>
      <c r="AA7" s="60">
        <f>IFERROR(VLOOKUP(ListExtras[[#This Row],[Relation Name]],RelationTable[[Display]:[RELID]],2,0),IF(ListExtras[[#This Row],[LID]]=0,"relation",""))</f>
        <v>308114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1408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322102</v>
      </c>
      <c r="AJ7" s="64" t="s">
        <v>1412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4"/>
      <c r="AP7" s="64"/>
      <c r="AQ7" s="64"/>
      <c r="AR7" s="64"/>
      <c r="AT7" s="60" t="str">
        <f>'Table Seed Map'!$A$27&amp;"-"&amp;COUNTA($AV$1:ListLayout[[#This Row],[No]])-2</f>
        <v>List Layout-5</v>
      </c>
      <c r="AU7" s="4" t="s">
        <v>1408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322102</v>
      </c>
      <c r="AX7" s="60" t="s">
        <v>1410</v>
      </c>
      <c r="AY7" s="64" t="s">
        <v>1409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4"/>
      <c r="BD7" s="64"/>
      <c r="BE7" s="64"/>
    </row>
    <row r="8" spans="1:57" x14ac:dyDescent="0.25">
      <c r="A8" s="7" t="str">
        <f>'Table Seed Map'!$A$24&amp;"-"&amp;COUNTA($B$1:ResourceList[[#This Row],[Resource Name]])-1</f>
        <v>Resource Lists-6</v>
      </c>
      <c r="B8" s="4" t="s">
        <v>1284</v>
      </c>
      <c r="C8" s="7" t="str">
        <f>ResourceList[[#This Row],[Resource Name]]&amp;"/"&amp;ResourceList[[#This Row],[Name]]</f>
        <v>Area/AreaList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305115</v>
      </c>
      <c r="F8" s="64" t="s">
        <v>1526</v>
      </c>
      <c r="G8" s="64" t="s">
        <v>1527</v>
      </c>
      <c r="H8" s="64" t="s">
        <v>1284</v>
      </c>
      <c r="I8" s="64" t="s">
        <v>23</v>
      </c>
      <c r="J8" s="64">
        <v>50</v>
      </c>
      <c r="K8" s="58">
        <f>ResourceList[No]</f>
        <v>322106</v>
      </c>
      <c r="M8" s="4" t="s">
        <v>1497</v>
      </c>
      <c r="N8" s="7">
        <f>VLOOKUP(ListExtras[[#This Row],[List Name]],ResourceList[[ListDisplayName]:[No]],2,0)</f>
        <v>322105</v>
      </c>
      <c r="O8" s="4"/>
      <c r="P8" s="4" t="s">
        <v>1500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322105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322105</v>
      </c>
      <c r="AA8" s="60">
        <f>IFERROR(VLOOKUP(ListExtras[[#This Row],[Relation Name]],RelationTable[[Display]:[RELID]],2,0),IF(ListExtras[[#This Row],[LID]]=0,"relation",""))</f>
        <v>308115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1417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322103</v>
      </c>
      <c r="AJ8" s="64" t="s">
        <v>23</v>
      </c>
      <c r="AK8" s="60">
        <f>IF(ListSearch[[#This Row],[List Name for Search]]="","relation",IFERROR(VLOOKUP(ListSearch[[#This Row],[Relation]],RelationTable[[Display]:[RELID]],2,0),""))</f>
        <v>308111</v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4" t="s">
        <v>1404</v>
      </c>
      <c r="AP8" s="64"/>
      <c r="AQ8" s="64"/>
      <c r="AR8" s="64"/>
      <c r="AT8" s="60" t="str">
        <f>'Table Seed Map'!$A$27&amp;"-"&amp;COUNTA($AV$1:ListLayout[[#This Row],[No]])-2</f>
        <v>List Layout-6</v>
      </c>
      <c r="AU8" s="4" t="s">
        <v>1408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322102</v>
      </c>
      <c r="AX8" s="60" t="s">
        <v>1411</v>
      </c>
      <c r="AY8" s="64" t="s">
        <v>1412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4"/>
      <c r="BD8" s="64"/>
      <c r="BE8" s="64"/>
    </row>
    <row r="9" spans="1:57" x14ac:dyDescent="0.25">
      <c r="A9" s="7" t="str">
        <f>'Table Seed Map'!$A$24&amp;"-"&amp;COUNTA($B$1:ResourceList[[#This Row],[Resource Name]])-1</f>
        <v>Resource Lists-7</v>
      </c>
      <c r="B9" s="4" t="s">
        <v>1283</v>
      </c>
      <c r="C9" s="7" t="str">
        <f>ResourceList[[#This Row],[Resource Name]]&amp;"/"&amp;ResourceList[[#This Row],[Name]]</f>
        <v>Store/StoresList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305114</v>
      </c>
      <c r="F9" s="64" t="s">
        <v>1530</v>
      </c>
      <c r="G9" s="64" t="s">
        <v>1531</v>
      </c>
      <c r="H9" s="64" t="s">
        <v>1301</v>
      </c>
      <c r="I9" s="64" t="s">
        <v>23</v>
      </c>
      <c r="J9" s="64">
        <v>50</v>
      </c>
      <c r="K9" s="58">
        <f>ResourceList[No]</f>
        <v>322107</v>
      </c>
      <c r="M9" s="4" t="s">
        <v>1746</v>
      </c>
      <c r="N9" s="8">
        <f>VLOOKUP(ListExtras[[#This Row],[List Name]],ResourceList[[ListDisplayName]:[No]],2,0)</f>
        <v>322108</v>
      </c>
      <c r="O9" s="5"/>
      <c r="P9" s="4" t="s">
        <v>1738</v>
      </c>
      <c r="Q9" s="5"/>
      <c r="R9" s="5"/>
      <c r="S9" s="5"/>
      <c r="T9" s="8" t="str">
        <f>'Table Seed Map'!$A$25&amp;"-"&amp;COUNT($W$1:ListExtras[[#This Row],[Scope ID]])</f>
        <v>List Scopes-1</v>
      </c>
      <c r="U9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" s="30">
        <f>IF(ListExtras[[#This Row],[LID]]=0,"resource_list",ListExtras[[#This Row],[LID]])</f>
        <v>322108</v>
      </c>
      <c r="W9" s="30" t="str">
        <f>IFERROR(VLOOKUP(ListExtras[[#This Row],[Scope Name]],ResourceScopes[[ScopesDisplayNames]:[No]],2,0),IF(ListExtras[[#This Row],[LID]]=0,"scope",""))</f>
        <v/>
      </c>
      <c r="X9" s="8" t="str">
        <f>'Table Seed Map'!$A$26&amp;"-"&amp;COUNT($AA$1:ListExtras[[#This Row],[Relation]])</f>
        <v>List Relation-6</v>
      </c>
      <c r="Y9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324106</v>
      </c>
      <c r="Z9" s="30">
        <f>IF(ListExtras[[#This Row],[LID]]=0,"resource_list",ListExtras[[#This Row],[LID]])</f>
        <v>322108</v>
      </c>
      <c r="AA9" s="30">
        <f>IFERROR(VLOOKUP(ListExtras[[#This Row],[Relation Name]],RelationTable[[Display]:[RELID]],2,0),IF(ListExtras[[#This Row],[LID]]=0,"relation",""))</f>
        <v>308133</v>
      </c>
      <c r="AB9" s="30" t="str">
        <f>IFERROR(VLOOKUP(ListExtras[[#This Row],[R1 Name]],RelationTable[[Display]:[RELID]],2,0),IF(ListExtras[[#This Row],[LID]]=0,"nest_relation1",""))</f>
        <v/>
      </c>
      <c r="AC9" s="30" t="str">
        <f>IFERROR(VLOOKUP(ListExtras[[#This Row],[R2 Name]],RelationTable[[Display]:[RELID]],2,0),IF(ListExtras[[#This Row],[LID]]=0,"nest_relation2",""))</f>
        <v/>
      </c>
      <c r="AD9" s="30" t="str">
        <f>IFERROR(VLOOKUP(ListExtras[[#This Row],[R3 Name]],RelationTable[[Display]:[RELID]],2,0),IF(ListExtras[[#This Row],[LID]]=0,"nest_relation3",""))</f>
        <v/>
      </c>
      <c r="AF9" s="60" t="str">
        <f>'Table Seed Map'!$A$28&amp;"-"&amp;COUNTA($AH$1:ListSearch[[#This Row],[No]])-2</f>
        <v>List Search-7</v>
      </c>
      <c r="AG9" s="4" t="s">
        <v>1417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322103</v>
      </c>
      <c r="AJ9" s="64" t="s">
        <v>23</v>
      </c>
      <c r="AK9" s="60">
        <f>IF(ListSearch[[#This Row],[List Name for Search]]="","relation",IFERROR(VLOOKUP(ListSearch[[#This Row],[Relation]],RelationTable[[Display]:[RELID]],2,0),""))</f>
        <v>308109</v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4" t="s">
        <v>1403</v>
      </c>
      <c r="AP9" s="64"/>
      <c r="AQ9" s="64"/>
      <c r="AR9" s="64"/>
      <c r="AT9" s="60" t="str">
        <f>'Table Seed Map'!$A$27&amp;"-"&amp;COUNTA($AV$1:ListLayout[[#This Row],[No]])-2</f>
        <v>List Layout-7</v>
      </c>
      <c r="AU9" s="4" t="s">
        <v>1417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74</v>
      </c>
      <c r="AY9" s="64" t="s">
        <v>23</v>
      </c>
      <c r="AZ9" s="60">
        <f>IF(ListLayout[[#This Row],[List Name for Layout]]="","relation",IFERROR(VLOOKUP(ListLayout[[#This Row],[Relation]],RelationTable[[Display]:[RELID]],2,0),""))</f>
        <v>308111</v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4" t="s">
        <v>1404</v>
      </c>
      <c r="BD9" s="64"/>
      <c r="BE9" s="64"/>
    </row>
    <row r="10" spans="1:57" x14ac:dyDescent="0.25">
      <c r="A10" s="8" t="str">
        <f>'Table Seed Map'!$A$24&amp;"-"&amp;COUNTA($B$1:ResourceList[[#This Row],[Resource Name]])-1</f>
        <v>Resource Lists-8</v>
      </c>
      <c r="B10" s="4" t="s">
        <v>1714</v>
      </c>
      <c r="C10" s="8" t="str">
        <f>ResourceList[[#This Row],[Resource Name]]&amp;"/"&amp;ResourceList[[#This Row],[Name]]</f>
        <v>ProductImage/ProductImageList</v>
      </c>
      <c r="D10" s="3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30">
        <f>IFERROR(VLOOKUP(ResourceList[[#This Row],[Resource Name]],ResourceTable[[RName]:[No]],3,0),"resource")</f>
        <v>305110</v>
      </c>
      <c r="F10" s="78" t="s">
        <v>1745</v>
      </c>
      <c r="G10" s="78" t="s">
        <v>1753</v>
      </c>
      <c r="H10" s="78" t="s">
        <v>1716</v>
      </c>
      <c r="I10" s="78" t="s">
        <v>1747</v>
      </c>
      <c r="J10" s="78">
        <v>15</v>
      </c>
      <c r="K10" s="32">
        <f>ResourceList[No]</f>
        <v>322108</v>
      </c>
      <c r="M10" s="4" t="s">
        <v>1782</v>
      </c>
      <c r="N10" s="8">
        <f>VLOOKUP(ListExtras[[#This Row],[List Name]],ResourceList[[ListDisplayName]:[No]],2,0)</f>
        <v>322110</v>
      </c>
      <c r="O10" s="5"/>
      <c r="P10" s="4" t="s">
        <v>1776</v>
      </c>
      <c r="Q10" s="5"/>
      <c r="R10" s="5"/>
      <c r="S10" s="5"/>
      <c r="T10" s="8" t="str">
        <f>'Table Seed Map'!$A$25&amp;"-"&amp;COUNT($W$1:ListExtras[[#This Row],[Scope ID]])</f>
        <v>List Scopes-1</v>
      </c>
      <c r="U10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0" s="30">
        <f>IF(ListExtras[[#This Row],[LID]]=0,"resource_list",ListExtras[[#This Row],[LID]])</f>
        <v>322110</v>
      </c>
      <c r="W10" s="30" t="str">
        <f>IFERROR(VLOOKUP(ListExtras[[#This Row],[Scope Name]],ResourceScopes[[ScopesDisplayNames]:[No]],2,0),IF(ListExtras[[#This Row],[LID]]=0,"scope",""))</f>
        <v/>
      </c>
      <c r="X10" s="8" t="str">
        <f>'Table Seed Map'!$A$26&amp;"-"&amp;COUNT($AA$1:ListExtras[[#This Row],[Relation]])</f>
        <v>List Relation-7</v>
      </c>
      <c r="Y10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324107</v>
      </c>
      <c r="Z10" s="30">
        <f>IF(ListExtras[[#This Row],[LID]]=0,"resource_list",ListExtras[[#This Row],[LID]])</f>
        <v>322110</v>
      </c>
      <c r="AA10" s="30">
        <f>IFERROR(VLOOKUP(ListExtras[[#This Row],[Relation Name]],RelationTable[[Display]:[RELID]],2,0),IF(ListExtras[[#This Row],[LID]]=0,"relation",""))</f>
        <v>308134</v>
      </c>
      <c r="AB10" s="30" t="str">
        <f>IFERROR(VLOOKUP(ListExtras[[#This Row],[R1 Name]],RelationTable[[Display]:[RELID]],2,0),IF(ListExtras[[#This Row],[LID]]=0,"nest_relation1",""))</f>
        <v/>
      </c>
      <c r="AC10" s="30" t="str">
        <f>IFERROR(VLOOKUP(ListExtras[[#This Row],[R2 Name]],RelationTable[[Display]:[RELID]],2,0),IF(ListExtras[[#This Row],[LID]]=0,"nest_relation2",""))</f>
        <v/>
      </c>
      <c r="AD10" s="30" t="str">
        <f>IFERROR(VLOOKUP(ListExtras[[#This Row],[R3 Name]],RelationTable[[Display]:[RELID]],2,0),IF(ListExtras[[#This Row],[LID]]=0,"nest_relation3",""))</f>
        <v/>
      </c>
      <c r="AF10" s="60" t="str">
        <f>'Table Seed Map'!$A$28&amp;"-"&amp;COUNTA($AH$1:ListSearch[[#This Row],[No]])-2</f>
        <v>List Search-8</v>
      </c>
      <c r="AG10" s="4" t="s">
        <v>1436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322104</v>
      </c>
      <c r="AJ10" s="64" t="s">
        <v>23</v>
      </c>
      <c r="AK10" s="60" t="str">
        <f>IF(ListSearch[[#This Row],[List Name for Search]]="","relation",IFERROR(VLOOKUP(ListSearch[[#This Row],[Relation]],RelationTable[[Display]:[RELID]],2,0),""))</f>
        <v/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4"/>
      <c r="AP10" s="64"/>
      <c r="AQ10" s="64"/>
      <c r="AR10" s="64"/>
      <c r="AT10" s="60" t="str">
        <f>'Table Seed Map'!$A$27&amp;"-"&amp;COUNTA($AV$1:ListLayout[[#This Row],[No]])-2</f>
        <v>List Layout-8</v>
      </c>
      <c r="AU10" s="4" t="s">
        <v>1417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322103</v>
      </c>
      <c r="AX10" s="60" t="s">
        <v>1295</v>
      </c>
      <c r="AY10" s="64" t="s">
        <v>23</v>
      </c>
      <c r="AZ10" s="60">
        <f>IF(ListLayout[[#This Row],[List Name for Layout]]="","relation",IFERROR(VLOOKUP(ListLayout[[#This Row],[Relation]],RelationTable[[Display]:[RELID]],2,0),""))</f>
        <v>308109</v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4" t="s">
        <v>1403</v>
      </c>
      <c r="BD10" s="64"/>
      <c r="BE10" s="64"/>
    </row>
    <row r="11" spans="1:57" x14ac:dyDescent="0.25">
      <c r="A11" s="8" t="str">
        <f>'Table Seed Map'!$A$24&amp;"-"&amp;COUNTA($B$1:ResourceList[[#This Row],[Resource Name]])-1</f>
        <v>Resource Lists-9</v>
      </c>
      <c r="B11" s="4" t="s">
        <v>1279</v>
      </c>
      <c r="C11" s="8" t="str">
        <f>ResourceList[[#This Row],[Resource Name]]&amp;"/"&amp;ResourceList[[#This Row],[Name]]</f>
        <v>Functiondetail/FunctionDetailList</v>
      </c>
      <c r="D11" s="3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30">
        <f>IFERROR(VLOOKUP(ResourceList[[#This Row],[Resource Name]],ResourceTable[[RName]:[No]],3,0),"resource")</f>
        <v>305113</v>
      </c>
      <c r="F11" s="78" t="s">
        <v>1752</v>
      </c>
      <c r="G11" s="78" t="s">
        <v>1754</v>
      </c>
      <c r="H11" s="78" t="s">
        <v>1755</v>
      </c>
      <c r="I11" s="78" t="s">
        <v>768</v>
      </c>
      <c r="J11" s="78">
        <v>50</v>
      </c>
      <c r="K11" s="32">
        <f>ResourceList[No]</f>
        <v>322109</v>
      </c>
      <c r="M11" s="4" t="s">
        <v>1782</v>
      </c>
      <c r="N11" s="8">
        <f>VLOOKUP(ListExtras[[#This Row],[List Name]],ResourceList[[ListDisplayName]:[No]],2,0)</f>
        <v>322110</v>
      </c>
      <c r="O11" s="5"/>
      <c r="P11" s="4" t="s">
        <v>1777</v>
      </c>
      <c r="Q11" s="5"/>
      <c r="R11" s="5"/>
      <c r="S11" s="5"/>
      <c r="T11" s="8" t="str">
        <f>'Table Seed Map'!$A$25&amp;"-"&amp;COUNT($W$1:ListExtras[[#This Row],[Scope ID]])</f>
        <v>List Scopes-1</v>
      </c>
      <c r="U11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1" s="30">
        <f>IF(ListExtras[[#This Row],[LID]]=0,"resource_list",ListExtras[[#This Row],[LID]])</f>
        <v>322110</v>
      </c>
      <c r="W11" s="30" t="str">
        <f>IFERROR(VLOOKUP(ListExtras[[#This Row],[Scope Name]],ResourceScopes[[ScopesDisplayNames]:[No]],2,0),IF(ListExtras[[#This Row],[LID]]=0,"scope",""))</f>
        <v/>
      </c>
      <c r="X11" s="8" t="str">
        <f>'Table Seed Map'!$A$26&amp;"-"&amp;COUNT($AA$1:ListExtras[[#This Row],[Relation]])</f>
        <v>List Relation-8</v>
      </c>
      <c r="Y11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324108</v>
      </c>
      <c r="Z11" s="30">
        <f>IF(ListExtras[[#This Row],[LID]]=0,"resource_list",ListExtras[[#This Row],[LID]])</f>
        <v>322110</v>
      </c>
      <c r="AA11" s="30">
        <f>IFERROR(VLOOKUP(ListExtras[[#This Row],[Relation Name]],RelationTable[[Display]:[RELID]],2,0),IF(ListExtras[[#This Row],[LID]]=0,"relation",""))</f>
        <v>308135</v>
      </c>
      <c r="AB11" s="30" t="str">
        <f>IFERROR(VLOOKUP(ListExtras[[#This Row],[R1 Name]],RelationTable[[Display]:[RELID]],2,0),IF(ListExtras[[#This Row],[LID]]=0,"nest_relation1",""))</f>
        <v/>
      </c>
      <c r="AC11" s="30" t="str">
        <f>IFERROR(VLOOKUP(ListExtras[[#This Row],[R2 Name]],RelationTable[[Display]:[RELID]],2,0),IF(ListExtras[[#This Row],[LID]]=0,"nest_relation2",""))</f>
        <v/>
      </c>
      <c r="AD11" s="30" t="str">
        <f>IFERROR(VLOOKUP(ListExtras[[#This Row],[R3 Name]],RelationTable[[Display]:[RELID]],2,0),IF(ListExtras[[#This Row],[LID]]=0,"nest_relation3",""))</f>
        <v/>
      </c>
      <c r="AF11" s="60" t="str">
        <f>'Table Seed Map'!$A$28&amp;"-"&amp;COUNTA($AH$1:ListSearch[[#This Row],[No]])-2</f>
        <v>List Search-9</v>
      </c>
      <c r="AG11" s="4" t="s">
        <v>1497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4" t="s">
        <v>23</v>
      </c>
      <c r="AK11" s="60">
        <f>IF(ListSearch[[#This Row],[List Name for Search]]="","relation",IFERROR(VLOOKUP(ListSearch[[#This Row],[Relation]],RelationTable[[Display]:[RELID]],2,0),""))</f>
        <v>308113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4" t="s">
        <v>1498</v>
      </c>
      <c r="AP11" s="64"/>
      <c r="AQ11" s="64"/>
      <c r="AR11" s="64"/>
      <c r="AT11" s="60" t="str">
        <f>'Table Seed Map'!$A$27&amp;"-"&amp;COUNTA($AV$1:ListLayout[[#This Row],[No]])-2</f>
        <v>List Layout-9</v>
      </c>
      <c r="AU11" s="4" t="s">
        <v>1417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322103</v>
      </c>
      <c r="AX11" s="60" t="s">
        <v>276</v>
      </c>
      <c r="AY11" s="64" t="s">
        <v>44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4"/>
      <c r="BD11" s="64"/>
      <c r="BE11" s="64"/>
    </row>
    <row r="12" spans="1:57" x14ac:dyDescent="0.25">
      <c r="A12" s="8" t="str">
        <f>'Table Seed Map'!$A$24&amp;"-"&amp;COUNTA($B$1:ResourceList[[#This Row],[Resource Name]])-1</f>
        <v>Resource Lists-10</v>
      </c>
      <c r="B12" s="4" t="s">
        <v>1633</v>
      </c>
      <c r="C12" s="8" t="str">
        <f>ResourceList[[#This Row],[Resource Name]]&amp;"/"&amp;ResourceList[[#This Row],[Name]]</f>
        <v>FnReserve/ReservesList</v>
      </c>
      <c r="D12" s="30">
        <f>IF(ResourceList[[#This Row],[Resource Name]]="","id",COUNTA($B$2:ResourceList[[#This Row],[Resource Name]])+IF(ISNUMBER(VLOOKUP('Table Seed Map'!$A$24,SeedMap[],9,0)),VLOOKUP('Table Seed Map'!$A$24,SeedMap[],9,0),0))</f>
        <v>322110</v>
      </c>
      <c r="E12" s="30">
        <f>IFERROR(VLOOKUP(ResourceList[[#This Row],[Resource Name]],ResourceTable[[RName]:[No]],3,0),"resource")</f>
        <v>305127</v>
      </c>
      <c r="F12" s="78" t="s">
        <v>1780</v>
      </c>
      <c r="G12" s="78" t="s">
        <v>1781</v>
      </c>
      <c r="H12" s="78" t="s">
        <v>1634</v>
      </c>
      <c r="I12" s="78" t="s">
        <v>858</v>
      </c>
      <c r="J12" s="78">
        <v>50</v>
      </c>
      <c r="K12" s="32">
        <f>ResourceList[No]</f>
        <v>322110</v>
      </c>
      <c r="M12" s="4" t="s">
        <v>1806</v>
      </c>
      <c r="N12" s="8">
        <f>VLOOKUP(ListExtras[[#This Row],[List Name]],ResourceList[[ListDisplayName]:[No]],2,0)</f>
        <v>322111</v>
      </c>
      <c r="O12" s="5" t="s">
        <v>1807</v>
      </c>
      <c r="P12" s="4" t="s">
        <v>1776</v>
      </c>
      <c r="Q12" s="5"/>
      <c r="R12" s="5"/>
      <c r="S12" s="5"/>
      <c r="T12" s="8" t="str">
        <f>'Table Seed Map'!$A$25&amp;"-"&amp;COUNT($W$1:ListExtras[[#This Row],[Scope ID]])</f>
        <v>List Scopes-2</v>
      </c>
      <c r="U12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323102</v>
      </c>
      <c r="V12" s="30">
        <f>IF(ListExtras[[#This Row],[LID]]=0,"resource_list",ListExtras[[#This Row],[LID]])</f>
        <v>322111</v>
      </c>
      <c r="W12" s="30">
        <f>IFERROR(VLOOKUP(ListExtras[[#This Row],[Scope Name]],ResourceScopes[[ScopesDisplayNames]:[No]],2,0),IF(ListExtras[[#This Row],[LID]]=0,"scope",""))</f>
        <v>307109</v>
      </c>
      <c r="X12" s="8" t="str">
        <f>'Table Seed Map'!$A$26&amp;"-"&amp;COUNT($AA$1:ListExtras[[#This Row],[Relation]])</f>
        <v>List Relation-9</v>
      </c>
      <c r="Y12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324109</v>
      </c>
      <c r="Z12" s="30">
        <f>IF(ListExtras[[#This Row],[LID]]=0,"resource_list",ListExtras[[#This Row],[LID]])</f>
        <v>322111</v>
      </c>
      <c r="AA12" s="30">
        <f>IFERROR(VLOOKUP(ListExtras[[#This Row],[Relation Name]],RelationTable[[Display]:[RELID]],2,0),IF(ListExtras[[#This Row],[LID]]=0,"relation",""))</f>
        <v>308134</v>
      </c>
      <c r="AB12" s="30" t="str">
        <f>IFERROR(VLOOKUP(ListExtras[[#This Row],[R1 Name]],RelationTable[[Display]:[RELID]],2,0),IF(ListExtras[[#This Row],[LID]]=0,"nest_relation1",""))</f>
        <v/>
      </c>
      <c r="AC12" s="30" t="str">
        <f>IFERROR(VLOOKUP(ListExtras[[#This Row],[R2 Name]],RelationTable[[Display]:[RELID]],2,0),IF(ListExtras[[#This Row],[LID]]=0,"nest_relation2",""))</f>
        <v/>
      </c>
      <c r="AD12" s="30" t="str">
        <f>IFERROR(VLOOKUP(ListExtras[[#This Row],[R3 Name]],RelationTable[[Display]:[RELID]],2,0),IF(ListExtras[[#This Row],[LID]]=0,"nest_relation3",""))</f>
        <v/>
      </c>
      <c r="AF12" s="60" t="str">
        <f>'Table Seed Map'!$A$28&amp;"-"&amp;COUNTA($AH$1:ListSearch[[#This Row],[No]])-2</f>
        <v>List Search-10</v>
      </c>
      <c r="AG12" s="4" t="s">
        <v>1497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322105</v>
      </c>
      <c r="AJ12" s="64" t="s">
        <v>23</v>
      </c>
      <c r="AK12" s="60">
        <f>IF(ListSearch[[#This Row],[List Name for Search]]="","relation",IFERROR(VLOOKUP(ListSearch[[#This Row],[Relation]],RelationTable[[Display]:[RELID]],2,0),""))</f>
        <v>308114</v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4" t="s">
        <v>1499</v>
      </c>
      <c r="AP12" s="64"/>
      <c r="AQ12" s="64"/>
      <c r="AR12" s="64"/>
      <c r="AT12" s="16" t="str">
        <f>'Table Seed Map'!$A$27&amp;"-"&amp;COUNTA($AV$1:ListLayout[[#This Row],[No]])-2</f>
        <v>List Layout-10</v>
      </c>
      <c r="AU12" s="4" t="s">
        <v>1417</v>
      </c>
      <c r="AV12" s="16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16">
        <f>IFERROR(VLOOKUP(ListLayout[[#This Row],[List Name for Layout]],ResourceList[[ListDisplayName]:[No]],2,0),"resource_list")</f>
        <v>322103</v>
      </c>
      <c r="AX12" s="16" t="s">
        <v>1356</v>
      </c>
      <c r="AY12" s="14" t="s">
        <v>776</v>
      </c>
      <c r="AZ12" s="16" t="str">
        <f>IF(ListLayout[[#This Row],[List Name for Layout]]="","relation",IFERROR(VLOOKUP(ListLayout[[#This Row],[Relation]],RelationTable[[Display]:[RELID]],2,0),""))</f>
        <v/>
      </c>
      <c r="BA12" s="16" t="str">
        <f>IF(ListLayout[[#This Row],[List Name for Layout]]="","nest_relation1",IFERROR(VLOOKUP(ListLayout[[#This Row],[Relation 1]],RelationTable[[Display]:[RELID]],2,0),""))</f>
        <v/>
      </c>
      <c r="BB12" s="16" t="str">
        <f>IF(ListLayout[[#This Row],[List Name for Layout]]="","nest_relation2",IFERROR(VLOOKUP(ListLayout[[#This Row],[Relation 2]],RelationTable[[Display]:[RELID]],2,0),""))</f>
        <v/>
      </c>
      <c r="BC12" s="14"/>
      <c r="BD12" s="14"/>
      <c r="BE12" s="14"/>
    </row>
    <row r="13" spans="1:57" x14ac:dyDescent="0.25">
      <c r="A13" s="8" t="str">
        <f>'Table Seed Map'!$A$24&amp;"-"&amp;COUNTA($B$1:ResourceList[[#This Row],[Resource Name]])-1</f>
        <v>Resource Lists-11</v>
      </c>
      <c r="B13" s="4" t="s">
        <v>1633</v>
      </c>
      <c r="C13" s="8" t="str">
        <f>ResourceList[[#This Row],[Resource Name]]&amp;"/"&amp;ResourceList[[#This Row],[Name]]</f>
        <v>FnReserve/UncompletedReservesList</v>
      </c>
      <c r="D13" s="30">
        <f>IF(ResourceList[[#This Row],[Resource Name]]="","id",COUNTA($B$2:ResourceList[[#This Row],[Resource Name]])+IF(ISNUMBER(VLOOKUP('Table Seed Map'!$A$24,SeedMap[],9,0)),VLOOKUP('Table Seed Map'!$A$24,SeedMap[],9,0),0))</f>
        <v>322111</v>
      </c>
      <c r="E13" s="30">
        <f>IFERROR(VLOOKUP(ResourceList[[#This Row],[Resource Name]],ResourceTable[[RName]:[No]],3,0),"resource")</f>
        <v>305127</v>
      </c>
      <c r="F13" s="78" t="s">
        <v>1804</v>
      </c>
      <c r="G13" s="78" t="s">
        <v>1805</v>
      </c>
      <c r="H13" s="78" t="s">
        <v>1634</v>
      </c>
      <c r="I13" s="78" t="s">
        <v>858</v>
      </c>
      <c r="J13" s="78">
        <v>50</v>
      </c>
      <c r="K13" s="32">
        <f>ResourceList[No]</f>
        <v>322111</v>
      </c>
      <c r="M13" s="4" t="s">
        <v>1806</v>
      </c>
      <c r="N13" s="8">
        <f>VLOOKUP(ListExtras[[#This Row],[List Name]],ResourceList[[ListDisplayName]:[No]],2,0)</f>
        <v>322111</v>
      </c>
      <c r="O13" s="5"/>
      <c r="P13" s="4" t="s">
        <v>1777</v>
      </c>
      <c r="Q13" s="5"/>
      <c r="R13" s="5"/>
      <c r="S13" s="5"/>
      <c r="T13" s="8" t="str">
        <f>'Table Seed Map'!$A$25&amp;"-"&amp;COUNT($W$1:ListExtras[[#This Row],[Scope ID]])</f>
        <v>List Scopes-2</v>
      </c>
      <c r="U13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3" s="30">
        <f>IF(ListExtras[[#This Row],[LID]]=0,"resource_list",ListExtras[[#This Row],[LID]])</f>
        <v>322111</v>
      </c>
      <c r="W13" s="30" t="str">
        <f>IFERROR(VLOOKUP(ListExtras[[#This Row],[Scope Name]],ResourceScopes[[ScopesDisplayNames]:[No]],2,0),IF(ListExtras[[#This Row],[LID]]=0,"scope",""))</f>
        <v/>
      </c>
      <c r="X13" s="8" t="str">
        <f>'Table Seed Map'!$A$26&amp;"-"&amp;COUNT($AA$1:ListExtras[[#This Row],[Relation]])</f>
        <v>List Relation-10</v>
      </c>
      <c r="Y13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324110</v>
      </c>
      <c r="Z13" s="30">
        <f>IF(ListExtras[[#This Row],[LID]]=0,"resource_list",ListExtras[[#This Row],[LID]])</f>
        <v>322111</v>
      </c>
      <c r="AA13" s="30">
        <f>IFERROR(VLOOKUP(ListExtras[[#This Row],[Relation Name]],RelationTable[[Display]:[RELID]],2,0),IF(ListExtras[[#This Row],[LID]]=0,"relation",""))</f>
        <v>308135</v>
      </c>
      <c r="AB13" s="30" t="str">
        <f>IFERROR(VLOOKUP(ListExtras[[#This Row],[R1 Name]],RelationTable[[Display]:[RELID]],2,0),IF(ListExtras[[#This Row],[LID]]=0,"nest_relation1",""))</f>
        <v/>
      </c>
      <c r="AC13" s="30" t="str">
        <f>IFERROR(VLOOKUP(ListExtras[[#This Row],[R2 Name]],RelationTable[[Display]:[RELID]],2,0),IF(ListExtras[[#This Row],[LID]]=0,"nest_relation2",""))</f>
        <v/>
      </c>
      <c r="AD13" s="30" t="str">
        <f>IFERROR(VLOOKUP(ListExtras[[#This Row],[R3 Name]],RelationTable[[Display]:[RELID]],2,0),IF(ListExtras[[#This Row],[LID]]=0,"nest_relation3",""))</f>
        <v/>
      </c>
      <c r="AF13" s="60" t="str">
        <f>'Table Seed Map'!$A$28&amp;"-"&amp;COUNTA($AH$1:ListSearch[[#This Row],[No]])-2</f>
        <v>List Search-11</v>
      </c>
      <c r="AG13" s="4" t="s">
        <v>1497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322105</v>
      </c>
      <c r="AJ13" s="64" t="s">
        <v>23</v>
      </c>
      <c r="AK13" s="60">
        <f>IF(ListSearch[[#This Row],[List Name for Search]]="","relation",IFERROR(VLOOKUP(ListSearch[[#This Row],[Relation]],RelationTable[[Display]:[RELID]],2,0),""))</f>
        <v>308115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4" t="s">
        <v>1500</v>
      </c>
      <c r="AP13" s="64"/>
      <c r="AQ13" s="64"/>
      <c r="AR13" s="64"/>
      <c r="AT13" s="60" t="str">
        <f>'Table Seed Map'!$A$27&amp;"-"&amp;COUNTA($AV$1:ListLayout[[#This Row],[No]])-2</f>
        <v>List Layout-11</v>
      </c>
      <c r="AU13" s="4" t="s">
        <v>1436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322104</v>
      </c>
      <c r="AX13" s="60" t="s">
        <v>1</v>
      </c>
      <c r="AY13" s="64" t="s">
        <v>23</v>
      </c>
      <c r="AZ13" s="60" t="str">
        <f>IF(ListLayout[[#This Row],[List Name for Layout]]="","relation",IFERROR(VLOOKUP(ListLayout[[#This Row],[Relation]],RelationTable[[Display]:[RELID]],2,0),""))</f>
        <v/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4"/>
      <c r="BD13" s="64"/>
      <c r="BE13" s="64"/>
    </row>
    <row r="14" spans="1:57" x14ac:dyDescent="0.25">
      <c r="A14" s="8" t="str">
        <f>'Table Seed Map'!$A$24&amp;"-"&amp;COUNTA($B$1:ResourceList[[#This Row],[Resource Name]])-1</f>
        <v>Resource Lists-12</v>
      </c>
      <c r="B14" s="4" t="s">
        <v>74</v>
      </c>
      <c r="C14" s="8" t="str">
        <f>ResourceList[[#This Row],[Resource Name]]&amp;"/"&amp;ResourceList[[#This Row],[Name]]</f>
        <v>User/LoginUsers</v>
      </c>
      <c r="D14" s="30">
        <f>IF(ResourceList[[#This Row],[Resource Name]]="","id",COUNTA($B$2:ResourceList[[#This Row],[Resource Name]])+IF(ISNUMBER(VLOOKUP('Table Seed Map'!$A$24,SeedMap[],9,0)),VLOOKUP('Table Seed Map'!$A$24,SeedMap[],9,0),0))</f>
        <v>322112</v>
      </c>
      <c r="E14" s="30">
        <f>IFERROR(VLOOKUP(ResourceList[[#This Row],[Resource Name]],ResourceTable[[RName]:[No]],3,0),"resource")</f>
        <v>305101</v>
      </c>
      <c r="F14" s="78" t="s">
        <v>1888</v>
      </c>
      <c r="G14" s="78" t="s">
        <v>1894</v>
      </c>
      <c r="H14" s="78" t="s">
        <v>78</v>
      </c>
      <c r="I14" s="78" t="s">
        <v>23</v>
      </c>
      <c r="J14" s="78">
        <v>50</v>
      </c>
      <c r="K14" s="32">
        <f>ResourceList[No]</f>
        <v>322112</v>
      </c>
      <c r="M14" s="4" t="s">
        <v>1897</v>
      </c>
      <c r="N14" s="8">
        <f>VLOOKUP(ListExtras[[#This Row],[List Name]],ResourceList[[ListDisplayName]:[No]],2,0)</f>
        <v>322112</v>
      </c>
      <c r="O14" s="4" t="s">
        <v>1897</v>
      </c>
      <c r="P14" s="5"/>
      <c r="Q14" s="5"/>
      <c r="R14" s="5"/>
      <c r="S14" s="5"/>
      <c r="T14" s="8" t="str">
        <f>'Table Seed Map'!$A$25&amp;"-"&amp;COUNT($W$1:ListExtras[[#This Row],[Scope ID]])</f>
        <v>List Scopes-3</v>
      </c>
      <c r="U14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323103</v>
      </c>
      <c r="V14" s="30">
        <f>IF(ListExtras[[#This Row],[LID]]=0,"resource_list",ListExtras[[#This Row],[LID]])</f>
        <v>322112</v>
      </c>
      <c r="W14" s="30">
        <f>IFERROR(VLOOKUP(ListExtras[[#This Row],[Scope Name]],ResourceScopes[[ScopesDisplayNames]:[No]],2,0),IF(ListExtras[[#This Row],[LID]]=0,"scope",""))</f>
        <v>307110</v>
      </c>
      <c r="X14" s="8" t="str">
        <f>'Table Seed Map'!$A$26&amp;"-"&amp;COUNT($AA$1:ListExtras[[#This Row],[Relation]])</f>
        <v>List Relation-10</v>
      </c>
      <c r="Y14" s="3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14" s="30">
        <f>IF(ListExtras[[#This Row],[LID]]=0,"resource_list",ListExtras[[#This Row],[LID]])</f>
        <v>322112</v>
      </c>
      <c r="AA14" s="30" t="str">
        <f>IFERROR(VLOOKUP(ListExtras[[#This Row],[Relation Name]],RelationTable[[Display]:[RELID]],2,0),IF(ListExtras[[#This Row],[LID]]=0,"relation",""))</f>
        <v/>
      </c>
      <c r="AB14" s="30" t="str">
        <f>IFERROR(VLOOKUP(ListExtras[[#This Row],[R1 Name]],RelationTable[[Display]:[RELID]],2,0),IF(ListExtras[[#This Row],[LID]]=0,"nest_relation1",""))</f>
        <v/>
      </c>
      <c r="AC14" s="30" t="str">
        <f>IFERROR(VLOOKUP(ListExtras[[#This Row],[R2 Name]],RelationTable[[Display]:[RELID]],2,0),IF(ListExtras[[#This Row],[LID]]=0,"nest_relation2",""))</f>
        <v/>
      </c>
      <c r="AD14" s="30" t="str">
        <f>IFERROR(VLOOKUP(ListExtras[[#This Row],[R3 Name]],RelationTable[[Display]:[RELID]],2,0),IF(ListExtras[[#This Row],[LID]]=0,"nest_relation3",""))</f>
        <v/>
      </c>
      <c r="AF14" s="60" t="str">
        <f>'Table Seed Map'!$A$28&amp;"-"&amp;COUNTA($AH$1:ListSearch[[#This Row],[No]])-2</f>
        <v>List Search-12</v>
      </c>
      <c r="AG14" s="4" t="s">
        <v>1528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322106</v>
      </c>
      <c r="AJ14" s="64" t="s">
        <v>23</v>
      </c>
      <c r="AK14" s="60" t="str">
        <f>IF(ListSearch[[#This Row],[List Name for Search]]="","relation",IFERROR(VLOOKUP(ListSearch[[#This Row],[Relation]],RelationTable[[Display]:[RELID]],2,0),""))</f>
        <v/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4"/>
      <c r="AP14" s="64"/>
      <c r="AQ14" s="64"/>
      <c r="AR14" s="64"/>
      <c r="AT14" s="60" t="str">
        <f>'Table Seed Map'!$A$27&amp;"-"&amp;COUNTA($AV$1:ListLayout[[#This Row],[No]])-2</f>
        <v>List Layout-12</v>
      </c>
      <c r="AU14" s="4" t="s">
        <v>1436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322104</v>
      </c>
      <c r="AX14" s="60" t="s">
        <v>1411</v>
      </c>
      <c r="AY14" s="64" t="s">
        <v>1412</v>
      </c>
      <c r="AZ14" s="60" t="str">
        <f>IF(ListLayout[[#This Row],[List Name for Layout]]="","relation",IFERROR(VLOOKUP(ListLayout[[#This Row],[Relation]],RelationTable[[Display]:[RELID]],2,0),""))</f>
        <v/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4"/>
      <c r="BD14" s="64"/>
      <c r="BE14" s="64"/>
    </row>
    <row r="15" spans="1:57" x14ac:dyDescent="0.25">
      <c r="A15" s="8" t="str">
        <f>'Table Seed Map'!$A$24&amp;"-"&amp;COUNTA($B$1:ResourceList[[#This Row],[Resource Name]])-1</f>
        <v>Resource Lists-13</v>
      </c>
      <c r="B15" s="4" t="s">
        <v>74</v>
      </c>
      <c r="C15" s="8" t="str">
        <f>ResourceList[[#This Row],[Resource Name]]&amp;"/"&amp;ResourceList[[#This Row],[Name]]</f>
        <v>User/LoginSalesExecutives</v>
      </c>
      <c r="D15" s="30">
        <f>IF(ResourceList[[#This Row],[Resource Name]]="","id",COUNTA($B$2:ResourceList[[#This Row],[Resource Name]])+IF(ISNUMBER(VLOOKUP('Table Seed Map'!$A$24,SeedMap[],9,0)),VLOOKUP('Table Seed Map'!$A$24,SeedMap[],9,0),0))</f>
        <v>322113</v>
      </c>
      <c r="E15" s="30">
        <f>IFERROR(VLOOKUP(ResourceList[[#This Row],[Resource Name]],ResourceTable[[RName]:[No]],3,0),"resource")</f>
        <v>305101</v>
      </c>
      <c r="F15" s="78" t="s">
        <v>1895</v>
      </c>
      <c r="G15" s="78" t="s">
        <v>1896</v>
      </c>
      <c r="H15" s="78" t="s">
        <v>78</v>
      </c>
      <c r="I15" s="78" t="s">
        <v>23</v>
      </c>
      <c r="J15" s="78">
        <v>50</v>
      </c>
      <c r="K15" s="32">
        <f>ResourceList[No]</f>
        <v>322113</v>
      </c>
      <c r="M15" s="4" t="s">
        <v>1898</v>
      </c>
      <c r="N15" s="8">
        <f>VLOOKUP(ListExtras[[#This Row],[List Name]],ResourceList[[ListDisplayName]:[No]],2,0)</f>
        <v>322113</v>
      </c>
      <c r="O15" s="4" t="s">
        <v>1899</v>
      </c>
      <c r="P15" s="5"/>
      <c r="Q15" s="5"/>
      <c r="R15" s="5"/>
      <c r="S15" s="5"/>
      <c r="T15" s="8" t="str">
        <f>'Table Seed Map'!$A$25&amp;"-"&amp;COUNT($W$1:ListExtras[[#This Row],[Scope ID]])</f>
        <v>List Scopes-4</v>
      </c>
      <c r="U15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323104</v>
      </c>
      <c r="V15" s="30">
        <f>IF(ListExtras[[#This Row],[LID]]=0,"resource_list",ListExtras[[#This Row],[LID]])</f>
        <v>322113</v>
      </c>
      <c r="W15" s="30">
        <f>IFERROR(VLOOKUP(ListExtras[[#This Row],[Scope Name]],ResourceScopes[[ScopesDisplayNames]:[No]],2,0),IF(ListExtras[[#This Row],[LID]]=0,"scope",""))</f>
        <v>307111</v>
      </c>
      <c r="X15" s="8" t="str">
        <f>'Table Seed Map'!$A$26&amp;"-"&amp;COUNT($AA$1:ListExtras[[#This Row],[Relation]])</f>
        <v>List Relation-10</v>
      </c>
      <c r="Y15" s="3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15" s="30">
        <f>IF(ListExtras[[#This Row],[LID]]=0,"resource_list",ListExtras[[#This Row],[LID]])</f>
        <v>322113</v>
      </c>
      <c r="AA15" s="30" t="str">
        <f>IFERROR(VLOOKUP(ListExtras[[#This Row],[Relation Name]],RelationTable[[Display]:[RELID]],2,0),IF(ListExtras[[#This Row],[LID]]=0,"relation",""))</f>
        <v/>
      </c>
      <c r="AB15" s="30" t="str">
        <f>IFERROR(VLOOKUP(ListExtras[[#This Row],[R1 Name]],RelationTable[[Display]:[RELID]],2,0),IF(ListExtras[[#This Row],[LID]]=0,"nest_relation1",""))</f>
        <v/>
      </c>
      <c r="AC15" s="30" t="str">
        <f>IFERROR(VLOOKUP(ListExtras[[#This Row],[R2 Name]],RelationTable[[Display]:[RELID]],2,0),IF(ListExtras[[#This Row],[LID]]=0,"nest_relation2",""))</f>
        <v/>
      </c>
      <c r="AD15" s="30" t="str">
        <f>IFERROR(VLOOKUP(ListExtras[[#This Row],[R3 Name]],RelationTable[[Display]:[RELID]],2,0),IF(ListExtras[[#This Row],[LID]]=0,"nest_relation3",""))</f>
        <v/>
      </c>
      <c r="AF15" s="60" t="str">
        <f>'Table Seed Map'!$A$28&amp;"-"&amp;COUNTA($AH$1:ListSearch[[#This Row],[No]])-2</f>
        <v>List Search-13</v>
      </c>
      <c r="AG15" s="4" t="s">
        <v>1532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4" t="s">
        <v>23</v>
      </c>
      <c r="AK15" s="60" t="str">
        <f>IF(ListSearch[[#This Row],[List Name for Search]]="","relation",IFERROR(VLOOKUP(ListSearch[[#This Row],[Relation]],RelationTable[[Display]:[RELID]],2,0),""))</f>
        <v/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4"/>
      <c r="AP15" s="64"/>
      <c r="AQ15" s="64"/>
      <c r="AR15" s="64"/>
      <c r="AT15" s="60" t="str">
        <f>'Table Seed Map'!$A$27&amp;"-"&amp;COUNTA($AV$1:ListLayout[[#This Row],[No]])-2</f>
        <v>List Layout-13</v>
      </c>
      <c r="AU15" s="4" t="s">
        <v>1436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322104</v>
      </c>
      <c r="AX15" s="60" t="s">
        <v>1410</v>
      </c>
      <c r="AY15" s="64" t="s">
        <v>1409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4"/>
      <c r="BD15" s="64"/>
      <c r="BE15" s="64"/>
    </row>
    <row r="16" spans="1:57" x14ac:dyDescent="0.25">
      <c r="A16" s="8" t="str">
        <f>'Table Seed Map'!$A$24&amp;"-"&amp;COUNTA($B$1:ResourceList[[#This Row],[Resource Name]])-1</f>
        <v>Resource Lists-14</v>
      </c>
      <c r="B16" s="4" t="s">
        <v>115</v>
      </c>
      <c r="C16" s="8" t="str">
        <f>ResourceList[[#This Row],[Resource Name]]&amp;"/"&amp;ResourceList[[#This Row],[Name]]</f>
        <v>Menu/MenuList</v>
      </c>
      <c r="D16" s="30">
        <f>IF(ResourceList[[#This Row],[Resource Name]]="","id",COUNTA($B$2:ResourceList[[#This Row],[Resource Name]])+IF(ISNUMBER(VLOOKUP('Table Seed Map'!$A$24,SeedMap[],9,0)),VLOOKUP('Table Seed Map'!$A$24,SeedMap[],9,0),0))</f>
        <v>322114</v>
      </c>
      <c r="E16" s="30">
        <f>IFERROR(VLOOKUP(ResourceList[[#This Row],[Resource Name]],ResourceTable[[RName]:[No]],3,0),"resource")</f>
        <v>305104</v>
      </c>
      <c r="F16" s="78" t="s">
        <v>1926</v>
      </c>
      <c r="G16" s="78" t="s">
        <v>1927</v>
      </c>
      <c r="H16" s="78" t="s">
        <v>115</v>
      </c>
      <c r="I16" s="78" t="s">
        <v>23</v>
      </c>
      <c r="J16" s="78">
        <v>50</v>
      </c>
      <c r="K16" s="32">
        <f>ResourceList[No]</f>
        <v>322114</v>
      </c>
      <c r="M16" s="2" t="s">
        <v>1965</v>
      </c>
      <c r="N16" s="6">
        <f>VLOOKUP(ListExtras[[#This Row],[List Name]],ResourceList[[ListDisplayName]:[No]],2,0)</f>
        <v>322115</v>
      </c>
      <c r="O16" s="1"/>
      <c r="P16" s="1" t="s">
        <v>1966</v>
      </c>
      <c r="Q16" s="1"/>
      <c r="R16" s="1"/>
      <c r="S16" s="1"/>
      <c r="T16" s="6" t="str">
        <f>'Table Seed Map'!$A$25&amp;"-"&amp;COUNT($W$1:ListExtras[[#This Row],[Scope ID]])</f>
        <v>List Scopes-4</v>
      </c>
      <c r="U16" s="15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6" s="15">
        <f>IF(ListExtras[[#This Row],[LID]]=0,"resource_list",ListExtras[[#This Row],[LID]])</f>
        <v>322115</v>
      </c>
      <c r="W16" s="15" t="str">
        <f>IFERROR(VLOOKUP(ListExtras[[#This Row],[Scope Name]],ResourceScopes[[ScopesDisplayNames]:[No]],2,0),IF(ListExtras[[#This Row],[LID]]=0,"scope",""))</f>
        <v/>
      </c>
      <c r="X16" s="6" t="str">
        <f>'Table Seed Map'!$A$26&amp;"-"&amp;COUNT($AA$1:ListExtras[[#This Row],[Relation]])</f>
        <v>List Relation-11</v>
      </c>
      <c r="Y16" s="15">
        <f>IF(ListExtras[[#This Row],[LID]]=0,"id",IF(ListExtras[[#This Row],[Relation]]="","",COUNT($AA$2:ListExtras[[#This Row],[Relation]])+IF(ISNUMBER(VLOOKUP('Table Seed Map'!$A$26,SeedMap[],9,0)),VLOOKUP('Table Seed Map'!$A$26,SeedMap[],9,0),0)))</f>
        <v>324111</v>
      </c>
      <c r="Z16" s="15">
        <f>IF(ListExtras[[#This Row],[LID]]=0,"resource_list",ListExtras[[#This Row],[LID]])</f>
        <v>322115</v>
      </c>
      <c r="AA16" s="15">
        <f>IFERROR(VLOOKUP(ListExtras[[#This Row],[Relation Name]],RelationTable[[Display]:[RELID]],2,0),IF(ListExtras[[#This Row],[LID]]=0,"relation",""))</f>
        <v>308140</v>
      </c>
      <c r="AB16" s="15" t="str">
        <f>IFERROR(VLOOKUP(ListExtras[[#This Row],[R1 Name]],RelationTable[[Display]:[RELID]],2,0),IF(ListExtras[[#This Row],[LID]]=0,"nest_relation1",""))</f>
        <v/>
      </c>
      <c r="AC16" s="15" t="str">
        <f>IFERROR(VLOOKUP(ListExtras[[#This Row],[R2 Name]],RelationTable[[Display]:[RELID]],2,0),IF(ListExtras[[#This Row],[LID]]=0,"nest_relation2",""))</f>
        <v/>
      </c>
      <c r="AD16" s="15" t="str">
        <f>IFERROR(VLOOKUP(ListExtras[[#This Row],[R3 Name]],RelationTable[[Display]:[RELID]],2,0),IF(ListExtras[[#This Row],[LID]]=0,"nest_relation3",""))</f>
        <v/>
      </c>
      <c r="AF16" s="30" t="str">
        <f>'Table Seed Map'!$A$28&amp;"-"&amp;COUNTA($AH$1:ListSearch[[#This Row],[No]])-2</f>
        <v>List Search-14</v>
      </c>
      <c r="AG16" s="4" t="s">
        <v>1746</v>
      </c>
      <c r="AH16" s="3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30">
        <f>IFERROR(VLOOKUP(ListSearch[[#This Row],[List Name for Search]],ResourceList[[ListDisplayName]:[No]],2,0),"resource_list")</f>
        <v>322108</v>
      </c>
      <c r="AJ16" s="78" t="s">
        <v>796</v>
      </c>
      <c r="AK16" s="30">
        <f>IF(ListSearch[[#This Row],[List Name for Search]]="","relation",IFERROR(VLOOKUP(ListSearch[[#This Row],[Relation]],RelationTable[[Display]:[RELID]],2,0),""))</f>
        <v>308133</v>
      </c>
      <c r="AL16" s="30" t="str">
        <f>IF(ListSearch[[#This Row],[List Name for Search]]="","nest_relation1",IFERROR(VLOOKUP(ListSearch[[#This Row],[Relation 1]],RelationTable[[Display]:[RELID]],2,0),""))</f>
        <v/>
      </c>
      <c r="AM16" s="30" t="str">
        <f>IF(ListSearch[[#This Row],[List Name for Search]]="","nest_relation2",IFERROR(VLOOKUP(ListSearch[[#This Row],[Relation 2]],RelationTable[[Display]:[RELID]],2,0),""))</f>
        <v/>
      </c>
      <c r="AN16" s="30" t="str">
        <f>IF(ListSearch[[#This Row],[List Name for Search]]="","nest_relation3",IFERROR(VLOOKUP(ListSearch[[#This Row],[Relation 3]],RelationTable[[Display]:[RELID]],2,0),""))</f>
        <v/>
      </c>
      <c r="AO16" s="78" t="s">
        <v>1738</v>
      </c>
      <c r="AP16" s="78"/>
      <c r="AQ16" s="78"/>
      <c r="AR16" s="78"/>
      <c r="AT16" s="60" t="str">
        <f>'Table Seed Map'!$A$27&amp;"-"&amp;COUNTA($AV$1:ListLayout[[#This Row],[No]])-2</f>
        <v>List Layout-14</v>
      </c>
      <c r="AU16" s="4" t="s">
        <v>1497</v>
      </c>
      <c r="AV16" s="60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60">
        <f>IFERROR(VLOOKUP(ListLayout[[#This Row],[List Name for Layout]],ResourceList[[ListDisplayName]:[No]],2,0),"resource_list")</f>
        <v>322105</v>
      </c>
      <c r="AX16" s="60" t="s">
        <v>1501</v>
      </c>
      <c r="AY16" s="64" t="s">
        <v>23</v>
      </c>
      <c r="AZ16" s="60">
        <f>IF(ListLayout[[#This Row],[List Name for Layout]]="","relation",IFERROR(VLOOKUP(ListLayout[[#This Row],[Relation]],RelationTable[[Display]:[RELID]],2,0),""))</f>
        <v>308115</v>
      </c>
      <c r="BA16" s="60" t="str">
        <f>IF(ListLayout[[#This Row],[List Name for Layout]]="","nest_relation1",IFERROR(VLOOKUP(ListLayout[[#This Row],[Relation 1]],RelationTable[[Display]:[RELID]],2,0),""))</f>
        <v/>
      </c>
      <c r="BB16" s="60" t="str">
        <f>IF(ListLayout[[#This Row],[List Name for Layout]]="","nest_relation2",IFERROR(VLOOKUP(ListLayout[[#This Row],[Relation 2]],RelationTable[[Display]:[RELID]],2,0),""))</f>
        <v/>
      </c>
      <c r="BC16" s="64" t="s">
        <v>1500</v>
      </c>
      <c r="BD16" s="64"/>
      <c r="BE16" s="64"/>
    </row>
    <row r="17" spans="1:57" x14ac:dyDescent="0.25">
      <c r="A17" s="6" t="str">
        <f>'Table Seed Map'!$A$24&amp;"-"&amp;COUNTA($B$1:ResourceList[[#This Row],[Resource Name]])-1</f>
        <v>Resource Lists-15</v>
      </c>
      <c r="B17" s="2" t="s">
        <v>1955</v>
      </c>
      <c r="C17" s="6" t="str">
        <f>ResourceList[[#This Row],[Resource Name]]&amp;"/"&amp;ResourceList[[#This Row],[Name]]</f>
        <v>UserExecutive/UserToExecutiveMapList</v>
      </c>
      <c r="D17" s="15">
        <f>IF(ResourceList[[#This Row],[Resource Name]]="","id",COUNTA($B$2:ResourceList[[#This Row],[Resource Name]])+IF(ISNUMBER(VLOOKUP('Table Seed Map'!$A$24,SeedMap[],9,0)),VLOOKUP('Table Seed Map'!$A$24,SeedMap[],9,0),0))</f>
        <v>322115</v>
      </c>
      <c r="E17" s="15">
        <f>IFERROR(VLOOKUP(ResourceList[[#This Row],[Resource Name]],ResourceTable[[RName]:[No]],3,0),"resource")</f>
        <v>305128</v>
      </c>
      <c r="F17" s="13" t="s">
        <v>1962</v>
      </c>
      <c r="G17" s="13" t="s">
        <v>1963</v>
      </c>
      <c r="H17" s="13" t="s">
        <v>1957</v>
      </c>
      <c r="I17" s="13" t="s">
        <v>1964</v>
      </c>
      <c r="J17" s="78">
        <v>50</v>
      </c>
      <c r="K17" s="3">
        <f>ResourceList[No]</f>
        <v>322115</v>
      </c>
      <c r="M17" s="2" t="s">
        <v>1965</v>
      </c>
      <c r="N17" s="6">
        <f>VLOOKUP(ListExtras[[#This Row],[List Name]],ResourceList[[ListDisplayName]:[No]],2,0)</f>
        <v>322115</v>
      </c>
      <c r="O17" s="1"/>
      <c r="P17" s="1" t="s">
        <v>1967</v>
      </c>
      <c r="Q17" s="1"/>
      <c r="R17" s="1"/>
      <c r="S17" s="1"/>
      <c r="T17" s="6" t="str">
        <f>'Table Seed Map'!$A$25&amp;"-"&amp;COUNT($W$1:ListExtras[[#This Row],[Scope ID]])</f>
        <v>List Scopes-4</v>
      </c>
      <c r="U17" s="15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7" s="15">
        <f>IF(ListExtras[[#This Row],[LID]]=0,"resource_list",ListExtras[[#This Row],[LID]])</f>
        <v>322115</v>
      </c>
      <c r="W17" s="15" t="str">
        <f>IFERROR(VLOOKUP(ListExtras[[#This Row],[Scope Name]],ResourceScopes[[ScopesDisplayNames]:[No]],2,0),IF(ListExtras[[#This Row],[LID]]=0,"scope",""))</f>
        <v/>
      </c>
      <c r="X17" s="6" t="str">
        <f>'Table Seed Map'!$A$26&amp;"-"&amp;COUNT($AA$1:ListExtras[[#This Row],[Relation]])</f>
        <v>List Relation-12</v>
      </c>
      <c r="Y17" s="15">
        <f>IF(ListExtras[[#This Row],[LID]]=0,"id",IF(ListExtras[[#This Row],[Relation]]="","",COUNT($AA$2:ListExtras[[#This Row],[Relation]])+IF(ISNUMBER(VLOOKUP('Table Seed Map'!$A$26,SeedMap[],9,0)),VLOOKUP('Table Seed Map'!$A$26,SeedMap[],9,0),0)))</f>
        <v>324112</v>
      </c>
      <c r="Z17" s="15">
        <f>IF(ListExtras[[#This Row],[LID]]=0,"resource_list",ListExtras[[#This Row],[LID]])</f>
        <v>322115</v>
      </c>
      <c r="AA17" s="15">
        <f>IFERROR(VLOOKUP(ListExtras[[#This Row],[Relation Name]],RelationTable[[Display]:[RELID]],2,0),IF(ListExtras[[#This Row],[LID]]=0,"relation",""))</f>
        <v>308141</v>
      </c>
      <c r="AB17" s="15" t="str">
        <f>IFERROR(VLOOKUP(ListExtras[[#This Row],[R1 Name]],RelationTable[[Display]:[RELID]],2,0),IF(ListExtras[[#This Row],[LID]]=0,"nest_relation1",""))</f>
        <v/>
      </c>
      <c r="AC17" s="15" t="str">
        <f>IFERROR(VLOOKUP(ListExtras[[#This Row],[R2 Name]],RelationTable[[Display]:[RELID]],2,0),IF(ListExtras[[#This Row],[LID]]=0,"nest_relation2",""))</f>
        <v/>
      </c>
      <c r="AD17" s="15" t="str">
        <f>IFERROR(VLOOKUP(ListExtras[[#This Row],[R3 Name]],RelationTable[[Display]:[RELID]],2,0),IF(ListExtras[[#This Row],[LID]]=0,"nest_relation3",""))</f>
        <v/>
      </c>
      <c r="AF17" s="30" t="str">
        <f>'Table Seed Map'!$A$28&amp;"-"&amp;COUNTA($AH$1:ListSearch[[#This Row],[No]])-2</f>
        <v>List Search-15</v>
      </c>
      <c r="AG17" s="4" t="s">
        <v>1756</v>
      </c>
      <c r="AH17" s="3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30">
        <f>IFERROR(VLOOKUP(ListSearch[[#This Row],[List Name for Search]],ResourceList[[ListDisplayName]:[No]],2,0),"resource_list")</f>
        <v>322109</v>
      </c>
      <c r="AJ17" s="78" t="s">
        <v>768</v>
      </c>
      <c r="AK17" s="30" t="str">
        <f>IF(ListSearch[[#This Row],[List Name for Search]]="","relation",IFERROR(VLOOKUP(ListSearch[[#This Row],[Relation]],RelationTable[[Display]:[RELID]],2,0),""))</f>
        <v/>
      </c>
      <c r="AL17" s="30" t="str">
        <f>IF(ListSearch[[#This Row],[List Name for Search]]="","nest_relation1",IFERROR(VLOOKUP(ListSearch[[#This Row],[Relation 1]],RelationTable[[Display]:[RELID]],2,0),""))</f>
        <v/>
      </c>
      <c r="AM17" s="30" t="str">
        <f>IF(ListSearch[[#This Row],[List Name for Search]]="","nest_relation2",IFERROR(VLOOKUP(ListSearch[[#This Row],[Relation 2]],RelationTable[[Display]:[RELID]],2,0),""))</f>
        <v/>
      </c>
      <c r="AN17" s="30" t="str">
        <f>IF(ListSearch[[#This Row],[List Name for Search]]="","nest_relation3",IFERROR(VLOOKUP(ListSearch[[#This Row],[Relation 3]],RelationTable[[Display]:[RELID]],2,0),""))</f>
        <v/>
      </c>
      <c r="AO17" s="78"/>
      <c r="AP17" s="78"/>
      <c r="AQ17" s="78"/>
      <c r="AR17" s="78"/>
      <c r="AT17" s="60" t="str">
        <f>'Table Seed Map'!$A$27&amp;"-"&amp;COUNTA($AV$1:ListLayout[[#This Row],[No]])-2</f>
        <v>List Layout-15</v>
      </c>
      <c r="AU17" s="4" t="s">
        <v>1497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322105</v>
      </c>
      <c r="AX17" s="60" t="s">
        <v>1283</v>
      </c>
      <c r="AY17" s="64" t="s">
        <v>23</v>
      </c>
      <c r="AZ17" s="60">
        <f>IF(ListLayout[[#This Row],[List Name for Layout]]="","relation",IFERROR(VLOOKUP(ListLayout[[#This Row],[Relation]],RelationTable[[Display]:[RELID]],2,0),""))</f>
        <v>308114</v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4" t="s">
        <v>1499</v>
      </c>
      <c r="BD17" s="64"/>
      <c r="BE17" s="64"/>
    </row>
    <row r="18" spans="1:57" x14ac:dyDescent="0.25">
      <c r="A18" s="8" t="str">
        <f>'Table Seed Map'!$A$24&amp;"-"&amp;COUNTA($B$1:ResourceList[[#This Row],[Resource Name]])-1</f>
        <v>Resource Lists-16</v>
      </c>
      <c r="B18" s="4" t="s">
        <v>2001</v>
      </c>
      <c r="C18" s="8" t="str">
        <f>ResourceList[[#This Row],[Resource Name]]&amp;"/"&amp;ResourceList[[#This Row],[Name]]</f>
        <v>Printing/PrintList</v>
      </c>
      <c r="D18" s="30">
        <f>IF(ResourceList[[#This Row],[Resource Name]]="","id",COUNTA($B$2:ResourceList[[#This Row],[Resource Name]])+IF(ISNUMBER(VLOOKUP('Table Seed Map'!$A$24,SeedMap[],9,0)),VLOOKUP('Table Seed Map'!$A$24,SeedMap[],9,0),0))</f>
        <v>322116</v>
      </c>
      <c r="E18" s="30">
        <f>IFERROR(VLOOKUP(ResourceList[[#This Row],[Resource Name]],ResourceTable[[RName]:[No]],3,0),"resource")</f>
        <v>305129</v>
      </c>
      <c r="F18" s="78" t="s">
        <v>2031</v>
      </c>
      <c r="G18" s="78" t="s">
        <v>2032</v>
      </c>
      <c r="H18" s="78" t="s">
        <v>2026</v>
      </c>
      <c r="I18" s="78" t="s">
        <v>23</v>
      </c>
      <c r="J18" s="78">
        <v>50</v>
      </c>
      <c r="K18" s="32">
        <f>ResourceList[No]</f>
        <v>322116</v>
      </c>
      <c r="AF18" s="30" t="str">
        <f>'Table Seed Map'!$A$28&amp;"-"&amp;COUNTA($AH$1:ListSearch[[#This Row],[No]])-2</f>
        <v>List Search-16</v>
      </c>
      <c r="AG18" s="4" t="s">
        <v>1782</v>
      </c>
      <c r="AH18" s="30">
        <f>IF(ListSearch[[#This Row],[List Name for Search]]="","id",-1+COUNTA($AG$1:ListSearch[[#This Row],[List Name for Search]])+IF(ISNUMBER(VLOOKUP('Table Seed Map'!$A$28,SeedMap[],9,0)),VLOOKUP('Table Seed Map'!$A$28,SeedMap[],9,0),0))</f>
        <v>326116</v>
      </c>
      <c r="AI18" s="30">
        <f>IFERROR(VLOOKUP(ListSearch[[#This Row],[List Name for Search]],ResourceList[[ListDisplayName]:[No]],2,0),"resource_list")</f>
        <v>322110</v>
      </c>
      <c r="AJ18" s="78" t="s">
        <v>858</v>
      </c>
      <c r="AK18" s="30" t="str">
        <f>IF(ListSearch[[#This Row],[List Name for Search]]="","relation",IFERROR(VLOOKUP(ListSearch[[#This Row],[Relation]],RelationTable[[Display]:[RELID]],2,0),""))</f>
        <v/>
      </c>
      <c r="AL18" s="30" t="str">
        <f>IF(ListSearch[[#This Row],[List Name for Search]]="","nest_relation1",IFERROR(VLOOKUP(ListSearch[[#This Row],[Relation 1]],RelationTable[[Display]:[RELID]],2,0),""))</f>
        <v/>
      </c>
      <c r="AM18" s="30" t="str">
        <f>IF(ListSearch[[#This Row],[List Name for Search]]="","nest_relation2",IFERROR(VLOOKUP(ListSearch[[#This Row],[Relation 2]],RelationTable[[Display]:[RELID]],2,0),""))</f>
        <v/>
      </c>
      <c r="AN18" s="30" t="str">
        <f>IF(ListSearch[[#This Row],[List Name for Search]]="","nest_relation3",IFERROR(VLOOKUP(ListSearch[[#This Row],[Relation 3]],RelationTable[[Display]:[RELID]],2,0),""))</f>
        <v/>
      </c>
      <c r="AO18" s="78"/>
      <c r="AP18" s="78"/>
      <c r="AQ18" s="78"/>
      <c r="AR18" s="78"/>
      <c r="AT18" s="60" t="str">
        <f>'Table Seed Map'!$A$27&amp;"-"&amp;COUNTA($AV$1:ListLayout[[#This Row],[No]])-2</f>
        <v>List Layout-16</v>
      </c>
      <c r="AU18" s="4" t="s">
        <v>1497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322105</v>
      </c>
      <c r="AX18" s="60" t="s">
        <v>1284</v>
      </c>
      <c r="AY18" s="64" t="s">
        <v>23</v>
      </c>
      <c r="AZ18" s="60">
        <f>IF(ListLayout[[#This Row],[List Name for Layout]]="","relation",IFERROR(VLOOKUP(ListLayout[[#This Row],[Relation]],RelationTable[[Display]:[RELID]],2,0),""))</f>
        <v>308113</v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4" t="s">
        <v>1498</v>
      </c>
      <c r="BD18" s="64"/>
      <c r="BE18" s="64"/>
    </row>
    <row r="19" spans="1:57" x14ac:dyDescent="0.25">
      <c r="AF19" s="30" t="str">
        <f>'Table Seed Map'!$A$28&amp;"-"&amp;COUNTA($AH$1:ListSearch[[#This Row],[No]])-2</f>
        <v>List Search-17</v>
      </c>
      <c r="AG19" s="4" t="s">
        <v>1782</v>
      </c>
      <c r="AH19" s="30">
        <f>IF(ListSearch[[#This Row],[List Name for Search]]="","id",-1+COUNTA($AG$1:ListSearch[[#This Row],[List Name for Search]])+IF(ISNUMBER(VLOOKUP('Table Seed Map'!$A$28,SeedMap[],9,0)),VLOOKUP('Table Seed Map'!$A$28,SeedMap[],9,0),0))</f>
        <v>326117</v>
      </c>
      <c r="AI19" s="30">
        <f>IFERROR(VLOOKUP(ListSearch[[#This Row],[List Name for Search]],ResourceList[[ListDisplayName]:[No]],2,0),"resource_list")</f>
        <v>322110</v>
      </c>
      <c r="AJ19" s="78" t="s">
        <v>23</v>
      </c>
      <c r="AK19" s="30">
        <f>IF(ListSearch[[#This Row],[List Name for Search]]="","relation",IFERROR(VLOOKUP(ListSearch[[#This Row],[Relation]],RelationTable[[Display]:[RELID]],2,0),""))</f>
        <v>308134</v>
      </c>
      <c r="AL19" s="30" t="str">
        <f>IF(ListSearch[[#This Row],[List Name for Search]]="","nest_relation1",IFERROR(VLOOKUP(ListSearch[[#This Row],[Relation 1]],RelationTable[[Display]:[RELID]],2,0),""))</f>
        <v/>
      </c>
      <c r="AM19" s="30" t="str">
        <f>IF(ListSearch[[#This Row],[List Name for Search]]="","nest_relation2",IFERROR(VLOOKUP(ListSearch[[#This Row],[Relation 2]],RelationTable[[Display]:[RELID]],2,0),""))</f>
        <v/>
      </c>
      <c r="AN19" s="30" t="str">
        <f>IF(ListSearch[[#This Row],[List Name for Search]]="","nest_relation3",IFERROR(VLOOKUP(ListSearch[[#This Row],[Relation 3]],RelationTable[[Display]:[RELID]],2,0),""))</f>
        <v/>
      </c>
      <c r="AO19" s="78" t="s">
        <v>1776</v>
      </c>
      <c r="AP19" s="78"/>
      <c r="AQ19" s="78"/>
      <c r="AR19" s="78"/>
      <c r="AT19" s="60" t="str">
        <f>'Table Seed Map'!$A$27&amp;"-"&amp;COUNTA($AV$1:ListLayout[[#This Row],[No]])-2</f>
        <v>List Layout-17</v>
      </c>
      <c r="AU19" s="4" t="s">
        <v>1497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322105</v>
      </c>
      <c r="AX19" s="60" t="s">
        <v>1356</v>
      </c>
      <c r="AY19" s="64" t="s">
        <v>776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4"/>
      <c r="BD19" s="64"/>
      <c r="BE19" s="64"/>
    </row>
    <row r="20" spans="1:57" x14ac:dyDescent="0.25">
      <c r="AF20" s="30" t="str">
        <f>'Table Seed Map'!$A$28&amp;"-"&amp;COUNTA($AH$1:ListSearch[[#This Row],[No]])-2</f>
        <v>List Search-18</v>
      </c>
      <c r="AG20" s="4" t="s">
        <v>1782</v>
      </c>
      <c r="AH20" s="30">
        <f>IF(ListSearch[[#This Row],[List Name for Search]]="","id",-1+COUNTA($AG$1:ListSearch[[#This Row],[List Name for Search]])+IF(ISNUMBER(VLOOKUP('Table Seed Map'!$A$28,SeedMap[],9,0)),VLOOKUP('Table Seed Map'!$A$28,SeedMap[],9,0),0))</f>
        <v>326118</v>
      </c>
      <c r="AI20" s="30">
        <f>IFERROR(VLOOKUP(ListSearch[[#This Row],[List Name for Search]],ResourceList[[ListDisplayName]:[No]],2,0),"resource_list")</f>
        <v>322110</v>
      </c>
      <c r="AJ20" s="78" t="s">
        <v>23</v>
      </c>
      <c r="AK20" s="30">
        <f>IF(ListSearch[[#This Row],[List Name for Search]]="","relation",IFERROR(VLOOKUP(ListSearch[[#This Row],[Relation]],RelationTable[[Display]:[RELID]],2,0),""))</f>
        <v>308135</v>
      </c>
      <c r="AL20" s="30" t="str">
        <f>IF(ListSearch[[#This Row],[List Name for Search]]="","nest_relation1",IFERROR(VLOOKUP(ListSearch[[#This Row],[Relation 1]],RelationTable[[Display]:[RELID]],2,0),""))</f>
        <v/>
      </c>
      <c r="AM20" s="30" t="str">
        <f>IF(ListSearch[[#This Row],[List Name for Search]]="","nest_relation2",IFERROR(VLOOKUP(ListSearch[[#This Row],[Relation 2]],RelationTable[[Display]:[RELID]],2,0),""))</f>
        <v/>
      </c>
      <c r="AN20" s="30" t="str">
        <f>IF(ListSearch[[#This Row],[List Name for Search]]="","nest_relation3",IFERROR(VLOOKUP(ListSearch[[#This Row],[Relation 3]],RelationTable[[Display]:[RELID]],2,0),""))</f>
        <v/>
      </c>
      <c r="AO20" s="78" t="s">
        <v>1777</v>
      </c>
      <c r="AP20" s="78"/>
      <c r="AQ20" s="78"/>
      <c r="AR20" s="78"/>
      <c r="AT20" s="60" t="str">
        <f>'Table Seed Map'!$A$27&amp;"-"&amp;COUNTA($AV$1:ListLayout[[#This Row],[No]])-2</f>
        <v>List Layout-18</v>
      </c>
      <c r="AU20" s="4" t="s">
        <v>1528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322106</v>
      </c>
      <c r="AX20" s="60" t="s">
        <v>1529</v>
      </c>
      <c r="AY20" s="64" t="s">
        <v>768</v>
      </c>
      <c r="AZ20" s="60" t="str">
        <f>IF(ListLayout[[#This Row],[List Name for Layout]]="","relation",IFERROR(VLOOKUP(ListLayout[[#This Row],[Relation]],RelationTable[[Display]:[RELID]],2,0),""))</f>
        <v/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4"/>
      <c r="BD20" s="64"/>
      <c r="BE20" s="64"/>
    </row>
    <row r="21" spans="1:57" x14ac:dyDescent="0.25">
      <c r="AF21" s="30" t="str">
        <f>'Table Seed Map'!$A$28&amp;"-"&amp;COUNTA($AH$1:ListSearch[[#This Row],[No]])-2</f>
        <v>List Search-19</v>
      </c>
      <c r="AG21" s="4" t="s">
        <v>1806</v>
      </c>
      <c r="AH21" s="30">
        <f>IF(ListSearch[[#This Row],[List Name for Search]]="","id",-1+COUNTA($AG$1:ListSearch[[#This Row],[List Name for Search]])+IF(ISNUMBER(VLOOKUP('Table Seed Map'!$A$28,SeedMap[],9,0)),VLOOKUP('Table Seed Map'!$A$28,SeedMap[],9,0),0))</f>
        <v>326119</v>
      </c>
      <c r="AI21" s="30">
        <f>IFERROR(VLOOKUP(ListSearch[[#This Row],[List Name for Search]],ResourceList[[ListDisplayName]:[No]],2,0),"resource_list")</f>
        <v>322111</v>
      </c>
      <c r="AJ21" s="78" t="s">
        <v>858</v>
      </c>
      <c r="AK21" s="30" t="str">
        <f>IF(ListSearch[[#This Row],[List Name for Search]]="","relation",IFERROR(VLOOKUP(ListSearch[[#This Row],[Relation]],RelationTable[[Display]:[RELID]],2,0),""))</f>
        <v/>
      </c>
      <c r="AL21" s="30" t="str">
        <f>IF(ListSearch[[#This Row],[List Name for Search]]="","nest_relation1",IFERROR(VLOOKUP(ListSearch[[#This Row],[Relation 1]],RelationTable[[Display]:[RELID]],2,0),""))</f>
        <v/>
      </c>
      <c r="AM21" s="30" t="str">
        <f>IF(ListSearch[[#This Row],[List Name for Search]]="","nest_relation2",IFERROR(VLOOKUP(ListSearch[[#This Row],[Relation 2]],RelationTable[[Display]:[RELID]],2,0),""))</f>
        <v/>
      </c>
      <c r="AN21" s="30" t="str">
        <f>IF(ListSearch[[#This Row],[List Name for Search]]="","nest_relation3",IFERROR(VLOOKUP(ListSearch[[#This Row],[Relation 3]],RelationTable[[Display]:[RELID]],2,0),""))</f>
        <v/>
      </c>
      <c r="AO21" s="78"/>
      <c r="AP21" s="78"/>
      <c r="AQ21" s="78"/>
      <c r="AR21" s="78"/>
      <c r="AT21" s="60" t="str">
        <f>'Table Seed Map'!$A$27&amp;"-"&amp;COUNTA($AV$1:ListLayout[[#This Row],[No]])-2</f>
        <v>List Layout-19</v>
      </c>
      <c r="AU21" s="4" t="s">
        <v>1528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322106</v>
      </c>
      <c r="AX21" s="60" t="s">
        <v>1</v>
      </c>
      <c r="AY21" s="64" t="s">
        <v>23</v>
      </c>
      <c r="AZ21" s="60" t="str">
        <f>IF(ListLayout[[#This Row],[List Name for Layout]]="","relation",IFERROR(VLOOKUP(ListLayout[[#This Row],[Relation]],RelationTable[[Display]:[RELID]],2,0),""))</f>
        <v/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4"/>
      <c r="BD21" s="64"/>
      <c r="BE21" s="64"/>
    </row>
    <row r="22" spans="1:57" x14ac:dyDescent="0.25">
      <c r="AF22" s="30" t="str">
        <f>'Table Seed Map'!$A$28&amp;"-"&amp;COUNTA($AH$1:ListSearch[[#This Row],[No]])-2</f>
        <v>List Search-20</v>
      </c>
      <c r="AG22" s="4" t="s">
        <v>1806</v>
      </c>
      <c r="AH22" s="30">
        <f>IF(ListSearch[[#This Row],[List Name for Search]]="","id",-1+COUNTA($AG$1:ListSearch[[#This Row],[List Name for Search]])+IF(ISNUMBER(VLOOKUP('Table Seed Map'!$A$28,SeedMap[],9,0)),VLOOKUP('Table Seed Map'!$A$28,SeedMap[],9,0),0))</f>
        <v>326120</v>
      </c>
      <c r="AI22" s="30">
        <f>IFERROR(VLOOKUP(ListSearch[[#This Row],[List Name for Search]],ResourceList[[ListDisplayName]:[No]],2,0),"resource_list")</f>
        <v>322111</v>
      </c>
      <c r="AJ22" s="78" t="s">
        <v>23</v>
      </c>
      <c r="AK22" s="30">
        <f>IF(ListSearch[[#This Row],[List Name for Search]]="","relation",IFERROR(VLOOKUP(ListSearch[[#This Row],[Relation]],RelationTable[[Display]:[RELID]],2,0),""))</f>
        <v>308134</v>
      </c>
      <c r="AL22" s="30" t="str">
        <f>IF(ListSearch[[#This Row],[List Name for Search]]="","nest_relation1",IFERROR(VLOOKUP(ListSearch[[#This Row],[Relation 1]],RelationTable[[Display]:[RELID]],2,0),""))</f>
        <v/>
      </c>
      <c r="AM22" s="30" t="str">
        <f>IF(ListSearch[[#This Row],[List Name for Search]]="","nest_relation2",IFERROR(VLOOKUP(ListSearch[[#This Row],[Relation 2]],RelationTable[[Display]:[RELID]],2,0),""))</f>
        <v/>
      </c>
      <c r="AN22" s="30" t="str">
        <f>IF(ListSearch[[#This Row],[List Name for Search]]="","nest_relation3",IFERROR(VLOOKUP(ListSearch[[#This Row],[Relation 3]],RelationTable[[Display]:[RELID]],2,0),""))</f>
        <v/>
      </c>
      <c r="AO22" s="78" t="s">
        <v>1776</v>
      </c>
      <c r="AP22" s="78"/>
      <c r="AQ22" s="78"/>
      <c r="AR22" s="78"/>
      <c r="AT22" s="60" t="str">
        <f>'Table Seed Map'!$A$27&amp;"-"&amp;COUNTA($AV$1:ListLayout[[#This Row],[No]])-2</f>
        <v>List Layout-20</v>
      </c>
      <c r="AU22" s="4" t="s">
        <v>1528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322106</v>
      </c>
      <c r="AX22" s="60" t="s">
        <v>14</v>
      </c>
      <c r="AY22" s="64" t="s">
        <v>35</v>
      </c>
      <c r="AZ22" s="60" t="str">
        <f>IF(ListLayout[[#This Row],[List Name for Layout]]="","relation",IFERROR(VLOOKUP(ListLayout[[#This Row],[Relation]],RelationTable[[Display]:[RELID]],2,0),""))</f>
        <v/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4"/>
      <c r="BD22" s="64"/>
      <c r="BE22" s="64"/>
    </row>
    <row r="23" spans="1:57" x14ac:dyDescent="0.25">
      <c r="AF23" s="30" t="str">
        <f>'Table Seed Map'!$A$28&amp;"-"&amp;COUNTA($AH$1:ListSearch[[#This Row],[No]])-2</f>
        <v>List Search-21</v>
      </c>
      <c r="AG23" s="4" t="s">
        <v>1806</v>
      </c>
      <c r="AH23" s="30">
        <f>IF(ListSearch[[#This Row],[List Name for Search]]="","id",-1+COUNTA($AG$1:ListSearch[[#This Row],[List Name for Search]])+IF(ISNUMBER(VLOOKUP('Table Seed Map'!$A$28,SeedMap[],9,0)),VLOOKUP('Table Seed Map'!$A$28,SeedMap[],9,0),0))</f>
        <v>326121</v>
      </c>
      <c r="AI23" s="30">
        <f>IFERROR(VLOOKUP(ListSearch[[#This Row],[List Name for Search]],ResourceList[[ListDisplayName]:[No]],2,0),"resource_list")</f>
        <v>322111</v>
      </c>
      <c r="AJ23" s="78" t="s">
        <v>23</v>
      </c>
      <c r="AK23" s="30">
        <f>IF(ListSearch[[#This Row],[List Name for Search]]="","relation",IFERROR(VLOOKUP(ListSearch[[#This Row],[Relation]],RelationTable[[Display]:[RELID]],2,0),""))</f>
        <v>308135</v>
      </c>
      <c r="AL23" s="30" t="str">
        <f>IF(ListSearch[[#This Row],[List Name for Search]]="","nest_relation1",IFERROR(VLOOKUP(ListSearch[[#This Row],[Relation 1]],RelationTable[[Display]:[RELID]],2,0),""))</f>
        <v/>
      </c>
      <c r="AM23" s="30" t="str">
        <f>IF(ListSearch[[#This Row],[List Name for Search]]="","nest_relation2",IFERROR(VLOOKUP(ListSearch[[#This Row],[Relation 2]],RelationTable[[Display]:[RELID]],2,0),""))</f>
        <v/>
      </c>
      <c r="AN23" s="30" t="str">
        <f>IF(ListSearch[[#This Row],[List Name for Search]]="","nest_relation3",IFERROR(VLOOKUP(ListSearch[[#This Row],[Relation 3]],RelationTable[[Display]:[RELID]],2,0),""))</f>
        <v/>
      </c>
      <c r="AO23" s="78" t="s">
        <v>1777</v>
      </c>
      <c r="AP23" s="78"/>
      <c r="AQ23" s="78"/>
      <c r="AR23" s="78"/>
      <c r="AT23" s="60" t="str">
        <f>'Table Seed Map'!$A$27&amp;"-"&amp;COUNTA($AV$1:ListLayout[[#This Row],[No]])-2</f>
        <v>List Layout-21</v>
      </c>
      <c r="AU23" s="4" t="s">
        <v>1528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322106</v>
      </c>
      <c r="AX23" s="60" t="s">
        <v>1356</v>
      </c>
      <c r="AY23" s="64" t="s">
        <v>776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4"/>
      <c r="BD23" s="64"/>
      <c r="BE23" s="64"/>
    </row>
    <row r="24" spans="1:57" x14ac:dyDescent="0.25">
      <c r="AF24" s="30" t="str">
        <f>'Table Seed Map'!$A$28&amp;"-"&amp;COUNTA($AH$1:ListSearch[[#This Row],[No]])-2</f>
        <v>List Search-22</v>
      </c>
      <c r="AG24" s="4" t="s">
        <v>1897</v>
      </c>
      <c r="AH24" s="30">
        <f>IF(ListSearch[[#This Row],[List Name for Search]]="","id",-1+COUNTA($AG$1:ListSearch[[#This Row],[List Name for Search]])+IF(ISNUMBER(VLOOKUP('Table Seed Map'!$A$28,SeedMap[],9,0)),VLOOKUP('Table Seed Map'!$A$28,SeedMap[],9,0),0))</f>
        <v>326122</v>
      </c>
      <c r="AI24" s="30">
        <f>IFERROR(VLOOKUP(ListSearch[[#This Row],[List Name for Search]],ResourceList[[ListDisplayName]:[No]],2,0),"resource_list")</f>
        <v>322112</v>
      </c>
      <c r="AJ24" s="78" t="s">
        <v>23</v>
      </c>
      <c r="AK24" s="30" t="str">
        <f>IF(ListSearch[[#This Row],[List Name for Search]]="","relation",IFERROR(VLOOKUP(ListSearch[[#This Row],[Relation]],RelationTable[[Display]:[RELID]],2,0),""))</f>
        <v/>
      </c>
      <c r="AL24" s="30" t="str">
        <f>IF(ListSearch[[#This Row],[List Name for Search]]="","nest_relation1",IFERROR(VLOOKUP(ListSearch[[#This Row],[Relation 1]],RelationTable[[Display]:[RELID]],2,0),""))</f>
        <v/>
      </c>
      <c r="AM24" s="30" t="str">
        <f>IF(ListSearch[[#This Row],[List Name for Search]]="","nest_relation2",IFERROR(VLOOKUP(ListSearch[[#This Row],[Relation 2]],RelationTable[[Display]:[RELID]],2,0),""))</f>
        <v/>
      </c>
      <c r="AN24" s="30" t="str">
        <f>IF(ListSearch[[#This Row],[List Name for Search]]="","nest_relation3",IFERROR(VLOOKUP(ListSearch[[#This Row],[Relation 3]],RelationTable[[Display]:[RELID]],2,0),""))</f>
        <v/>
      </c>
      <c r="AO24" s="78"/>
      <c r="AP24" s="78"/>
      <c r="AQ24" s="78"/>
      <c r="AR24" s="78"/>
      <c r="AT24" s="60" t="str">
        <f>'Table Seed Map'!$A$27&amp;"-"&amp;COUNTA($AV$1:ListLayout[[#This Row],[No]])-2</f>
        <v>List Layout-22</v>
      </c>
      <c r="AU24" s="4" t="s">
        <v>1532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322107</v>
      </c>
      <c r="AX24" s="60" t="s">
        <v>1529</v>
      </c>
      <c r="AY24" s="64" t="s">
        <v>768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4"/>
      <c r="BD24" s="64"/>
      <c r="BE24" s="64"/>
    </row>
    <row r="25" spans="1:57" x14ac:dyDescent="0.25">
      <c r="AF25" s="30" t="str">
        <f>'Table Seed Map'!$A$28&amp;"-"&amp;COUNTA($AH$1:ListSearch[[#This Row],[No]])-2</f>
        <v>List Search-23</v>
      </c>
      <c r="AG25" s="4" t="s">
        <v>1897</v>
      </c>
      <c r="AH25" s="30">
        <f>IF(ListSearch[[#This Row],[List Name for Search]]="","id",-1+COUNTA($AG$1:ListSearch[[#This Row],[List Name for Search]])+IF(ISNUMBER(VLOOKUP('Table Seed Map'!$A$28,SeedMap[],9,0)),VLOOKUP('Table Seed Map'!$A$28,SeedMap[],9,0),0))</f>
        <v>326123</v>
      </c>
      <c r="AI25" s="30">
        <f>IFERROR(VLOOKUP(ListSearch[[#This Row],[List Name for Search]],ResourceList[[ListDisplayName]:[No]],2,0),"resource_list")</f>
        <v>322112</v>
      </c>
      <c r="AJ25" s="78" t="s">
        <v>1900</v>
      </c>
      <c r="AK25" s="30" t="str">
        <f>IF(ListSearch[[#This Row],[List Name for Search]]="","relation",IFERROR(VLOOKUP(ListSearch[[#This Row],[Relation]],RelationTable[[Display]:[RELID]],2,0),""))</f>
        <v/>
      </c>
      <c r="AL25" s="30" t="str">
        <f>IF(ListSearch[[#This Row],[List Name for Search]]="","nest_relation1",IFERROR(VLOOKUP(ListSearch[[#This Row],[Relation 1]],RelationTable[[Display]:[RELID]],2,0),""))</f>
        <v/>
      </c>
      <c r="AM25" s="30" t="str">
        <f>IF(ListSearch[[#This Row],[List Name for Search]]="","nest_relation2",IFERROR(VLOOKUP(ListSearch[[#This Row],[Relation 2]],RelationTable[[Display]:[RELID]],2,0),""))</f>
        <v/>
      </c>
      <c r="AN25" s="30" t="str">
        <f>IF(ListSearch[[#This Row],[List Name for Search]]="","nest_relation3",IFERROR(VLOOKUP(ListSearch[[#This Row],[Relation 3]],RelationTable[[Display]:[RELID]],2,0),""))</f>
        <v/>
      </c>
      <c r="AO25" s="78"/>
      <c r="AP25" s="78"/>
      <c r="AQ25" s="78"/>
      <c r="AR25" s="78"/>
      <c r="AT25" s="60" t="str">
        <f>'Table Seed Map'!$A$27&amp;"-"&amp;COUNTA($AV$1:ListLayout[[#This Row],[No]])-2</f>
        <v>List Layout-23</v>
      </c>
      <c r="AU25" s="4" t="s">
        <v>1532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322107</v>
      </c>
      <c r="AX25" s="60" t="s">
        <v>1</v>
      </c>
      <c r="AY25" s="64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4"/>
      <c r="BD25" s="64"/>
      <c r="BE25" s="64"/>
    </row>
    <row r="26" spans="1:57" x14ac:dyDescent="0.25">
      <c r="AF26" s="30" t="str">
        <f>'Table Seed Map'!$A$28&amp;"-"&amp;COUNTA($AH$1:ListSearch[[#This Row],[No]])-2</f>
        <v>List Search-24</v>
      </c>
      <c r="AG26" s="4" t="s">
        <v>1897</v>
      </c>
      <c r="AH26" s="30">
        <f>IF(ListSearch[[#This Row],[List Name for Search]]="","id",-1+COUNTA($AG$1:ListSearch[[#This Row],[List Name for Search]])+IF(ISNUMBER(VLOOKUP('Table Seed Map'!$A$28,SeedMap[],9,0)),VLOOKUP('Table Seed Map'!$A$28,SeedMap[],9,0),0))</f>
        <v>326124</v>
      </c>
      <c r="AI26" s="30">
        <f>IFERROR(VLOOKUP(ListSearch[[#This Row],[List Name for Search]],ResourceList[[ListDisplayName]:[No]],2,0),"resource_list")</f>
        <v>322112</v>
      </c>
      <c r="AJ26" s="78" t="s">
        <v>1409</v>
      </c>
      <c r="AK26" s="30" t="str">
        <f>IF(ListSearch[[#This Row],[List Name for Search]]="","relation",IFERROR(VLOOKUP(ListSearch[[#This Row],[Relation]],RelationTable[[Display]:[RELID]],2,0),""))</f>
        <v/>
      </c>
      <c r="AL26" s="30" t="str">
        <f>IF(ListSearch[[#This Row],[List Name for Search]]="","nest_relation1",IFERROR(VLOOKUP(ListSearch[[#This Row],[Relation 1]],RelationTable[[Display]:[RELID]],2,0),""))</f>
        <v/>
      </c>
      <c r="AM26" s="30" t="str">
        <f>IF(ListSearch[[#This Row],[List Name for Search]]="","nest_relation2",IFERROR(VLOOKUP(ListSearch[[#This Row],[Relation 2]],RelationTable[[Display]:[RELID]],2,0),""))</f>
        <v/>
      </c>
      <c r="AN26" s="30" t="str">
        <f>IF(ListSearch[[#This Row],[List Name for Search]]="","nest_relation3",IFERROR(VLOOKUP(ListSearch[[#This Row],[Relation 3]],RelationTable[[Display]:[RELID]],2,0),""))</f>
        <v/>
      </c>
      <c r="AO26" s="78"/>
      <c r="AP26" s="78"/>
      <c r="AQ26" s="78"/>
      <c r="AR26" s="78"/>
      <c r="AT26" s="60" t="str">
        <f>'Table Seed Map'!$A$27&amp;"-"&amp;COUNTA($AV$1:ListLayout[[#This Row],[No]])-2</f>
        <v>List Layout-24</v>
      </c>
      <c r="AU26" s="4" t="s">
        <v>1532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322107</v>
      </c>
      <c r="AX26" s="60" t="s">
        <v>1533</v>
      </c>
      <c r="AY26" s="64" t="s">
        <v>875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4"/>
      <c r="BD26" s="64"/>
      <c r="BE26" s="64"/>
    </row>
    <row r="27" spans="1:57" x14ac:dyDescent="0.25">
      <c r="AF27" s="30" t="str">
        <f>'Table Seed Map'!$A$28&amp;"-"&amp;COUNTA($AH$1:ListSearch[[#This Row],[No]])-2</f>
        <v>List Search-25</v>
      </c>
      <c r="AG27" s="4" t="s">
        <v>1898</v>
      </c>
      <c r="AH27" s="30">
        <f>IF(ListSearch[[#This Row],[List Name for Search]]="","id",-1+COUNTA($AG$1:ListSearch[[#This Row],[List Name for Search]])+IF(ISNUMBER(VLOOKUP('Table Seed Map'!$A$28,SeedMap[],9,0)),VLOOKUP('Table Seed Map'!$A$28,SeedMap[],9,0),0))</f>
        <v>326125</v>
      </c>
      <c r="AI27" s="30">
        <f>IFERROR(VLOOKUP(ListSearch[[#This Row],[List Name for Search]],ResourceList[[ListDisplayName]:[No]],2,0),"resource_list")</f>
        <v>322113</v>
      </c>
      <c r="AJ27" s="78" t="s">
        <v>23</v>
      </c>
      <c r="AK27" s="30" t="str">
        <f>IF(ListSearch[[#This Row],[List Name for Search]]="","relation",IFERROR(VLOOKUP(ListSearch[[#This Row],[Relation]],RelationTable[[Display]:[RELID]],2,0),""))</f>
        <v/>
      </c>
      <c r="AL27" s="30" t="str">
        <f>IF(ListSearch[[#This Row],[List Name for Search]]="","nest_relation1",IFERROR(VLOOKUP(ListSearch[[#This Row],[Relation 1]],RelationTable[[Display]:[RELID]],2,0),""))</f>
        <v/>
      </c>
      <c r="AM27" s="30" t="str">
        <f>IF(ListSearch[[#This Row],[List Name for Search]]="","nest_relation2",IFERROR(VLOOKUP(ListSearch[[#This Row],[Relation 2]],RelationTable[[Display]:[RELID]],2,0),""))</f>
        <v/>
      </c>
      <c r="AN27" s="30" t="str">
        <f>IF(ListSearch[[#This Row],[List Name for Search]]="","nest_relation3",IFERROR(VLOOKUP(ListSearch[[#This Row],[Relation 3]],RelationTable[[Display]:[RELID]],2,0),""))</f>
        <v/>
      </c>
      <c r="AO27" s="78"/>
      <c r="AP27" s="78"/>
      <c r="AQ27" s="78"/>
      <c r="AR27" s="78"/>
      <c r="AT27" s="60" t="str">
        <f>'Table Seed Map'!$A$27&amp;"-"&amp;COUNTA($AV$1:ListLayout[[#This Row],[No]])-2</f>
        <v>List Layout-25</v>
      </c>
      <c r="AU27" s="4" t="s">
        <v>1532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322107</v>
      </c>
      <c r="AX27" s="60" t="s">
        <v>1534</v>
      </c>
      <c r="AY27" s="64" t="s">
        <v>876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4"/>
      <c r="BD27" s="64"/>
      <c r="BE27" s="64"/>
    </row>
    <row r="28" spans="1:57" x14ac:dyDescent="0.25">
      <c r="AF28" s="30" t="str">
        <f>'Table Seed Map'!$A$28&amp;"-"&amp;COUNTA($AH$1:ListSearch[[#This Row],[No]])-2</f>
        <v>List Search-26</v>
      </c>
      <c r="AG28" s="4" t="s">
        <v>1898</v>
      </c>
      <c r="AH28" s="30">
        <f>IF(ListSearch[[#This Row],[List Name for Search]]="","id",-1+COUNTA($AG$1:ListSearch[[#This Row],[List Name for Search]])+IF(ISNUMBER(VLOOKUP('Table Seed Map'!$A$28,SeedMap[],9,0)),VLOOKUP('Table Seed Map'!$A$28,SeedMap[],9,0),0))</f>
        <v>326126</v>
      </c>
      <c r="AI28" s="30">
        <f>IFERROR(VLOOKUP(ListSearch[[#This Row],[List Name for Search]],ResourceList[[ListDisplayName]:[No]],2,0),"resource_list")</f>
        <v>322113</v>
      </c>
      <c r="AJ28" s="78" t="s">
        <v>1900</v>
      </c>
      <c r="AK28" s="30" t="str">
        <f>IF(ListSearch[[#This Row],[List Name for Search]]="","relation",IFERROR(VLOOKUP(ListSearch[[#This Row],[Relation]],RelationTable[[Display]:[RELID]],2,0),""))</f>
        <v/>
      </c>
      <c r="AL28" s="30" t="str">
        <f>IF(ListSearch[[#This Row],[List Name for Search]]="","nest_relation1",IFERROR(VLOOKUP(ListSearch[[#This Row],[Relation 1]],RelationTable[[Display]:[RELID]],2,0),""))</f>
        <v/>
      </c>
      <c r="AM28" s="30" t="str">
        <f>IF(ListSearch[[#This Row],[List Name for Search]]="","nest_relation2",IFERROR(VLOOKUP(ListSearch[[#This Row],[Relation 2]],RelationTable[[Display]:[RELID]],2,0),""))</f>
        <v/>
      </c>
      <c r="AN28" s="30" t="str">
        <f>IF(ListSearch[[#This Row],[List Name for Search]]="","nest_relation3",IFERROR(VLOOKUP(ListSearch[[#This Row],[Relation 3]],RelationTable[[Display]:[RELID]],2,0),""))</f>
        <v/>
      </c>
      <c r="AO28" s="78"/>
      <c r="AP28" s="78"/>
      <c r="AQ28" s="78"/>
      <c r="AR28" s="78"/>
      <c r="AT28" s="30" t="str">
        <f>'Table Seed Map'!$A$27&amp;"-"&amp;COUNTA($AV$1:ListLayout[[#This Row],[No]])-2</f>
        <v>List Layout-26</v>
      </c>
      <c r="AU28" s="4" t="s">
        <v>1746</v>
      </c>
      <c r="AV28" s="3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30">
        <f>IFERROR(VLOOKUP(ListLayout[[#This Row],[List Name for Layout]],ResourceList[[ListDisplayName]:[No]],2,0),"resource_list")</f>
        <v>322108</v>
      </c>
      <c r="AX28" s="60" t="s">
        <v>1280</v>
      </c>
      <c r="AY28" s="78" t="s">
        <v>796</v>
      </c>
      <c r="AZ28" s="30">
        <f>IF(ListLayout[[#This Row],[List Name for Layout]]="","relation",IFERROR(VLOOKUP(ListLayout[[#This Row],[Relation]],RelationTable[[Display]:[RELID]],2,0),""))</f>
        <v>308133</v>
      </c>
      <c r="BA28" s="30" t="str">
        <f>IF(ListLayout[[#This Row],[List Name for Layout]]="","nest_relation1",IFERROR(VLOOKUP(ListLayout[[#This Row],[Relation 1]],RelationTable[[Display]:[RELID]],2,0),""))</f>
        <v/>
      </c>
      <c r="BB28" s="30" t="str">
        <f>IF(ListLayout[[#This Row],[List Name for Layout]]="","nest_relation2",IFERROR(VLOOKUP(ListLayout[[#This Row],[Relation 2]],RelationTable[[Display]:[RELID]],2,0),""))</f>
        <v/>
      </c>
      <c r="BC28" s="78" t="s">
        <v>1738</v>
      </c>
      <c r="BD28" s="78"/>
      <c r="BE28" s="78"/>
    </row>
    <row r="29" spans="1:57" x14ac:dyDescent="0.25">
      <c r="AF29" s="30" t="str">
        <f>'Table Seed Map'!$A$28&amp;"-"&amp;COUNTA($AH$1:ListSearch[[#This Row],[No]])-2</f>
        <v>List Search-27</v>
      </c>
      <c r="AG29" s="4" t="s">
        <v>1898</v>
      </c>
      <c r="AH29" s="30">
        <f>IF(ListSearch[[#This Row],[List Name for Search]]="","id",-1+COUNTA($AG$1:ListSearch[[#This Row],[List Name for Search]])+IF(ISNUMBER(VLOOKUP('Table Seed Map'!$A$28,SeedMap[],9,0)),VLOOKUP('Table Seed Map'!$A$28,SeedMap[],9,0),0))</f>
        <v>326127</v>
      </c>
      <c r="AI29" s="30">
        <f>IFERROR(VLOOKUP(ListSearch[[#This Row],[List Name for Search]],ResourceList[[ListDisplayName]:[No]],2,0),"resource_list")</f>
        <v>322113</v>
      </c>
      <c r="AJ29" s="78" t="s">
        <v>1409</v>
      </c>
      <c r="AK29" s="30" t="str">
        <f>IF(ListSearch[[#This Row],[List Name for Search]]="","relation",IFERROR(VLOOKUP(ListSearch[[#This Row],[Relation]],RelationTable[[Display]:[RELID]],2,0),""))</f>
        <v/>
      </c>
      <c r="AL29" s="30" t="str">
        <f>IF(ListSearch[[#This Row],[List Name for Search]]="","nest_relation1",IFERROR(VLOOKUP(ListSearch[[#This Row],[Relation 1]],RelationTable[[Display]:[RELID]],2,0),""))</f>
        <v/>
      </c>
      <c r="AM29" s="30" t="str">
        <f>IF(ListSearch[[#This Row],[List Name for Search]]="","nest_relation2",IFERROR(VLOOKUP(ListSearch[[#This Row],[Relation 2]],RelationTable[[Display]:[RELID]],2,0),""))</f>
        <v/>
      </c>
      <c r="AN29" s="30" t="str">
        <f>IF(ListSearch[[#This Row],[List Name for Search]]="","nest_relation3",IFERROR(VLOOKUP(ListSearch[[#This Row],[Relation 3]],RelationTable[[Display]:[RELID]],2,0),""))</f>
        <v/>
      </c>
      <c r="AO29" s="78"/>
      <c r="AP29" s="78"/>
      <c r="AQ29" s="78"/>
      <c r="AR29" s="78"/>
      <c r="AT29" s="30" t="str">
        <f>'Table Seed Map'!$A$27&amp;"-"&amp;COUNTA($AV$1:ListLayout[[#This Row],[No]])-2</f>
        <v>List Layout-27</v>
      </c>
      <c r="AU29" s="4" t="s">
        <v>1756</v>
      </c>
      <c r="AV29" s="3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30">
        <f>IFERROR(VLOOKUP(ListLayout[[#This Row],[List Name for Layout]],ResourceList[[ListDisplayName]:[No]],2,0),"resource_list")</f>
        <v>322109</v>
      </c>
      <c r="AX29" s="30" t="s">
        <v>1529</v>
      </c>
      <c r="AY29" s="78" t="s">
        <v>768</v>
      </c>
      <c r="AZ29" s="30" t="str">
        <f>IF(ListLayout[[#This Row],[List Name for Layout]]="","relation",IFERROR(VLOOKUP(ListLayout[[#This Row],[Relation]],RelationTable[[Display]:[RELID]],2,0),""))</f>
        <v/>
      </c>
      <c r="BA29" s="30" t="str">
        <f>IF(ListLayout[[#This Row],[List Name for Layout]]="","nest_relation1",IFERROR(VLOOKUP(ListLayout[[#This Row],[Relation 1]],RelationTable[[Display]:[RELID]],2,0),""))</f>
        <v/>
      </c>
      <c r="BB29" s="30" t="str">
        <f>IF(ListLayout[[#This Row],[List Name for Layout]]="","nest_relation2",IFERROR(VLOOKUP(ListLayout[[#This Row],[Relation 2]],RelationTable[[Display]:[RELID]],2,0),""))</f>
        <v/>
      </c>
      <c r="BC29" s="78"/>
      <c r="BD29" s="78"/>
      <c r="BE29" s="78"/>
    </row>
    <row r="30" spans="1:57" x14ac:dyDescent="0.25">
      <c r="AF30" s="30" t="str">
        <f>'Table Seed Map'!$A$28&amp;"-"&amp;COUNTA($AH$1:ListSearch[[#This Row],[No]])-2</f>
        <v>List Search-28</v>
      </c>
      <c r="AG30" s="4" t="s">
        <v>2033</v>
      </c>
      <c r="AH30" s="30">
        <f>IF(ListSearch[[#This Row],[List Name for Search]]="","id",-1+COUNTA($AG$1:ListSearch[[#This Row],[List Name for Search]])+IF(ISNUMBER(VLOOKUP('Table Seed Map'!$A$28,SeedMap[],9,0)),VLOOKUP('Table Seed Map'!$A$28,SeedMap[],9,0),0))</f>
        <v>326128</v>
      </c>
      <c r="AI30" s="30">
        <f>IFERROR(VLOOKUP(ListSearch[[#This Row],[List Name for Search]],ResourceList[[ListDisplayName]:[No]],2,0),"resource_list")</f>
        <v>322116</v>
      </c>
      <c r="AJ30" s="78" t="s">
        <v>23</v>
      </c>
      <c r="AK30" s="30" t="str">
        <f>IF(ListSearch[[#This Row],[List Name for Search]]="","relation",IFERROR(VLOOKUP(ListSearch[[#This Row],[Relation]],RelationTable[[Display]:[RELID]],2,0),""))</f>
        <v/>
      </c>
      <c r="AL30" s="30" t="str">
        <f>IF(ListSearch[[#This Row],[List Name for Search]]="","nest_relation1",IFERROR(VLOOKUP(ListSearch[[#This Row],[Relation 1]],RelationTable[[Display]:[RELID]],2,0),""))</f>
        <v/>
      </c>
      <c r="AM30" s="30" t="str">
        <f>IF(ListSearch[[#This Row],[List Name for Search]]="","nest_relation2",IFERROR(VLOOKUP(ListSearch[[#This Row],[Relation 2]],RelationTable[[Display]:[RELID]],2,0),""))</f>
        <v/>
      </c>
      <c r="AN30" s="30" t="str">
        <f>IF(ListSearch[[#This Row],[List Name for Search]]="","nest_relation3",IFERROR(VLOOKUP(ListSearch[[#This Row],[Relation 3]],RelationTable[[Display]:[RELID]],2,0),""))</f>
        <v/>
      </c>
      <c r="AO30" s="78"/>
      <c r="AP30" s="78"/>
      <c r="AQ30" s="78"/>
      <c r="AR30" s="78"/>
      <c r="AT30" s="30" t="str">
        <f>'Table Seed Map'!$A$27&amp;"-"&amp;COUNTA($AV$1:ListLayout[[#This Row],[No]])-2</f>
        <v>List Layout-28</v>
      </c>
      <c r="AU30" s="4" t="s">
        <v>1756</v>
      </c>
      <c r="AV30" s="3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30">
        <f>IFERROR(VLOOKUP(ListLayout[[#This Row],[List Name for Layout]],ResourceList[[ListDisplayName]:[No]],2,0),"resource_list")</f>
        <v>322109</v>
      </c>
      <c r="AX30" s="30" t="s">
        <v>1808</v>
      </c>
      <c r="AY30" s="78" t="s">
        <v>1627</v>
      </c>
      <c r="AZ30" s="30" t="str">
        <f>IF(ListLayout[[#This Row],[List Name for Layout]]="","relation",IFERROR(VLOOKUP(ListLayout[[#This Row],[Relation]],RelationTable[[Display]:[RELID]],2,0),""))</f>
        <v/>
      </c>
      <c r="BA30" s="30" t="str">
        <f>IF(ListLayout[[#This Row],[List Name for Layout]]="","nest_relation1",IFERROR(VLOOKUP(ListLayout[[#This Row],[Relation 1]],RelationTable[[Display]:[RELID]],2,0),""))</f>
        <v/>
      </c>
      <c r="BB30" s="30" t="str">
        <f>IF(ListLayout[[#This Row],[List Name for Layout]]="","nest_relation2",IFERROR(VLOOKUP(ListLayout[[#This Row],[Relation 2]],RelationTable[[Display]:[RELID]],2,0),""))</f>
        <v/>
      </c>
      <c r="BC30" s="78"/>
      <c r="BD30" s="78"/>
      <c r="BE30" s="78"/>
    </row>
    <row r="31" spans="1:57" x14ac:dyDescent="0.25">
      <c r="AF31" s="30" t="str">
        <f>'Table Seed Map'!$A$28&amp;"-"&amp;COUNTA($AH$1:ListSearch[[#This Row],[No]])-2</f>
        <v>List Search-29</v>
      </c>
      <c r="AG31" s="4" t="s">
        <v>2033</v>
      </c>
      <c r="AH31" s="30">
        <f>IF(ListSearch[[#This Row],[List Name for Search]]="","id",-1+COUNTA($AG$1:ListSearch[[#This Row],[List Name for Search]])+IF(ISNUMBER(VLOOKUP('Table Seed Map'!$A$28,SeedMap[],9,0)),VLOOKUP('Table Seed Map'!$A$28,SeedMap[],9,0),0))</f>
        <v>326129</v>
      </c>
      <c r="AI31" s="30">
        <f>IFERROR(VLOOKUP(ListSearch[[#This Row],[List Name for Search]],ResourceList[[ListDisplayName]:[No]],2,0),"resource_list")</f>
        <v>322116</v>
      </c>
      <c r="AJ31" s="78" t="s">
        <v>24</v>
      </c>
      <c r="AK31" s="30" t="str">
        <f>IF(ListSearch[[#This Row],[List Name for Search]]="","relation",IFERROR(VLOOKUP(ListSearch[[#This Row],[Relation]],RelationTable[[Display]:[RELID]],2,0),""))</f>
        <v/>
      </c>
      <c r="AL31" s="30" t="str">
        <f>IF(ListSearch[[#This Row],[List Name for Search]]="","nest_relation1",IFERROR(VLOOKUP(ListSearch[[#This Row],[Relation 1]],RelationTable[[Display]:[RELID]],2,0),""))</f>
        <v/>
      </c>
      <c r="AM31" s="30" t="str">
        <f>IF(ListSearch[[#This Row],[List Name for Search]]="","nest_relation2",IFERROR(VLOOKUP(ListSearch[[#This Row],[Relation 2]],RelationTable[[Display]:[RELID]],2,0),""))</f>
        <v/>
      </c>
      <c r="AN31" s="30" t="str">
        <f>IF(ListSearch[[#This Row],[List Name for Search]]="","nest_relation3",IFERROR(VLOOKUP(ListSearch[[#This Row],[Relation 3]],RelationTable[[Display]:[RELID]],2,0),""))</f>
        <v/>
      </c>
      <c r="AO31" s="78"/>
      <c r="AP31" s="78"/>
      <c r="AQ31" s="78"/>
      <c r="AR31" s="78"/>
      <c r="AT31" s="30" t="str">
        <f>'Table Seed Map'!$A$27&amp;"-"&amp;COUNTA($AV$1:ListLayout[[#This Row],[No]])-2</f>
        <v>List Layout-29</v>
      </c>
      <c r="AU31" s="4" t="s">
        <v>1756</v>
      </c>
      <c r="AV31" s="3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30">
        <f>IFERROR(VLOOKUP(ListLayout[[#This Row],[List Name for Layout]],ResourceList[[ListDisplayName]:[No]],2,0),"resource_list")</f>
        <v>322109</v>
      </c>
      <c r="AX31" s="30" t="s">
        <v>1757</v>
      </c>
      <c r="AY31" s="78" t="s">
        <v>854</v>
      </c>
      <c r="AZ31" s="30" t="str">
        <f>IF(ListLayout[[#This Row],[List Name for Layout]]="","relation",IFERROR(VLOOKUP(ListLayout[[#This Row],[Relation]],RelationTable[[Display]:[RELID]],2,0),""))</f>
        <v/>
      </c>
      <c r="BA31" s="30" t="str">
        <f>IF(ListLayout[[#This Row],[List Name for Layout]]="","nest_relation1",IFERROR(VLOOKUP(ListLayout[[#This Row],[Relation 1]],RelationTable[[Display]:[RELID]],2,0),""))</f>
        <v/>
      </c>
      <c r="BB31" s="30" t="str">
        <f>IF(ListLayout[[#This Row],[List Name for Layout]]="","nest_relation2",IFERROR(VLOOKUP(ListLayout[[#This Row],[Relation 2]],RelationTable[[Display]:[RELID]],2,0),""))</f>
        <v/>
      </c>
      <c r="BC31" s="78"/>
      <c r="BD31" s="78"/>
      <c r="BE31" s="78"/>
    </row>
    <row r="32" spans="1:57" x14ac:dyDescent="0.25">
      <c r="AF32" s="30" t="str">
        <f>'Table Seed Map'!$A$28&amp;"-"&amp;COUNTA($AH$1:ListSearch[[#This Row],[No]])-2</f>
        <v>List Search-30</v>
      </c>
      <c r="AG32" s="4" t="s">
        <v>2033</v>
      </c>
      <c r="AH32" s="30">
        <f>IF(ListSearch[[#This Row],[List Name for Search]]="","id",-1+COUNTA($AG$1:ListSearch[[#This Row],[List Name for Search]])+IF(ISNUMBER(VLOOKUP('Table Seed Map'!$A$28,SeedMap[],9,0)),VLOOKUP('Table Seed Map'!$A$28,SeedMap[],9,0),0))</f>
        <v>326130</v>
      </c>
      <c r="AI32" s="30">
        <f>IFERROR(VLOOKUP(ListSearch[[#This Row],[List Name for Search]],ResourceList[[ListDisplayName]:[No]],2,0),"resource_list")</f>
        <v>322116</v>
      </c>
      <c r="AJ32" s="78" t="s">
        <v>1986</v>
      </c>
      <c r="AK32" s="30" t="str">
        <f>IF(ListSearch[[#This Row],[List Name for Search]]="","relation",IFERROR(VLOOKUP(ListSearch[[#This Row],[Relation]],RelationTable[[Display]:[RELID]],2,0),""))</f>
        <v/>
      </c>
      <c r="AL32" s="30" t="str">
        <f>IF(ListSearch[[#This Row],[List Name for Search]]="","nest_relation1",IFERROR(VLOOKUP(ListSearch[[#This Row],[Relation 1]],RelationTable[[Display]:[RELID]],2,0),""))</f>
        <v/>
      </c>
      <c r="AM32" s="30" t="str">
        <f>IF(ListSearch[[#This Row],[List Name for Search]]="","nest_relation2",IFERROR(VLOOKUP(ListSearch[[#This Row],[Relation 2]],RelationTable[[Display]:[RELID]],2,0),""))</f>
        <v/>
      </c>
      <c r="AN32" s="30" t="str">
        <f>IF(ListSearch[[#This Row],[List Name for Search]]="","nest_relation3",IFERROR(VLOOKUP(ListSearch[[#This Row],[Relation 3]],RelationTable[[Display]:[RELID]],2,0),""))</f>
        <v/>
      </c>
      <c r="AO32" s="78"/>
      <c r="AP32" s="78"/>
      <c r="AQ32" s="78"/>
      <c r="AR32" s="78"/>
      <c r="AT32" s="30" t="str">
        <f>'Table Seed Map'!$A$27&amp;"-"&amp;COUNTA($AV$1:ListLayout[[#This Row],[No]])-2</f>
        <v>List Layout-30</v>
      </c>
      <c r="AU32" s="4" t="s">
        <v>1782</v>
      </c>
      <c r="AV32" s="30">
        <f>IF(ListLayout[[#This Row],[List Name for Layout]]="","id",COUNTA($AU$2:ListLayout[[#This Row],[List Name for Layout]])+IF(ISNUMBER(VLOOKUP('Table Seed Map'!$A$27,SeedMap[],9,0)),VLOOKUP('Table Seed Map'!$A$27,SeedMap[],9,0),0))</f>
        <v>325130</v>
      </c>
      <c r="AW32" s="30">
        <f>IFERROR(VLOOKUP(ListLayout[[#This Row],[List Name for Layout]],ResourceList[[ListDisplayName]:[No]],2,0),"resource_list")</f>
        <v>322110</v>
      </c>
      <c r="AX32" s="30" t="s">
        <v>1529</v>
      </c>
      <c r="AY32" s="78" t="s">
        <v>858</v>
      </c>
      <c r="AZ32" s="30" t="str">
        <f>IF(ListLayout[[#This Row],[List Name for Layout]]="","relation",IFERROR(VLOOKUP(ListLayout[[#This Row],[Relation]],RelationTable[[Display]:[RELID]],2,0),""))</f>
        <v/>
      </c>
      <c r="BA32" s="30" t="str">
        <f>IF(ListLayout[[#This Row],[List Name for Layout]]="","nest_relation1",IFERROR(VLOOKUP(ListLayout[[#This Row],[Relation 1]],RelationTable[[Display]:[RELID]],2,0),""))</f>
        <v/>
      </c>
      <c r="BB32" s="30" t="str">
        <f>IF(ListLayout[[#This Row],[List Name for Layout]]="","nest_relation2",IFERROR(VLOOKUP(ListLayout[[#This Row],[Relation 2]],RelationTable[[Display]:[RELID]],2,0),""))</f>
        <v/>
      </c>
      <c r="BC32" s="78"/>
      <c r="BD32" s="78"/>
      <c r="BE32" s="78"/>
    </row>
    <row r="33" spans="46:57" x14ac:dyDescent="0.25">
      <c r="AT33" s="30" t="str">
        <f>'Table Seed Map'!$A$27&amp;"-"&amp;COUNTA($AV$1:ListLayout[[#This Row],[No]])-2</f>
        <v>List Layout-31</v>
      </c>
      <c r="AU33" s="4" t="s">
        <v>1782</v>
      </c>
      <c r="AV33" s="30">
        <f>IF(ListLayout[[#This Row],[List Name for Layout]]="","id",COUNTA($AU$2:ListLayout[[#This Row],[List Name for Layout]])+IF(ISNUMBER(VLOOKUP('Table Seed Map'!$A$27,SeedMap[],9,0)),VLOOKUP('Table Seed Map'!$A$27,SeedMap[],9,0),0))</f>
        <v>325131</v>
      </c>
      <c r="AW33" s="30">
        <f>IFERROR(VLOOKUP(ListLayout[[#This Row],[List Name for Layout]],ResourceList[[ListDisplayName]:[No]],2,0),"resource_list")</f>
        <v>322110</v>
      </c>
      <c r="AX33" s="30" t="s">
        <v>74</v>
      </c>
      <c r="AY33" s="78" t="s">
        <v>23</v>
      </c>
      <c r="AZ33" s="30">
        <f>IF(ListLayout[[#This Row],[List Name for Layout]]="","relation",IFERROR(VLOOKUP(ListLayout[[#This Row],[Relation]],RelationTable[[Display]:[RELID]],2,0),""))</f>
        <v>308134</v>
      </c>
      <c r="BA33" s="30" t="str">
        <f>IF(ListLayout[[#This Row],[List Name for Layout]]="","nest_relation1",IFERROR(VLOOKUP(ListLayout[[#This Row],[Relation 1]],RelationTable[[Display]:[RELID]],2,0),""))</f>
        <v/>
      </c>
      <c r="BB33" s="30" t="str">
        <f>IF(ListLayout[[#This Row],[List Name for Layout]]="","nest_relation2",IFERROR(VLOOKUP(ListLayout[[#This Row],[Relation 2]],RelationTable[[Display]:[RELID]],2,0),""))</f>
        <v/>
      </c>
      <c r="BC33" s="78" t="s">
        <v>1776</v>
      </c>
      <c r="BD33" s="78"/>
      <c r="BE33" s="78"/>
    </row>
    <row r="34" spans="46:57" x14ac:dyDescent="0.25">
      <c r="AT34" s="30" t="str">
        <f>'Table Seed Map'!$A$27&amp;"-"&amp;COUNTA($AV$1:ListLayout[[#This Row],[No]])-2</f>
        <v>List Layout-32</v>
      </c>
      <c r="AU34" s="4" t="s">
        <v>1782</v>
      </c>
      <c r="AV34" s="30">
        <f>IF(ListLayout[[#This Row],[List Name for Layout]]="","id",COUNTA($AU$2:ListLayout[[#This Row],[List Name for Layout]])+IF(ISNUMBER(VLOOKUP('Table Seed Map'!$A$27,SeedMap[],9,0)),VLOOKUP('Table Seed Map'!$A$27,SeedMap[],9,0),0))</f>
        <v>325132</v>
      </c>
      <c r="AW34" s="30">
        <f>IFERROR(VLOOKUP(ListLayout[[#This Row],[List Name for Layout]],ResourceList[[ListDisplayName]:[No]],2,0),"resource_list")</f>
        <v>322110</v>
      </c>
      <c r="AX34" s="30" t="s">
        <v>1283</v>
      </c>
      <c r="AY34" s="78" t="s">
        <v>23</v>
      </c>
      <c r="AZ34" s="30">
        <f>IF(ListLayout[[#This Row],[List Name for Layout]]="","relation",IFERROR(VLOOKUP(ListLayout[[#This Row],[Relation]],RelationTable[[Display]:[RELID]],2,0),""))</f>
        <v>308135</v>
      </c>
      <c r="BA34" s="30" t="str">
        <f>IF(ListLayout[[#This Row],[List Name for Layout]]="","nest_relation1",IFERROR(VLOOKUP(ListLayout[[#This Row],[Relation 1]],RelationTable[[Display]:[RELID]],2,0),""))</f>
        <v/>
      </c>
      <c r="BB34" s="30" t="str">
        <f>IF(ListLayout[[#This Row],[List Name for Layout]]="","nest_relation2",IFERROR(VLOOKUP(ListLayout[[#This Row],[Relation 2]],RelationTable[[Display]:[RELID]],2,0),""))</f>
        <v/>
      </c>
      <c r="BC34" s="78" t="s">
        <v>1777</v>
      </c>
      <c r="BD34" s="78"/>
      <c r="BE34" s="78"/>
    </row>
    <row r="35" spans="46:57" x14ac:dyDescent="0.25">
      <c r="AT35" s="30" t="str">
        <f>'Table Seed Map'!$A$27&amp;"-"&amp;COUNTA($AV$1:ListLayout[[#This Row],[No]])-2</f>
        <v>List Layout-33</v>
      </c>
      <c r="AU35" s="4" t="s">
        <v>1782</v>
      </c>
      <c r="AV35" s="30">
        <f>IF(ListLayout[[#This Row],[List Name for Layout]]="","id",COUNTA($AU$2:ListLayout[[#This Row],[List Name for Layout]])+IF(ISNUMBER(VLOOKUP('Table Seed Map'!$A$27,SeedMap[],9,0)),VLOOKUP('Table Seed Map'!$A$27,SeedMap[],9,0),0))</f>
        <v>325133</v>
      </c>
      <c r="AW35" s="30">
        <f>IFERROR(VLOOKUP(ListLayout[[#This Row],[List Name for Layout]],ResourceList[[ListDisplayName]:[No]],2,0),"resource_list")</f>
        <v>322110</v>
      </c>
      <c r="AX35" s="30" t="s">
        <v>1768</v>
      </c>
      <c r="AY35" s="78" t="s">
        <v>950</v>
      </c>
      <c r="AZ35" s="30" t="str">
        <f>IF(ListLayout[[#This Row],[List Name for Layout]]="","relation",IFERROR(VLOOKUP(ListLayout[[#This Row],[Relation]],RelationTable[[Display]:[RELID]],2,0),""))</f>
        <v/>
      </c>
      <c r="BA35" s="30" t="str">
        <f>IF(ListLayout[[#This Row],[List Name for Layout]]="","nest_relation1",IFERROR(VLOOKUP(ListLayout[[#This Row],[Relation 1]],RelationTable[[Display]:[RELID]],2,0),""))</f>
        <v/>
      </c>
      <c r="BB35" s="30" t="str">
        <f>IF(ListLayout[[#This Row],[List Name for Layout]]="","nest_relation2",IFERROR(VLOOKUP(ListLayout[[#This Row],[Relation 2]],RelationTable[[Display]:[RELID]],2,0),""))</f>
        <v/>
      </c>
      <c r="BC35" s="78"/>
      <c r="BD35" s="78"/>
      <c r="BE35" s="78"/>
    </row>
    <row r="36" spans="46:57" x14ac:dyDescent="0.25">
      <c r="AT36" s="30" t="str">
        <f>'Table Seed Map'!$A$27&amp;"-"&amp;COUNTA($AV$1:ListLayout[[#This Row],[No]])-2</f>
        <v>List Layout-34</v>
      </c>
      <c r="AU36" s="4" t="s">
        <v>1806</v>
      </c>
      <c r="AV36" s="30">
        <f>IF(ListLayout[[#This Row],[List Name for Layout]]="","id",COUNTA($AU$2:ListLayout[[#This Row],[List Name for Layout]])+IF(ISNUMBER(VLOOKUP('Table Seed Map'!$A$27,SeedMap[],9,0)),VLOOKUP('Table Seed Map'!$A$27,SeedMap[],9,0),0))</f>
        <v>325134</v>
      </c>
      <c r="AW36" s="30">
        <f>IFERROR(VLOOKUP(ListLayout[[#This Row],[List Name for Layout]],ResourceList[[ListDisplayName]:[No]],2,0),"resource_list")</f>
        <v>322111</v>
      </c>
      <c r="AX36" s="30" t="s">
        <v>1529</v>
      </c>
      <c r="AY36" s="78" t="s">
        <v>768</v>
      </c>
      <c r="AZ36" s="30" t="str">
        <f>IF(ListLayout[[#This Row],[List Name for Layout]]="","relation",IFERROR(VLOOKUP(ListLayout[[#This Row],[Relation]],RelationTable[[Display]:[RELID]],2,0),""))</f>
        <v/>
      </c>
      <c r="BA36" s="30" t="str">
        <f>IF(ListLayout[[#This Row],[List Name for Layout]]="","nest_relation1",IFERROR(VLOOKUP(ListLayout[[#This Row],[Relation 1]],RelationTable[[Display]:[RELID]],2,0),""))</f>
        <v/>
      </c>
      <c r="BB36" s="30" t="str">
        <f>IF(ListLayout[[#This Row],[List Name for Layout]]="","nest_relation2",IFERROR(VLOOKUP(ListLayout[[#This Row],[Relation 2]],RelationTable[[Display]:[RELID]],2,0),""))</f>
        <v/>
      </c>
      <c r="BC36" s="78"/>
      <c r="BD36" s="78"/>
      <c r="BE36" s="78"/>
    </row>
    <row r="37" spans="46:57" x14ac:dyDescent="0.25">
      <c r="AT37" s="30" t="str">
        <f>'Table Seed Map'!$A$27&amp;"-"&amp;COUNTA($AV$1:ListLayout[[#This Row],[No]])-2</f>
        <v>List Layout-35</v>
      </c>
      <c r="AU37" s="4" t="s">
        <v>1806</v>
      </c>
      <c r="AV37" s="30">
        <f>IF(ListLayout[[#This Row],[List Name for Layout]]="","id",COUNTA($AU$2:ListLayout[[#This Row],[List Name for Layout]])+IF(ISNUMBER(VLOOKUP('Table Seed Map'!$A$27,SeedMap[],9,0)),VLOOKUP('Table Seed Map'!$A$27,SeedMap[],9,0),0))</f>
        <v>325135</v>
      </c>
      <c r="AW37" s="30">
        <f>IFERROR(VLOOKUP(ListLayout[[#This Row],[List Name for Layout]],ResourceList[[ListDisplayName]:[No]],2,0),"resource_list")</f>
        <v>322111</v>
      </c>
      <c r="AX37" s="30" t="s">
        <v>74</v>
      </c>
      <c r="AY37" s="78" t="s">
        <v>23</v>
      </c>
      <c r="AZ37" s="30">
        <f>IF(ListLayout[[#This Row],[List Name for Layout]]="","relation",IFERROR(VLOOKUP(ListLayout[[#This Row],[Relation]],RelationTable[[Display]:[RELID]],2,0),""))</f>
        <v>308134</v>
      </c>
      <c r="BA37" s="30" t="str">
        <f>IF(ListLayout[[#This Row],[List Name for Layout]]="","nest_relation1",IFERROR(VLOOKUP(ListLayout[[#This Row],[Relation 1]],RelationTable[[Display]:[RELID]],2,0),""))</f>
        <v/>
      </c>
      <c r="BB37" s="30" t="str">
        <f>IF(ListLayout[[#This Row],[List Name for Layout]]="","nest_relation2",IFERROR(VLOOKUP(ListLayout[[#This Row],[Relation 2]],RelationTable[[Display]:[RELID]],2,0),""))</f>
        <v/>
      </c>
      <c r="BC37" s="78" t="s">
        <v>1776</v>
      </c>
      <c r="BD37" s="78"/>
      <c r="BE37" s="78"/>
    </row>
    <row r="38" spans="46:57" x14ac:dyDescent="0.25">
      <c r="AT38" s="30" t="str">
        <f>'Table Seed Map'!$A$27&amp;"-"&amp;COUNTA($AV$1:ListLayout[[#This Row],[No]])-2</f>
        <v>List Layout-36</v>
      </c>
      <c r="AU38" s="4" t="s">
        <v>1806</v>
      </c>
      <c r="AV38" s="30">
        <f>IF(ListLayout[[#This Row],[List Name for Layout]]="","id",COUNTA($AU$2:ListLayout[[#This Row],[List Name for Layout]])+IF(ISNUMBER(VLOOKUP('Table Seed Map'!$A$27,SeedMap[],9,0)),VLOOKUP('Table Seed Map'!$A$27,SeedMap[],9,0),0))</f>
        <v>325136</v>
      </c>
      <c r="AW38" s="30">
        <f>IFERROR(VLOOKUP(ListLayout[[#This Row],[List Name for Layout]],ResourceList[[ListDisplayName]:[No]],2,0),"resource_list")</f>
        <v>322111</v>
      </c>
      <c r="AX38" s="30" t="s">
        <v>1283</v>
      </c>
      <c r="AY38" s="78" t="s">
        <v>23</v>
      </c>
      <c r="AZ38" s="30">
        <f>IF(ListLayout[[#This Row],[List Name for Layout]]="","relation",IFERROR(VLOOKUP(ListLayout[[#This Row],[Relation]],RelationTable[[Display]:[RELID]],2,0),""))</f>
        <v>308135</v>
      </c>
      <c r="BA38" s="30" t="str">
        <f>IF(ListLayout[[#This Row],[List Name for Layout]]="","nest_relation1",IFERROR(VLOOKUP(ListLayout[[#This Row],[Relation 1]],RelationTable[[Display]:[RELID]],2,0),""))</f>
        <v/>
      </c>
      <c r="BB38" s="30" t="str">
        <f>IF(ListLayout[[#This Row],[List Name for Layout]]="","nest_relation2",IFERROR(VLOOKUP(ListLayout[[#This Row],[Relation 2]],RelationTable[[Display]:[RELID]],2,0),""))</f>
        <v/>
      </c>
      <c r="BC38" s="78" t="s">
        <v>1777</v>
      </c>
      <c r="BD38" s="78"/>
      <c r="BE38" s="78"/>
    </row>
    <row r="39" spans="46:57" x14ac:dyDescent="0.25">
      <c r="AT39" s="30" t="str">
        <f>'Table Seed Map'!$A$27&amp;"-"&amp;COUNTA($AV$1:ListLayout[[#This Row],[No]])-2</f>
        <v>List Layout-37</v>
      </c>
      <c r="AU39" s="4" t="s">
        <v>1806</v>
      </c>
      <c r="AV39" s="30">
        <f>IF(ListLayout[[#This Row],[List Name for Layout]]="","id",COUNTA($AU$2:ListLayout[[#This Row],[List Name for Layout]])+IF(ISNUMBER(VLOOKUP('Table Seed Map'!$A$27,SeedMap[],9,0)),VLOOKUP('Table Seed Map'!$A$27,SeedMap[],9,0),0))</f>
        <v>325137</v>
      </c>
      <c r="AW39" s="30">
        <f>IFERROR(VLOOKUP(ListLayout[[#This Row],[List Name for Layout]],ResourceList[[ListDisplayName]:[No]],2,0),"resource_list")</f>
        <v>322111</v>
      </c>
      <c r="AX39" s="30" t="s">
        <v>1768</v>
      </c>
      <c r="AY39" s="78" t="s">
        <v>950</v>
      </c>
      <c r="AZ39" s="30" t="str">
        <f>IF(ListLayout[[#This Row],[List Name for Layout]]="","relation",IFERROR(VLOOKUP(ListLayout[[#This Row],[Relation]],RelationTable[[Display]:[RELID]],2,0),""))</f>
        <v/>
      </c>
      <c r="BA39" s="30" t="str">
        <f>IF(ListLayout[[#This Row],[List Name for Layout]]="","nest_relation1",IFERROR(VLOOKUP(ListLayout[[#This Row],[Relation 1]],RelationTable[[Display]:[RELID]],2,0),""))</f>
        <v/>
      </c>
      <c r="BB39" s="30" t="str">
        <f>IF(ListLayout[[#This Row],[List Name for Layout]]="","nest_relation2",IFERROR(VLOOKUP(ListLayout[[#This Row],[Relation 2]],RelationTable[[Display]:[RELID]],2,0),""))</f>
        <v/>
      </c>
      <c r="BC39" s="78"/>
      <c r="BD39" s="78"/>
      <c r="BE39" s="78"/>
    </row>
    <row r="40" spans="46:57" x14ac:dyDescent="0.25">
      <c r="AT40" s="30" t="str">
        <f>'Table Seed Map'!$A$27&amp;"-"&amp;COUNTA($AV$1:ListLayout[[#This Row],[No]])-2</f>
        <v>List Layout-38</v>
      </c>
      <c r="AU40" s="4" t="s">
        <v>1897</v>
      </c>
      <c r="AV40" s="30">
        <f>IF(ListLayout[[#This Row],[List Name for Layout]]="","id",COUNTA($AU$2:ListLayout[[#This Row],[List Name for Layout]])+IF(ISNUMBER(VLOOKUP('Table Seed Map'!$A$27,SeedMap[],9,0)),VLOOKUP('Table Seed Map'!$A$27,SeedMap[],9,0),0))</f>
        <v>325138</v>
      </c>
      <c r="AW40" s="30">
        <f>IFERROR(VLOOKUP(ListLayout[[#This Row],[List Name for Layout]],ResourceList[[ListDisplayName]:[No]],2,0),"resource_list")</f>
        <v>322112</v>
      </c>
      <c r="AX40" s="30" t="s">
        <v>1</v>
      </c>
      <c r="AY40" s="78" t="s">
        <v>23</v>
      </c>
      <c r="AZ40" s="30" t="str">
        <f>IF(ListLayout[[#This Row],[List Name for Layout]]="","relation",IFERROR(VLOOKUP(ListLayout[[#This Row],[Relation]],RelationTable[[Display]:[RELID]],2,0),""))</f>
        <v/>
      </c>
      <c r="BA40" s="30" t="str">
        <f>IF(ListLayout[[#This Row],[List Name for Layout]]="","nest_relation1",IFERROR(VLOOKUP(ListLayout[[#This Row],[Relation 1]],RelationTable[[Display]:[RELID]],2,0),""))</f>
        <v/>
      </c>
      <c r="BB40" s="30" t="str">
        <f>IF(ListLayout[[#This Row],[List Name for Layout]]="","nest_relation2",IFERROR(VLOOKUP(ListLayout[[#This Row],[Relation 2]],RelationTable[[Display]:[RELID]],2,0),""))</f>
        <v/>
      </c>
      <c r="BC40" s="78"/>
      <c r="BD40" s="78"/>
      <c r="BE40" s="78"/>
    </row>
    <row r="41" spans="46:57" x14ac:dyDescent="0.25">
      <c r="AT41" s="30" t="str">
        <f>'Table Seed Map'!$A$27&amp;"-"&amp;COUNTA($AV$1:ListLayout[[#This Row],[No]])-2</f>
        <v>List Layout-39</v>
      </c>
      <c r="AU41" s="4" t="s">
        <v>1897</v>
      </c>
      <c r="AV41" s="30">
        <f>IF(ListLayout[[#This Row],[List Name for Layout]]="","id",COUNTA($AU$2:ListLayout[[#This Row],[List Name for Layout]])+IF(ISNUMBER(VLOOKUP('Table Seed Map'!$A$27,SeedMap[],9,0)),VLOOKUP('Table Seed Map'!$A$27,SeedMap[],9,0),0))</f>
        <v>325139</v>
      </c>
      <c r="AW41" s="30">
        <f>IFERROR(VLOOKUP(ListLayout[[#This Row],[List Name for Layout]],ResourceList[[ListDisplayName]:[No]],2,0),"resource_list")</f>
        <v>322112</v>
      </c>
      <c r="AX41" s="30" t="s">
        <v>1901</v>
      </c>
      <c r="AY41" s="78" t="s">
        <v>1900</v>
      </c>
      <c r="AZ41" s="30" t="str">
        <f>IF(ListLayout[[#This Row],[List Name for Layout]]="","relation",IFERROR(VLOOKUP(ListLayout[[#This Row],[Relation]],RelationTable[[Display]:[RELID]],2,0),""))</f>
        <v/>
      </c>
      <c r="BA41" s="30" t="str">
        <f>IF(ListLayout[[#This Row],[List Name for Layout]]="","nest_relation1",IFERROR(VLOOKUP(ListLayout[[#This Row],[Relation 1]],RelationTable[[Display]:[RELID]],2,0),""))</f>
        <v/>
      </c>
      <c r="BB41" s="30" t="str">
        <f>IF(ListLayout[[#This Row],[List Name for Layout]]="","nest_relation2",IFERROR(VLOOKUP(ListLayout[[#This Row],[Relation 2]],RelationTable[[Display]:[RELID]],2,0),""))</f>
        <v/>
      </c>
      <c r="BC41" s="78"/>
      <c r="BD41" s="78"/>
      <c r="BE41" s="78"/>
    </row>
    <row r="42" spans="46:57" x14ac:dyDescent="0.25">
      <c r="AT42" s="30" t="str">
        <f>'Table Seed Map'!$A$27&amp;"-"&amp;COUNTA($AV$1:ListLayout[[#This Row],[No]])-2</f>
        <v>List Layout-40</v>
      </c>
      <c r="AU42" s="4" t="s">
        <v>1898</v>
      </c>
      <c r="AV42" s="30">
        <f>IF(ListLayout[[#This Row],[List Name for Layout]]="","id",COUNTA($AU$2:ListLayout[[#This Row],[List Name for Layout]])+IF(ISNUMBER(VLOOKUP('Table Seed Map'!$A$27,SeedMap[],9,0)),VLOOKUP('Table Seed Map'!$A$27,SeedMap[],9,0),0))</f>
        <v>325140</v>
      </c>
      <c r="AW42" s="30">
        <f>IFERROR(VLOOKUP(ListLayout[[#This Row],[List Name for Layout]],ResourceList[[ListDisplayName]:[No]],2,0),"resource_list")</f>
        <v>322113</v>
      </c>
      <c r="AX42" s="30" t="s">
        <v>1</v>
      </c>
      <c r="AY42" s="78" t="s">
        <v>23</v>
      </c>
      <c r="AZ42" s="30" t="str">
        <f>IF(ListLayout[[#This Row],[List Name for Layout]]="","relation",IFERROR(VLOOKUP(ListLayout[[#This Row],[Relation]],RelationTable[[Display]:[RELID]],2,0),""))</f>
        <v/>
      </c>
      <c r="BA42" s="30" t="str">
        <f>IF(ListLayout[[#This Row],[List Name for Layout]]="","nest_relation1",IFERROR(VLOOKUP(ListLayout[[#This Row],[Relation 1]],RelationTable[[Display]:[RELID]],2,0),""))</f>
        <v/>
      </c>
      <c r="BB42" s="30" t="str">
        <f>IF(ListLayout[[#This Row],[List Name for Layout]]="","nest_relation2",IFERROR(VLOOKUP(ListLayout[[#This Row],[Relation 2]],RelationTable[[Display]:[RELID]],2,0),""))</f>
        <v/>
      </c>
      <c r="BC42" s="78"/>
      <c r="BD42" s="78"/>
      <c r="BE42" s="78"/>
    </row>
    <row r="43" spans="46:57" x14ac:dyDescent="0.25">
      <c r="AT43" s="30" t="str">
        <f>'Table Seed Map'!$A$27&amp;"-"&amp;COUNTA($AV$1:ListLayout[[#This Row],[No]])-2</f>
        <v>List Layout-41</v>
      </c>
      <c r="AU43" s="4" t="s">
        <v>1898</v>
      </c>
      <c r="AV43" s="30">
        <f>IF(ListLayout[[#This Row],[List Name for Layout]]="","id",COUNTA($AU$2:ListLayout[[#This Row],[List Name for Layout]])+IF(ISNUMBER(VLOOKUP('Table Seed Map'!$A$27,SeedMap[],9,0)),VLOOKUP('Table Seed Map'!$A$27,SeedMap[],9,0),0))</f>
        <v>325141</v>
      </c>
      <c r="AW43" s="30">
        <f>IFERROR(VLOOKUP(ListLayout[[#This Row],[List Name for Layout]],ResourceList[[ListDisplayName]:[No]],2,0),"resource_list")</f>
        <v>322113</v>
      </c>
      <c r="AX43" s="30" t="s">
        <v>1901</v>
      </c>
      <c r="AY43" s="78" t="s">
        <v>1900</v>
      </c>
      <c r="AZ43" s="30" t="str">
        <f>IF(ListLayout[[#This Row],[List Name for Layout]]="","relation",IFERROR(VLOOKUP(ListLayout[[#This Row],[Relation]],RelationTable[[Display]:[RELID]],2,0),""))</f>
        <v/>
      </c>
      <c r="BA43" s="30" t="str">
        <f>IF(ListLayout[[#This Row],[List Name for Layout]]="","nest_relation1",IFERROR(VLOOKUP(ListLayout[[#This Row],[Relation 1]],RelationTable[[Display]:[RELID]],2,0),""))</f>
        <v/>
      </c>
      <c r="BB43" s="30" t="str">
        <f>IF(ListLayout[[#This Row],[List Name for Layout]]="","nest_relation2",IFERROR(VLOOKUP(ListLayout[[#This Row],[Relation 2]],RelationTable[[Display]:[RELID]],2,0),""))</f>
        <v/>
      </c>
      <c r="BC43" s="78"/>
      <c r="BD43" s="78"/>
      <c r="BE43" s="78"/>
    </row>
    <row r="44" spans="46:57" x14ac:dyDescent="0.25">
      <c r="AT44" s="30" t="str">
        <f>'Table Seed Map'!$A$27&amp;"-"&amp;COUNTA($AV$1:ListLayout[[#This Row],[No]])-2</f>
        <v>List Layout-42</v>
      </c>
      <c r="AU44" s="4" t="s">
        <v>1928</v>
      </c>
      <c r="AV44" s="30">
        <f>IF(ListLayout[[#This Row],[List Name for Layout]]="","id",COUNTA($AU$2:ListLayout[[#This Row],[List Name for Layout]])+IF(ISNUMBER(VLOOKUP('Table Seed Map'!$A$27,SeedMap[],9,0)),VLOOKUP('Table Seed Map'!$A$27,SeedMap[],9,0),0))</f>
        <v>325142</v>
      </c>
      <c r="AW44" s="30">
        <f>IFERROR(VLOOKUP(ListLayout[[#This Row],[List Name for Layout]],ResourceList[[ListDisplayName]:[No]],2,0),"resource_list")</f>
        <v>322114</v>
      </c>
      <c r="AX44" s="30" t="s">
        <v>1921</v>
      </c>
      <c r="AY44" s="78" t="s">
        <v>858</v>
      </c>
      <c r="AZ44" s="30" t="str">
        <f>IF(ListLayout[[#This Row],[List Name for Layout]]="","relation",IFERROR(VLOOKUP(ListLayout[[#This Row],[Relation]],RelationTable[[Display]:[RELID]],2,0),""))</f>
        <v/>
      </c>
      <c r="BA44" s="30" t="str">
        <f>IF(ListLayout[[#This Row],[List Name for Layout]]="","nest_relation1",IFERROR(VLOOKUP(ListLayout[[#This Row],[Relation 1]],RelationTable[[Display]:[RELID]],2,0),""))</f>
        <v/>
      </c>
      <c r="BB44" s="30" t="str">
        <f>IF(ListLayout[[#This Row],[List Name for Layout]]="","nest_relation2",IFERROR(VLOOKUP(ListLayout[[#This Row],[Relation 2]],RelationTable[[Display]:[RELID]],2,0),""))</f>
        <v/>
      </c>
      <c r="BC44" s="78"/>
      <c r="BD44" s="78"/>
      <c r="BE44" s="78"/>
    </row>
    <row r="45" spans="46:57" x14ac:dyDescent="0.25">
      <c r="AT45" s="30" t="str">
        <f>'Table Seed Map'!$A$27&amp;"-"&amp;COUNTA($AV$1:ListLayout[[#This Row],[No]])-2</f>
        <v>List Layout-43</v>
      </c>
      <c r="AU45" s="4" t="s">
        <v>1928</v>
      </c>
      <c r="AV45" s="30">
        <f>IF(ListLayout[[#This Row],[List Name for Layout]]="","id",COUNTA($AU$2:ListLayout[[#This Row],[List Name for Layout]])+IF(ISNUMBER(VLOOKUP('Table Seed Map'!$A$27,SeedMap[],9,0)),VLOOKUP('Table Seed Map'!$A$27,SeedMap[],9,0),0))</f>
        <v>325143</v>
      </c>
      <c r="AW45" s="30">
        <f>IFERROR(VLOOKUP(ListLayout[[#This Row],[List Name for Layout]],ResourceList[[ListDisplayName]:[No]],2,0),"resource_list")</f>
        <v>322114</v>
      </c>
      <c r="AX45" s="30" t="s">
        <v>1</v>
      </c>
      <c r="AY45" s="78" t="s">
        <v>23</v>
      </c>
      <c r="AZ45" s="30" t="str">
        <f>IF(ListLayout[[#This Row],[List Name for Layout]]="","relation",IFERROR(VLOOKUP(ListLayout[[#This Row],[Relation]],RelationTable[[Display]:[RELID]],2,0),""))</f>
        <v/>
      </c>
      <c r="BA45" s="30" t="str">
        <f>IF(ListLayout[[#This Row],[List Name for Layout]]="","nest_relation1",IFERROR(VLOOKUP(ListLayout[[#This Row],[Relation 1]],RelationTable[[Display]:[RELID]],2,0),""))</f>
        <v/>
      </c>
      <c r="BB45" s="30" t="str">
        <f>IF(ListLayout[[#This Row],[List Name for Layout]]="","nest_relation2",IFERROR(VLOOKUP(ListLayout[[#This Row],[Relation 2]],RelationTable[[Display]:[RELID]],2,0),""))</f>
        <v/>
      </c>
      <c r="BC45" s="78"/>
      <c r="BD45" s="78"/>
      <c r="BE45" s="78"/>
    </row>
    <row r="46" spans="46:57" x14ac:dyDescent="0.25">
      <c r="AT46" s="30" t="str">
        <f>'Table Seed Map'!$A$27&amp;"-"&amp;COUNTA($AV$1:ListLayout[[#This Row],[No]])-2</f>
        <v>List Layout-44</v>
      </c>
      <c r="AU46" s="4" t="s">
        <v>1928</v>
      </c>
      <c r="AV46" s="30">
        <f>IF(ListLayout[[#This Row],[List Name for Layout]]="","id",COUNTA($AU$2:ListLayout[[#This Row],[List Name for Layout]])+IF(ISNUMBER(VLOOKUP('Table Seed Map'!$A$27,SeedMap[],9,0)),VLOOKUP('Table Seed Map'!$A$27,SeedMap[],9,0),0))</f>
        <v>325144</v>
      </c>
      <c r="AW46" s="30">
        <f>IFERROR(VLOOKUP(ListLayout[[#This Row],[List Name for Layout]],ResourceList[[ListDisplayName]:[No]],2,0),"resource_list")</f>
        <v>322114</v>
      </c>
      <c r="AX46" s="30" t="s">
        <v>1929</v>
      </c>
      <c r="AY46" s="78" t="s">
        <v>1872</v>
      </c>
      <c r="AZ46" s="30" t="str">
        <f>IF(ListLayout[[#This Row],[List Name for Layout]]="","relation",IFERROR(VLOOKUP(ListLayout[[#This Row],[Relation]],RelationTable[[Display]:[RELID]],2,0),""))</f>
        <v/>
      </c>
      <c r="BA46" s="30" t="str">
        <f>IF(ListLayout[[#This Row],[List Name for Layout]]="","nest_relation1",IFERROR(VLOOKUP(ListLayout[[#This Row],[Relation 1]],RelationTable[[Display]:[RELID]],2,0),""))</f>
        <v/>
      </c>
      <c r="BB46" s="30" t="str">
        <f>IF(ListLayout[[#This Row],[List Name for Layout]]="","nest_relation2",IFERROR(VLOOKUP(ListLayout[[#This Row],[Relation 2]],RelationTable[[Display]:[RELID]],2,0),""))</f>
        <v/>
      </c>
      <c r="BC46" s="78"/>
      <c r="BD46" s="78"/>
      <c r="BE46" s="78"/>
    </row>
    <row r="47" spans="46:57" x14ac:dyDescent="0.25">
      <c r="AT47" s="30" t="str">
        <f>'Table Seed Map'!$A$27&amp;"-"&amp;COUNTA($AV$1:ListLayout[[#This Row],[No]])-2</f>
        <v>List Layout-45</v>
      </c>
      <c r="AU47" s="4" t="s">
        <v>1928</v>
      </c>
      <c r="AV47" s="30">
        <f>IF(ListLayout[[#This Row],[List Name for Layout]]="","id",COUNTA($AU$2:ListLayout[[#This Row],[List Name for Layout]])+IF(ISNUMBER(VLOOKUP('Table Seed Map'!$A$27,SeedMap[],9,0)),VLOOKUP('Table Seed Map'!$A$27,SeedMap[],9,0),0))</f>
        <v>325145</v>
      </c>
      <c r="AW47" s="30">
        <f>IFERROR(VLOOKUP(ListLayout[[#This Row],[List Name for Layout]],ResourceList[[ListDisplayName]:[No]],2,0),"resource_list")</f>
        <v>322114</v>
      </c>
      <c r="AX47" s="30" t="s">
        <v>1930</v>
      </c>
      <c r="AY47" s="78" t="s">
        <v>1828</v>
      </c>
      <c r="AZ47" s="30" t="str">
        <f>IF(ListLayout[[#This Row],[List Name for Layout]]="","relation",IFERROR(VLOOKUP(ListLayout[[#This Row],[Relation]],RelationTable[[Display]:[RELID]],2,0),""))</f>
        <v/>
      </c>
      <c r="BA47" s="30" t="str">
        <f>IF(ListLayout[[#This Row],[List Name for Layout]]="","nest_relation1",IFERROR(VLOOKUP(ListLayout[[#This Row],[Relation 1]],RelationTable[[Display]:[RELID]],2,0),""))</f>
        <v/>
      </c>
      <c r="BB47" s="30" t="str">
        <f>IF(ListLayout[[#This Row],[List Name for Layout]]="","nest_relation2",IFERROR(VLOOKUP(ListLayout[[#This Row],[Relation 2]],RelationTable[[Display]:[RELID]],2,0),""))</f>
        <v/>
      </c>
      <c r="BC47" s="78"/>
      <c r="BD47" s="78"/>
      <c r="BE47" s="78"/>
    </row>
    <row r="48" spans="46:57" x14ac:dyDescent="0.25">
      <c r="AT48" s="30" t="str">
        <f>'Table Seed Map'!$A$27&amp;"-"&amp;COUNTA($AV$1:ListLayout[[#This Row],[No]])-2</f>
        <v>List Layout-46</v>
      </c>
      <c r="AU48" s="4" t="s">
        <v>1928</v>
      </c>
      <c r="AV48" s="30">
        <f>IF(ListLayout[[#This Row],[List Name for Layout]]="","id",COUNTA($AU$2:ListLayout[[#This Row],[List Name for Layout]])+IF(ISNUMBER(VLOOKUP('Table Seed Map'!$A$27,SeedMap[],9,0)),VLOOKUP('Table Seed Map'!$A$27,SeedMap[],9,0),0))</f>
        <v>325146</v>
      </c>
      <c r="AW48" s="30">
        <f>IFERROR(VLOOKUP(ListLayout[[#This Row],[List Name for Layout]],ResourceList[[ListDisplayName]:[No]],2,0),"resource_list")</f>
        <v>322114</v>
      </c>
      <c r="AX48" s="30" t="s">
        <v>1356</v>
      </c>
      <c r="AY48" s="78" t="s">
        <v>776</v>
      </c>
      <c r="AZ48" s="30" t="str">
        <f>IF(ListLayout[[#This Row],[List Name for Layout]]="","relation",IFERROR(VLOOKUP(ListLayout[[#This Row],[Relation]],RelationTable[[Display]:[RELID]],2,0),""))</f>
        <v/>
      </c>
      <c r="BA48" s="30" t="str">
        <f>IF(ListLayout[[#This Row],[List Name for Layout]]="","nest_relation1",IFERROR(VLOOKUP(ListLayout[[#This Row],[Relation 1]],RelationTable[[Display]:[RELID]],2,0),""))</f>
        <v/>
      </c>
      <c r="BB48" s="30" t="str">
        <f>IF(ListLayout[[#This Row],[List Name for Layout]]="","nest_relation2",IFERROR(VLOOKUP(ListLayout[[#This Row],[Relation 2]],RelationTable[[Display]:[RELID]],2,0),""))</f>
        <v/>
      </c>
      <c r="BC48" s="78"/>
      <c r="BD48" s="78"/>
      <c r="BE48" s="78"/>
    </row>
    <row r="49" spans="46:57" x14ac:dyDescent="0.25">
      <c r="AT49" s="15" t="str">
        <f>'Table Seed Map'!$A$27&amp;"-"&amp;COUNTA($AV$1:ListLayout[[#This Row],[No]])-2</f>
        <v>List Layout-47</v>
      </c>
      <c r="AU49" s="2" t="s">
        <v>1965</v>
      </c>
      <c r="AV49" s="15">
        <f>IF(ListLayout[[#This Row],[List Name for Layout]]="","id",COUNTA($AU$2:ListLayout[[#This Row],[List Name for Layout]])+IF(ISNUMBER(VLOOKUP('Table Seed Map'!$A$27,SeedMap[],9,0)),VLOOKUP('Table Seed Map'!$A$27,SeedMap[],9,0),0))</f>
        <v>325147</v>
      </c>
      <c r="AW49" s="15">
        <f>IFERROR(VLOOKUP(ListLayout[[#This Row],[List Name for Layout]],ResourceList[[ListDisplayName]:[No]],2,0),"resource_list")</f>
        <v>322115</v>
      </c>
      <c r="AX49" s="15" t="s">
        <v>1968</v>
      </c>
      <c r="AY49" s="13" t="s">
        <v>23</v>
      </c>
      <c r="AZ49" s="15">
        <f>IF(ListLayout[[#This Row],[List Name for Layout]]="","relation",IFERROR(VLOOKUP(ListLayout[[#This Row],[Relation]],RelationTable[[Display]:[RELID]],2,0),""))</f>
        <v>308141</v>
      </c>
      <c r="BA49" s="15" t="str">
        <f>IF(ListLayout[[#This Row],[List Name for Layout]]="","nest_relation1",IFERROR(VLOOKUP(ListLayout[[#This Row],[Relation 1]],RelationTable[[Display]:[RELID]],2,0),""))</f>
        <v/>
      </c>
      <c r="BB49" s="15" t="str">
        <f>IF(ListLayout[[#This Row],[List Name for Layout]]="","nest_relation2",IFERROR(VLOOKUP(ListLayout[[#This Row],[Relation 2]],RelationTable[[Display]:[RELID]],2,0),""))</f>
        <v/>
      </c>
      <c r="BC49" s="13" t="s">
        <v>1967</v>
      </c>
      <c r="BD49" s="13"/>
      <c r="BE49" s="13"/>
    </row>
    <row r="50" spans="46:57" x14ac:dyDescent="0.25">
      <c r="AT50" s="15" t="str">
        <f>'Table Seed Map'!$A$27&amp;"-"&amp;COUNTA($AV$1:ListLayout[[#This Row],[No]])-2</f>
        <v>List Layout-48</v>
      </c>
      <c r="AU50" s="2" t="s">
        <v>1965</v>
      </c>
      <c r="AV50" s="15">
        <f>IF(ListLayout[[#This Row],[List Name for Layout]]="","id",COUNTA($AU$2:ListLayout[[#This Row],[List Name for Layout]])+IF(ISNUMBER(VLOOKUP('Table Seed Map'!$A$27,SeedMap[],9,0)),VLOOKUP('Table Seed Map'!$A$27,SeedMap[],9,0),0))</f>
        <v>325148</v>
      </c>
      <c r="AW50" s="15">
        <f>IFERROR(VLOOKUP(ListLayout[[#This Row],[List Name for Layout]],ResourceList[[ListDisplayName]:[No]],2,0),"resource_list")</f>
        <v>322115</v>
      </c>
      <c r="AX50" s="15" t="s">
        <v>1969</v>
      </c>
      <c r="AY50" s="13" t="s">
        <v>1900</v>
      </c>
      <c r="AZ50" s="15">
        <f>IF(ListLayout[[#This Row],[List Name for Layout]]="","relation",IFERROR(VLOOKUP(ListLayout[[#This Row],[Relation]],RelationTable[[Display]:[RELID]],2,0),""))</f>
        <v>308141</v>
      </c>
      <c r="BA50" s="15" t="str">
        <f>IF(ListLayout[[#This Row],[List Name for Layout]]="","nest_relation1",IFERROR(VLOOKUP(ListLayout[[#This Row],[Relation 1]],RelationTable[[Display]:[RELID]],2,0),""))</f>
        <v/>
      </c>
      <c r="BB50" s="15" t="str">
        <f>IF(ListLayout[[#This Row],[List Name for Layout]]="","nest_relation2",IFERROR(VLOOKUP(ListLayout[[#This Row],[Relation 2]],RelationTable[[Display]:[RELID]],2,0),""))</f>
        <v/>
      </c>
      <c r="BC50" s="13" t="s">
        <v>1967</v>
      </c>
      <c r="BD50" s="13"/>
      <c r="BE50" s="13"/>
    </row>
    <row r="51" spans="46:57" x14ac:dyDescent="0.25">
      <c r="AT51" s="15" t="str">
        <f>'Table Seed Map'!$A$27&amp;"-"&amp;COUNTA($AV$1:ListLayout[[#This Row],[No]])-2</f>
        <v>List Layout-49</v>
      </c>
      <c r="AU51" s="2" t="s">
        <v>1965</v>
      </c>
      <c r="AV51" s="15">
        <f>IF(ListLayout[[#This Row],[List Name for Layout]]="","id",COUNTA($AU$2:ListLayout[[#This Row],[List Name for Layout]])+IF(ISNUMBER(VLOOKUP('Table Seed Map'!$A$27,SeedMap[],9,0)),VLOOKUP('Table Seed Map'!$A$27,SeedMap[],9,0),0))</f>
        <v>325149</v>
      </c>
      <c r="AW51" s="15">
        <f>IFERROR(VLOOKUP(ListLayout[[#This Row],[List Name for Layout]],ResourceList[[ListDisplayName]:[No]],2,0),"resource_list")</f>
        <v>322115</v>
      </c>
      <c r="AX51" s="15" t="s">
        <v>1410</v>
      </c>
      <c r="AY51" s="13" t="s">
        <v>1409</v>
      </c>
      <c r="AZ51" s="15">
        <f>IF(ListLayout[[#This Row],[List Name for Layout]]="","relation",IFERROR(VLOOKUP(ListLayout[[#This Row],[Relation]],RelationTable[[Display]:[RELID]],2,0),""))</f>
        <v>308141</v>
      </c>
      <c r="BA51" s="15" t="str">
        <f>IF(ListLayout[[#This Row],[List Name for Layout]]="","nest_relation1",IFERROR(VLOOKUP(ListLayout[[#This Row],[Relation 1]],RelationTable[[Display]:[RELID]],2,0),""))</f>
        <v/>
      </c>
      <c r="BB51" s="15" t="str">
        <f>IF(ListLayout[[#This Row],[List Name for Layout]]="","nest_relation2",IFERROR(VLOOKUP(ListLayout[[#This Row],[Relation 2]],RelationTable[[Display]:[RELID]],2,0),""))</f>
        <v/>
      </c>
      <c r="BC51" s="13" t="s">
        <v>1967</v>
      </c>
      <c r="BD51" s="13"/>
      <c r="BE51" s="13"/>
    </row>
    <row r="52" spans="46:57" x14ac:dyDescent="0.25">
      <c r="AT52" s="30" t="str">
        <f>'Table Seed Map'!$A$27&amp;"-"&amp;COUNTA($AV$1:ListLayout[[#This Row],[No]])-2</f>
        <v>List Layout-50</v>
      </c>
      <c r="AU52" s="4" t="s">
        <v>2033</v>
      </c>
      <c r="AV52" s="30">
        <f>IF(ListLayout[[#This Row],[List Name for Layout]]="","id",COUNTA($AU$2:ListLayout[[#This Row],[List Name for Layout]])+IF(ISNUMBER(VLOOKUP('Table Seed Map'!$A$27,SeedMap[],9,0)),VLOOKUP('Table Seed Map'!$A$27,SeedMap[],9,0),0))</f>
        <v>325150</v>
      </c>
      <c r="AW52" s="30">
        <f>IFERROR(VLOOKUP(ListLayout[[#This Row],[List Name for Layout]],ResourceList[[ListDisplayName]:[No]],2,0),"resource_list")</f>
        <v>322116</v>
      </c>
      <c r="AX52" s="30" t="s">
        <v>1</v>
      </c>
      <c r="AY52" s="78" t="s">
        <v>23</v>
      </c>
      <c r="AZ52" s="30" t="str">
        <f>IF(ListLayout[[#This Row],[List Name for Layout]]="","relation",IFERROR(VLOOKUP(ListLayout[[#This Row],[Relation]],RelationTable[[Display]:[RELID]],2,0),""))</f>
        <v/>
      </c>
      <c r="BA52" s="30" t="str">
        <f>IF(ListLayout[[#This Row],[List Name for Layout]]="","nest_relation1",IFERROR(VLOOKUP(ListLayout[[#This Row],[Relation 1]],RelationTable[[Display]:[RELID]],2,0),""))</f>
        <v/>
      </c>
      <c r="BB52" s="30" t="str">
        <f>IF(ListLayout[[#This Row],[List Name for Layout]]="","nest_relation2",IFERROR(VLOOKUP(ListLayout[[#This Row],[Relation 2]],RelationTable[[Display]:[RELID]],2,0),""))</f>
        <v/>
      </c>
      <c r="BC52" s="78"/>
      <c r="BD52" s="78"/>
      <c r="BE52" s="78"/>
    </row>
    <row r="53" spans="46:57" x14ac:dyDescent="0.25">
      <c r="AT53" s="30" t="str">
        <f>'Table Seed Map'!$A$27&amp;"-"&amp;COUNTA($AV$1:ListLayout[[#This Row],[No]])-2</f>
        <v>List Layout-51</v>
      </c>
      <c r="AU53" s="4" t="s">
        <v>2033</v>
      </c>
      <c r="AV53" s="30">
        <f>IF(ListLayout[[#This Row],[List Name for Layout]]="","id",COUNTA($AU$2:ListLayout[[#This Row],[List Name for Layout]])+IF(ISNUMBER(VLOOKUP('Table Seed Map'!$A$27,SeedMap[],9,0)),VLOOKUP('Table Seed Map'!$A$27,SeedMap[],9,0),0))</f>
        <v>325151</v>
      </c>
      <c r="AW53" s="30">
        <f>IFERROR(VLOOKUP(ListLayout[[#This Row],[List Name for Layout]],ResourceList[[ListDisplayName]:[No]],2,0),"resource_list")</f>
        <v>322116</v>
      </c>
      <c r="AX53" s="30" t="s">
        <v>2011</v>
      </c>
      <c r="AY53" s="78" t="s">
        <v>858</v>
      </c>
      <c r="AZ53" s="30" t="str">
        <f>IF(ListLayout[[#This Row],[List Name for Layout]]="","relation",IFERROR(VLOOKUP(ListLayout[[#This Row],[Relation]],RelationTable[[Display]:[RELID]],2,0),""))</f>
        <v/>
      </c>
      <c r="BA53" s="30" t="str">
        <f>IF(ListLayout[[#This Row],[List Name for Layout]]="","nest_relation1",IFERROR(VLOOKUP(ListLayout[[#This Row],[Relation 1]],RelationTable[[Display]:[RELID]],2,0),""))</f>
        <v/>
      </c>
      <c r="BB53" s="30" t="str">
        <f>IF(ListLayout[[#This Row],[List Name for Layout]]="","nest_relation2",IFERROR(VLOOKUP(ListLayout[[#This Row],[Relation 2]],RelationTable[[Display]:[RELID]],2,0),""))</f>
        <v/>
      </c>
      <c r="BC53" s="78"/>
      <c r="BD53" s="78"/>
      <c r="BE53" s="78"/>
    </row>
    <row r="54" spans="46:57" x14ac:dyDescent="0.25">
      <c r="AT54" s="30" t="str">
        <f>'Table Seed Map'!$A$27&amp;"-"&amp;COUNTA($AV$1:ListLayout[[#This Row],[No]])-2</f>
        <v>List Layout-52</v>
      </c>
      <c r="AU54" s="4" t="s">
        <v>2033</v>
      </c>
      <c r="AV54" s="30">
        <f>IF(ListLayout[[#This Row],[List Name for Layout]]="","id",COUNTA($AU$2:ListLayout[[#This Row],[List Name for Layout]])+IF(ISNUMBER(VLOOKUP('Table Seed Map'!$A$27,SeedMap[],9,0)),VLOOKUP('Table Seed Map'!$A$27,SeedMap[],9,0),0))</f>
        <v>325152</v>
      </c>
      <c r="AW54" s="30">
        <f>IFERROR(VLOOKUP(ListLayout[[#This Row],[List Name for Layout]],ResourceList[[ListDisplayName]:[No]],2,0),"resource_list")</f>
        <v>322116</v>
      </c>
      <c r="AX54" s="30" t="s">
        <v>1356</v>
      </c>
      <c r="AY54" s="78" t="s">
        <v>776</v>
      </c>
      <c r="AZ54" s="30" t="str">
        <f>IF(ListLayout[[#This Row],[List Name for Layout]]="","relation",IFERROR(VLOOKUP(ListLayout[[#This Row],[Relation]],RelationTable[[Display]:[RELID]],2,0),""))</f>
        <v/>
      </c>
      <c r="BA54" s="30" t="str">
        <f>IF(ListLayout[[#This Row],[List Name for Layout]]="","nest_relation1",IFERROR(VLOOKUP(ListLayout[[#This Row],[Relation 1]],RelationTable[[Display]:[RELID]],2,0),""))</f>
        <v/>
      </c>
      <c r="BB54" s="30" t="str">
        <f>IF(ListLayout[[#This Row],[List Name for Layout]]="","nest_relation2",IFERROR(VLOOKUP(ListLayout[[#This Row],[Relation 2]],RelationTable[[Display]:[RELID]],2,0),""))</f>
        <v/>
      </c>
      <c r="BC54" s="78"/>
      <c r="BD54" s="78"/>
      <c r="BE54" s="78"/>
    </row>
  </sheetData>
  <dataValidations count="4">
    <dataValidation type="list" allowBlank="1" showInputMessage="1" showErrorMessage="1" sqref="P2:S17 AO2:AR32 BC2:BE54">
      <formula1>Relations</formula1>
    </dataValidation>
    <dataValidation type="list" allowBlank="1" showInputMessage="1" showErrorMessage="1" sqref="AG2:AG32 M2:M17 AU2:AU54">
      <formula1>ListNames</formula1>
    </dataValidation>
    <dataValidation type="list" allowBlank="1" showInputMessage="1" showErrorMessage="1" sqref="O2:O17">
      <formula1>Scopes</formula1>
    </dataValidation>
    <dataValidation type="list" allowBlank="1" showInputMessage="1" showErrorMessage="1" sqref="B2:B18">
      <formula1>Resources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1"/>
  <sheetViews>
    <sheetView topLeftCell="Q13" workbookViewId="0">
      <selection activeCell="AQ12" sqref="AQ12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7" t="str">
        <f>'Table Seed Map'!$A$29&amp;"-"&amp;COUNTA($E$1:ResourceData[[#This Row],[Resource]])-2</f>
        <v>Resource Data-1</v>
      </c>
      <c r="B3" s="4" t="s">
        <v>1277</v>
      </c>
      <c r="C3" s="7" t="str">
        <f>ResourceData[[#This Row],[Resource Name]]&amp;"/"&amp;ResourceData[[#This Row],[Name]]</f>
        <v>Setting/SettingsView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305105</v>
      </c>
      <c r="F3" s="64" t="s">
        <v>1378</v>
      </c>
      <c r="G3" s="64" t="s">
        <v>1379</v>
      </c>
      <c r="H3" s="64" t="s">
        <v>23</v>
      </c>
      <c r="I3" s="88"/>
      <c r="J3" s="63">
        <f>ResourceData[No]</f>
        <v>327101</v>
      </c>
      <c r="L3" s="2" t="s">
        <v>1478</v>
      </c>
      <c r="M3" s="9">
        <f>VLOOKUP(DataExtra[[#This Row],[Data Name]],ResourceData[[DataDisplayName]:[No]],2,0)</f>
        <v>327102</v>
      </c>
      <c r="N3" s="2"/>
      <c r="O3" s="2" t="s">
        <v>1404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327102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327102</v>
      </c>
      <c r="Z3" s="16">
        <f>IFERROR(VLOOKUP(DataExtra[[#This Row],[Relation Name]],RelationTable[[Display]:[RELID]],2,0),IF(DataExtra[[#This Row],[DID]]=0,"relation",""))</f>
        <v>308111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1380</v>
      </c>
      <c r="AG3" s="7" t="str">
        <f>DataViewSection[[#This Row],[Data Name for Layout]]&amp;"/"&amp;COUNTIF($AI$1:DataViewSection[[#This Row],[Data ID]],DataViewSection[[#This Row],[Data ID]])</f>
        <v>Setting/SettingsView/1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 t="s">
        <v>1381</v>
      </c>
      <c r="AK3" s="60"/>
      <c r="AL3" s="60" t="str">
        <f>IFERROR(VLOOKUP(DataViewSection[[#This Row],[Relation]],RelationTable[[Display]:[RELID]],2,0),"")</f>
        <v/>
      </c>
      <c r="AM3" s="64">
        <v>4</v>
      </c>
      <c r="AN3" s="64"/>
      <c r="AP3" s="60" t="str">
        <f>'Table Seed Map'!$A$33&amp;"-"&amp;-1+COUNTA($AQ$1:DataViewSectionItem[[#This Row],[Data Section for Items]])</f>
        <v>Data View Section Items-1</v>
      </c>
      <c r="AQ3" s="4" t="s">
        <v>1382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4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4"/>
    </row>
    <row r="4" spans="1:49" x14ac:dyDescent="0.25">
      <c r="A4" s="9" t="str">
        <f>'Table Seed Map'!$A$29&amp;"-"&amp;COUNTA($E$1:ResourceData[[#This Row],[Resource]])-2</f>
        <v>Resource Data-2</v>
      </c>
      <c r="B4" s="4" t="s">
        <v>1286</v>
      </c>
      <c r="C4" s="9" t="str">
        <f>ResourceData[[#This Row],[Resource Name]]&amp;"/"&amp;ResourceData[[#This Row],[Name]]</f>
        <v>UserSetting/UserSettingsView</v>
      </c>
      <c r="D4" s="16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16">
        <f>IFERROR(VLOOKUP(ResourceData[[#This Row],[Resource Name]],ResourceTable[[RName]:[No]],3,0),"resource")</f>
        <v>305117</v>
      </c>
      <c r="F4" s="14" t="s">
        <v>1476</v>
      </c>
      <c r="G4" s="14" t="s">
        <v>1477</v>
      </c>
      <c r="H4" s="14" t="s">
        <v>1446</v>
      </c>
      <c r="I4" s="105"/>
      <c r="J4" s="106">
        <f>ResourceData[No]</f>
        <v>327102</v>
      </c>
      <c r="L4" s="2" t="s">
        <v>1478</v>
      </c>
      <c r="M4" s="9">
        <f>VLOOKUP(DataExtra[[#This Row],[Data Name]],ResourceData[[DataDisplayName]:[No]],2,0)</f>
        <v>327102</v>
      </c>
      <c r="N4" s="2"/>
      <c r="O4" s="2" t="s">
        <v>1403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327102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327102</v>
      </c>
      <c r="Z4" s="16">
        <f>IFERROR(VLOOKUP(DataExtra[[#This Row],[Relation Name]],RelationTable[[Display]:[RELID]],2,0),IF(DataExtra[[#This Row],[DID]]=0,"relation",""))</f>
        <v>308109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1380</v>
      </c>
      <c r="AG4" s="7" t="str">
        <f>DataViewSection[[#This Row],[Data Name for Layout]]&amp;"/"&amp;COUNTIF($AI$1:DataViewSection[[#This Row],[Data ID]],DataViewSection[[#This Row],[Data ID]])</f>
        <v>Setting/SettingsView/2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327101</v>
      </c>
      <c r="AJ4" s="60" t="s">
        <v>98</v>
      </c>
      <c r="AK4" s="60"/>
      <c r="AL4" s="60" t="str">
        <f>IFERROR(VLOOKUP(DataViewSection[[#This Row],[Relation]],RelationTable[[Display]:[RELID]],2,0),"")</f>
        <v/>
      </c>
      <c r="AM4" s="64">
        <v>12</v>
      </c>
      <c r="AN4" s="64"/>
      <c r="AP4" s="60" t="str">
        <f>'Table Seed Map'!$A$33&amp;"-"&amp;-1+COUNTA($AQ$1:DataViewSectionItem[[#This Row],[Data Section for Items]])</f>
        <v>Data View Section Items-2</v>
      </c>
      <c r="AQ4" s="4" t="s">
        <v>1382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1374</v>
      </c>
      <c r="AU4" s="64" t="s">
        <v>44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4"/>
    </row>
    <row r="5" spans="1:49" x14ac:dyDescent="0.25">
      <c r="A5" s="7" t="str">
        <f>'Table Seed Map'!$A$29&amp;"-"&amp;COUNTA($E$1:ResourceData[[#This Row],[Resource]])-2</f>
        <v>Resource Data-3</v>
      </c>
      <c r="B5" s="4" t="s">
        <v>1287</v>
      </c>
      <c r="C5" s="7" t="str">
        <f>ResourceData[[#This Row],[Resource Name]]&amp;"/"&amp;ResourceData[[#This Row],[Name]]</f>
        <v>UserStoreArea/UserStoreAreaView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305118</v>
      </c>
      <c r="F5" s="64" t="s">
        <v>1513</v>
      </c>
      <c r="G5" s="64" t="s">
        <v>1514</v>
      </c>
      <c r="H5" s="14" t="s">
        <v>1446</v>
      </c>
      <c r="I5" s="88"/>
      <c r="J5" s="63">
        <f>ResourceData[No]</f>
        <v>327103</v>
      </c>
      <c r="L5" s="2" t="s">
        <v>1515</v>
      </c>
      <c r="M5" s="7">
        <f>VLOOKUP(DataExtra[[#This Row],[Data Name]],ResourceData[[DataDisplayName]:[No]],2,0)</f>
        <v>327103</v>
      </c>
      <c r="N5" s="4"/>
      <c r="O5" s="2" t="s">
        <v>1498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327103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327103</v>
      </c>
      <c r="Z5" s="60">
        <f>IFERROR(VLOOKUP(DataExtra[[#This Row],[Relation Name]],RelationTable[[Display]:[RELID]],2,0),IF(DataExtra[[#This Row],[DID]]=0,"relation",""))</f>
        <v>308113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16" t="str">
        <f>'Table Seed Map'!$A$32&amp;"-"&amp;COUNTA($AF$1:DataViewSection[[#This Row],[Data Name for Layout]])-1</f>
        <v>Data View Section-3</v>
      </c>
      <c r="AF5" s="4" t="s">
        <v>1478</v>
      </c>
      <c r="AG5" s="9" t="str">
        <f>DataViewSection[[#This Row],[Data Name for Layout]]&amp;"/"&amp;COUNTIF($AI$1:DataViewSection[[#This Row],[Data ID]],DataViewSection[[#This Row],[Data ID]])</f>
        <v>UserSetting/UserSettingsView/1</v>
      </c>
      <c r="AH5" s="16">
        <f>IF(DataViewSection[[#This Row],[Data Name for Layout]]="","id",-1+COUNTA($AF$1:DataViewSection[[#This Row],[Data Name for Layout]])+VLOOKUP('Table Seed Map'!$A$32,SeedMap[],9,0))</f>
        <v>330103</v>
      </c>
      <c r="AI5" s="16">
        <f>IFERROR(VLOOKUP(DataViewSection[[#This Row],[Data Name for Layout]],ResourceData[[DataDisplayName]:[No]],2,0),"resource_data")</f>
        <v>327102</v>
      </c>
      <c r="AJ5" s="16" t="s">
        <v>1479</v>
      </c>
      <c r="AK5" s="16"/>
      <c r="AL5" s="16" t="str">
        <f>IFERROR(VLOOKUP(DataViewSection[[#This Row],[Relation]],RelationTable[[Display]:[RELID]],2,0),"")</f>
        <v/>
      </c>
      <c r="AM5" s="14">
        <v>12</v>
      </c>
      <c r="AN5" s="14"/>
      <c r="AP5" s="60" t="str">
        <f>'Table Seed Map'!$A$33&amp;"-"&amp;-1+COUNTA($AQ$1:DataViewSectionItem[[#This Row],[Data Section for Items]])</f>
        <v>Data View Section Items-3</v>
      </c>
      <c r="AQ5" s="4" t="s">
        <v>1382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330101</v>
      </c>
      <c r="AT5" s="60" t="s">
        <v>1356</v>
      </c>
      <c r="AU5" s="64" t="s">
        <v>776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4"/>
    </row>
    <row r="6" spans="1:49" x14ac:dyDescent="0.25">
      <c r="A6" s="8" t="str">
        <f>'Table Seed Map'!$A$29&amp;"-"&amp;COUNTA($E$1:ResourceData[[#This Row],[Resource]])-2</f>
        <v>Resource Data-4</v>
      </c>
      <c r="B6" s="4" t="s">
        <v>1714</v>
      </c>
      <c r="C6" s="8" t="str">
        <f>ResourceData[[#This Row],[Resource Name]]&amp;"/"&amp;ResourceData[[#This Row],[Name]]</f>
        <v>ProductImage/ProductImageView</v>
      </c>
      <c r="D6" s="30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30">
        <f>IFERROR(VLOOKUP(ResourceData[[#This Row],[Resource Name]],ResourceTable[[RName]:[No]],3,0),"resource")</f>
        <v>305110</v>
      </c>
      <c r="F6" s="78" t="s">
        <v>1732</v>
      </c>
      <c r="G6" s="78" t="s">
        <v>1733</v>
      </c>
      <c r="H6" s="78" t="s">
        <v>1734</v>
      </c>
      <c r="I6" s="117"/>
      <c r="J6" s="116">
        <f>ResourceData[No]</f>
        <v>327104</v>
      </c>
      <c r="L6" s="2" t="s">
        <v>1515</v>
      </c>
      <c r="M6" s="7">
        <f>VLOOKUP(DataExtra[[#This Row],[Data Name]],ResourceData[[DataDisplayName]:[No]],2,0)</f>
        <v>327103</v>
      </c>
      <c r="N6" s="4"/>
      <c r="O6" s="2" t="s">
        <v>1499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327103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327103</v>
      </c>
      <c r="Z6" s="60">
        <f>IFERROR(VLOOKUP(DataExtra[[#This Row],[Relation Name]],RelationTable[[Display]:[RELID]],2,0),IF(DataExtra[[#This Row],[DID]]=0,"relation",""))</f>
        <v>308114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1515</v>
      </c>
      <c r="AG6" s="7" t="str">
        <f>DataViewSection[[#This Row],[Data Name for Layout]]&amp;"/"&amp;COUNTIF($AI$1:DataViewSection[[#This Row],[Data ID]],DataViewSection[[#This Row],[Data ID]])</f>
        <v>UserStoreArea/UserStoreAreaView/1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1348</v>
      </c>
      <c r="AK6" s="60"/>
      <c r="AL6" s="60" t="str">
        <f>IFERROR(VLOOKUP(DataViewSection[[#This Row],[Relation]],RelationTable[[Display]:[RELID]],2,0),"")</f>
        <v/>
      </c>
      <c r="AM6" s="64">
        <v>12</v>
      </c>
      <c r="AN6" s="64"/>
      <c r="AP6" s="60" t="str">
        <f>'Table Seed Map'!$A$33&amp;"-"&amp;-1+COUNTA($AQ$1:DataViewSectionItem[[#This Row],[Data Section for Items]])</f>
        <v>Data View Section Items-4</v>
      </c>
      <c r="AQ6" s="4" t="s">
        <v>1383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16" t="s">
        <v>1348</v>
      </c>
      <c r="AU6" s="64" t="s">
        <v>24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4"/>
    </row>
    <row r="7" spans="1:49" x14ac:dyDescent="0.25">
      <c r="A7" s="8" t="str">
        <f>'Table Seed Map'!$A$29&amp;"-"&amp;COUNTA($E$1:ResourceData[[#This Row],[Resource]])-2</f>
        <v>Resource Data-5</v>
      </c>
      <c r="B7" s="4" t="s">
        <v>1633</v>
      </c>
      <c r="C7" s="8" t="str">
        <f>ResourceData[[#This Row],[Resource Name]]&amp;"/"&amp;ResourceData[[#This Row],[Name]]</f>
        <v>FnReserve/ReserveView</v>
      </c>
      <c r="D7" s="3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30">
        <f>IFERROR(VLOOKUP(ResourceData[[#This Row],[Resource Name]],ResourceTable[[RName]:[No]],3,0),"resource")</f>
        <v>305127</v>
      </c>
      <c r="F7" s="78" t="s">
        <v>1764</v>
      </c>
      <c r="G7" s="78" t="s">
        <v>1765</v>
      </c>
      <c r="H7" s="78" t="s">
        <v>768</v>
      </c>
      <c r="I7" s="117"/>
      <c r="J7" s="116">
        <f>ResourceData[No]</f>
        <v>327105</v>
      </c>
      <c r="L7" s="2" t="s">
        <v>1515</v>
      </c>
      <c r="M7" s="7">
        <f>VLOOKUP(DataExtra[[#This Row],[Data Name]],ResourceData[[DataDisplayName]:[No]],2,0)</f>
        <v>327103</v>
      </c>
      <c r="N7" s="4"/>
      <c r="O7" s="2" t="s">
        <v>1500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327103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327103</v>
      </c>
      <c r="Z7" s="60">
        <f>IFERROR(VLOOKUP(DataExtra[[#This Row],[Relation Name]],RelationTable[[Display]:[RELID]],2,0),IF(DataExtra[[#This Row],[DID]]=0,"relation",""))</f>
        <v>308115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30" t="str">
        <f>'Table Seed Map'!$A$32&amp;"-"&amp;COUNTA($AF$1:DataViewSection[[#This Row],[Data Name for Layout]])-1</f>
        <v>Data View Section-5</v>
      </c>
      <c r="AF7" s="4" t="s">
        <v>1735</v>
      </c>
      <c r="AG7" s="8" t="str">
        <f>DataViewSection[[#This Row],[Data Name for Layout]]&amp;"/"&amp;COUNTIF($AI$1:DataViewSection[[#This Row],[Data ID]],DataViewSection[[#This Row],[Data ID]])</f>
        <v>ProductImage/ProductImageView/1</v>
      </c>
      <c r="AH7" s="30">
        <f>IF(DataViewSection[[#This Row],[Data Name for Layout]]="","id",-1+COUNTA($AF$1:DataViewSection[[#This Row],[Data Name for Layout]])+VLOOKUP('Table Seed Map'!$A$32,SeedMap[],9,0))</f>
        <v>330105</v>
      </c>
      <c r="AI7" s="30">
        <f>IFERROR(VLOOKUP(DataViewSection[[#This Row],[Data Name for Layout]],ResourceData[[DataDisplayName]:[No]],2,0),"resource_data")</f>
        <v>327104</v>
      </c>
      <c r="AJ7" s="30"/>
      <c r="AK7" s="30" t="s">
        <v>1734</v>
      </c>
      <c r="AL7" s="30" t="str">
        <f>IFERROR(VLOOKUP(DataViewSection[[#This Row],[Relation]],RelationTable[[Display]:[RELID]],2,0),"")</f>
        <v/>
      </c>
      <c r="AM7" s="78">
        <v>12</v>
      </c>
      <c r="AN7" s="78"/>
      <c r="AP7" s="16" t="str">
        <f>'Table Seed Map'!$A$33&amp;"-"&amp;-1+COUNTA($AQ$1:DataViewSectionItem[[#This Row],[Data Section for Items]])</f>
        <v>Data View Section Items-5</v>
      </c>
      <c r="AQ7" s="4" t="s">
        <v>1480</v>
      </c>
      <c r="AR7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16">
        <f>IF(DataViewSectionItem[[#This Row],[Data Section for Items]]="","section",VLOOKUP(DataViewSectionItem[[#This Row],[Data Section for Items]],DataViewSection[[DataSectionDisplayName]:[No]],2,0))</f>
        <v>330103</v>
      </c>
      <c r="AT7" s="16" t="s">
        <v>74</v>
      </c>
      <c r="AU7" s="14" t="s">
        <v>23</v>
      </c>
      <c r="AV7" s="16">
        <f>IF(DataViewSectionItem[[#This Row],[Data Section for Items]]="","relation",IFERROR(VLOOKUP(DataViewSectionItem[[#This Row],[Relation]],RelationTable[[Display]:[RELID]],2,0),""))</f>
        <v>308111</v>
      </c>
      <c r="AW7" s="14" t="s">
        <v>1404</v>
      </c>
    </row>
    <row r="8" spans="1:49" x14ac:dyDescent="0.25">
      <c r="A8" s="8" t="str">
        <f>'Table Seed Map'!$A$29&amp;"-"&amp;COUNTA($E$1:ResourceData[[#This Row],[Resource]])-2</f>
        <v>Resource Data-6</v>
      </c>
      <c r="B8" s="4" t="s">
        <v>115</v>
      </c>
      <c r="C8" s="8" t="str">
        <f>ResourceData[[#This Row],[Resource Name]]&amp;"/"&amp;ResourceData[[#This Row],[Name]]</f>
        <v>Menu/MenuView</v>
      </c>
      <c r="D8" s="30">
        <f>IF(COUNTA($E$1:ResourceData[[#This Row],[Resource]])=2,"id",-2+COUNTA($E$1:ResourceData[[#This Row],[Resource]])+IF(ISNUMBER(VLOOKUP('Table Seed Map'!$A$29,SeedMap[],9,0)),VLOOKUP('Table Seed Map'!$A$29,SeedMap[],9,0),0))</f>
        <v>327106</v>
      </c>
      <c r="E8" s="30">
        <f>IFERROR(VLOOKUP(ResourceData[[#This Row],[Resource Name]],ResourceTable[[RName]:[No]],3,0),"resource")</f>
        <v>305104</v>
      </c>
      <c r="F8" s="78" t="s">
        <v>1918</v>
      </c>
      <c r="G8" s="78" t="s">
        <v>1919</v>
      </c>
      <c r="H8" s="78" t="s">
        <v>23</v>
      </c>
      <c r="I8" s="117"/>
      <c r="J8" s="116">
        <f>ResourceData[No]</f>
        <v>327106</v>
      </c>
      <c r="L8" s="4" t="s">
        <v>1735</v>
      </c>
      <c r="M8" s="8">
        <f>VLOOKUP(DataExtra[[#This Row],[Data Name]],ResourceData[[DataDisplayName]:[No]],2,0)</f>
        <v>327104</v>
      </c>
      <c r="N8" s="5"/>
      <c r="O8" s="2" t="s">
        <v>1738</v>
      </c>
      <c r="P8" s="5"/>
      <c r="Q8" s="5"/>
      <c r="R8" s="5"/>
      <c r="S8" s="8" t="str">
        <f>'Table Seed Map'!$A$30&amp;"-"&amp;COUNT($V$1:DataExtra[[#This Row],[Scope ID]])</f>
        <v>Data Scopes-0</v>
      </c>
      <c r="T8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8" s="30">
        <f>IF(DataExtra[[#This Row],[DID]]=0,"resource_data",DataExtra[[#This Row],[DID]])</f>
        <v>327104</v>
      </c>
      <c r="V8" s="30" t="str">
        <f>IFERROR(VLOOKUP(DataExtra[[#This Row],[Scope Name]],ResourceScopes[[ScopesDisplayNames]:[No]],2,0),IF(DataExtra[[#This Row],[DID]]=0,"scope",""))</f>
        <v/>
      </c>
      <c r="W8" s="8" t="str">
        <f>'Table Seed Map'!$A$31&amp;"-"&amp;COUNT($Z$1:DataExtra[[#This Row],[Relation]])</f>
        <v>Data Relations-6</v>
      </c>
      <c r="X8" s="30">
        <f>IF(DataExtra[[#This Row],[DID]]=0,"id",IF(DataExtra[[#This Row],[Relation]]="","",COUNT($Z$2:DataExtra[[#This Row],[Relation]])+IF(ISNUMBER(VLOOKUP('Table Seed Map'!$A$31,SeedMap[],9,0)),VLOOKUP('Table Seed Map'!$A$31,SeedMap[],9,0),0)))</f>
        <v>329106</v>
      </c>
      <c r="Y8" s="30">
        <f>IF(DataExtra[[#This Row],[DID]]=0,"resource_data",DataExtra[[#This Row],[DID]])</f>
        <v>327104</v>
      </c>
      <c r="Z8" s="30">
        <f>IFERROR(VLOOKUP(DataExtra[[#This Row],[Relation Name]],RelationTable[[Display]:[RELID]],2,0),IF(DataExtra[[#This Row],[DID]]=0,"relation",""))</f>
        <v>308133</v>
      </c>
      <c r="AA8" s="30" t="str">
        <f>IFERROR(VLOOKUP(DataExtra[[#This Row],[R1 Name]],RelationTable[[Display]:[RELID]],2,0),IF(DataExtra[[#This Row],[DID]]=0,"nest_relation1",""))</f>
        <v/>
      </c>
      <c r="AB8" s="30" t="str">
        <f>IFERROR(VLOOKUP(DataExtra[[#This Row],[R2 Name]],RelationTable[[Display]:[RELID]],2,0),IF(DataExtra[[#This Row],[DID]]=0,"nest_relation2",""))</f>
        <v/>
      </c>
      <c r="AC8" s="30" t="str">
        <f>IFERROR(VLOOKUP(DataExtra[[#This Row],[R3 Name]],RelationTable[[Display]:[RELID]],2,0),IF(DataExtra[[#This Row],[DID]]=0,"nest_relation3",""))</f>
        <v/>
      </c>
      <c r="AE8" s="30" t="str">
        <f>'Table Seed Map'!$A$32&amp;"-"&amp;COUNTA($AF$1:DataViewSection[[#This Row],[Data Name for Layout]])-1</f>
        <v>Data View Section-6</v>
      </c>
      <c r="AF8" s="4" t="s">
        <v>1766</v>
      </c>
      <c r="AG8" s="8" t="str">
        <f>DataViewSection[[#This Row],[Data Name for Layout]]&amp;"/"&amp;COUNTIF($AI$1:DataViewSection[[#This Row],[Data ID]],DataViewSection[[#This Row],[Data ID]])</f>
        <v>FnReserve/ReserveView/1</v>
      </c>
      <c r="AH8" s="30">
        <f>IF(DataViewSection[[#This Row],[Data Name for Layout]]="","id",-1+COUNTA($AF$1:DataViewSection[[#This Row],[Data Name for Layout]])+VLOOKUP('Table Seed Map'!$A$32,SeedMap[],9,0))</f>
        <v>330106</v>
      </c>
      <c r="AI8" s="30">
        <f>IFERROR(VLOOKUP(DataViewSection[[#This Row],[Data Name for Layout]],ResourceData[[DataDisplayName]:[No]],2,0),"resource_data")</f>
        <v>327105</v>
      </c>
      <c r="AJ8" s="30"/>
      <c r="AK8" s="30"/>
      <c r="AL8" s="30" t="str">
        <f>IFERROR(VLOOKUP(DataViewSection[[#This Row],[Relation]],RelationTable[[Display]:[RELID]],2,0),"")</f>
        <v/>
      </c>
      <c r="AM8" s="78">
        <v>9</v>
      </c>
      <c r="AN8" s="78"/>
      <c r="AP8" s="16" t="str">
        <f>'Table Seed Map'!$A$33&amp;"-"&amp;-1+COUNTA($AQ$1:DataViewSectionItem[[#This Row],[Data Section for Items]])</f>
        <v>Data View Section Items-6</v>
      </c>
      <c r="AQ8" s="4" t="s">
        <v>1480</v>
      </c>
      <c r="AR8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16">
        <f>IF(DataViewSectionItem[[#This Row],[Data Section for Items]]="","section",VLOOKUP(DataViewSectionItem[[#This Row],[Data Section for Items]],DataViewSection[[DataSectionDisplayName]:[No]],2,0))</f>
        <v>330103</v>
      </c>
      <c r="AT8" s="16" t="s">
        <v>1481</v>
      </c>
      <c r="AU8" s="14" t="s">
        <v>23</v>
      </c>
      <c r="AV8" s="16">
        <f>IF(DataViewSectionItem[[#This Row],[Data Section for Items]]="","relation",IFERROR(VLOOKUP(DataViewSectionItem[[#This Row],[Relation]],RelationTable[[Display]:[RELID]],2,0),""))</f>
        <v>308109</v>
      </c>
      <c r="AW8" s="14" t="s">
        <v>1403</v>
      </c>
    </row>
    <row r="9" spans="1:49" x14ac:dyDescent="0.25">
      <c r="A9" s="8" t="str">
        <f>'Table Seed Map'!$A$29&amp;"-"&amp;COUNTA($E$1:ResourceData[[#This Row],[Resource]])-2</f>
        <v>Resource Data-7</v>
      </c>
      <c r="B9" s="4" t="s">
        <v>2001</v>
      </c>
      <c r="C9" s="8" t="str">
        <f>ResourceData[[#This Row],[Resource Name]]&amp;"/"&amp;ResourceData[[#This Row],[Name]]</f>
        <v>Printing/PrintView</v>
      </c>
      <c r="D9" s="30">
        <f>IF(COUNTA($E$1:ResourceData[[#This Row],[Resource]])=2,"id",-2+COUNTA($E$1:ResourceData[[#This Row],[Resource]])+IF(ISNUMBER(VLOOKUP('Table Seed Map'!$A$29,SeedMap[],9,0)),VLOOKUP('Table Seed Map'!$A$29,SeedMap[],9,0),0))</f>
        <v>327107</v>
      </c>
      <c r="E9" s="30">
        <f>IFERROR(VLOOKUP(ResourceData[[#This Row],[Resource Name]],ResourceTable[[RName]:[No]],3,0),"resource")</f>
        <v>305129</v>
      </c>
      <c r="F9" s="78" t="s">
        <v>2034</v>
      </c>
      <c r="G9" s="78" t="s">
        <v>2035</v>
      </c>
      <c r="H9" s="78" t="s">
        <v>23</v>
      </c>
      <c r="I9" s="117"/>
      <c r="J9" s="116">
        <f>ResourceData[No]</f>
        <v>327107</v>
      </c>
      <c r="L9" s="4" t="s">
        <v>1766</v>
      </c>
      <c r="M9" s="8">
        <f>VLOOKUP(DataExtra[[#This Row],[Data Name]],ResourceData[[DataDisplayName]:[No]],2,0)</f>
        <v>327105</v>
      </c>
      <c r="N9" s="5"/>
      <c r="O9" s="2" t="s">
        <v>1776</v>
      </c>
      <c r="P9" s="5"/>
      <c r="Q9" s="5"/>
      <c r="R9" s="5"/>
      <c r="S9" s="8" t="str">
        <f>'Table Seed Map'!$A$30&amp;"-"&amp;COUNT($V$1:DataExtra[[#This Row],[Scope ID]])</f>
        <v>Data Scopes-0</v>
      </c>
      <c r="T9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9" s="30">
        <f>IF(DataExtra[[#This Row],[DID]]=0,"resource_data",DataExtra[[#This Row],[DID]])</f>
        <v>327105</v>
      </c>
      <c r="V9" s="30" t="str">
        <f>IFERROR(VLOOKUP(DataExtra[[#This Row],[Scope Name]],ResourceScopes[[ScopesDisplayNames]:[No]],2,0),IF(DataExtra[[#This Row],[DID]]=0,"scope",""))</f>
        <v/>
      </c>
      <c r="W9" s="8" t="str">
        <f>'Table Seed Map'!$A$31&amp;"-"&amp;COUNT($Z$1:DataExtra[[#This Row],[Relation]])</f>
        <v>Data Relations-7</v>
      </c>
      <c r="X9" s="30">
        <f>IF(DataExtra[[#This Row],[DID]]=0,"id",IF(DataExtra[[#This Row],[Relation]]="","",COUNT($Z$2:DataExtra[[#This Row],[Relation]])+IF(ISNUMBER(VLOOKUP('Table Seed Map'!$A$31,SeedMap[],9,0)),VLOOKUP('Table Seed Map'!$A$31,SeedMap[],9,0),0)))</f>
        <v>329107</v>
      </c>
      <c r="Y9" s="30">
        <f>IF(DataExtra[[#This Row],[DID]]=0,"resource_data",DataExtra[[#This Row],[DID]])</f>
        <v>327105</v>
      </c>
      <c r="Z9" s="30">
        <f>IFERROR(VLOOKUP(DataExtra[[#This Row],[Relation Name]],RelationTable[[Display]:[RELID]],2,0),IF(DataExtra[[#This Row],[DID]]=0,"relation",""))</f>
        <v>308134</v>
      </c>
      <c r="AA9" s="30" t="str">
        <f>IFERROR(VLOOKUP(DataExtra[[#This Row],[R1 Name]],RelationTable[[Display]:[RELID]],2,0),IF(DataExtra[[#This Row],[DID]]=0,"nest_relation1",""))</f>
        <v/>
      </c>
      <c r="AB9" s="30" t="str">
        <f>IFERROR(VLOOKUP(DataExtra[[#This Row],[R2 Name]],RelationTable[[Display]:[RELID]],2,0),IF(DataExtra[[#This Row],[DID]]=0,"nest_relation2",""))</f>
        <v/>
      </c>
      <c r="AC9" s="30" t="str">
        <f>IFERROR(VLOOKUP(DataExtra[[#This Row],[R3 Name]],RelationTable[[Display]:[RELID]],2,0),IF(DataExtra[[#This Row],[DID]]=0,"nest_relation3",""))</f>
        <v/>
      </c>
      <c r="AE9" s="30" t="str">
        <f>'Table Seed Map'!$A$32&amp;"-"&amp;COUNTA($AF$1:DataViewSection[[#This Row],[Data Name for Layout]])-1</f>
        <v>Data View Section-7</v>
      </c>
      <c r="AF9" s="4" t="s">
        <v>1766</v>
      </c>
      <c r="AG9" s="8" t="str">
        <f>DataViewSection[[#This Row],[Data Name for Layout]]&amp;"/"&amp;COUNTIF($AI$1:DataViewSection[[#This Row],[Data ID]],DataViewSection[[#This Row],[Data ID]])</f>
        <v>FnReserve/ReserveView/2</v>
      </c>
      <c r="AH9" s="30">
        <f>IF(DataViewSection[[#This Row],[Data Name for Layout]]="","id",-1+COUNTA($AF$1:DataViewSection[[#This Row],[Data Name for Layout]])+VLOOKUP('Table Seed Map'!$A$32,SeedMap[],9,0))</f>
        <v>330107</v>
      </c>
      <c r="AI9" s="30">
        <f>IFERROR(VLOOKUP(DataViewSection[[#This Row],[Data Name for Layout]],ResourceData[[DataDisplayName]:[No]],2,0),"resource_data")</f>
        <v>327105</v>
      </c>
      <c r="AJ9" s="30" t="s">
        <v>1768</v>
      </c>
      <c r="AK9" s="30"/>
      <c r="AL9" s="30" t="str">
        <f>IFERROR(VLOOKUP(DataViewSection[[#This Row],[Relation]],RelationTable[[Display]:[RELID]],2,0),"")</f>
        <v/>
      </c>
      <c r="AM9" s="78">
        <v>3</v>
      </c>
      <c r="AN9" s="78"/>
      <c r="AP9" s="16" t="str">
        <f>'Table Seed Map'!$A$33&amp;"-"&amp;-1+COUNTA($AQ$1:DataViewSectionItem[[#This Row],[Data Section for Items]])</f>
        <v>Data View Section Items-7</v>
      </c>
      <c r="AQ9" s="4" t="s">
        <v>1480</v>
      </c>
      <c r="AR9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16">
        <f>IF(DataViewSectionItem[[#This Row],[Data Section for Items]]="","section",VLOOKUP(DataViewSectionItem[[#This Row],[Data Section for Items]],DataViewSection[[DataSectionDisplayName]:[No]],2,0))</f>
        <v>330103</v>
      </c>
      <c r="AT9" s="16" t="s">
        <v>276</v>
      </c>
      <c r="AU9" s="14" t="s">
        <v>44</v>
      </c>
      <c r="AV9" s="16" t="str">
        <f>IF(DataViewSectionItem[[#This Row],[Data Section for Items]]="","relation",IFERROR(VLOOKUP(DataViewSectionItem[[#This Row],[Relation]],RelationTable[[Display]:[RELID]],2,0),""))</f>
        <v/>
      </c>
      <c r="AW9" s="14"/>
    </row>
    <row r="10" spans="1:49" x14ac:dyDescent="0.25">
      <c r="L10" s="4" t="s">
        <v>1766</v>
      </c>
      <c r="M10" s="8">
        <f>VLOOKUP(DataExtra[[#This Row],[Data Name]],ResourceData[[DataDisplayName]:[No]],2,0)</f>
        <v>327105</v>
      </c>
      <c r="N10" s="5"/>
      <c r="O10" s="4" t="s">
        <v>1777</v>
      </c>
      <c r="P10" s="5"/>
      <c r="Q10" s="5"/>
      <c r="R10" s="5"/>
      <c r="S10" s="8" t="str">
        <f>'Table Seed Map'!$A$30&amp;"-"&amp;COUNT($V$1:DataExtra[[#This Row],[Scope ID]])</f>
        <v>Data Scopes-0</v>
      </c>
      <c r="T10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0" s="30">
        <f>IF(DataExtra[[#This Row],[DID]]=0,"resource_data",DataExtra[[#This Row],[DID]])</f>
        <v>327105</v>
      </c>
      <c r="V10" s="30" t="str">
        <f>IFERROR(VLOOKUP(DataExtra[[#This Row],[Scope Name]],ResourceScopes[[ScopesDisplayNames]:[No]],2,0),IF(DataExtra[[#This Row],[DID]]=0,"scope",""))</f>
        <v/>
      </c>
      <c r="W10" s="8" t="str">
        <f>'Table Seed Map'!$A$31&amp;"-"&amp;COUNT($Z$1:DataExtra[[#This Row],[Relation]])</f>
        <v>Data Relations-8</v>
      </c>
      <c r="X10" s="30">
        <f>IF(DataExtra[[#This Row],[DID]]=0,"id",IF(DataExtra[[#This Row],[Relation]]="","",COUNT($Z$2:DataExtra[[#This Row],[Relation]])+IF(ISNUMBER(VLOOKUP('Table Seed Map'!$A$31,SeedMap[],9,0)),VLOOKUP('Table Seed Map'!$A$31,SeedMap[],9,0),0)))</f>
        <v>329108</v>
      </c>
      <c r="Y10" s="30">
        <f>IF(DataExtra[[#This Row],[DID]]=0,"resource_data",DataExtra[[#This Row],[DID]])</f>
        <v>327105</v>
      </c>
      <c r="Z10" s="30">
        <f>IFERROR(VLOOKUP(DataExtra[[#This Row],[Relation Name]],RelationTable[[Display]:[RELID]],2,0),IF(DataExtra[[#This Row],[DID]]=0,"relation",""))</f>
        <v>308135</v>
      </c>
      <c r="AA10" s="30" t="str">
        <f>IFERROR(VLOOKUP(DataExtra[[#This Row],[R1 Name]],RelationTable[[Display]:[RELID]],2,0),IF(DataExtra[[#This Row],[DID]]=0,"nest_relation1",""))</f>
        <v/>
      </c>
      <c r="AB10" s="30" t="str">
        <f>IFERROR(VLOOKUP(DataExtra[[#This Row],[R2 Name]],RelationTable[[Display]:[RELID]],2,0),IF(DataExtra[[#This Row],[DID]]=0,"nest_relation2",""))</f>
        <v/>
      </c>
      <c r="AC10" s="30" t="str">
        <f>IFERROR(VLOOKUP(DataExtra[[#This Row],[R3 Name]],RelationTable[[Display]:[RELID]],2,0),IF(DataExtra[[#This Row],[DID]]=0,"nest_relation3",""))</f>
        <v/>
      </c>
      <c r="AE10" s="30" t="str">
        <f>'Table Seed Map'!$A$32&amp;"-"&amp;COUNTA($AF$1:DataViewSection[[#This Row],[Data Name for Layout]])-1</f>
        <v>Data View Section-8</v>
      </c>
      <c r="AF10" s="4" t="s">
        <v>1920</v>
      </c>
      <c r="AG10" s="8" t="str">
        <f>DataViewSection[[#This Row],[Data Name for Layout]]&amp;"/"&amp;COUNTIF($AI$1:DataViewSection[[#This Row],[Data ID]],DataViewSection[[#This Row],[Data ID]])</f>
        <v>Menu/MenuView/1</v>
      </c>
      <c r="AH10" s="30">
        <f>IF(DataViewSection[[#This Row],[Data Name for Layout]]="","id",-1+COUNTA($AF$1:DataViewSection[[#This Row],[Data Name for Layout]])+VLOOKUP('Table Seed Map'!$A$32,SeedMap[],9,0))</f>
        <v>330108</v>
      </c>
      <c r="AI10" s="30">
        <f>IFERROR(VLOOKUP(DataViewSection[[#This Row],[Data Name for Layout]],ResourceData[[DataDisplayName]:[No]],2,0),"resource_data")</f>
        <v>327106</v>
      </c>
      <c r="AJ10" s="30"/>
      <c r="AK10" s="30" t="s">
        <v>858</v>
      </c>
      <c r="AL10" s="30" t="str">
        <f>IFERROR(VLOOKUP(DataViewSection[[#This Row],[Relation]],RelationTable[[Display]:[RELID]],2,0),"")</f>
        <v/>
      </c>
      <c r="AM10" s="78">
        <v>12</v>
      </c>
      <c r="AN10" s="78"/>
      <c r="AP10" s="16" t="str">
        <f>'Table Seed Map'!$A$33&amp;"-"&amp;-1+COUNTA($AQ$1:DataViewSectionItem[[#This Row],[Data Section for Items]])</f>
        <v>Data View Section Items-8</v>
      </c>
      <c r="AQ10" s="4" t="s">
        <v>1480</v>
      </c>
      <c r="AR10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16">
        <f>IF(DataViewSectionItem[[#This Row],[Data Section for Items]]="","section",VLOOKUP(DataViewSectionItem[[#This Row],[Data Section for Items]],DataViewSection[[DataSectionDisplayName]:[No]],2,0))</f>
        <v>330103</v>
      </c>
      <c r="AT10" s="16" t="s">
        <v>1356</v>
      </c>
      <c r="AU10" s="14" t="s">
        <v>776</v>
      </c>
      <c r="AV10" s="16" t="str">
        <f>IF(DataViewSectionItem[[#This Row],[Data Section for Items]]="","relation",IFERROR(VLOOKUP(DataViewSectionItem[[#This Row],[Relation]],RelationTable[[Display]:[RELID]],2,0),""))</f>
        <v/>
      </c>
      <c r="AW10" s="14"/>
    </row>
    <row r="11" spans="1:49" x14ac:dyDescent="0.25">
      <c r="AE11" s="30" t="str">
        <f>'Table Seed Map'!$A$32&amp;"-"&amp;COUNTA($AF$1:DataViewSection[[#This Row],[Data Name for Layout]])-1</f>
        <v>Data View Section-9</v>
      </c>
      <c r="AF11" s="4" t="s">
        <v>2036</v>
      </c>
      <c r="AG11" s="8" t="str">
        <f>DataViewSection[[#This Row],[Data Name for Layout]]&amp;"/"&amp;COUNTIF($AI$1:DataViewSection[[#This Row],[Data ID]],DataViewSection[[#This Row],[Data ID]])</f>
        <v>Printing/PrintView/1</v>
      </c>
      <c r="AH11" s="30">
        <f>IF(DataViewSection[[#This Row],[Data Name for Layout]]="","id",-1+COUNTA($AF$1:DataViewSection[[#This Row],[Data Name for Layout]])+VLOOKUP('Table Seed Map'!$A$32,SeedMap[],9,0))</f>
        <v>330109</v>
      </c>
      <c r="AI11" s="30">
        <f>IFERROR(VLOOKUP(DataViewSection[[#This Row],[Data Name for Layout]],ResourceData[[DataDisplayName]:[No]],2,0),"resource_data")</f>
        <v>327107</v>
      </c>
      <c r="AJ11" s="30"/>
      <c r="AK11" s="30" t="s">
        <v>23</v>
      </c>
      <c r="AL11" s="30" t="str">
        <f>IFERROR(VLOOKUP(DataViewSection[[#This Row],[Relation]],RelationTable[[Display]:[RELID]],2,0),"")</f>
        <v/>
      </c>
      <c r="AM11" s="78">
        <v>4</v>
      </c>
      <c r="AN11" s="78"/>
      <c r="AP11" s="60" t="str">
        <f>'Table Seed Map'!$A$33&amp;"-"&amp;-1+COUNTA($AQ$1:DataViewSectionItem[[#This Row],[Data Section for Items]])</f>
        <v>Data View Section Items-9</v>
      </c>
      <c r="AQ11" s="4" t="s">
        <v>1516</v>
      </c>
      <c r="AR11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60">
        <f>IF(DataViewSectionItem[[#This Row],[Data Section for Items]]="","section",VLOOKUP(DataViewSectionItem[[#This Row],[Data Section for Items]],DataViewSection[[DataSectionDisplayName]:[No]],2,0))</f>
        <v>330104</v>
      </c>
      <c r="AT11" s="60" t="s">
        <v>1501</v>
      </c>
      <c r="AU11" s="64" t="s">
        <v>23</v>
      </c>
      <c r="AV11" s="60">
        <f>IF(DataViewSectionItem[[#This Row],[Data Section for Items]]="","relation",IFERROR(VLOOKUP(DataViewSectionItem[[#This Row],[Relation]],RelationTable[[Display]:[RELID]],2,0),""))</f>
        <v>308115</v>
      </c>
      <c r="AW11" s="64" t="s">
        <v>1500</v>
      </c>
    </row>
    <row r="12" spans="1:49" x14ac:dyDescent="0.25">
      <c r="AE12" s="30" t="str">
        <f>'Table Seed Map'!$A$32&amp;"-"&amp;COUNTA($AF$1:DataViewSection[[#This Row],[Data Name for Layout]])-1</f>
        <v>Data View Section-10</v>
      </c>
      <c r="AF12" s="4" t="s">
        <v>2036</v>
      </c>
      <c r="AG12" s="8" t="str">
        <f>DataViewSection[[#This Row],[Data Name for Layout]]&amp;"/"&amp;COUNTIF($AI$1:DataViewSection[[#This Row],[Data ID]],DataViewSection[[#This Row],[Data ID]])</f>
        <v>Printing/PrintView/2</v>
      </c>
      <c r="AH12" s="30">
        <f>IF(DataViewSection[[#This Row],[Data Name for Layout]]="","id",-1+COUNTA($AF$1:DataViewSection[[#This Row],[Data Name for Layout]])+VLOOKUP('Table Seed Map'!$A$32,SeedMap[],9,0))</f>
        <v>330110</v>
      </c>
      <c r="AI12" s="30">
        <f>IFERROR(VLOOKUP(DataViewSection[[#This Row],[Data Name for Layout]],ResourceData[[DataDisplayName]:[No]],2,0),"resource_data")</f>
        <v>327107</v>
      </c>
      <c r="AJ12" s="30" t="s">
        <v>2037</v>
      </c>
      <c r="AK12" s="30"/>
      <c r="AL12" s="30" t="str">
        <f>IFERROR(VLOOKUP(DataViewSection[[#This Row],[Relation]],RelationTable[[Display]:[RELID]],2,0),"")</f>
        <v/>
      </c>
      <c r="AM12" s="78">
        <v>8</v>
      </c>
      <c r="AN12" s="78"/>
      <c r="AP12" s="60" t="str">
        <f>'Table Seed Map'!$A$33&amp;"-"&amp;-1+COUNTA($AQ$1:DataViewSectionItem[[#This Row],[Data Section for Items]])</f>
        <v>Data View Section Items-10</v>
      </c>
      <c r="AQ12" s="4" t="s">
        <v>1516</v>
      </c>
      <c r="AR12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60">
        <f>IF(DataViewSectionItem[[#This Row],[Data Section for Items]]="","section",VLOOKUP(DataViewSectionItem[[#This Row],[Data Section for Items]],DataViewSection[[DataSectionDisplayName]:[No]],2,0))</f>
        <v>330104</v>
      </c>
      <c r="AT12" s="60" t="s">
        <v>1283</v>
      </c>
      <c r="AU12" s="64" t="s">
        <v>23</v>
      </c>
      <c r="AV12" s="60">
        <f>IF(DataViewSectionItem[[#This Row],[Data Section for Items]]="","relation",IFERROR(VLOOKUP(DataViewSectionItem[[#This Row],[Relation]],RelationTable[[Display]:[RELID]],2,0),""))</f>
        <v>308114</v>
      </c>
      <c r="AW12" s="64" t="s">
        <v>1499</v>
      </c>
    </row>
    <row r="13" spans="1:49" x14ac:dyDescent="0.25">
      <c r="AE13" s="30" t="str">
        <f>'Table Seed Map'!$A$32&amp;"-"&amp;COUNTA($AF$1:DataViewSection[[#This Row],[Data Name for Layout]])-1</f>
        <v>Data View Section-11</v>
      </c>
      <c r="AF13" s="4" t="s">
        <v>2036</v>
      </c>
      <c r="AG13" s="8" t="str">
        <f>DataViewSection[[#This Row],[Data Name for Layout]]&amp;"/"&amp;COUNTIF($AI$1:DataViewSection[[#This Row],[Data ID]],DataViewSection[[#This Row],[Data ID]])</f>
        <v>Printing/PrintView/3</v>
      </c>
      <c r="AH13" s="30">
        <f>IF(DataViewSection[[#This Row],[Data Name for Layout]]="","id",-1+COUNTA($AF$1:DataViewSection[[#This Row],[Data Name for Layout]])+VLOOKUP('Table Seed Map'!$A$32,SeedMap[],9,0))</f>
        <v>330111</v>
      </c>
      <c r="AI13" s="30">
        <f>IFERROR(VLOOKUP(DataViewSection[[#This Row],[Data Name for Layout]],ResourceData[[DataDisplayName]:[No]],2,0),"resource_data")</f>
        <v>327107</v>
      </c>
      <c r="AJ13" s="30" t="s">
        <v>2038</v>
      </c>
      <c r="AK13" s="30"/>
      <c r="AL13" s="30" t="str">
        <f>IFERROR(VLOOKUP(DataViewSection[[#This Row],[Relation]],RelationTable[[Display]:[RELID]],2,0),"")</f>
        <v/>
      </c>
      <c r="AM13" s="78">
        <v>6</v>
      </c>
      <c r="AN13" s="78"/>
      <c r="AP13" s="60" t="str">
        <f>'Table Seed Map'!$A$33&amp;"-"&amp;-1+COUNTA($AQ$1:DataViewSectionItem[[#This Row],[Data Section for Items]])</f>
        <v>Data View Section Items-11</v>
      </c>
      <c r="AQ13" s="4" t="s">
        <v>1516</v>
      </c>
      <c r="AR1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60">
        <f>IF(DataViewSectionItem[[#This Row],[Data Section for Items]]="","section",VLOOKUP(DataViewSectionItem[[#This Row],[Data Section for Items]],DataViewSection[[DataSectionDisplayName]:[No]],2,0))</f>
        <v>330104</v>
      </c>
      <c r="AT13" s="60" t="s">
        <v>1284</v>
      </c>
      <c r="AU13" s="64" t="s">
        <v>23</v>
      </c>
      <c r="AV13" s="60">
        <f>IF(DataViewSectionItem[[#This Row],[Data Section for Items]]="","relation",IFERROR(VLOOKUP(DataViewSectionItem[[#This Row],[Relation]],RelationTable[[Display]:[RELID]],2,0),""))</f>
        <v>308113</v>
      </c>
      <c r="AW13" s="64" t="s">
        <v>1498</v>
      </c>
    </row>
    <row r="14" spans="1:49" x14ac:dyDescent="0.25">
      <c r="AE14" s="30" t="str">
        <f>'Table Seed Map'!$A$32&amp;"-"&amp;COUNTA($AF$1:DataViewSection[[#This Row],[Data Name for Layout]])-1</f>
        <v>Data View Section-12</v>
      </c>
      <c r="AF14" s="4" t="s">
        <v>2036</v>
      </c>
      <c r="AG14" s="8" t="str">
        <f>DataViewSection[[#This Row],[Data Name for Layout]]&amp;"/"&amp;COUNTIF($AI$1:DataViewSection[[#This Row],[Data ID]],DataViewSection[[#This Row],[Data ID]])</f>
        <v>Printing/PrintView/4</v>
      </c>
      <c r="AH14" s="30">
        <f>IF(DataViewSection[[#This Row],[Data Name for Layout]]="","id",-1+COUNTA($AF$1:DataViewSection[[#This Row],[Data Name for Layout]])+VLOOKUP('Table Seed Map'!$A$32,SeedMap[],9,0))</f>
        <v>330112</v>
      </c>
      <c r="AI14" s="30">
        <f>IFERROR(VLOOKUP(DataViewSection[[#This Row],[Data Name for Layout]],ResourceData[[DataDisplayName]:[No]],2,0),"resource_data")</f>
        <v>327107</v>
      </c>
      <c r="AJ14" s="30" t="s">
        <v>2039</v>
      </c>
      <c r="AK14" s="30"/>
      <c r="AL14" s="30" t="str">
        <f>IFERROR(VLOOKUP(DataViewSection[[#This Row],[Relation]],RelationTable[[Display]:[RELID]],2,0),"")</f>
        <v/>
      </c>
      <c r="AM14" s="78">
        <v>6</v>
      </c>
      <c r="AN14" s="78"/>
      <c r="AP14" s="60" t="str">
        <f>'Table Seed Map'!$A$33&amp;"-"&amp;-1+COUNTA($AQ$1:DataViewSectionItem[[#This Row],[Data Section for Items]])</f>
        <v>Data View Section Items-12</v>
      </c>
      <c r="AQ14" s="4" t="s">
        <v>1516</v>
      </c>
      <c r="AR1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60">
        <f>IF(DataViewSectionItem[[#This Row],[Data Section for Items]]="","section",VLOOKUP(DataViewSectionItem[[#This Row],[Data Section for Items]],DataViewSection[[DataSectionDisplayName]:[No]],2,0))</f>
        <v>330104</v>
      </c>
      <c r="AT14" s="60" t="s">
        <v>1356</v>
      </c>
      <c r="AU14" s="64" t="s">
        <v>776</v>
      </c>
      <c r="AV14" s="60" t="str">
        <f>IF(DataViewSectionItem[[#This Row],[Data Section for Items]]="","relation",IFERROR(VLOOKUP(DataViewSectionItem[[#This Row],[Relation]],RelationTable[[Display]:[RELID]],2,0),""))</f>
        <v/>
      </c>
      <c r="AW14" s="64"/>
    </row>
    <row r="15" spans="1:49" x14ac:dyDescent="0.25">
      <c r="AE15" s="30" t="str">
        <f>'Table Seed Map'!$A$32&amp;"-"&amp;COUNTA($AF$1:DataViewSection[[#This Row],[Data Name for Layout]])-1</f>
        <v>Data View Section-13</v>
      </c>
      <c r="AF15" s="4" t="s">
        <v>2036</v>
      </c>
      <c r="AG15" s="8" t="str">
        <f>DataViewSection[[#This Row],[Data Name for Layout]]&amp;"/"&amp;COUNTIF($AI$1:DataViewSection[[#This Row],[Data ID]],DataViewSection[[#This Row],[Data ID]])</f>
        <v>Printing/PrintView/5</v>
      </c>
      <c r="AH15" s="30">
        <f>IF(DataViewSection[[#This Row],[Data Name for Layout]]="","id",-1+COUNTA($AF$1:DataViewSection[[#This Row],[Data Name for Layout]])+VLOOKUP('Table Seed Map'!$A$32,SeedMap[],9,0))</f>
        <v>330113</v>
      </c>
      <c r="AI15" s="30">
        <f>IFERROR(VLOOKUP(DataViewSection[[#This Row],[Data Name for Layout]],ResourceData[[DataDisplayName]:[No]],2,0),"resource_data")</f>
        <v>327107</v>
      </c>
      <c r="AJ15" s="30" t="s">
        <v>2010</v>
      </c>
      <c r="AK15" s="30"/>
      <c r="AL15" s="30" t="str">
        <f>IFERROR(VLOOKUP(DataViewSection[[#This Row],[Relation]],RelationTable[[Display]:[RELID]],2,0),"")</f>
        <v/>
      </c>
      <c r="AM15" s="78">
        <v>12</v>
      </c>
      <c r="AN15" s="78"/>
      <c r="AP15" s="30" t="str">
        <f>'Table Seed Map'!$A$33&amp;"-"&amp;-1+COUNTA($AQ$1:DataViewSectionItem[[#This Row],[Data Section for Items]])</f>
        <v>Data View Section Items-13</v>
      </c>
      <c r="AQ15" s="4" t="s">
        <v>1739</v>
      </c>
      <c r="AR1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30">
        <f>IF(DataViewSectionItem[[#This Row],[Data Section for Items]]="","section",VLOOKUP(DataViewSectionItem[[#This Row],[Data Section for Items]],DataViewSection[[DataSectionDisplayName]:[No]],2,0))</f>
        <v>330105</v>
      </c>
      <c r="AT15" s="30" t="s">
        <v>1721</v>
      </c>
      <c r="AU15" s="78" t="s">
        <v>1699</v>
      </c>
      <c r="AV15" s="30" t="str">
        <f>IF(DataViewSectionItem[[#This Row],[Data Section for Items]]="","relation",IFERROR(VLOOKUP(DataViewSectionItem[[#This Row],[Relation]],RelationTable[[Display]:[RELID]],2,0),""))</f>
        <v/>
      </c>
      <c r="AW15" s="78"/>
    </row>
    <row r="16" spans="1:49" x14ac:dyDescent="0.25">
      <c r="AE16" s="30" t="str">
        <f>'Table Seed Map'!$A$32&amp;"-"&amp;COUNTA($AF$1:DataViewSection[[#This Row],[Data Name for Layout]])-1</f>
        <v>Data View Section-14</v>
      </c>
      <c r="AF16" s="4" t="s">
        <v>2036</v>
      </c>
      <c r="AG16" s="8" t="str">
        <f>DataViewSection[[#This Row],[Data Name for Layout]]&amp;"/"&amp;COUNTIF($AI$1:DataViewSection[[#This Row],[Data ID]],DataViewSection[[#This Row],[Data ID]])</f>
        <v>Printing/PrintView/6</v>
      </c>
      <c r="AH16" s="30">
        <f>IF(DataViewSection[[#This Row],[Data Name for Layout]]="","id",-1+COUNTA($AF$1:DataViewSection[[#This Row],[Data Name for Layout]])+VLOOKUP('Table Seed Map'!$A$32,SeedMap[],9,0))</f>
        <v>330114</v>
      </c>
      <c r="AI16" s="30">
        <f>IFERROR(VLOOKUP(DataViewSection[[#This Row],[Data Name for Layout]],ResourceData[[DataDisplayName]:[No]],2,0),"resource_data")</f>
        <v>327107</v>
      </c>
      <c r="AJ16" s="30" t="s">
        <v>2009</v>
      </c>
      <c r="AK16" s="30"/>
      <c r="AL16" s="30" t="str">
        <f>IFERROR(VLOOKUP(DataViewSection[[#This Row],[Relation]],RelationTable[[Display]:[RELID]],2,0),"")</f>
        <v/>
      </c>
      <c r="AM16" s="78">
        <v>12</v>
      </c>
      <c r="AN16" s="78"/>
      <c r="AP16" s="30" t="str">
        <f>'Table Seed Map'!$A$33&amp;"-"&amp;-1+COUNTA($AQ$1:DataViewSectionItem[[#This Row],[Data Section for Items]])</f>
        <v>Data View Section Items-14</v>
      </c>
      <c r="AQ16" s="4" t="s">
        <v>1739</v>
      </c>
      <c r="AR1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30">
        <f>IF(DataViewSectionItem[[#This Row],[Data Section for Items]]="","section",VLOOKUP(DataViewSectionItem[[#This Row],[Data Section for Items]],DataViewSection[[DataSectionDisplayName]:[No]],2,0))</f>
        <v>330105</v>
      </c>
      <c r="AT16" s="30" t="s">
        <v>1722</v>
      </c>
      <c r="AU16" s="78" t="s">
        <v>1700</v>
      </c>
      <c r="AV16" s="30" t="str">
        <f>IF(DataViewSectionItem[[#This Row],[Data Section for Items]]="","relation",IFERROR(VLOOKUP(DataViewSectionItem[[#This Row],[Relation]],RelationTable[[Display]:[RELID]],2,0),""))</f>
        <v/>
      </c>
      <c r="AW16" s="78"/>
    </row>
    <row r="17" spans="42:49" x14ac:dyDescent="0.25">
      <c r="AP17" s="30" t="str">
        <f>'Table Seed Map'!$A$33&amp;"-"&amp;-1+COUNTA($AQ$1:DataViewSectionItem[[#This Row],[Data Section for Items]])</f>
        <v>Data View Section Items-15</v>
      </c>
      <c r="AQ17" s="4" t="s">
        <v>1739</v>
      </c>
      <c r="AR1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30">
        <f>IF(DataViewSectionItem[[#This Row],[Data Section for Items]]="","section",VLOOKUP(DataViewSectionItem[[#This Row],[Data Section for Items]],DataViewSection[[DataSectionDisplayName]:[No]],2,0))</f>
        <v>330105</v>
      </c>
      <c r="AT17" s="30" t="s">
        <v>1723</v>
      </c>
      <c r="AU17" s="78" t="s">
        <v>1701</v>
      </c>
      <c r="AV17" s="30" t="str">
        <f>IF(DataViewSectionItem[[#This Row],[Data Section for Items]]="","relation",IFERROR(VLOOKUP(DataViewSectionItem[[#This Row],[Relation]],RelationTable[[Display]:[RELID]],2,0),""))</f>
        <v/>
      </c>
      <c r="AW17" s="78"/>
    </row>
    <row r="18" spans="42:49" x14ac:dyDescent="0.25">
      <c r="AP18" s="30" t="str">
        <f>'Table Seed Map'!$A$33&amp;"-"&amp;-1+COUNTA($AQ$1:DataViewSectionItem[[#This Row],[Data Section for Items]])</f>
        <v>Data View Section Items-16</v>
      </c>
      <c r="AQ18" s="4" t="s">
        <v>1739</v>
      </c>
      <c r="AR1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30">
        <f>IF(DataViewSectionItem[[#This Row],[Data Section for Items]]="","section",VLOOKUP(DataViewSectionItem[[#This Row],[Data Section for Items]],DataViewSection[[DataSectionDisplayName]:[No]],2,0))</f>
        <v>330105</v>
      </c>
      <c r="AT18" s="30" t="s">
        <v>1724</v>
      </c>
      <c r="AU18" s="78" t="s">
        <v>1702</v>
      </c>
      <c r="AV18" s="30" t="str">
        <f>IF(DataViewSectionItem[[#This Row],[Data Section for Items]]="","relation",IFERROR(VLOOKUP(DataViewSectionItem[[#This Row],[Relation]],RelationTable[[Display]:[RELID]],2,0),""))</f>
        <v/>
      </c>
      <c r="AW18" s="78"/>
    </row>
    <row r="19" spans="42:49" x14ac:dyDescent="0.25">
      <c r="AP19" s="30" t="str">
        <f>'Table Seed Map'!$A$33&amp;"-"&amp;-1+COUNTA($AQ$1:DataViewSectionItem[[#This Row],[Data Section for Items]])</f>
        <v>Data View Section Items-17</v>
      </c>
      <c r="AQ19" s="4" t="s">
        <v>1739</v>
      </c>
      <c r="AR1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331117</v>
      </c>
      <c r="AS19" s="30">
        <f>IF(DataViewSectionItem[[#This Row],[Data Section for Items]]="","section",VLOOKUP(DataViewSectionItem[[#This Row],[Data Section for Items]],DataViewSection[[DataSectionDisplayName]:[No]],2,0))</f>
        <v>330105</v>
      </c>
      <c r="AT19" s="30" t="s">
        <v>1725</v>
      </c>
      <c r="AU19" s="78" t="s">
        <v>1703</v>
      </c>
      <c r="AV19" s="30" t="str">
        <f>IF(DataViewSectionItem[[#This Row],[Data Section for Items]]="","relation",IFERROR(VLOOKUP(DataViewSectionItem[[#This Row],[Relation]],RelationTable[[Display]:[RELID]],2,0),""))</f>
        <v/>
      </c>
      <c r="AW19" s="78"/>
    </row>
    <row r="20" spans="42:49" x14ac:dyDescent="0.25">
      <c r="AP20" s="30" t="str">
        <f>'Table Seed Map'!$A$33&amp;"-"&amp;-1+COUNTA($AQ$1:DataViewSectionItem[[#This Row],[Data Section for Items]])</f>
        <v>Data View Section Items-18</v>
      </c>
      <c r="AQ20" s="4" t="s">
        <v>1767</v>
      </c>
      <c r="AR2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331118</v>
      </c>
      <c r="AS20" s="30">
        <f>IF(DataViewSectionItem[[#This Row],[Data Section for Items]]="","section",VLOOKUP(DataViewSectionItem[[#This Row],[Data Section for Items]],DataViewSection[[DataSectionDisplayName]:[No]],2,0))</f>
        <v>330106</v>
      </c>
      <c r="AT20" s="30" t="s">
        <v>1529</v>
      </c>
      <c r="AU20" s="78" t="s">
        <v>768</v>
      </c>
      <c r="AV20" s="30" t="str">
        <f>IF(DataViewSectionItem[[#This Row],[Data Section for Items]]="","relation",IFERROR(VLOOKUP(DataViewSectionItem[[#This Row],[Relation]],RelationTable[[Display]:[RELID]],2,0),""))</f>
        <v/>
      </c>
      <c r="AW20" s="78"/>
    </row>
    <row r="21" spans="42:49" x14ac:dyDescent="0.25">
      <c r="AP21" s="30" t="str">
        <f>'Table Seed Map'!$A$33&amp;"-"&amp;-1+COUNTA($AQ$1:DataViewSectionItem[[#This Row],[Data Section for Items]])</f>
        <v>Data View Section Items-19</v>
      </c>
      <c r="AQ21" s="4" t="s">
        <v>1767</v>
      </c>
      <c r="AR2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331119</v>
      </c>
      <c r="AS21" s="30">
        <f>IF(DataViewSectionItem[[#This Row],[Data Section for Items]]="","section",VLOOKUP(DataViewSectionItem[[#This Row],[Data Section for Items]],DataViewSection[[DataSectionDisplayName]:[No]],2,0))</f>
        <v>330106</v>
      </c>
      <c r="AT21" s="30" t="s">
        <v>74</v>
      </c>
      <c r="AU21" s="78" t="s">
        <v>23</v>
      </c>
      <c r="AV21" s="30">
        <f>IF(DataViewSectionItem[[#This Row],[Data Section for Items]]="","relation",IFERROR(VLOOKUP(DataViewSectionItem[[#This Row],[Relation]],RelationTable[[Display]:[RELID]],2,0),""))</f>
        <v>308134</v>
      </c>
      <c r="AW21" s="78" t="s">
        <v>1776</v>
      </c>
    </row>
    <row r="22" spans="42:49" x14ac:dyDescent="0.25">
      <c r="AP22" s="30" t="str">
        <f>'Table Seed Map'!$A$33&amp;"-"&amp;-1+COUNTA($AQ$1:DataViewSectionItem[[#This Row],[Data Section for Items]])</f>
        <v>Data View Section Items-20</v>
      </c>
      <c r="AQ22" s="4" t="s">
        <v>1767</v>
      </c>
      <c r="AR2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331120</v>
      </c>
      <c r="AS22" s="30">
        <f>IF(DataViewSectionItem[[#This Row],[Data Section for Items]]="","section",VLOOKUP(DataViewSectionItem[[#This Row],[Data Section for Items]],DataViewSection[[DataSectionDisplayName]:[No]],2,0))</f>
        <v>330106</v>
      </c>
      <c r="AT22" s="30" t="s">
        <v>1283</v>
      </c>
      <c r="AU22" s="78" t="s">
        <v>23</v>
      </c>
      <c r="AV22" s="30">
        <f>IF(DataViewSectionItem[[#This Row],[Data Section for Items]]="","relation",IFERROR(VLOOKUP(DataViewSectionItem[[#This Row],[Relation]],RelationTable[[Display]:[RELID]],2,0),""))</f>
        <v>308135</v>
      </c>
      <c r="AW22" s="78" t="s">
        <v>1777</v>
      </c>
    </row>
    <row r="23" spans="42:49" x14ac:dyDescent="0.25">
      <c r="AP23" s="30" t="str">
        <f>'Table Seed Map'!$A$33&amp;"-"&amp;-1+COUNTA($AQ$1:DataViewSectionItem[[#This Row],[Data Section for Items]])</f>
        <v>Data View Section Items-21</v>
      </c>
      <c r="AQ23" s="4" t="s">
        <v>1767</v>
      </c>
      <c r="AR2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331121</v>
      </c>
      <c r="AS23" s="30">
        <f>IF(DataViewSectionItem[[#This Row],[Data Section for Items]]="","section",VLOOKUP(DataViewSectionItem[[#This Row],[Data Section for Items]],DataViewSection[[DataSectionDisplayName]:[No]],2,0))</f>
        <v>330106</v>
      </c>
      <c r="AT23" s="30" t="s">
        <v>1769</v>
      </c>
      <c r="AU23" s="78" t="s">
        <v>1621</v>
      </c>
      <c r="AV23" s="30" t="str">
        <f>IF(DataViewSectionItem[[#This Row],[Data Section for Items]]="","relation",IFERROR(VLOOKUP(DataViewSectionItem[[#This Row],[Relation]],RelationTable[[Display]:[RELID]],2,0),""))</f>
        <v/>
      </c>
      <c r="AW23" s="78"/>
    </row>
    <row r="24" spans="42:49" x14ac:dyDescent="0.25">
      <c r="AP24" s="30" t="str">
        <f>'Table Seed Map'!$A$33&amp;"-"&amp;-1+COUNTA($AQ$1:DataViewSectionItem[[#This Row],[Data Section for Items]])</f>
        <v>Data View Section Items-22</v>
      </c>
      <c r="AQ24" s="4" t="s">
        <v>1767</v>
      </c>
      <c r="AR2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331122</v>
      </c>
      <c r="AS24" s="30">
        <f>IF(DataViewSectionItem[[#This Row],[Data Section for Items]]="","section",VLOOKUP(DataViewSectionItem[[#This Row],[Data Section for Items]],DataViewSection[[DataSectionDisplayName]:[No]],2,0))</f>
        <v>330106</v>
      </c>
      <c r="AT24" s="30" t="s">
        <v>1770</v>
      </c>
      <c r="AU24" s="78" t="s">
        <v>1622</v>
      </c>
      <c r="AV24" s="30" t="str">
        <f>IF(DataViewSectionItem[[#This Row],[Data Section for Items]]="","relation",IFERROR(VLOOKUP(DataViewSectionItem[[#This Row],[Relation]],RelationTable[[Display]:[RELID]],2,0),""))</f>
        <v/>
      </c>
      <c r="AW24" s="78"/>
    </row>
    <row r="25" spans="42:49" x14ac:dyDescent="0.25">
      <c r="AP25" s="30" t="str">
        <f>'Table Seed Map'!$A$33&amp;"-"&amp;-1+COUNTA($AQ$1:DataViewSectionItem[[#This Row],[Data Section for Items]])</f>
        <v>Data View Section Items-23</v>
      </c>
      <c r="AQ25" s="4" t="s">
        <v>1778</v>
      </c>
      <c r="AR2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331123</v>
      </c>
      <c r="AS25" s="30">
        <f>IF(DataViewSectionItem[[#This Row],[Data Section for Items]]="","section",VLOOKUP(DataViewSectionItem[[#This Row],[Data Section for Items]],DataViewSection[[DataSectionDisplayName]:[No]],2,0))</f>
        <v>330107</v>
      </c>
      <c r="AT25" s="30" t="s">
        <v>1771</v>
      </c>
      <c r="AU25" s="78" t="s">
        <v>826</v>
      </c>
      <c r="AV25" s="30" t="str">
        <f>IF(DataViewSectionItem[[#This Row],[Data Section for Items]]="","relation",IFERROR(VLOOKUP(DataViewSectionItem[[#This Row],[Relation]],RelationTable[[Display]:[RELID]],2,0),""))</f>
        <v/>
      </c>
      <c r="AW25" s="78"/>
    </row>
    <row r="26" spans="42:49" x14ac:dyDescent="0.25">
      <c r="AP26" s="30" t="str">
        <f>'Table Seed Map'!$A$33&amp;"-"&amp;-1+COUNTA($AQ$1:DataViewSectionItem[[#This Row],[Data Section for Items]])</f>
        <v>Data View Section Items-24</v>
      </c>
      <c r="AQ26" s="4" t="s">
        <v>1778</v>
      </c>
      <c r="AR2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331124</v>
      </c>
      <c r="AS26" s="30">
        <f>IF(DataViewSectionItem[[#This Row],[Data Section for Items]]="","section",VLOOKUP(DataViewSectionItem[[#This Row],[Data Section for Items]],DataViewSection[[DataSectionDisplayName]:[No]],2,0))</f>
        <v>330107</v>
      </c>
      <c r="AT26" s="30" t="s">
        <v>1779</v>
      </c>
      <c r="AU26" s="78" t="s">
        <v>1639</v>
      </c>
      <c r="AV26" s="30" t="str">
        <f>IF(DataViewSectionItem[[#This Row],[Data Section for Items]]="","relation",IFERROR(VLOOKUP(DataViewSectionItem[[#This Row],[Relation]],RelationTable[[Display]:[RELID]],2,0),""))</f>
        <v/>
      </c>
      <c r="AW26" s="78"/>
    </row>
    <row r="27" spans="42:49" x14ac:dyDescent="0.25">
      <c r="AP27" s="30" t="str">
        <f>'Table Seed Map'!$A$33&amp;"-"&amp;-1+COUNTA($AQ$1:DataViewSectionItem[[#This Row],[Data Section for Items]])</f>
        <v>Data View Section Items-25</v>
      </c>
      <c r="AQ27" s="4" t="s">
        <v>1778</v>
      </c>
      <c r="AR2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331125</v>
      </c>
      <c r="AS27" s="30">
        <f>IF(DataViewSectionItem[[#This Row],[Data Section for Items]]="","section",VLOOKUP(DataViewSectionItem[[#This Row],[Data Section for Items]],DataViewSection[[DataSectionDisplayName]:[No]],2,0))</f>
        <v>330107</v>
      </c>
      <c r="AT27" s="30" t="s">
        <v>1768</v>
      </c>
      <c r="AU27" s="78" t="s">
        <v>950</v>
      </c>
      <c r="AV27" s="30" t="str">
        <f>IF(DataViewSectionItem[[#This Row],[Data Section for Items]]="","relation",IFERROR(VLOOKUP(DataViewSectionItem[[#This Row],[Relation]],RelationTable[[Display]:[RELID]],2,0),""))</f>
        <v/>
      </c>
      <c r="AW27" s="78"/>
    </row>
    <row r="28" spans="42:49" x14ac:dyDescent="0.25">
      <c r="AP28" s="30" t="str">
        <f>'Table Seed Map'!$A$33&amp;"-"&amp;-1+COUNTA($AQ$1:DataViewSectionItem[[#This Row],[Data Section for Items]])</f>
        <v>Data View Section Items-26</v>
      </c>
      <c r="AQ28" s="4" t="s">
        <v>1778</v>
      </c>
      <c r="AR2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331126</v>
      </c>
      <c r="AS28" s="30">
        <f>IF(DataViewSectionItem[[#This Row],[Data Section for Items]]="","section",VLOOKUP(DataViewSectionItem[[#This Row],[Data Section for Items]],DataViewSection[[DataSectionDisplayName]:[No]],2,0))</f>
        <v>330107</v>
      </c>
      <c r="AT28" s="30" t="s">
        <v>1356</v>
      </c>
      <c r="AU28" s="78" t="s">
        <v>776</v>
      </c>
      <c r="AV28" s="30" t="str">
        <f>IF(DataViewSectionItem[[#This Row],[Data Section for Items]]="","relation",IFERROR(VLOOKUP(DataViewSectionItem[[#This Row],[Relation]],RelationTable[[Display]:[RELID]],2,0),""))</f>
        <v/>
      </c>
      <c r="AW28" s="78"/>
    </row>
    <row r="29" spans="42:49" x14ac:dyDescent="0.25">
      <c r="AP29" s="30" t="str">
        <f>'Table Seed Map'!$A$33&amp;"-"&amp;-1+COUNTA($AQ$1:DataViewSectionItem[[#This Row],[Data Section for Items]])</f>
        <v>Data View Section Items-27</v>
      </c>
      <c r="AQ29" s="4" t="s">
        <v>1925</v>
      </c>
      <c r="AR2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331127</v>
      </c>
      <c r="AS29" s="30">
        <f>IF(DataViewSectionItem[[#This Row],[Data Section for Items]]="","section",VLOOKUP(DataViewSectionItem[[#This Row],[Data Section for Items]],DataViewSection[[DataSectionDisplayName]:[No]],2,0))</f>
        <v>330108</v>
      </c>
      <c r="AT29" s="30" t="s">
        <v>1</v>
      </c>
      <c r="AU29" s="78" t="s">
        <v>23</v>
      </c>
      <c r="AV29" s="30" t="str">
        <f>IF(DataViewSectionItem[[#This Row],[Data Section for Items]]="","relation",IFERROR(VLOOKUP(DataViewSectionItem[[#This Row],[Relation]],RelationTable[[Display]:[RELID]],2,0),""))</f>
        <v/>
      </c>
      <c r="AW29" s="78"/>
    </row>
    <row r="30" spans="42:49" x14ac:dyDescent="0.25">
      <c r="AP30" s="30" t="str">
        <f>'Table Seed Map'!$A$33&amp;"-"&amp;-1+COUNTA($AQ$1:DataViewSectionItem[[#This Row],[Data Section for Items]])</f>
        <v>Data View Section Items-28</v>
      </c>
      <c r="AQ30" s="4" t="s">
        <v>1925</v>
      </c>
      <c r="AR3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331128</v>
      </c>
      <c r="AS30" s="30">
        <f>IF(DataViewSectionItem[[#This Row],[Data Section for Items]]="","section",VLOOKUP(DataViewSectionItem[[#This Row],[Data Section for Items]],DataViewSection[[DataSectionDisplayName]:[No]],2,0))</f>
        <v>330108</v>
      </c>
      <c r="AT30" s="30" t="s">
        <v>1922</v>
      </c>
      <c r="AU30" s="78" t="s">
        <v>1826</v>
      </c>
      <c r="AV30" s="30" t="str">
        <f>IF(DataViewSectionItem[[#This Row],[Data Section for Items]]="","relation",IFERROR(VLOOKUP(DataViewSectionItem[[#This Row],[Relation]],RelationTable[[Display]:[RELID]],2,0),""))</f>
        <v/>
      </c>
      <c r="AW30" s="78"/>
    </row>
    <row r="31" spans="42:49" x14ac:dyDescent="0.25">
      <c r="AP31" s="30" t="str">
        <f>'Table Seed Map'!$A$33&amp;"-"&amp;-1+COUNTA($AQ$1:DataViewSectionItem[[#This Row],[Data Section for Items]])</f>
        <v>Data View Section Items-29</v>
      </c>
      <c r="AQ31" s="4" t="s">
        <v>1925</v>
      </c>
      <c r="AR3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331129</v>
      </c>
      <c r="AS31" s="30">
        <f>IF(DataViewSectionItem[[#This Row],[Data Section for Items]]="","section",VLOOKUP(DataViewSectionItem[[#This Row],[Data Section for Items]],DataViewSection[[DataSectionDisplayName]:[No]],2,0))</f>
        <v>330108</v>
      </c>
      <c r="AT31" s="30" t="s">
        <v>1923</v>
      </c>
      <c r="AU31" s="78" t="s">
        <v>1872</v>
      </c>
      <c r="AV31" s="30" t="str">
        <f>IF(DataViewSectionItem[[#This Row],[Data Section for Items]]="","relation",IFERROR(VLOOKUP(DataViewSectionItem[[#This Row],[Relation]],RelationTable[[Display]:[RELID]],2,0),""))</f>
        <v/>
      </c>
      <c r="AW31" s="78"/>
    </row>
    <row r="32" spans="42:49" x14ac:dyDescent="0.25">
      <c r="AP32" s="30" t="str">
        <f>'Table Seed Map'!$A$33&amp;"-"&amp;-1+COUNTA($AQ$1:DataViewSectionItem[[#This Row],[Data Section for Items]])</f>
        <v>Data View Section Items-30</v>
      </c>
      <c r="AQ32" s="4" t="s">
        <v>1925</v>
      </c>
      <c r="AR3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331130</v>
      </c>
      <c r="AS32" s="30">
        <f>IF(DataViewSectionItem[[#This Row],[Data Section for Items]]="","section",VLOOKUP(DataViewSectionItem[[#This Row],[Data Section for Items]],DataViewSection[[DataSectionDisplayName]:[No]],2,0))</f>
        <v>330108</v>
      </c>
      <c r="AT32" s="30" t="s">
        <v>1924</v>
      </c>
      <c r="AU32" s="78" t="s">
        <v>1828</v>
      </c>
      <c r="AV32" s="30" t="str">
        <f>IF(DataViewSectionItem[[#This Row],[Data Section for Items]]="","relation",IFERROR(VLOOKUP(DataViewSectionItem[[#This Row],[Relation]],RelationTable[[Display]:[RELID]],2,0),""))</f>
        <v/>
      </c>
      <c r="AW32" s="78"/>
    </row>
    <row r="33" spans="42:49" x14ac:dyDescent="0.25">
      <c r="AP33" s="30" t="str">
        <f>'Table Seed Map'!$A$33&amp;"-"&amp;-1+COUNTA($AQ$1:DataViewSectionItem[[#This Row],[Data Section for Items]])</f>
        <v>Data View Section Items-31</v>
      </c>
      <c r="AQ33" s="4" t="s">
        <v>1925</v>
      </c>
      <c r="AR3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331131</v>
      </c>
      <c r="AS33" s="30">
        <f>IF(DataViewSectionItem[[#This Row],[Data Section for Items]]="","section",VLOOKUP(DataViewSectionItem[[#This Row],[Data Section for Items]],DataViewSection[[DataSectionDisplayName]:[No]],2,0))</f>
        <v>330108</v>
      </c>
      <c r="AT33" s="30" t="s">
        <v>1917</v>
      </c>
      <c r="AU33" s="78" t="s">
        <v>1830</v>
      </c>
      <c r="AV33" s="30" t="str">
        <f>IF(DataViewSectionItem[[#This Row],[Data Section for Items]]="","relation",IFERROR(VLOOKUP(DataViewSectionItem[[#This Row],[Relation]],RelationTable[[Display]:[RELID]],2,0),""))</f>
        <v/>
      </c>
      <c r="AW33" s="78"/>
    </row>
    <row r="34" spans="42:49" x14ac:dyDescent="0.25">
      <c r="AP34" s="30" t="str">
        <f>'Table Seed Map'!$A$33&amp;"-"&amp;-1+COUNTA($AQ$1:DataViewSectionItem[[#This Row],[Data Section for Items]])</f>
        <v>Data View Section Items-32</v>
      </c>
      <c r="AQ34" s="4" t="s">
        <v>1925</v>
      </c>
      <c r="AR3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331132</v>
      </c>
      <c r="AS34" s="30">
        <f>IF(DataViewSectionItem[[#This Row],[Data Section for Items]]="","section",VLOOKUP(DataViewSectionItem[[#This Row],[Data Section for Items]],DataViewSection[[DataSectionDisplayName]:[No]],2,0))</f>
        <v>330108</v>
      </c>
      <c r="AT34" s="30" t="s">
        <v>1356</v>
      </c>
      <c r="AU34" s="78" t="s">
        <v>776</v>
      </c>
      <c r="AV34" s="30" t="str">
        <f>IF(DataViewSectionItem[[#This Row],[Data Section for Items]]="","relation",IFERROR(VLOOKUP(DataViewSectionItem[[#This Row],[Relation]],RelationTable[[Display]:[RELID]],2,0),""))</f>
        <v/>
      </c>
      <c r="AW34" s="78"/>
    </row>
    <row r="35" spans="42:49" x14ac:dyDescent="0.25">
      <c r="AP35" s="30" t="str">
        <f>'Table Seed Map'!$A$33&amp;"-"&amp;-1+COUNTA($AQ$1:DataViewSectionItem[[#This Row],[Data Section for Items]])</f>
        <v>Data View Section Items-33</v>
      </c>
      <c r="AQ35" s="4" t="s">
        <v>2040</v>
      </c>
      <c r="AR3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331133</v>
      </c>
      <c r="AS35" s="30">
        <f>IF(DataViewSectionItem[[#This Row],[Data Section for Items]]="","section",VLOOKUP(DataViewSectionItem[[#This Row],[Data Section for Items]],DataViewSection[[DataSectionDisplayName]:[No]],2,0))</f>
        <v>330109</v>
      </c>
      <c r="AT35" s="30" t="s">
        <v>2011</v>
      </c>
      <c r="AU35" s="78" t="s">
        <v>858</v>
      </c>
      <c r="AV35" s="30" t="str">
        <f>IF(DataViewSectionItem[[#This Row],[Data Section for Items]]="","relation",IFERROR(VLOOKUP(DataViewSectionItem[[#This Row],[Relation]],RelationTable[[Display]:[RELID]],2,0),""))</f>
        <v/>
      </c>
      <c r="AW35" s="78"/>
    </row>
    <row r="36" spans="42:49" x14ac:dyDescent="0.25">
      <c r="AP36" s="30" t="str">
        <f>'Table Seed Map'!$A$33&amp;"-"&amp;-1+COUNTA($AQ$1:DataViewSectionItem[[#This Row],[Data Section for Items]])</f>
        <v>Data View Section Items-34</v>
      </c>
      <c r="AQ36" s="4" t="s">
        <v>2040</v>
      </c>
      <c r="AR3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331134</v>
      </c>
      <c r="AS36" s="30">
        <f>IF(DataViewSectionItem[[#This Row],[Data Section for Items]]="","section",VLOOKUP(DataViewSectionItem[[#This Row],[Data Section for Items]],DataViewSection[[DataSectionDisplayName]:[No]],2,0))</f>
        <v>330109</v>
      </c>
      <c r="AT36" s="30" t="s">
        <v>1356</v>
      </c>
      <c r="AU36" s="78" t="s">
        <v>776</v>
      </c>
      <c r="AV36" s="30" t="str">
        <f>IF(DataViewSectionItem[[#This Row],[Data Section for Items]]="","relation",IFERROR(VLOOKUP(DataViewSectionItem[[#This Row],[Relation]],RelationTable[[Display]:[RELID]],2,0),""))</f>
        <v/>
      </c>
      <c r="AW36" s="78"/>
    </row>
    <row r="37" spans="42:49" x14ac:dyDescent="0.25">
      <c r="AP37" s="30" t="str">
        <f>'Table Seed Map'!$A$33&amp;"-"&amp;-1+COUNTA($AQ$1:DataViewSectionItem[[#This Row],[Data Section for Items]])</f>
        <v>Data View Section Items-35</v>
      </c>
      <c r="AQ37" s="4" t="s">
        <v>2040</v>
      </c>
      <c r="AR3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331135</v>
      </c>
      <c r="AS37" s="30">
        <f>IF(DataViewSectionItem[[#This Row],[Data Section for Items]]="","section",VLOOKUP(DataViewSectionItem[[#This Row],[Data Section for Items]],DataViewSection[[DataSectionDisplayName]:[No]],2,0))</f>
        <v>330109</v>
      </c>
      <c r="AT37" s="30" t="s">
        <v>102</v>
      </c>
      <c r="AU37" s="78" t="s">
        <v>24</v>
      </c>
      <c r="AV37" s="30" t="str">
        <f>IF(DataViewSectionItem[[#This Row],[Data Section for Items]]="","relation",IFERROR(VLOOKUP(DataViewSectionItem[[#This Row],[Relation]],RelationTable[[Display]:[RELID]],2,0),""))</f>
        <v/>
      </c>
      <c r="AW37" s="78"/>
    </row>
    <row r="38" spans="42:49" x14ac:dyDescent="0.25">
      <c r="AP38" s="30" t="str">
        <f>'Table Seed Map'!$A$33&amp;"-"&amp;-1+COUNTA($AQ$1:DataViewSectionItem[[#This Row],[Data Section for Items]])</f>
        <v>Data View Section Items-36</v>
      </c>
      <c r="AQ38" s="4" t="s">
        <v>2041</v>
      </c>
      <c r="AR3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331136</v>
      </c>
      <c r="AS38" s="30">
        <f>IF(DataViewSectionItem[[#This Row],[Data Section for Items]]="","section",VLOOKUP(DataViewSectionItem[[#This Row],[Data Section for Items]],DataViewSection[[DataSectionDisplayName]:[No]],2,0))</f>
        <v>330110</v>
      </c>
      <c r="AT38" s="30" t="s">
        <v>2019</v>
      </c>
      <c r="AU38" s="78" t="s">
        <v>1986</v>
      </c>
      <c r="AV38" s="30" t="str">
        <f>IF(DataViewSectionItem[[#This Row],[Data Section for Items]]="","relation",IFERROR(VLOOKUP(DataViewSectionItem[[#This Row],[Relation]],RelationTable[[Display]:[RELID]],2,0),""))</f>
        <v/>
      </c>
      <c r="AW38" s="78"/>
    </row>
    <row r="39" spans="42:49" x14ac:dyDescent="0.25">
      <c r="AP39" s="30" t="str">
        <f>'Table Seed Map'!$A$33&amp;"-"&amp;-1+COUNTA($AQ$1:DataViewSectionItem[[#This Row],[Data Section for Items]])</f>
        <v>Data View Section Items-37</v>
      </c>
      <c r="AQ39" s="4" t="s">
        <v>2041</v>
      </c>
      <c r="AR3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331137</v>
      </c>
      <c r="AS39" s="30">
        <f>IF(DataViewSectionItem[[#This Row],[Data Section for Items]]="","section",VLOOKUP(DataViewSectionItem[[#This Row],[Data Section for Items]],DataViewSection[[DataSectionDisplayName]:[No]],2,0))</f>
        <v>330110</v>
      </c>
      <c r="AT39" s="30" t="s">
        <v>2020</v>
      </c>
      <c r="AU39" s="78" t="s">
        <v>1992</v>
      </c>
      <c r="AV39" s="30" t="str">
        <f>IF(DataViewSectionItem[[#This Row],[Data Section for Items]]="","relation",IFERROR(VLOOKUP(DataViewSectionItem[[#This Row],[Relation]],RelationTable[[Display]:[RELID]],2,0),""))</f>
        <v/>
      </c>
      <c r="AW39" s="78"/>
    </row>
    <row r="40" spans="42:49" x14ac:dyDescent="0.25">
      <c r="AP40" s="30" t="str">
        <f>'Table Seed Map'!$A$33&amp;"-"&amp;-1+COUNTA($AQ$1:DataViewSectionItem[[#This Row],[Data Section for Items]])</f>
        <v>Data View Section Items-38</v>
      </c>
      <c r="AQ40" s="4" t="s">
        <v>2041</v>
      </c>
      <c r="AR4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331138</v>
      </c>
      <c r="AS40" s="30">
        <f>IF(DataViewSectionItem[[#This Row],[Data Section for Items]]="","section",VLOOKUP(DataViewSectionItem[[#This Row],[Data Section for Items]],DataViewSection[[DataSectionDisplayName]:[No]],2,0))</f>
        <v>330110</v>
      </c>
      <c r="AT40" s="30" t="s">
        <v>2021</v>
      </c>
      <c r="AU40" s="78" t="s">
        <v>1987</v>
      </c>
      <c r="AV40" s="30" t="str">
        <f>IF(DataViewSectionItem[[#This Row],[Data Section for Items]]="","relation",IFERROR(VLOOKUP(DataViewSectionItem[[#This Row],[Relation]],RelationTable[[Display]:[RELID]],2,0),""))</f>
        <v/>
      </c>
      <c r="AW40" s="78"/>
    </row>
    <row r="41" spans="42:49" x14ac:dyDescent="0.25">
      <c r="AP41" s="30" t="str">
        <f>'Table Seed Map'!$A$33&amp;"-"&amp;-1+COUNTA($AQ$1:DataViewSectionItem[[#This Row],[Data Section for Items]])</f>
        <v>Data View Section Items-39</v>
      </c>
      <c r="AQ41" s="4" t="s">
        <v>2041</v>
      </c>
      <c r="AR4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331139</v>
      </c>
      <c r="AS41" s="30">
        <f>IF(DataViewSectionItem[[#This Row],[Data Section for Items]]="","section",VLOOKUP(DataViewSectionItem[[#This Row],[Data Section for Items]],DataViewSection[[DataSectionDisplayName]:[No]],2,0))</f>
        <v>330110</v>
      </c>
      <c r="AT41" s="30" t="s">
        <v>2023</v>
      </c>
      <c r="AU41" s="78" t="s">
        <v>1993</v>
      </c>
      <c r="AV41" s="30" t="str">
        <f>IF(DataViewSectionItem[[#This Row],[Data Section for Items]]="","relation",IFERROR(VLOOKUP(DataViewSectionItem[[#This Row],[Relation]],RelationTable[[Display]:[RELID]],2,0),""))</f>
        <v/>
      </c>
      <c r="AW41" s="78"/>
    </row>
    <row r="42" spans="42:49" x14ac:dyDescent="0.25">
      <c r="AP42" s="30" t="str">
        <f>'Table Seed Map'!$A$33&amp;"-"&amp;-1+COUNTA($AQ$1:DataViewSectionItem[[#This Row],[Data Section for Items]])</f>
        <v>Data View Section Items-40</v>
      </c>
      <c r="AQ42" s="4" t="s">
        <v>2041</v>
      </c>
      <c r="AR4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331140</v>
      </c>
      <c r="AS42" s="30">
        <f>IF(DataViewSectionItem[[#This Row],[Data Section for Items]]="","section",VLOOKUP(DataViewSectionItem[[#This Row],[Data Section for Items]],DataViewSection[[DataSectionDisplayName]:[No]],2,0))</f>
        <v>330110</v>
      </c>
      <c r="AT42" s="30" t="s">
        <v>2022</v>
      </c>
      <c r="AU42" s="78" t="s">
        <v>1988</v>
      </c>
      <c r="AV42" s="30" t="str">
        <f>IF(DataViewSectionItem[[#This Row],[Data Section for Items]]="","relation",IFERROR(VLOOKUP(DataViewSectionItem[[#This Row],[Relation]],RelationTable[[Display]:[RELID]],2,0),""))</f>
        <v/>
      </c>
      <c r="AW42" s="78"/>
    </row>
    <row r="43" spans="42:49" x14ac:dyDescent="0.25">
      <c r="AP43" s="30" t="str">
        <f>'Table Seed Map'!$A$33&amp;"-"&amp;-1+COUNTA($AQ$1:DataViewSectionItem[[#This Row],[Data Section for Items]])</f>
        <v>Data View Section Items-41</v>
      </c>
      <c r="AQ43" s="4" t="s">
        <v>2041</v>
      </c>
      <c r="AR4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331141</v>
      </c>
      <c r="AS43" s="30">
        <f>IF(DataViewSectionItem[[#This Row],[Data Section for Items]]="","section",VLOOKUP(DataViewSectionItem[[#This Row],[Data Section for Items]],DataViewSection[[DataSectionDisplayName]:[No]],2,0))</f>
        <v>330110</v>
      </c>
      <c r="AT43" s="30" t="s">
        <v>2024</v>
      </c>
      <c r="AU43" s="78" t="s">
        <v>1994</v>
      </c>
      <c r="AV43" s="30" t="str">
        <f>IF(DataViewSectionItem[[#This Row],[Data Section for Items]]="","relation",IFERROR(VLOOKUP(DataViewSectionItem[[#This Row],[Relation]],RelationTable[[Display]:[RELID]],2,0),""))</f>
        <v/>
      </c>
      <c r="AW43" s="78"/>
    </row>
    <row r="44" spans="42:49" x14ac:dyDescent="0.25">
      <c r="AP44" s="30" t="str">
        <f>'Table Seed Map'!$A$33&amp;"-"&amp;-1+COUNTA($AQ$1:DataViewSectionItem[[#This Row],[Data Section for Items]])</f>
        <v>Data View Section Items-42</v>
      </c>
      <c r="AQ44" s="4" t="s">
        <v>2042</v>
      </c>
      <c r="AR4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331142</v>
      </c>
      <c r="AS44" s="30">
        <f>IF(DataViewSectionItem[[#This Row],[Data Section for Items]]="","section",VLOOKUP(DataViewSectionItem[[#This Row],[Data Section for Items]],DataViewSection[[DataSectionDisplayName]:[No]],2,0))</f>
        <v>330111</v>
      </c>
      <c r="AT44" s="30" t="s">
        <v>2012</v>
      </c>
      <c r="AU44" s="78" t="s">
        <v>1989</v>
      </c>
      <c r="AV44" s="30" t="str">
        <f>IF(DataViewSectionItem[[#This Row],[Data Section for Items]]="","relation",IFERROR(VLOOKUP(DataViewSectionItem[[#This Row],[Relation]],RelationTable[[Display]:[RELID]],2,0),""))</f>
        <v/>
      </c>
      <c r="AW44" s="78"/>
    </row>
    <row r="45" spans="42:49" x14ac:dyDescent="0.25">
      <c r="AP45" s="30" t="str">
        <f>'Table Seed Map'!$A$33&amp;"-"&amp;-1+COUNTA($AQ$1:DataViewSectionItem[[#This Row],[Data Section for Items]])</f>
        <v>Data View Section Items-43</v>
      </c>
      <c r="AQ45" s="4" t="s">
        <v>2042</v>
      </c>
      <c r="AR4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331143</v>
      </c>
      <c r="AS45" s="30">
        <f>IF(DataViewSectionItem[[#This Row],[Data Section for Items]]="","section",VLOOKUP(DataViewSectionItem[[#This Row],[Data Section for Items]],DataViewSection[[DataSectionDisplayName]:[No]],2,0))</f>
        <v>330111</v>
      </c>
      <c r="AT45" s="30" t="s">
        <v>2013</v>
      </c>
      <c r="AU45" s="78" t="s">
        <v>1990</v>
      </c>
      <c r="AV45" s="30" t="str">
        <f>IF(DataViewSectionItem[[#This Row],[Data Section for Items]]="","relation",IFERROR(VLOOKUP(DataViewSectionItem[[#This Row],[Relation]],RelationTable[[Display]:[RELID]],2,0),""))</f>
        <v/>
      </c>
      <c r="AW45" s="78"/>
    </row>
    <row r="46" spans="42:49" x14ac:dyDescent="0.25">
      <c r="AP46" s="30" t="str">
        <f>'Table Seed Map'!$A$33&amp;"-"&amp;-1+COUNTA($AQ$1:DataViewSectionItem[[#This Row],[Data Section for Items]])</f>
        <v>Data View Section Items-44</v>
      </c>
      <c r="AQ46" s="4" t="s">
        <v>2042</v>
      </c>
      <c r="AR4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331144</v>
      </c>
      <c r="AS46" s="30">
        <f>IF(DataViewSectionItem[[#This Row],[Data Section for Items]]="","section",VLOOKUP(DataViewSectionItem[[#This Row],[Data Section for Items]],DataViewSection[[DataSectionDisplayName]:[No]],2,0))</f>
        <v>330111</v>
      </c>
      <c r="AT46" s="30" t="s">
        <v>2014</v>
      </c>
      <c r="AU46" s="78" t="s">
        <v>1991</v>
      </c>
      <c r="AV46" s="30" t="str">
        <f>IF(DataViewSectionItem[[#This Row],[Data Section for Items]]="","relation",IFERROR(VLOOKUP(DataViewSectionItem[[#This Row],[Relation]],RelationTable[[Display]:[RELID]],2,0),""))</f>
        <v/>
      </c>
      <c r="AW46" s="78"/>
    </row>
    <row r="47" spans="42:49" x14ac:dyDescent="0.25">
      <c r="AP47" s="30" t="str">
        <f>'Table Seed Map'!$A$33&amp;"-"&amp;-1+COUNTA($AQ$1:DataViewSectionItem[[#This Row],[Data Section for Items]])</f>
        <v>Data View Section Items-45</v>
      </c>
      <c r="AQ47" s="4" t="s">
        <v>2043</v>
      </c>
      <c r="AR4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331145</v>
      </c>
      <c r="AS47" s="30">
        <f>IF(DataViewSectionItem[[#This Row],[Data Section for Items]]="","section",VLOOKUP(DataViewSectionItem[[#This Row],[Data Section for Items]],DataViewSection[[DataSectionDisplayName]:[No]],2,0))</f>
        <v>330112</v>
      </c>
      <c r="AT47" s="30" t="s">
        <v>2015</v>
      </c>
      <c r="AU47" s="78" t="s">
        <v>1995</v>
      </c>
      <c r="AV47" s="30" t="str">
        <f>IF(DataViewSectionItem[[#This Row],[Data Section for Items]]="","relation",IFERROR(VLOOKUP(DataViewSectionItem[[#This Row],[Relation]],RelationTable[[Display]:[RELID]],2,0),""))</f>
        <v/>
      </c>
      <c r="AW47" s="78"/>
    </row>
    <row r="48" spans="42:49" x14ac:dyDescent="0.25">
      <c r="AP48" s="30" t="str">
        <f>'Table Seed Map'!$A$33&amp;"-"&amp;-1+COUNTA($AQ$1:DataViewSectionItem[[#This Row],[Data Section for Items]])</f>
        <v>Data View Section Items-46</v>
      </c>
      <c r="AQ48" s="4" t="s">
        <v>2043</v>
      </c>
      <c r="AR4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331146</v>
      </c>
      <c r="AS48" s="30">
        <f>IF(DataViewSectionItem[[#This Row],[Data Section for Items]]="","section",VLOOKUP(DataViewSectionItem[[#This Row],[Data Section for Items]],DataViewSection[[DataSectionDisplayName]:[No]],2,0))</f>
        <v>330112</v>
      </c>
      <c r="AT48" s="30" t="s">
        <v>2016</v>
      </c>
      <c r="AU48" s="78" t="s">
        <v>1996</v>
      </c>
      <c r="AV48" s="30" t="str">
        <f>IF(DataViewSectionItem[[#This Row],[Data Section for Items]]="","relation",IFERROR(VLOOKUP(DataViewSectionItem[[#This Row],[Relation]],RelationTable[[Display]:[RELID]],2,0),""))</f>
        <v/>
      </c>
      <c r="AW48" s="78"/>
    </row>
    <row r="49" spans="42:49" x14ac:dyDescent="0.25">
      <c r="AP49" s="30" t="str">
        <f>'Table Seed Map'!$A$33&amp;"-"&amp;-1+COUNTA($AQ$1:DataViewSectionItem[[#This Row],[Data Section for Items]])</f>
        <v>Data View Section Items-47</v>
      </c>
      <c r="AQ49" s="4" t="s">
        <v>2043</v>
      </c>
      <c r="AR4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331147</v>
      </c>
      <c r="AS49" s="30">
        <f>IF(DataViewSectionItem[[#This Row],[Data Section for Items]]="","section",VLOOKUP(DataViewSectionItem[[#This Row],[Data Section for Items]],DataViewSection[[DataSectionDisplayName]:[No]],2,0))</f>
        <v>330112</v>
      </c>
      <c r="AT49" s="30" t="s">
        <v>2017</v>
      </c>
      <c r="AU49" s="78" t="s">
        <v>1997</v>
      </c>
      <c r="AV49" s="30" t="str">
        <f>IF(DataViewSectionItem[[#This Row],[Data Section for Items]]="","relation",IFERROR(VLOOKUP(DataViewSectionItem[[#This Row],[Relation]],RelationTable[[Display]:[RELID]],2,0),""))</f>
        <v/>
      </c>
      <c r="AW49" s="78"/>
    </row>
    <row r="50" spans="42:49" x14ac:dyDescent="0.25">
      <c r="AP50" s="30" t="str">
        <f>'Table Seed Map'!$A$33&amp;"-"&amp;-1+COUNTA($AQ$1:DataViewSectionItem[[#This Row],[Data Section for Items]])</f>
        <v>Data View Section Items-48</v>
      </c>
      <c r="AQ50" s="4" t="s">
        <v>2044</v>
      </c>
      <c r="AR5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331148</v>
      </c>
      <c r="AS50" s="30">
        <f>IF(DataViewSectionItem[[#This Row],[Data Section for Items]]="","section",VLOOKUP(DataViewSectionItem[[#This Row],[Data Section for Items]],DataViewSection[[DataSectionDisplayName]:[No]],2,0))</f>
        <v>330113</v>
      </c>
      <c r="AT50" s="30" t="s">
        <v>2010</v>
      </c>
      <c r="AU50" s="78" t="s">
        <v>1998</v>
      </c>
      <c r="AV50" s="30" t="str">
        <f>IF(DataViewSectionItem[[#This Row],[Data Section for Items]]="","relation",IFERROR(VLOOKUP(DataViewSectionItem[[#This Row],[Relation]],RelationTable[[Display]:[RELID]],2,0),""))</f>
        <v/>
      </c>
      <c r="AW50" s="78"/>
    </row>
    <row r="51" spans="42:49" x14ac:dyDescent="0.25">
      <c r="AP51" s="30" t="str">
        <f>'Table Seed Map'!$A$33&amp;"-"&amp;-1+COUNTA($AQ$1:DataViewSectionItem[[#This Row],[Data Section for Items]])</f>
        <v>Data View Section Items-49</v>
      </c>
      <c r="AQ51" s="4" t="s">
        <v>2045</v>
      </c>
      <c r="AR5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331149</v>
      </c>
      <c r="AS51" s="30">
        <f>IF(DataViewSectionItem[[#This Row],[Data Section for Items]]="","section",VLOOKUP(DataViewSectionItem[[#This Row],[Data Section for Items]],DataViewSection[[DataSectionDisplayName]:[No]],2,0))</f>
        <v>330114</v>
      </c>
      <c r="AT51" s="30" t="s">
        <v>2009</v>
      </c>
      <c r="AU51" s="78" t="s">
        <v>2005</v>
      </c>
      <c r="AV51" s="30" t="str">
        <f>IF(DataViewSectionItem[[#This Row],[Data Section for Items]]="","relation",IFERROR(VLOOKUP(DataViewSectionItem[[#This Row],[Relation]],RelationTable[[Display]:[RELID]],2,0),""))</f>
        <v/>
      </c>
      <c r="AW51" s="78"/>
    </row>
  </sheetData>
  <dataValidations count="5">
    <dataValidation type="list" allowBlank="1" showInputMessage="1" showErrorMessage="1" sqref="O2:R10 AN2:AN16 AW2:AW51">
      <formula1>Relations</formula1>
    </dataValidation>
    <dataValidation type="list" allowBlank="1" showInputMessage="1" showErrorMessage="1" sqref="N2:N10">
      <formula1>Scopes</formula1>
    </dataValidation>
    <dataValidation type="list" allowBlank="1" showInputMessage="1" showErrorMessage="1" sqref="L2:L10 AF2:AF16">
      <formula1>DataNames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AQ2:AQ51">
      <formula1>DataSections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8"/>
  <sheetViews>
    <sheetView topLeftCell="U12" workbookViewId="0">
      <selection activeCell="AC27" sqref="AC27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ResourceAction[No]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 x14ac:dyDescent="0.25">
      <c r="A3" s="67" t="str">
        <f>'Table Seed Map'!$A$34&amp;"-"&amp;(COUNTA($E$1:ResourceAction[[#This Row],[Resource]])-2)</f>
        <v>Resource Actions-1</v>
      </c>
      <c r="B3" s="67" t="str">
        <f>ResourceAction[[#This Row],[Resource Name]]&amp;"/"&amp;ResourceAction[[#This Row],[Name]]</f>
        <v>Setting/NewSettings</v>
      </c>
      <c r="C3" s="74" t="s">
        <v>1277</v>
      </c>
      <c r="D3" s="67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67">
        <f>IFERROR(VLOOKUP(ResourceAction[[#This Row],[Resource Name]],ResourceTable[[RName]:[No]],3,0),"resource")</f>
        <v>305105</v>
      </c>
      <c r="F3" s="67" t="s">
        <v>1384</v>
      </c>
      <c r="G3" s="67" t="s">
        <v>1385</v>
      </c>
      <c r="H3" s="67"/>
      <c r="I3" s="67"/>
      <c r="J3" s="67" t="s">
        <v>1365</v>
      </c>
      <c r="K3" s="65" t="str">
        <f>'Table Seed Map'!$A$35&amp;"-"&amp;(COUNTA($E$1:ResourceAction[[#This Row],[Resource]])-2)</f>
        <v>Action Method-1</v>
      </c>
      <c r="L3" s="67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67">
        <f>IF(ResourceAction[[#This Row],[No]]="id","resource_action",ResourceAction[[#This Row],[No]])</f>
        <v>332101</v>
      </c>
      <c r="N3" s="85" t="s">
        <v>121</v>
      </c>
      <c r="O3" s="86">
        <f ca="1">IF(ResourceAction[[#This Row],[Resource Name]]="","idn1",IF(ResourceAction[[#This Row],[IDN1]]="","",VLOOKUP(ResourceAction[[#This Row],[IDN1]],IDNMaps[[Display]:[ID]],2,0)))</f>
        <v>309101</v>
      </c>
      <c r="P3" s="86" t="str">
        <f>IF(ResourceAction[[#This Row],[Resource Name]]="","idn2",IF(ResourceAction[[#This Row],[IDN2]]="","",VLOOKUP(ResourceAction[[#This Row],[IDN2]],IDNMaps[[Display]:[ID]],2,0)))</f>
        <v/>
      </c>
      <c r="Q3" s="86" t="str">
        <f>IF(ResourceAction[[#This Row],[Resource Name]]="","idn3",IF(ResourceAction[[#This Row],[IDN3]]="","",VLOOKUP(ResourceAction[[#This Row],[IDN3]],IDNMaps[[Display]:[ID]],2,0)))</f>
        <v/>
      </c>
      <c r="R3" s="86" t="str">
        <f>IF(ResourceAction[[#This Row],[Resource Name]]="","idn4",IF(ResourceAction[[#This Row],[IDN4]]="","",VLOOKUP(ResourceAction[[#This Row],[IDN4]],IDNMaps[[Display]:[ID]],2,0)))</f>
        <v/>
      </c>
      <c r="S3" s="86" t="str">
        <f>IF(ResourceAction[[#This Row],[Resource Name]]="","idn5",IF(ResourceAction[[#This Row],[IDN5]]="","",VLOOKUP(ResourceAction[[#This Row],[IDN5]],IDNMaps[[Display]:[ID]],2,0)))</f>
        <v/>
      </c>
      <c r="T3" s="87" t="s">
        <v>1386</v>
      </c>
      <c r="U3" s="87"/>
      <c r="V3" s="87"/>
      <c r="W3" s="87"/>
      <c r="X3" s="87"/>
      <c r="Y3" s="73">
        <f>ResourceAction[No]</f>
        <v>332101</v>
      </c>
      <c r="Z3"/>
      <c r="AA3" s="4" t="s">
        <v>1397</v>
      </c>
      <c r="AB3" s="60">
        <f>VLOOKUP(ActionListNData[[#This Row],[Action Name]],ResourceAction[[Display]:[No]],3,0)</f>
        <v>332103</v>
      </c>
      <c r="AC3" s="60" t="s">
        <v>1377</v>
      </c>
      <c r="AD3" s="60"/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332103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Data-0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336100</v>
      </c>
      <c r="AK3" s="60">
        <f>ActionListNData[[#This Row],[Action]]</f>
        <v>332103</v>
      </c>
      <c r="AL3" s="60" t="str">
        <f>IF(ActionListNData[[#This Row],[Action Name]]="","resource_data",IFERROR(VLOOKUP(ActionListNData[[#This Row],[Resource Data]],ResourceData[[DataDisplayName]:[No]],2,0),""))</f>
        <v/>
      </c>
    </row>
    <row r="4" spans="1:45" x14ac:dyDescent="0.25">
      <c r="A4" s="67" t="str">
        <f>'Table Seed Map'!$A$34&amp;"-"&amp;(COUNTA($E$1:ResourceAction[[#This Row],[Resource]])-2)</f>
        <v>Resource Actions-2</v>
      </c>
      <c r="B4" s="67" t="str">
        <f>ResourceAction[[#This Row],[Resource Name]]&amp;"/"&amp;ResourceAction[[#This Row],[Name]]</f>
        <v>Setting/ListSettings</v>
      </c>
      <c r="C4" s="74" t="s">
        <v>1277</v>
      </c>
      <c r="D4" s="67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67">
        <f>IFERROR(VLOOKUP(ResourceAction[[#This Row],[Resource Name]],ResourceTable[[RName]:[No]],3,0),"resource")</f>
        <v>305105</v>
      </c>
      <c r="F4" s="67" t="s">
        <v>1387</v>
      </c>
      <c r="G4" s="67" t="s">
        <v>1388</v>
      </c>
      <c r="H4" s="67"/>
      <c r="I4" s="67"/>
      <c r="J4" s="67" t="s">
        <v>1389</v>
      </c>
      <c r="K4" s="65" t="str">
        <f>'Table Seed Map'!$A$35&amp;"-"&amp;(COUNTA($E$1:ResourceAction[[#This Row],[Resource]])-2)</f>
        <v>Action Method-2</v>
      </c>
      <c r="L4" s="67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67">
        <f>IF(ResourceAction[[#This Row],[No]]="id","resource_action",ResourceAction[[#This Row],[No]])</f>
        <v>332102</v>
      </c>
      <c r="N4" s="85" t="s">
        <v>122</v>
      </c>
      <c r="O4" s="86">
        <f ca="1">IF(ResourceAction[[#This Row],[Resource Name]]="","idn1",IF(ResourceAction[[#This Row],[IDN1]]="","",VLOOKUP(ResourceAction[[#This Row],[IDN1]],IDNMaps[[Display]:[ID]],2,0)))</f>
        <v>322101</v>
      </c>
      <c r="P4" s="86" t="str">
        <f>IF(ResourceAction[[#This Row],[Resource Name]]="","idn2",IF(ResourceAction[[#This Row],[IDN2]]="","",VLOOKUP(ResourceAction[[#This Row],[IDN2]],IDNMaps[[Display]:[ID]],2,0)))</f>
        <v/>
      </c>
      <c r="Q4" s="86" t="str">
        <f>IF(ResourceAction[[#This Row],[Resource Name]]="","idn3",IF(ResourceAction[[#This Row],[IDN3]]="","",VLOOKUP(ResourceAction[[#This Row],[IDN3]],IDNMaps[[Display]:[ID]],2,0)))</f>
        <v/>
      </c>
      <c r="R4" s="86" t="str">
        <f>IF(ResourceAction[[#This Row],[Resource Name]]="","idn4",IF(ResourceAction[[#This Row],[IDN4]]="","",VLOOKUP(ResourceAction[[#This Row],[IDN4]],IDNMaps[[Display]:[ID]],2,0)))</f>
        <v/>
      </c>
      <c r="S4" s="86" t="str">
        <f>IF(ResourceAction[[#This Row],[Resource Name]]="","idn5",IF(ResourceAction[[#This Row],[IDN5]]="","",VLOOKUP(ResourceAction[[#This Row],[IDN5]],IDNMaps[[Display]:[ID]],2,0)))</f>
        <v/>
      </c>
      <c r="T4" s="87" t="s">
        <v>1390</v>
      </c>
      <c r="U4" s="87"/>
      <c r="V4" s="87"/>
      <c r="W4" s="87"/>
      <c r="X4" s="87"/>
      <c r="Y4" s="73">
        <f>ResourceAction[No]</f>
        <v>332102</v>
      </c>
      <c r="Z4"/>
      <c r="AA4" s="4" t="s">
        <v>1398</v>
      </c>
      <c r="AB4" s="60">
        <f>VLOOKUP(ActionListNData[[#This Row],[Action Name]],ResourceAction[[Display]:[No]],3,0)</f>
        <v>332104</v>
      </c>
      <c r="AC4" s="60" t="s">
        <v>1377</v>
      </c>
      <c r="AD4" s="60" t="s">
        <v>1380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332104</v>
      </c>
      <c r="AH4" s="60">
        <f>IF(ActionListNData[[#This Row],[Action Name]]="","resource_list",IFERROR(VLOOKUP(ActionListNData[[#This Row],[Resource List]],ResourceList[[ListDisplayName]:[No]],2,0),""))</f>
        <v>322101</v>
      </c>
      <c r="AI4" s="60" t="str">
        <f>'Table Seed Map'!$A$38&amp;"-"&amp;-1+COUNTA($AD$1:ActionListNData[[#This Row],[Resource Data]])</f>
        <v>Action Data-1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4" s="60">
        <f>ActionListNData[[#This Row],[Action]]</f>
        <v>332104</v>
      </c>
      <c r="AL4" s="60">
        <f>IF(ActionListNData[[#This Row],[Action Name]]="","resource_data",IFERROR(VLOOKUP(ActionListNData[[#This Row],[Resource Data]],ResourceData[[DataDisplayName]:[No]],2,0),""))</f>
        <v>327101</v>
      </c>
    </row>
    <row r="5" spans="1:45" x14ac:dyDescent="0.25">
      <c r="A5" s="67" t="str">
        <f>'Table Seed Map'!$A$34&amp;"-"&amp;(COUNTA($E$1:ResourceAction[[#This Row],[Resource]])-2)</f>
        <v>Resource Actions-3</v>
      </c>
      <c r="B5" s="67" t="str">
        <f>ResourceAction[[#This Row],[Resource Name]]&amp;"/"&amp;ResourceAction[[#This Row],[Name]]</f>
        <v>Setting/ViewSettingsDetails</v>
      </c>
      <c r="C5" s="74" t="s">
        <v>1277</v>
      </c>
      <c r="D5" s="67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67">
        <f>IFERROR(VLOOKUP(ResourceAction[[#This Row],[Resource Name]],ResourceTable[[RName]:[No]],3,0),"resource")</f>
        <v>305105</v>
      </c>
      <c r="F5" s="67" t="s">
        <v>1391</v>
      </c>
      <c r="G5" s="67" t="s">
        <v>1392</v>
      </c>
      <c r="H5" s="67" t="s">
        <v>1348</v>
      </c>
      <c r="I5" s="67" t="s">
        <v>1366</v>
      </c>
      <c r="J5" s="67"/>
      <c r="K5" s="65" t="str">
        <f>'Table Seed Map'!$A$35&amp;"-"&amp;(COUNTA($E$1:ResourceAction[[#This Row],[Resource]])-2)</f>
        <v>Action Method-3</v>
      </c>
      <c r="L5" s="67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67">
        <f>IF(ResourceAction[[#This Row],[No]]="id","resource_action",ResourceAction[[#This Row],[No]])</f>
        <v>332103</v>
      </c>
      <c r="N5" s="85" t="s">
        <v>130</v>
      </c>
      <c r="O5" s="86">
        <f ca="1">IF(ResourceAction[[#This Row],[Resource Name]]="","idn1",IF(ResourceAction[[#This Row],[IDN1]]="","",VLOOKUP(ResourceAction[[#This Row],[IDN1]],IDNMaps[[Display]:[ID]],2,0)))</f>
        <v>327101</v>
      </c>
      <c r="P5" s="86" t="str">
        <f>IF(ResourceAction[[#This Row],[Resource Name]]="","idn2",IF(ResourceAction[[#This Row],[IDN2]]="","",VLOOKUP(ResourceAction[[#This Row],[IDN2]],IDNMaps[[Display]:[ID]],2,0)))</f>
        <v/>
      </c>
      <c r="Q5" s="86" t="str">
        <f>IF(ResourceAction[[#This Row],[Resource Name]]="","idn3",IF(ResourceAction[[#This Row],[IDN3]]="","",VLOOKUP(ResourceAction[[#This Row],[IDN3]],IDNMaps[[Display]:[ID]],2,0)))</f>
        <v/>
      </c>
      <c r="R5" s="86" t="str">
        <f>IF(ResourceAction[[#This Row],[Resource Name]]="","idn4",IF(ResourceAction[[#This Row],[IDN4]]="","",VLOOKUP(ResourceAction[[#This Row],[IDN4]],IDNMaps[[Display]:[ID]],2,0)))</f>
        <v/>
      </c>
      <c r="S5" s="86" t="str">
        <f>IF(ResourceAction[[#This Row],[Resource Name]]="","idn5",IF(ResourceAction[[#This Row],[IDN5]]="","",VLOOKUP(ResourceAction[[#This Row],[IDN5]],IDNMaps[[Display]:[ID]],2,0)))</f>
        <v/>
      </c>
      <c r="T5" s="87" t="s">
        <v>1393</v>
      </c>
      <c r="U5" s="87"/>
      <c r="V5" s="87"/>
      <c r="W5" s="87"/>
      <c r="X5" s="87"/>
      <c r="Y5" s="73">
        <f>ResourceAction[No]</f>
        <v>332103</v>
      </c>
      <c r="Z5"/>
      <c r="AA5" s="4" t="s">
        <v>1422</v>
      </c>
      <c r="AB5" s="60">
        <f>VLOOKUP(ActionListNData[[#This Row],[Action Name]],ResourceAction[[Display]:[No]],3,0)</f>
        <v>332106</v>
      </c>
      <c r="AC5" s="60" t="s">
        <v>1436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332106</v>
      </c>
      <c r="AH5" s="60">
        <f>IF(ActionListNData[[#This Row],[Action Name]]="","resource_list",IFERROR(VLOOKUP(ActionListNData[[#This Row],[Resource List]],ResourceList[[ListDisplayName]:[No]],2,0),""))</f>
        <v>322104</v>
      </c>
      <c r="AI5" s="60" t="str">
        <f>'Table Seed Map'!$A$38&amp;"-"&amp;-1+COUNTA($AD$1:ActionListNData[[#This Row],[Resource Data]])</f>
        <v>Action Data-1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5" s="60">
        <f>ActionListNData[[#This Row],[Action]]</f>
        <v>332106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 x14ac:dyDescent="0.25">
      <c r="A6" s="67" t="str">
        <f>'Table Seed Map'!$A$34&amp;"-"&amp;(COUNTA($E$1:ResourceAction[[#This Row],[Resource]])-2)</f>
        <v>Resource Actions-4</v>
      </c>
      <c r="B6" s="67" t="str">
        <f>ResourceAction[[#This Row],[Resource Name]]&amp;"/"&amp;ResourceAction[[#This Row],[Name]]</f>
        <v>Setting/UpdateSettings</v>
      </c>
      <c r="C6" s="74" t="s">
        <v>1277</v>
      </c>
      <c r="D6" s="67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67">
        <f>IFERROR(VLOOKUP(ResourceAction[[#This Row],[Resource Name]],ResourceTable[[RName]:[No]],3,0),"resource")</f>
        <v>305105</v>
      </c>
      <c r="F6" s="67" t="s">
        <v>1394</v>
      </c>
      <c r="G6" s="67" t="s">
        <v>1395</v>
      </c>
      <c r="H6" s="67" t="s">
        <v>1396</v>
      </c>
      <c r="I6" s="67" t="s">
        <v>1366</v>
      </c>
      <c r="J6" s="67"/>
      <c r="K6" s="65" t="str">
        <f>'Table Seed Map'!$A$35&amp;"-"&amp;(COUNTA($E$1:ResourceAction[[#This Row],[Resource]])-2)</f>
        <v>Action Method-4</v>
      </c>
      <c r="L6" s="67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67">
        <f>IF(ResourceAction[[#This Row],[No]]="id","resource_action",ResourceAction[[#This Row],[No]])</f>
        <v>332104</v>
      </c>
      <c r="N6" s="85" t="s">
        <v>224</v>
      </c>
      <c r="O6" s="86">
        <f ca="1">IF(ResourceAction[[#This Row],[Resource Name]]="","idn1",IF(ResourceAction[[#This Row],[IDN1]]="","",VLOOKUP(ResourceAction[[#This Row],[IDN1]],IDNMaps[[Display]:[ID]],2,0)))</f>
        <v>309101</v>
      </c>
      <c r="P6" s="86">
        <f ca="1">IF(ResourceAction[[#This Row],[Resource Name]]="","idn2",IF(ResourceAction[[#This Row],[IDN2]]="","",VLOOKUP(ResourceAction[[#This Row],[IDN2]],IDNMaps[[Display]:[ID]],2,0)))</f>
        <v>327101</v>
      </c>
      <c r="Q6" s="86" t="str">
        <f>IF(ResourceAction[[#This Row],[Resource Name]]="","idn3",IF(ResourceAction[[#This Row],[IDN3]]="","",VLOOKUP(ResourceAction[[#This Row],[IDN3]],IDNMaps[[Display]:[ID]],2,0)))</f>
        <v/>
      </c>
      <c r="R6" s="86" t="str">
        <f>IF(ResourceAction[[#This Row],[Resource Name]]="","idn4",IF(ResourceAction[[#This Row],[IDN4]]="","",VLOOKUP(ResourceAction[[#This Row],[IDN4]],IDNMaps[[Display]:[ID]],2,0)))</f>
        <v/>
      </c>
      <c r="S6" s="86" t="str">
        <f>IF(ResourceAction[[#This Row],[Resource Name]]="","idn5",IF(ResourceAction[[#This Row],[IDN5]]="","",VLOOKUP(ResourceAction[[#This Row],[IDN5]],IDNMaps[[Display]:[ID]],2,0)))</f>
        <v/>
      </c>
      <c r="T6" s="87" t="s">
        <v>1386</v>
      </c>
      <c r="U6" s="87" t="s">
        <v>1393</v>
      </c>
      <c r="V6" s="87"/>
      <c r="W6" s="87"/>
      <c r="X6" s="87"/>
      <c r="Y6" s="73">
        <f>ResourceAction[No]</f>
        <v>332104</v>
      </c>
      <c r="Z6"/>
      <c r="AA6" s="2" t="s">
        <v>1452</v>
      </c>
      <c r="AB6" s="16">
        <f>VLOOKUP(ActionListNData[[#This Row],[Action Name]],ResourceAction[[Display]:[No]],3,0)</f>
        <v>332109</v>
      </c>
      <c r="AC6" s="60" t="s">
        <v>1436</v>
      </c>
      <c r="AD6" s="16"/>
      <c r="AE6" s="16" t="str">
        <f>'Table Seed Map'!$A$37&amp;"-"&amp;-1+COUNTA($AC$1:ActionListNData[[#This Row],[Resource List]])</f>
        <v>Action List-4</v>
      </c>
      <c r="AF6" s="16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16">
        <f>ActionListNData[[#This Row],[Action]]</f>
        <v>332109</v>
      </c>
      <c r="AH6" s="16">
        <f>IF(ActionListNData[[#This Row],[Action Name]]="","resource_list",IFERROR(VLOOKUP(ActionListNData[[#This Row],[Resource List]],ResourceList[[ListDisplayName]:[No]],2,0),""))</f>
        <v>322104</v>
      </c>
      <c r="AI6" s="16" t="str">
        <f>'Table Seed Map'!$A$38&amp;"-"&amp;-1+COUNTA($AD$1:ActionListNData[[#This Row],[Resource Data]])</f>
        <v>Action Data-1</v>
      </c>
      <c r="AJ6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6" s="16">
        <f>ActionListNData[[#This Row],[Action]]</f>
        <v>332109</v>
      </c>
      <c r="AL6" s="16" t="str">
        <f>IF(ActionListNData[[#This Row],[Action Name]]="","resource_data",IFERROR(VLOOKUP(ActionListNData[[#This Row],[Resource Data]],ResourceData[[DataDisplayName]:[No]],2,0),""))</f>
        <v/>
      </c>
    </row>
    <row r="7" spans="1:45" x14ac:dyDescent="0.25">
      <c r="A7" s="67" t="str">
        <f>'Table Seed Map'!$A$34&amp;"-"&amp;(COUNTA($E$1:ResourceAction[[#This Row],[Resource]])-2)</f>
        <v>Resource Actions-5</v>
      </c>
      <c r="B7" s="67" t="str">
        <f>ResourceAction[[#This Row],[Resource Name]]&amp;"/"&amp;ResourceAction[[#This Row],[Name]]</f>
        <v>User/UsersList</v>
      </c>
      <c r="C7" s="74" t="s">
        <v>74</v>
      </c>
      <c r="D7" s="67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67">
        <f>IFERROR(VLOOKUP(ResourceAction[[#This Row],[Resource Name]],ResourceTable[[RName]:[No]],3,0),"resource")</f>
        <v>305101</v>
      </c>
      <c r="F7" s="67" t="s">
        <v>1413</v>
      </c>
      <c r="G7" s="67" t="s">
        <v>1407</v>
      </c>
      <c r="H7" s="67"/>
      <c r="I7" s="67"/>
      <c r="J7" s="67" t="s">
        <v>1389</v>
      </c>
      <c r="K7" s="65" t="str">
        <f>'Table Seed Map'!$A$35&amp;"-"&amp;(COUNTA($E$1:ResourceAction[[#This Row],[Resource]])-2)</f>
        <v>Action Method-5</v>
      </c>
      <c r="L7" s="67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67">
        <f>IF(ResourceAction[[#This Row],[No]]="id","resource_action",ResourceAction[[#This Row],[No]])</f>
        <v>332105</v>
      </c>
      <c r="N7" s="85" t="s">
        <v>122</v>
      </c>
      <c r="O7" s="86">
        <f ca="1">IF(ResourceAction[[#This Row],[Resource Name]]="","idn1",IF(ResourceAction[[#This Row],[IDN1]]="","",VLOOKUP(ResourceAction[[#This Row],[IDN1]],IDNMaps[[Display]:[ID]],2,0)))</f>
        <v>322102</v>
      </c>
      <c r="P7" s="86" t="str">
        <f>IF(ResourceAction[[#This Row],[Resource Name]]="","idn2",IF(ResourceAction[[#This Row],[IDN2]]="","",VLOOKUP(ResourceAction[[#This Row],[IDN2]],IDNMaps[[Display]:[ID]],2,0)))</f>
        <v/>
      </c>
      <c r="Q7" s="86" t="str">
        <f>IF(ResourceAction[[#This Row],[Resource Name]]="","idn3",IF(ResourceAction[[#This Row],[IDN3]]="","",VLOOKUP(ResourceAction[[#This Row],[IDN3]],IDNMaps[[Display]:[ID]],2,0)))</f>
        <v/>
      </c>
      <c r="R7" s="86" t="str">
        <f>IF(ResourceAction[[#This Row],[Resource Name]]="","idn4",IF(ResourceAction[[#This Row],[IDN4]]="","",VLOOKUP(ResourceAction[[#This Row],[IDN4]],IDNMaps[[Display]:[ID]],2,0)))</f>
        <v/>
      </c>
      <c r="S7" s="86" t="str">
        <f>IF(ResourceAction[[#This Row],[Resource Name]]="","idn5",IF(ResourceAction[[#This Row],[IDN5]]="","",VLOOKUP(ResourceAction[[#This Row],[IDN5]],IDNMaps[[Display]:[ID]],2,0)))</f>
        <v/>
      </c>
      <c r="T7" s="87" t="s">
        <v>1414</v>
      </c>
      <c r="U7" s="87"/>
      <c r="V7" s="87"/>
      <c r="W7" s="87"/>
      <c r="X7" s="87"/>
      <c r="Y7" s="73">
        <f>ResourceAction[No]</f>
        <v>332105</v>
      </c>
      <c r="Z7"/>
      <c r="AA7" s="2" t="s">
        <v>1460</v>
      </c>
      <c r="AB7" s="16">
        <f>VLOOKUP(ActionListNData[[#This Row],[Action Name]],ResourceAction[[Display]:[No]],3,0)</f>
        <v>332110</v>
      </c>
      <c r="AC7" s="60" t="s">
        <v>1377</v>
      </c>
      <c r="AD7" s="16"/>
      <c r="AE7" s="16" t="str">
        <f>'Table Seed Map'!$A$37&amp;"-"&amp;-1+COUNTA($AC$1:ActionListNData[[#This Row],[Resource List]])</f>
        <v>Action List-5</v>
      </c>
      <c r="AF7" s="16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16">
        <f>ActionListNData[[#This Row],[Action]]</f>
        <v>332110</v>
      </c>
      <c r="AH7" s="16">
        <f>IF(ActionListNData[[#This Row],[Action Name]]="","resource_list",IFERROR(VLOOKUP(ActionListNData[[#This Row],[Resource List]],ResourceList[[ListDisplayName]:[No]],2,0),""))</f>
        <v>322101</v>
      </c>
      <c r="AI7" s="16" t="str">
        <f>'Table Seed Map'!$A$38&amp;"-"&amp;-1+COUNTA($AD$1:ActionListNData[[#This Row],[Resource Data]])</f>
        <v>Action Data-1</v>
      </c>
      <c r="AJ7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7" s="16">
        <f>ActionListNData[[#This Row],[Action]]</f>
        <v>332110</v>
      </c>
      <c r="AL7" s="16" t="str">
        <f>IF(ActionListNData[[#This Row],[Action Name]]="","resource_data",IFERROR(VLOOKUP(ActionListNData[[#This Row],[Resource Data]],ResourceData[[DataDisplayName]:[No]],2,0),""))</f>
        <v/>
      </c>
    </row>
    <row r="8" spans="1:45" x14ac:dyDescent="0.25">
      <c r="A8" s="67" t="str">
        <f>'Table Seed Map'!$A$34&amp;"-"&amp;(COUNTA($E$1:ResourceAction[[#This Row],[Resource]])-2)</f>
        <v>Resource Actions-6</v>
      </c>
      <c r="B8" s="67" t="str">
        <f>ResourceAction[[#This Row],[Resource Name]]&amp;"/"&amp;ResourceAction[[#This Row],[Name]]</f>
        <v>User/UserSettingsListAction</v>
      </c>
      <c r="C8" s="74" t="s">
        <v>74</v>
      </c>
      <c r="D8" s="67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67">
        <f>IFERROR(VLOOKUP(ResourceAction[[#This Row],[Resource Name]],ResourceTable[[RName]:[No]],3,0),"resource")</f>
        <v>305101</v>
      </c>
      <c r="F8" s="67" t="s">
        <v>1418</v>
      </c>
      <c r="G8" s="67" t="s">
        <v>1419</v>
      </c>
      <c r="H8" s="67" t="s">
        <v>1447</v>
      </c>
      <c r="I8" s="67" t="s">
        <v>1366</v>
      </c>
      <c r="J8" s="67"/>
      <c r="K8" s="65" t="str">
        <f>'Table Seed Map'!$A$35&amp;"-"&amp;(COUNTA($E$1:ResourceAction[[#This Row],[Resource]])-2)</f>
        <v>Action Method-6</v>
      </c>
      <c r="L8" s="67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67">
        <f>IF(ResourceAction[[#This Row],[No]]="id","resource_action",ResourceAction[[#This Row],[No]])</f>
        <v>332106</v>
      </c>
      <c r="N8" s="85" t="s">
        <v>1405</v>
      </c>
      <c r="O8" s="86">
        <f ca="1">IF(ResourceAction[[#This Row],[Resource Name]]="","idn1",IF(ResourceAction[[#This Row],[IDN1]]="","",VLOOKUP(ResourceAction[[#This Row],[IDN1]],IDNMaps[[Display]:[ID]],2,0)))</f>
        <v>308110</v>
      </c>
      <c r="P8" s="86">
        <f ca="1">IF(ResourceAction[[#This Row],[Resource Name]]="","idn2",IF(ResourceAction[[#This Row],[IDN2]]="","",VLOOKUP(ResourceAction[[#This Row],[IDN2]],IDNMaps[[Display]:[ID]],2,0)))</f>
        <v>322103</v>
      </c>
      <c r="Q8" s="86" t="str">
        <f>IF(ResourceAction[[#This Row],[Resource Name]]="","idn3",IF(ResourceAction[[#This Row],[IDN3]]="","",VLOOKUP(ResourceAction[[#This Row],[IDN3]],IDNMaps[[Display]:[ID]],2,0)))</f>
        <v/>
      </c>
      <c r="R8" s="86" t="str">
        <f>IF(ResourceAction[[#This Row],[Resource Name]]="","idn4",IF(ResourceAction[[#This Row],[IDN4]]="","",VLOOKUP(ResourceAction[[#This Row],[IDN4]],IDNMaps[[Display]:[ID]],2,0)))</f>
        <v/>
      </c>
      <c r="S8" s="86" t="str">
        <f>IF(ResourceAction[[#This Row],[Resource Name]]="","idn5",IF(ResourceAction[[#This Row],[IDN5]]="","",VLOOKUP(ResourceAction[[#This Row],[IDN5]],IDNMaps[[Display]:[ID]],2,0)))</f>
        <v/>
      </c>
      <c r="T8" s="87" t="s">
        <v>1420</v>
      </c>
      <c r="U8" s="87" t="s">
        <v>1421</v>
      </c>
      <c r="V8" s="87"/>
      <c r="W8" s="87"/>
      <c r="X8" s="87"/>
      <c r="Y8" s="73">
        <f>ResourceAction[No]</f>
        <v>332106</v>
      </c>
      <c r="Z8"/>
      <c r="AA8" s="2" t="s">
        <v>1461</v>
      </c>
      <c r="AB8" s="16">
        <f>VLOOKUP(ActionListNData[[#This Row],[Action Name]],ResourceAction[[Display]:[No]],3,0)</f>
        <v>332111</v>
      </c>
      <c r="AC8" s="60" t="s">
        <v>1377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332111</v>
      </c>
      <c r="AH8" s="16">
        <f>IF(ActionListNData[[#This Row],[Action Name]]="","resource_list",IFERROR(VLOOKUP(ActionListNData[[#This Row],[Resource List]],ResourceList[[ListDisplayName]:[No]],2,0),""))</f>
        <v>322101</v>
      </c>
      <c r="AI8" s="16" t="str">
        <f>'Table Seed Map'!$A$38&amp;"-"&amp;-1+COUNTA($AD$1:ActionListNData[[#This Row],[Resource Data]])</f>
        <v>Action Data-1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8" s="16">
        <f>ActionListNData[[#This Row],[Action]]</f>
        <v>332111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 x14ac:dyDescent="0.25">
      <c r="A9" s="67" t="str">
        <f>'Table Seed Map'!$A$34&amp;"-"&amp;(COUNTA($E$1:ResourceAction[[#This Row],[Resource]])-2)</f>
        <v>Resource Actions-7</v>
      </c>
      <c r="B9" s="67" t="str">
        <f>ResourceAction[[#This Row],[Resource Name]]&amp;"/"&amp;ResourceAction[[#This Row],[Name]]</f>
        <v>User/ListSalesExecutiveAction</v>
      </c>
      <c r="C9" s="74" t="s">
        <v>74</v>
      </c>
      <c r="D9" s="67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67">
        <f>IFERROR(VLOOKUP(ResourceAction[[#This Row],[Resource Name]],ResourceTable[[RName]:[No]],3,0),"resource")</f>
        <v>305101</v>
      </c>
      <c r="F9" s="67" t="s">
        <v>1437</v>
      </c>
      <c r="G9" s="67" t="s">
        <v>1438</v>
      </c>
      <c r="H9" s="67"/>
      <c r="I9" s="67"/>
      <c r="J9" s="67" t="s">
        <v>1435</v>
      </c>
      <c r="K9" s="65" t="str">
        <f>'Table Seed Map'!$A$35&amp;"-"&amp;(COUNTA($E$1:ResourceAction[[#This Row],[Resource]])-2)</f>
        <v>Action Method-7</v>
      </c>
      <c r="L9" s="67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67">
        <f>IF(ResourceAction[[#This Row],[No]]="id","resource_action",ResourceAction[[#This Row],[No]])</f>
        <v>332107</v>
      </c>
      <c r="N9" s="85" t="s">
        <v>122</v>
      </c>
      <c r="O9" s="86">
        <f ca="1">IF(ResourceAction[[#This Row],[Resource Name]]="","idn1",IF(ResourceAction[[#This Row],[IDN1]]="","",VLOOKUP(ResourceAction[[#This Row],[IDN1]],IDNMaps[[Display]:[ID]],2,0)))</f>
        <v>322104</v>
      </c>
      <c r="P9" s="86" t="str">
        <f>IF(ResourceAction[[#This Row],[Resource Name]]="","idn2",IF(ResourceAction[[#This Row],[IDN2]]="","",VLOOKUP(ResourceAction[[#This Row],[IDN2]],IDNMaps[[Display]:[ID]],2,0)))</f>
        <v/>
      </c>
      <c r="Q9" s="86" t="str">
        <f>IF(ResourceAction[[#This Row],[Resource Name]]="","idn3",IF(ResourceAction[[#This Row],[IDN3]]="","",VLOOKUP(ResourceAction[[#This Row],[IDN3]],IDNMaps[[Display]:[ID]],2,0)))</f>
        <v/>
      </c>
      <c r="R9" s="86" t="str">
        <f>IF(ResourceAction[[#This Row],[Resource Name]]="","idn4",IF(ResourceAction[[#This Row],[IDN4]]="","",VLOOKUP(ResourceAction[[#This Row],[IDN4]],IDNMaps[[Display]:[ID]],2,0)))</f>
        <v/>
      </c>
      <c r="S9" s="86" t="str">
        <f>IF(ResourceAction[[#This Row],[Resource Name]]="","idn5",IF(ResourceAction[[#This Row],[IDN5]]="","",VLOOKUP(ResourceAction[[#This Row],[IDN5]],IDNMaps[[Display]:[ID]],2,0)))</f>
        <v/>
      </c>
      <c r="T9" s="87" t="s">
        <v>1439</v>
      </c>
      <c r="U9" s="87"/>
      <c r="V9" s="87"/>
      <c r="W9" s="87"/>
      <c r="X9" s="87"/>
      <c r="Y9" s="73">
        <f>ResourceAction[No]</f>
        <v>332107</v>
      </c>
      <c r="Z9"/>
      <c r="AA9" s="2" t="s">
        <v>1486</v>
      </c>
      <c r="AB9" s="16">
        <f>VLOOKUP(ActionListNData[[#This Row],[Action Name]],ResourceAction[[Display]:[No]],3,0)</f>
        <v>332114</v>
      </c>
      <c r="AC9" s="60" t="s">
        <v>1417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332114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Data-1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9" s="16">
        <f>ActionListNData[[#This Row],[Action]]</f>
        <v>332114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 x14ac:dyDescent="0.25">
      <c r="A10" s="67" t="str">
        <f>'Table Seed Map'!$A$34&amp;"-"&amp;(COUNTA($E$1:ResourceAction[[#This Row],[Resource]])-2)</f>
        <v>Resource Actions-8</v>
      </c>
      <c r="B10" s="67" t="str">
        <f>ResourceAction[[#This Row],[Resource Name]]&amp;"/"&amp;ResourceAction[[#This Row],[Name]]</f>
        <v>UserSetting/AddNewUserSettingAction</v>
      </c>
      <c r="C10" s="74" t="s">
        <v>1286</v>
      </c>
      <c r="D10" s="67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67">
        <f>IFERROR(VLOOKUP(ResourceAction[[#This Row],[Resource Name]],ResourceTable[[RName]:[No]],3,0),"resource")</f>
        <v>305117</v>
      </c>
      <c r="F10" s="67" t="s">
        <v>1442</v>
      </c>
      <c r="G10" s="67" t="s">
        <v>1443</v>
      </c>
      <c r="H10" s="67"/>
      <c r="I10" s="67"/>
      <c r="J10" s="67" t="s">
        <v>1444</v>
      </c>
      <c r="K10" s="65" t="str">
        <f>'Table Seed Map'!$A$35&amp;"-"&amp;(COUNTA($E$1:ResourceAction[[#This Row],[Resource]])-2)</f>
        <v>Action Method-8</v>
      </c>
      <c r="L10" s="67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67">
        <f>IF(ResourceAction[[#This Row],[No]]="id","resource_action",ResourceAction[[#This Row],[No]])</f>
        <v>332108</v>
      </c>
      <c r="N10" s="85" t="s">
        <v>121</v>
      </c>
      <c r="O10" s="86">
        <f ca="1">IF(ResourceAction[[#This Row],[Resource Name]]="","idn1",IF(ResourceAction[[#This Row],[IDN1]]="","",VLOOKUP(ResourceAction[[#This Row],[IDN1]],IDNMaps[[Display]:[ID]],2,0)))</f>
        <v>309102</v>
      </c>
      <c r="P10" s="86" t="str">
        <f>IF(ResourceAction[[#This Row],[Resource Name]]="","idn2",IF(ResourceAction[[#This Row],[IDN2]]="","",VLOOKUP(ResourceAction[[#This Row],[IDN2]],IDNMaps[[Display]:[ID]],2,0)))</f>
        <v/>
      </c>
      <c r="Q10" s="86" t="str">
        <f>IF(ResourceAction[[#This Row],[Resource Name]]="","idn3",IF(ResourceAction[[#This Row],[IDN3]]="","",VLOOKUP(ResourceAction[[#This Row],[IDN3]],IDNMaps[[Display]:[ID]],2,0)))</f>
        <v/>
      </c>
      <c r="R10" s="86" t="str">
        <f>IF(ResourceAction[[#This Row],[Resource Name]]="","idn4",IF(ResourceAction[[#This Row],[IDN4]]="","",VLOOKUP(ResourceAction[[#This Row],[IDN4]],IDNMaps[[Display]:[ID]],2,0)))</f>
        <v/>
      </c>
      <c r="S10" s="86" t="str">
        <f>IF(ResourceAction[[#This Row],[Resource Name]]="","idn5",IF(ResourceAction[[#This Row],[IDN5]]="","",VLOOKUP(ResourceAction[[#This Row],[IDN5]],IDNMaps[[Display]:[ID]],2,0)))</f>
        <v/>
      </c>
      <c r="T10" s="87" t="s">
        <v>1445</v>
      </c>
      <c r="U10" s="87"/>
      <c r="V10" s="87"/>
      <c r="W10" s="87"/>
      <c r="X10" s="87"/>
      <c r="Y10" s="73">
        <f>ResourceAction[No]</f>
        <v>332108</v>
      </c>
      <c r="Z10"/>
      <c r="AA10" s="2" t="s">
        <v>1487</v>
      </c>
      <c r="AB10" s="16">
        <f>VLOOKUP(ActionListNData[[#This Row],[Action Name]],ResourceAction[[Display]:[No]],3,0)</f>
        <v>332113</v>
      </c>
      <c r="AC10" s="16" t="s">
        <v>1417</v>
      </c>
      <c r="AD10" s="16" t="s">
        <v>1478</v>
      </c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332113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Data-2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10" s="16">
        <f>ActionListNData[[#This Row],[Action]]</f>
        <v>332113</v>
      </c>
      <c r="AL10" s="16">
        <f>IF(ActionListNData[[#This Row],[Action Name]]="","resource_data",IFERROR(VLOOKUP(ActionListNData[[#This Row],[Resource Data]],ResourceData[[DataDisplayName]:[No]],2,0),""))</f>
        <v>327102</v>
      </c>
    </row>
    <row r="11" spans="1:45" x14ac:dyDescent="0.25">
      <c r="A11" s="67" t="str">
        <f>'Table Seed Map'!$A$34&amp;"-"&amp;(COUNTA($E$1:ResourceAction[[#This Row],[Resource]])-2)</f>
        <v>Resource Actions-9</v>
      </c>
      <c r="B11" s="67" t="str">
        <f>ResourceAction[[#This Row],[Resource Name]]&amp;"/"&amp;ResourceAction[[#This Row],[Name]]</f>
        <v>User/AddSettingsForSelectedUser</v>
      </c>
      <c r="C11" s="74" t="s">
        <v>74</v>
      </c>
      <c r="D11" s="67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67">
        <f>IFERROR(VLOOKUP(ResourceAction[[#This Row],[Resource Name]],ResourceTable[[RName]:[No]],3,0),"resource")</f>
        <v>305101</v>
      </c>
      <c r="F11" s="67" t="s">
        <v>1448</v>
      </c>
      <c r="G11" s="67" t="s">
        <v>1449</v>
      </c>
      <c r="H11" s="67" t="s">
        <v>1450</v>
      </c>
      <c r="I11" s="67" t="s">
        <v>1366</v>
      </c>
      <c r="J11" s="67"/>
      <c r="K11" s="65" t="str">
        <f>'Table Seed Map'!$A$35&amp;"-"&amp;(COUNTA($E$1:ResourceAction[[#This Row],[Resource]])-2)</f>
        <v>Action Method-9</v>
      </c>
      <c r="L11" s="67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67">
        <f>IF(ResourceAction[[#This Row],[No]]="id","resource_action",ResourceAction[[#This Row],[No]])</f>
        <v>332109</v>
      </c>
      <c r="N11" s="85" t="s">
        <v>1451</v>
      </c>
      <c r="O11" s="86">
        <f ca="1">IF(ResourceAction[[#This Row],[Resource Name]]="","idn1",IF(ResourceAction[[#This Row],[IDN1]]="","",VLOOKUP(ResourceAction[[#This Row],[IDN1]],IDNMaps[[Display]:[ID]],2,0)))</f>
        <v>308110</v>
      </c>
      <c r="P11" s="86">
        <f ca="1">IF(ResourceAction[[#This Row],[Resource Name]]="","idn2",IF(ResourceAction[[#This Row],[IDN2]]="","",VLOOKUP(ResourceAction[[#This Row],[IDN2]],IDNMaps[[Display]:[ID]],2,0)))</f>
        <v>309102</v>
      </c>
      <c r="Q11" s="86">
        <f ca="1">IF(ResourceAction[[#This Row],[Resource Name]]="","idn3",IF(ResourceAction[[#This Row],[IDN3]]="","",VLOOKUP(ResourceAction[[#This Row],[IDN3]],IDNMaps[[Display]:[ID]],2,0)))</f>
        <v>310105</v>
      </c>
      <c r="R11" s="86" t="str">
        <f>IF(ResourceAction[[#This Row],[Resource Name]]="","idn4",IF(ResourceAction[[#This Row],[IDN4]]="","",VLOOKUP(ResourceAction[[#This Row],[IDN4]],IDNMaps[[Display]:[ID]],2,0)))</f>
        <v/>
      </c>
      <c r="S11" s="86" t="str">
        <f>IF(ResourceAction[[#This Row],[Resource Name]]="","idn5",IF(ResourceAction[[#This Row],[IDN5]]="","",VLOOKUP(ResourceAction[[#This Row],[IDN5]],IDNMaps[[Display]:[ID]],2,0)))</f>
        <v/>
      </c>
      <c r="T11" s="87" t="s">
        <v>1420</v>
      </c>
      <c r="U11" s="87" t="s">
        <v>1445</v>
      </c>
      <c r="V11" s="87" t="s">
        <v>1464</v>
      </c>
      <c r="W11" s="87"/>
      <c r="X11" s="87"/>
      <c r="Y11" s="73">
        <f>ResourceAction[No]</f>
        <v>332109</v>
      </c>
      <c r="Z11"/>
      <c r="AA11" s="2" t="s">
        <v>1522</v>
      </c>
      <c r="AB11" s="60">
        <f>VLOOKUP(ActionListNData[[#This Row],[Action Name]],ResourceAction[[Display]:[No]],3,0)</f>
        <v>332117</v>
      </c>
      <c r="AC11" s="16" t="s">
        <v>1497</v>
      </c>
      <c r="AD11" s="60"/>
      <c r="AE11" s="60" t="str">
        <f>'Table Seed Map'!$A$37&amp;"-"&amp;-1+COUNTA($AC$1:ActionListNData[[#This Row],[Resource List]])</f>
        <v>Action List-9</v>
      </c>
      <c r="AF11" s="60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60">
        <f>ActionListNData[[#This Row],[Action]]</f>
        <v>332117</v>
      </c>
      <c r="AH11" s="60">
        <f>IF(ActionListNData[[#This Row],[Action Name]]="","resource_list",IFERROR(VLOOKUP(ActionListNData[[#This Row],[Resource List]],ResourceList[[ListDisplayName]:[No]],2,0),""))</f>
        <v>322105</v>
      </c>
      <c r="AI11" s="60" t="str">
        <f>'Table Seed Map'!$A$38&amp;"-"&amp;-1+COUNTA($AD$1:ActionListNData[[#This Row],[Resource Data]])</f>
        <v>Action Data-2</v>
      </c>
      <c r="AJ11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11" s="60">
        <f>ActionListNData[[#This Row],[Action]]</f>
        <v>332117</v>
      </c>
      <c r="AL11" s="60" t="str">
        <f>IF(ActionListNData[[#This Row],[Action Name]]="","resource_data",IFERROR(VLOOKUP(ActionListNData[[#This Row],[Resource Data]],ResourceData[[DataDisplayName]:[No]],2,0),""))</f>
        <v/>
      </c>
    </row>
    <row r="12" spans="1:45" x14ac:dyDescent="0.25">
      <c r="A12" s="38" t="str">
        <f>'Table Seed Map'!$A$34&amp;"-"&amp;(COUNTA($E$1:ResourceAction[[#This Row],[Resource]])-2)</f>
        <v>Resource Actions-10</v>
      </c>
      <c r="B12" s="38" t="str">
        <f>ResourceAction[[#This Row],[Resource Name]]&amp;"/"&amp;ResourceAction[[#This Row],[Name]]</f>
        <v>Setting/SettingsUsersListAction</v>
      </c>
      <c r="C12" s="92" t="s">
        <v>1277</v>
      </c>
      <c r="D12" s="38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38">
        <f>IFERROR(VLOOKUP(ResourceAction[[#This Row],[Resource Name]],ResourceTable[[RName]:[No]],3,0),"resource")</f>
        <v>305105</v>
      </c>
      <c r="F12" s="38" t="s">
        <v>1456</v>
      </c>
      <c r="G12" s="38" t="s">
        <v>1457</v>
      </c>
      <c r="H12" s="38" t="s">
        <v>1458</v>
      </c>
      <c r="I12" s="67" t="s">
        <v>1366</v>
      </c>
      <c r="J12" s="38"/>
      <c r="K12" s="93" t="str">
        <f>'Table Seed Map'!$A$35&amp;"-"&amp;(COUNTA($E$1:ResourceAction[[#This Row],[Resource]])-2)</f>
        <v>Action Method-10</v>
      </c>
      <c r="L12" s="38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38">
        <f>IF(ResourceAction[[#This Row],[No]]="id","resource_action",ResourceAction[[#This Row],[No]])</f>
        <v>332110</v>
      </c>
      <c r="N12" s="94" t="s">
        <v>1405</v>
      </c>
      <c r="O12" s="95">
        <f ca="1">IF(ResourceAction[[#This Row],[Resource Name]]="","idn1",IF(ResourceAction[[#This Row],[IDN1]]="","",VLOOKUP(ResourceAction[[#This Row],[IDN1]],IDNMaps[[Display]:[ID]],2,0)))</f>
        <v>308107</v>
      </c>
      <c r="P12" s="95">
        <f ca="1">IF(ResourceAction[[#This Row],[Resource Name]]="","idn2",IF(ResourceAction[[#This Row],[IDN2]]="","",VLOOKUP(ResourceAction[[#This Row],[IDN2]],IDNMaps[[Display]:[ID]],2,0)))</f>
        <v>322103</v>
      </c>
      <c r="Q12" s="95" t="str">
        <f>IF(ResourceAction[[#This Row],[Resource Name]]="","idn3",IF(ResourceAction[[#This Row],[IDN3]]="","",VLOOKUP(ResourceAction[[#This Row],[IDN3]],IDNMaps[[Display]:[ID]],2,0)))</f>
        <v/>
      </c>
      <c r="R12" s="95" t="str">
        <f>IF(ResourceAction[[#This Row],[Resource Name]]="","idn4",IF(ResourceAction[[#This Row],[IDN4]]="","",VLOOKUP(ResourceAction[[#This Row],[IDN4]],IDNMaps[[Display]:[ID]],2,0)))</f>
        <v/>
      </c>
      <c r="S12" s="95" t="str">
        <f>IF(ResourceAction[[#This Row],[Resource Name]]="","idn5",IF(ResourceAction[[#This Row],[IDN5]]="","",VLOOKUP(ResourceAction[[#This Row],[IDN5]],IDNMaps[[Display]:[ID]],2,0)))</f>
        <v/>
      </c>
      <c r="T12" s="96" t="s">
        <v>1459</v>
      </c>
      <c r="U12" s="96" t="s">
        <v>1421</v>
      </c>
      <c r="V12" s="87"/>
      <c r="W12" s="96"/>
      <c r="X12" s="96"/>
      <c r="Y12" s="55">
        <f>ResourceAction[No]</f>
        <v>332110</v>
      </c>
      <c r="Z12"/>
      <c r="AA12" s="2" t="s">
        <v>1523</v>
      </c>
      <c r="AB12" s="60">
        <f>VLOOKUP(ActionListNData[[#This Row],[Action Name]],ResourceAction[[Display]:[No]],3,0)</f>
        <v>332118</v>
      </c>
      <c r="AC12" s="16" t="s">
        <v>1497</v>
      </c>
      <c r="AD12" s="60" t="s">
        <v>1515</v>
      </c>
      <c r="AE12" s="60" t="str">
        <f>'Table Seed Map'!$A$37&amp;"-"&amp;-1+COUNTA($AC$1:ActionListNData[[#This Row],[Resource List]])</f>
        <v>Action List-10</v>
      </c>
      <c r="AF12" s="60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60">
        <f>ActionListNData[[#This Row],[Action]]</f>
        <v>332118</v>
      </c>
      <c r="AH12" s="60">
        <f>IF(ActionListNData[[#This Row],[Action Name]]="","resource_list",IFERROR(VLOOKUP(ActionListNData[[#This Row],[Resource List]],ResourceList[[ListDisplayName]:[No]],2,0),""))</f>
        <v>322105</v>
      </c>
      <c r="AI12" s="60" t="str">
        <f>'Table Seed Map'!$A$38&amp;"-"&amp;-1+COUNTA($AD$1:ActionListNData[[#This Row],[Resource Data]])</f>
        <v>Action Data-3</v>
      </c>
      <c r="AJ12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2" s="60">
        <f>ActionListNData[[#This Row],[Action]]</f>
        <v>332118</v>
      </c>
      <c r="AL12" s="60">
        <f>IF(ActionListNData[[#This Row],[Action Name]]="","resource_data",IFERROR(VLOOKUP(ActionListNData[[#This Row],[Resource Data]],ResourceData[[DataDisplayName]:[No]],2,0),""))</f>
        <v>327103</v>
      </c>
    </row>
    <row r="13" spans="1:45" x14ac:dyDescent="0.25">
      <c r="A13" s="38" t="str">
        <f>'Table Seed Map'!$A$34&amp;"-"&amp;(COUNTA($E$1:ResourceAction[[#This Row],[Resource]])-2)</f>
        <v>Resource Actions-11</v>
      </c>
      <c r="B13" s="38" t="str">
        <f>ResourceAction[[#This Row],[Resource Name]]&amp;"/"&amp;ResourceAction[[#This Row],[Name]]</f>
        <v>Setting/AddUserForSelectedSetting</v>
      </c>
      <c r="C13" s="92" t="s">
        <v>1277</v>
      </c>
      <c r="D13" s="38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38">
        <f>IFERROR(VLOOKUP(ResourceAction[[#This Row],[Resource Name]],ResourceTable[[RName]:[No]],3,0),"resource")</f>
        <v>305105</v>
      </c>
      <c r="F13" s="38" t="s">
        <v>1453</v>
      </c>
      <c r="G13" s="38" t="s">
        <v>1454</v>
      </c>
      <c r="H13" s="38" t="s">
        <v>1455</v>
      </c>
      <c r="I13" s="67" t="s">
        <v>1366</v>
      </c>
      <c r="J13" s="38"/>
      <c r="K13" s="93" t="str">
        <f>'Table Seed Map'!$A$35&amp;"-"&amp;(COUNTA($E$1:ResourceAction[[#This Row],[Resource]])-2)</f>
        <v>Action Method-11</v>
      </c>
      <c r="L13" s="38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38">
        <f>IF(ResourceAction[[#This Row],[No]]="id","resource_action",ResourceAction[[#This Row],[No]])</f>
        <v>332111</v>
      </c>
      <c r="N13" s="85" t="s">
        <v>1451</v>
      </c>
      <c r="O13" s="95">
        <f ca="1">IF(ResourceAction[[#This Row],[Resource Name]]="","idn1",IF(ResourceAction[[#This Row],[IDN1]]="","",VLOOKUP(ResourceAction[[#This Row],[IDN1]],IDNMaps[[Display]:[ID]],2,0)))</f>
        <v>308107</v>
      </c>
      <c r="P13" s="95">
        <f ca="1">IF(ResourceAction[[#This Row],[Resource Name]]="","idn2",IF(ResourceAction[[#This Row],[IDN2]]="","",VLOOKUP(ResourceAction[[#This Row],[IDN2]],IDNMaps[[Display]:[ID]],2,0)))</f>
        <v>309102</v>
      </c>
      <c r="Q13" s="95">
        <f ca="1">IF(ResourceAction[[#This Row],[Resource Name]]="","idn3",IF(ResourceAction[[#This Row],[IDN3]]="","",VLOOKUP(ResourceAction[[#This Row],[IDN3]],IDNMaps[[Display]:[ID]],2,0)))</f>
        <v>310106</v>
      </c>
      <c r="R13" s="95" t="str">
        <f>IF(ResourceAction[[#This Row],[Resource Name]]="","idn4",IF(ResourceAction[[#This Row],[IDN4]]="","",VLOOKUP(ResourceAction[[#This Row],[IDN4]],IDNMaps[[Display]:[ID]],2,0)))</f>
        <v/>
      </c>
      <c r="S13" s="95" t="str">
        <f>IF(ResourceAction[[#This Row],[Resource Name]]="","idn5",IF(ResourceAction[[#This Row],[IDN5]]="","",VLOOKUP(ResourceAction[[#This Row],[IDN5]],IDNMaps[[Display]:[ID]],2,0)))</f>
        <v/>
      </c>
      <c r="T13" s="96" t="s">
        <v>1459</v>
      </c>
      <c r="U13" s="96" t="s">
        <v>1445</v>
      </c>
      <c r="V13" s="87" t="s">
        <v>1465</v>
      </c>
      <c r="W13" s="96"/>
      <c r="X13" s="96"/>
      <c r="Y13" s="55">
        <f>ResourceAction[No]</f>
        <v>332111</v>
      </c>
      <c r="AA13" s="2" t="s">
        <v>1545</v>
      </c>
      <c r="AB13" s="60">
        <f>VLOOKUP(ActionListNData[[#This Row],[Action Name]],ResourceAction[[Display]:[No]],3,0)</f>
        <v>332121</v>
      </c>
      <c r="AC13" s="60" t="s">
        <v>1436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332121</v>
      </c>
      <c r="AH13" s="60">
        <f>IF(ActionListNData[[#This Row],[Action Name]]="","resource_list",IFERROR(VLOOKUP(ActionListNData[[#This Row],[Resource List]],ResourceList[[ListDisplayName]:[No]],2,0),""))</f>
        <v>322104</v>
      </c>
      <c r="AI13" s="60" t="str">
        <f>'Table Seed Map'!$A$38&amp;"-"&amp;-1+COUNTA($AD$1:ActionListNData[[#This Row],[Resource Data]])</f>
        <v>Action Data-3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3" s="60">
        <f>ActionListNData[[#This Row],[Action]]</f>
        <v>332121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 x14ac:dyDescent="0.25">
      <c r="A14" s="38" t="str">
        <f>'Table Seed Map'!$A$34&amp;"-"&amp;(COUNTA($E$1:ResourceAction[[#This Row],[Resource]])-2)</f>
        <v>Resource Actions-12</v>
      </c>
      <c r="B14" s="38" t="str">
        <f>ResourceAction[[#This Row],[Resource Name]]&amp;"/"&amp;ResourceAction[[#This Row],[Name]]</f>
        <v>UserSetting/ListAllUserSettingsAction</v>
      </c>
      <c r="C14" s="92" t="s">
        <v>1286</v>
      </c>
      <c r="D14" s="38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38">
        <f>IFERROR(VLOOKUP(ResourceAction[[#This Row],[Resource Name]],ResourceTable[[RName]:[No]],3,0),"resource")</f>
        <v>305117</v>
      </c>
      <c r="F14" s="38" t="s">
        <v>1466</v>
      </c>
      <c r="G14" s="38" t="s">
        <v>1467</v>
      </c>
      <c r="H14" s="38"/>
      <c r="I14" s="38"/>
      <c r="J14" s="38" t="s">
        <v>1389</v>
      </c>
      <c r="K14" s="93" t="str">
        <f>'Table Seed Map'!$A$35&amp;"-"&amp;(COUNTA($E$1:ResourceAction[[#This Row],[Resource]])-2)</f>
        <v>Action Method-12</v>
      </c>
      <c r="L14" s="38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38">
        <f>IF(ResourceAction[[#This Row],[No]]="id","resource_action",ResourceAction[[#This Row],[No]])</f>
        <v>332112</v>
      </c>
      <c r="N14" s="94" t="s">
        <v>122</v>
      </c>
      <c r="O14" s="95">
        <f ca="1">IF(ResourceAction[[#This Row],[Resource Name]]="","idn1",IF(ResourceAction[[#This Row],[IDN1]]="","",VLOOKUP(ResourceAction[[#This Row],[IDN1]],IDNMaps[[Display]:[ID]],2,0)))</f>
        <v>322103</v>
      </c>
      <c r="P14" s="95" t="str">
        <f>IF(ResourceAction[[#This Row],[Resource Name]]="","idn2",IF(ResourceAction[[#This Row],[IDN2]]="","",VLOOKUP(ResourceAction[[#This Row],[IDN2]],IDNMaps[[Display]:[ID]],2,0)))</f>
        <v/>
      </c>
      <c r="Q14" s="95" t="str">
        <f>IF(ResourceAction[[#This Row],[Resource Name]]="","idn3",IF(ResourceAction[[#This Row],[IDN3]]="","",VLOOKUP(ResourceAction[[#This Row],[IDN3]],IDNMaps[[Display]:[ID]],2,0)))</f>
        <v/>
      </c>
      <c r="R14" s="95" t="str">
        <f>IF(ResourceAction[[#This Row],[Resource Name]]="","idn4",IF(ResourceAction[[#This Row],[IDN4]]="","",VLOOKUP(ResourceAction[[#This Row],[IDN4]],IDNMaps[[Display]:[ID]],2,0)))</f>
        <v/>
      </c>
      <c r="S14" s="95" t="str">
        <f>IF(ResourceAction[[#This Row],[Resource Name]]="","idn5",IF(ResourceAction[[#This Row],[IDN5]]="","",VLOOKUP(ResourceAction[[#This Row],[IDN5]],IDNMaps[[Display]:[ID]],2,0)))</f>
        <v/>
      </c>
      <c r="T14" s="96" t="s">
        <v>1421</v>
      </c>
      <c r="U14" s="96"/>
      <c r="V14" s="96"/>
      <c r="W14" s="96"/>
      <c r="X14" s="96"/>
      <c r="Y14" s="55">
        <f>ResourceAction[No]</f>
        <v>332112</v>
      </c>
      <c r="AA14" s="2" t="s">
        <v>1549</v>
      </c>
      <c r="AB14" s="60">
        <f>VLOOKUP(ActionListNData[[#This Row],[Action Name]],ResourceAction[[Display]:[No]],3,0)</f>
        <v>332122</v>
      </c>
      <c r="AC14" s="60" t="s">
        <v>1436</v>
      </c>
      <c r="AD14" s="60"/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332122</v>
      </c>
      <c r="AH14" s="60">
        <f>IF(ActionListNData[[#This Row],[Action Name]]="","resource_list",IFERROR(VLOOKUP(ActionListNData[[#This Row],[Resource List]],ResourceList[[ListDisplayName]:[No]],2,0),""))</f>
        <v>322104</v>
      </c>
      <c r="AI14" s="60" t="str">
        <f>'Table Seed Map'!$A$38&amp;"-"&amp;-1+COUNTA($AD$1:ActionListNData[[#This Row],[Resource Data]])</f>
        <v>Action Data-3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4" s="60">
        <f>ActionListNData[[#This Row],[Action]]</f>
        <v>332122</v>
      </c>
      <c r="AL14" s="60" t="str">
        <f>IF(ActionListNData[[#This Row],[Action Name]]="","resource_data",IFERROR(VLOOKUP(ActionListNData[[#This Row],[Resource Data]],ResourceData[[DataDisplayName]:[No]],2,0),""))</f>
        <v/>
      </c>
    </row>
    <row r="15" spans="1:45" x14ac:dyDescent="0.25">
      <c r="A15" s="38" t="str">
        <f>'Table Seed Map'!$A$34&amp;"-"&amp;(COUNTA($E$1:ResourceAction[[#This Row],[Resource]])-2)</f>
        <v>Resource Actions-13</v>
      </c>
      <c r="B15" s="38" t="str">
        <f>ResourceAction[[#This Row],[Resource Name]]&amp;"/"&amp;ResourceAction[[#This Row],[Name]]</f>
        <v>UserSetting/ChangeUserSettingStatusAction</v>
      </c>
      <c r="C15" s="92" t="s">
        <v>1286</v>
      </c>
      <c r="D15" s="38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38">
        <f>IFERROR(VLOOKUP(ResourceAction[[#This Row],[Resource Name]],ResourceTable[[RName]:[No]],3,0),"resource")</f>
        <v>305117</v>
      </c>
      <c r="F15" s="38" t="s">
        <v>1473</v>
      </c>
      <c r="G15" s="38" t="s">
        <v>1474</v>
      </c>
      <c r="H15" s="38" t="s">
        <v>1470</v>
      </c>
      <c r="I15" s="38" t="s">
        <v>1366</v>
      </c>
      <c r="J15" s="38"/>
      <c r="K15" s="93" t="str">
        <f>'Table Seed Map'!$A$35&amp;"-"&amp;(COUNTA($E$1:ResourceAction[[#This Row],[Resource]])-2)</f>
        <v>Action Method-13</v>
      </c>
      <c r="L15" s="38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38">
        <f>IF(ResourceAction[[#This Row],[No]]="id","resource_action",ResourceAction[[#This Row],[No]])</f>
        <v>332113</v>
      </c>
      <c r="N15" s="94" t="s">
        <v>224</v>
      </c>
      <c r="O15" s="95">
        <f ca="1">IF(ResourceAction[[#This Row],[Resource Name]]="","idn1",IF(ResourceAction[[#This Row],[IDN1]]="","",VLOOKUP(ResourceAction[[#This Row],[IDN1]],IDNMaps[[Display]:[ID]],2,0)))</f>
        <v>309103</v>
      </c>
      <c r="P15" s="95">
        <f ca="1">IF(ResourceAction[[#This Row],[Resource Name]]="","idn2",IF(ResourceAction[[#This Row],[IDN2]]="","",VLOOKUP(ResourceAction[[#This Row],[IDN2]],IDNMaps[[Display]:[ID]],2,0)))</f>
        <v>327102</v>
      </c>
      <c r="Q15" s="95" t="str">
        <f>IF(ResourceAction[[#This Row],[Resource Name]]="","idn3",IF(ResourceAction[[#This Row],[IDN3]]="","",VLOOKUP(ResourceAction[[#This Row],[IDN3]],IDNMaps[[Display]:[ID]],2,0)))</f>
        <v/>
      </c>
      <c r="R15" s="95" t="str">
        <f>IF(ResourceAction[[#This Row],[Resource Name]]="","idn4",IF(ResourceAction[[#This Row],[IDN4]]="","",VLOOKUP(ResourceAction[[#This Row],[IDN4]],IDNMaps[[Display]:[ID]],2,0)))</f>
        <v/>
      </c>
      <c r="S15" s="95" t="str">
        <f>IF(ResourceAction[[#This Row],[Resource Name]]="","idn5",IF(ResourceAction[[#This Row],[IDN5]]="","",VLOOKUP(ResourceAction[[#This Row],[IDN5]],IDNMaps[[Display]:[ID]],2,0)))</f>
        <v/>
      </c>
      <c r="T15" s="96" t="s">
        <v>1475</v>
      </c>
      <c r="U15" s="96" t="s">
        <v>1482</v>
      </c>
      <c r="V15" s="96"/>
      <c r="W15" s="96"/>
      <c r="X15" s="96"/>
      <c r="Y15" s="55">
        <f>ResourceAction[No]</f>
        <v>332113</v>
      </c>
      <c r="AA15" s="2" t="s">
        <v>1559</v>
      </c>
      <c r="AB15" s="60">
        <f>VLOOKUP(ActionListNData[[#This Row],[Action Name]],ResourceAction[[Display]:[No]],3,0)</f>
        <v>332123</v>
      </c>
      <c r="AC15" s="60" t="s">
        <v>1528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332123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Data-3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5" s="60">
        <f>ActionListNData[[#This Row],[Action]]</f>
        <v>332123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 x14ac:dyDescent="0.25">
      <c r="A16" s="38" t="str">
        <f>'Table Seed Map'!$A$34&amp;"-"&amp;(COUNTA($E$1:ResourceAction[[#This Row],[Resource]])-2)</f>
        <v>Resource Actions-14</v>
      </c>
      <c r="B16" s="38" t="str">
        <f>ResourceAction[[#This Row],[Resource Name]]&amp;"/"&amp;ResourceAction[[#This Row],[Name]]</f>
        <v>UserSetting/ViewUserSettingsDetails</v>
      </c>
      <c r="C16" s="92" t="s">
        <v>1286</v>
      </c>
      <c r="D16" s="38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38">
        <f>IFERROR(VLOOKUP(ResourceAction[[#This Row],[Resource Name]],ResourceTable[[RName]:[No]],3,0),"resource")</f>
        <v>305117</v>
      </c>
      <c r="F16" s="38" t="s">
        <v>1483</v>
      </c>
      <c r="G16" s="38" t="s">
        <v>1484</v>
      </c>
      <c r="H16" s="38" t="s">
        <v>1485</v>
      </c>
      <c r="I16" s="38" t="s">
        <v>1366</v>
      </c>
      <c r="J16" s="38"/>
      <c r="K16" s="93" t="str">
        <f>'Table Seed Map'!$A$35&amp;"-"&amp;(COUNTA($E$1:ResourceAction[[#This Row],[Resource]])-2)</f>
        <v>Action Method-14</v>
      </c>
      <c r="L16" s="38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38">
        <f>IF(ResourceAction[[#This Row],[No]]="id","resource_action",ResourceAction[[#This Row],[No]])</f>
        <v>332114</v>
      </c>
      <c r="N16" s="94" t="s">
        <v>130</v>
      </c>
      <c r="O16" s="95">
        <f ca="1">IF(ResourceAction[[#This Row],[Resource Name]]="","idn1",IF(ResourceAction[[#This Row],[IDN1]]="","",VLOOKUP(ResourceAction[[#This Row],[IDN1]],IDNMaps[[Display]:[ID]],2,0)))</f>
        <v>327102</v>
      </c>
      <c r="P16" s="95" t="str">
        <f>IF(ResourceAction[[#This Row],[Resource Name]]="","idn2",IF(ResourceAction[[#This Row],[IDN2]]="","",VLOOKUP(ResourceAction[[#This Row],[IDN2]],IDNMaps[[Display]:[ID]],2,0)))</f>
        <v/>
      </c>
      <c r="Q16" s="95" t="str">
        <f>IF(ResourceAction[[#This Row],[Resource Name]]="","idn3",IF(ResourceAction[[#This Row],[IDN3]]="","",VLOOKUP(ResourceAction[[#This Row],[IDN3]],IDNMaps[[Display]:[ID]],2,0)))</f>
        <v/>
      </c>
      <c r="R16" s="95" t="str">
        <f>IF(ResourceAction[[#This Row],[Resource Name]]="","idn4",IF(ResourceAction[[#This Row],[IDN4]]="","",VLOOKUP(ResourceAction[[#This Row],[IDN4]],IDNMaps[[Display]:[ID]],2,0)))</f>
        <v/>
      </c>
      <c r="S16" s="95" t="str">
        <f>IF(ResourceAction[[#This Row],[Resource Name]]="","idn5",IF(ResourceAction[[#This Row],[IDN5]]="","",VLOOKUP(ResourceAction[[#This Row],[IDN5]],IDNMaps[[Display]:[ID]],2,0)))</f>
        <v/>
      </c>
      <c r="T16" s="96" t="s">
        <v>1482</v>
      </c>
      <c r="U16" s="96"/>
      <c r="V16" s="96"/>
      <c r="W16" s="96"/>
      <c r="X16" s="96"/>
      <c r="Y16" s="55">
        <f>ResourceAction[No]</f>
        <v>332114</v>
      </c>
      <c r="AA16" s="2" t="s">
        <v>1560</v>
      </c>
      <c r="AB16" s="60">
        <f>VLOOKUP(ActionListNData[[#This Row],[Action Name]],ResourceAction[[Display]:[No]],3,0)</f>
        <v>332124</v>
      </c>
      <c r="AC16" s="60" t="s">
        <v>1528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332124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Data-3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6" s="60">
        <f>ActionListNData[[#This Row],[Action]]</f>
        <v>332124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 x14ac:dyDescent="0.25">
      <c r="A17" s="67" t="str">
        <f>'Table Seed Map'!$A$34&amp;"-"&amp;(COUNTA($E$1:ResourceAction[[#This Row],[Resource]])-2)</f>
        <v>Resource Actions-15</v>
      </c>
      <c r="B17" s="67" t="str">
        <f>ResourceAction[[#This Row],[Resource Name]]&amp;"/"&amp;ResourceAction[[#This Row],[Name]]</f>
        <v>UserStoreArea/AddUserStoreAreaRecordAction</v>
      </c>
      <c r="C17" s="74" t="s">
        <v>1287</v>
      </c>
      <c r="D17" s="67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67">
        <f>IFERROR(VLOOKUP(ResourceAction[[#This Row],[Resource Name]],ResourceTable[[RName]:[No]],3,0),"resource")</f>
        <v>305118</v>
      </c>
      <c r="F17" s="67" t="s">
        <v>1502</v>
      </c>
      <c r="G17" s="67" t="s">
        <v>1503</v>
      </c>
      <c r="H17" s="67"/>
      <c r="I17" s="67"/>
      <c r="J17" s="67" t="s">
        <v>1365</v>
      </c>
      <c r="K17" s="65" t="str">
        <f>'Table Seed Map'!$A$35&amp;"-"&amp;(COUNTA($E$1:ResourceAction[[#This Row],[Resource]])-2)</f>
        <v>Action Method-15</v>
      </c>
      <c r="L17" s="67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67">
        <f>IF(ResourceAction[[#This Row],[No]]="id","resource_action",ResourceAction[[#This Row],[No]])</f>
        <v>332115</v>
      </c>
      <c r="N17" s="85" t="s">
        <v>121</v>
      </c>
      <c r="O17" s="86">
        <f ca="1">IF(ResourceAction[[#This Row],[Resource Name]]="","idn1",IF(ResourceAction[[#This Row],[IDN1]]="","",VLOOKUP(ResourceAction[[#This Row],[IDN1]],IDNMaps[[Display]:[ID]],2,0)))</f>
        <v>309104</v>
      </c>
      <c r="P17" s="86" t="str">
        <f>IF(ResourceAction[[#This Row],[Resource Name]]="","idn2",IF(ResourceAction[[#This Row],[IDN2]]="","",VLOOKUP(ResourceAction[[#This Row],[IDN2]],IDNMaps[[Display]:[ID]],2,0)))</f>
        <v/>
      </c>
      <c r="Q17" s="86" t="str">
        <f>IF(ResourceAction[[#This Row],[Resource Name]]="","idn3",IF(ResourceAction[[#This Row],[IDN3]]="","",VLOOKUP(ResourceAction[[#This Row],[IDN3]],IDNMaps[[Display]:[ID]],2,0)))</f>
        <v/>
      </c>
      <c r="R17" s="86" t="str">
        <f>IF(ResourceAction[[#This Row],[Resource Name]]="","idn4",IF(ResourceAction[[#This Row],[IDN4]]="","",VLOOKUP(ResourceAction[[#This Row],[IDN4]],IDNMaps[[Display]:[ID]],2,0)))</f>
        <v/>
      </c>
      <c r="S17" s="86" t="str">
        <f>IF(ResourceAction[[#This Row],[Resource Name]]="","idn5",IF(ResourceAction[[#This Row],[IDN5]]="","",VLOOKUP(ResourceAction[[#This Row],[IDN5]],IDNMaps[[Display]:[ID]],2,0)))</f>
        <v/>
      </c>
      <c r="T17" s="87" t="s">
        <v>1504</v>
      </c>
      <c r="U17" s="87"/>
      <c r="V17" s="87"/>
      <c r="W17" s="87"/>
      <c r="X17" s="87"/>
      <c r="Y17" s="73">
        <f>ResourceAction[No]</f>
        <v>332115</v>
      </c>
      <c r="AA17" s="2" t="s">
        <v>1566</v>
      </c>
      <c r="AB17" s="60">
        <f>VLOOKUP(ActionListNData[[#This Row],[Action Name]],ResourceAction[[Display]:[No]],3,0)</f>
        <v>332125</v>
      </c>
      <c r="AC17" s="60" t="s">
        <v>1532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332125</v>
      </c>
      <c r="AH17" s="60">
        <f>IF(ActionListNData[[#This Row],[Action Name]]="","resource_list",IFERROR(VLOOKUP(ActionListNData[[#This Row],[Resource List]],ResourceList[[ListDisplayName]:[No]],2,0),""))</f>
        <v>322107</v>
      </c>
      <c r="AI17" s="60" t="str">
        <f>'Table Seed Map'!$A$38&amp;"-"&amp;-1+COUNTA($AD$1:ActionListNData[[#This Row],[Resource Data]])</f>
        <v>Action Data-3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7" s="60">
        <f>ActionListNData[[#This Row],[Action]]</f>
        <v>332125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 x14ac:dyDescent="0.25">
      <c r="A18" s="67" t="str">
        <f>'Table Seed Map'!$A$34&amp;"-"&amp;(COUNTA($E$1:ResourceAction[[#This Row],[Resource]])-2)</f>
        <v>Resource Actions-16</v>
      </c>
      <c r="B18" s="67" t="str">
        <f>ResourceAction[[#This Row],[Resource Name]]&amp;"/"&amp;ResourceAction[[#This Row],[Name]]</f>
        <v>UserStoreArea/ListUserStoreAreaRecordAction</v>
      </c>
      <c r="C18" s="74" t="s">
        <v>1287</v>
      </c>
      <c r="D18" s="67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67">
        <f>IFERROR(VLOOKUP(ResourceAction[[#This Row],[Resource Name]],ResourceTable[[RName]:[No]],3,0),"resource")</f>
        <v>305118</v>
      </c>
      <c r="F18" s="67" t="s">
        <v>1505</v>
      </c>
      <c r="G18" s="67" t="s">
        <v>1506</v>
      </c>
      <c r="H18" s="67"/>
      <c r="I18" s="67"/>
      <c r="J18" s="67" t="s">
        <v>1389</v>
      </c>
      <c r="K18" s="65" t="str">
        <f>'Table Seed Map'!$A$35&amp;"-"&amp;(COUNTA($E$1:ResourceAction[[#This Row],[Resource]])-2)</f>
        <v>Action Method-16</v>
      </c>
      <c r="L18" s="67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67">
        <f>IF(ResourceAction[[#This Row],[No]]="id","resource_action",ResourceAction[[#This Row],[No]])</f>
        <v>332116</v>
      </c>
      <c r="N18" s="85" t="s">
        <v>122</v>
      </c>
      <c r="O18" s="86">
        <f ca="1">IF(ResourceAction[[#This Row],[Resource Name]]="","idn1",IF(ResourceAction[[#This Row],[IDN1]]="","",VLOOKUP(ResourceAction[[#This Row],[IDN1]],IDNMaps[[Display]:[ID]],2,0)))</f>
        <v>322105</v>
      </c>
      <c r="P18" s="86" t="str">
        <f>IF(ResourceAction[[#This Row],[Resource Name]]="","idn2",IF(ResourceAction[[#This Row],[IDN2]]="","",VLOOKUP(ResourceAction[[#This Row],[IDN2]],IDNMaps[[Display]:[ID]],2,0)))</f>
        <v/>
      </c>
      <c r="Q18" s="86" t="str">
        <f>IF(ResourceAction[[#This Row],[Resource Name]]="","idn3",IF(ResourceAction[[#This Row],[IDN3]]="","",VLOOKUP(ResourceAction[[#This Row],[IDN3]],IDNMaps[[Display]:[ID]],2,0)))</f>
        <v/>
      </c>
      <c r="R18" s="86" t="str">
        <f>IF(ResourceAction[[#This Row],[Resource Name]]="","idn4",IF(ResourceAction[[#This Row],[IDN4]]="","",VLOOKUP(ResourceAction[[#This Row],[IDN4]],IDNMaps[[Display]:[ID]],2,0)))</f>
        <v/>
      </c>
      <c r="S18" s="86" t="str">
        <f>IF(ResourceAction[[#This Row],[Resource Name]]="","idn5",IF(ResourceAction[[#This Row],[IDN5]]="","",VLOOKUP(ResourceAction[[#This Row],[IDN5]],IDNMaps[[Display]:[ID]],2,0)))</f>
        <v/>
      </c>
      <c r="T18" s="87" t="s">
        <v>1507</v>
      </c>
      <c r="U18" s="87"/>
      <c r="V18" s="87"/>
      <c r="W18" s="87"/>
      <c r="X18" s="87"/>
      <c r="Y18" s="73">
        <f>ResourceAction[No]</f>
        <v>332116</v>
      </c>
      <c r="AA18" s="4" t="s">
        <v>1751</v>
      </c>
      <c r="AB18" s="30">
        <f>VLOOKUP(ActionListNData[[#This Row],[Action Name]],ResourceAction[[Display]:[No]],3,0)</f>
        <v>332127</v>
      </c>
      <c r="AC18" s="60" t="s">
        <v>1746</v>
      </c>
      <c r="AD18" s="30"/>
      <c r="AE18" s="30" t="str">
        <f>'Table Seed Map'!$A$37&amp;"-"&amp;-1+COUNTA($AC$1:ActionListNData[[#This Row],[Resource List]])</f>
        <v>Action List-16</v>
      </c>
      <c r="AF18" s="3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30">
        <f>ActionListNData[[#This Row],[Action]]</f>
        <v>332127</v>
      </c>
      <c r="AH18" s="30">
        <f>IF(ActionListNData[[#This Row],[Action Name]]="","resource_list",IFERROR(VLOOKUP(ActionListNData[[#This Row],[Resource List]],ResourceList[[ListDisplayName]:[No]],2,0),""))</f>
        <v>322108</v>
      </c>
      <c r="AI18" s="30" t="str">
        <f>'Table Seed Map'!$A$38&amp;"-"&amp;-1+COUNTA($AD$1:ActionListNData[[#This Row],[Resource Data]])</f>
        <v>Action Data-3</v>
      </c>
      <c r="AJ18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8" s="30">
        <f>ActionListNData[[#This Row],[Action]]</f>
        <v>332127</v>
      </c>
      <c r="AL18" s="30" t="str">
        <f>IF(ActionListNData[[#This Row],[Action Name]]="","resource_data",IFERROR(VLOOKUP(ActionListNData[[#This Row],[Resource Data]],ResourceData[[DataDisplayName]:[No]],2,0),""))</f>
        <v/>
      </c>
    </row>
    <row r="19" spans="1:38" x14ac:dyDescent="0.25">
      <c r="A19" s="67" t="str">
        <f>'Table Seed Map'!$A$34&amp;"-"&amp;(COUNTA($E$1:ResourceAction[[#This Row],[Resource]])-2)</f>
        <v>Resource Actions-17</v>
      </c>
      <c r="B19" s="67" t="str">
        <f>ResourceAction[[#This Row],[Resource Name]]&amp;"/"&amp;ResourceAction[[#This Row],[Name]]</f>
        <v>UserStoreArea/ViewUserStoreAreaAction</v>
      </c>
      <c r="C19" s="74" t="s">
        <v>1287</v>
      </c>
      <c r="D19" s="67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67">
        <f>IFERROR(VLOOKUP(ResourceAction[[#This Row],[Resource Name]],ResourceTable[[RName]:[No]],3,0),"resource")</f>
        <v>305118</v>
      </c>
      <c r="F19" s="67" t="s">
        <v>1517</v>
      </c>
      <c r="G19" s="67" t="s">
        <v>1518</v>
      </c>
      <c r="H19" s="67" t="s">
        <v>1485</v>
      </c>
      <c r="I19" s="67" t="s">
        <v>1366</v>
      </c>
      <c r="J19" s="67"/>
      <c r="K19" s="65" t="str">
        <f>'Table Seed Map'!$A$35&amp;"-"&amp;(COUNTA($E$1:ResourceAction[[#This Row],[Resource]])-2)</f>
        <v>Action Method-17</v>
      </c>
      <c r="L19" s="67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67">
        <f>IF(ResourceAction[[#This Row],[No]]="id","resource_action",ResourceAction[[#This Row],[No]])</f>
        <v>332117</v>
      </c>
      <c r="N19" s="85" t="s">
        <v>130</v>
      </c>
      <c r="O19" s="86">
        <f ca="1">IF(ResourceAction[[#This Row],[Resource Name]]="","idn1",IF(ResourceAction[[#This Row],[IDN1]]="","",VLOOKUP(ResourceAction[[#This Row],[IDN1]],IDNMaps[[Display]:[ID]],2,0)))</f>
        <v>327103</v>
      </c>
      <c r="P19" s="86" t="str">
        <f>IF(ResourceAction[[#This Row],[Resource Name]]="","idn2",IF(ResourceAction[[#This Row],[IDN2]]="","",VLOOKUP(ResourceAction[[#This Row],[IDN2]],IDNMaps[[Display]:[ID]],2,0)))</f>
        <v/>
      </c>
      <c r="Q19" s="86" t="str">
        <f>IF(ResourceAction[[#This Row],[Resource Name]]="","idn3",IF(ResourceAction[[#This Row],[IDN3]]="","",VLOOKUP(ResourceAction[[#This Row],[IDN3]],IDNMaps[[Display]:[ID]],2,0)))</f>
        <v/>
      </c>
      <c r="R19" s="86" t="str">
        <f>IF(ResourceAction[[#This Row],[Resource Name]]="","idn4",IF(ResourceAction[[#This Row],[IDN4]]="","",VLOOKUP(ResourceAction[[#This Row],[IDN4]],IDNMaps[[Display]:[ID]],2,0)))</f>
        <v/>
      </c>
      <c r="S19" s="86" t="str">
        <f>IF(ResourceAction[[#This Row],[Resource Name]]="","idn5",IF(ResourceAction[[#This Row],[IDN5]]="","",VLOOKUP(ResourceAction[[#This Row],[IDN5]],IDNMaps[[Display]:[ID]],2,0)))</f>
        <v/>
      </c>
      <c r="T19" s="87" t="s">
        <v>1519</v>
      </c>
      <c r="U19" s="87"/>
      <c r="V19" s="87"/>
      <c r="W19" s="87"/>
      <c r="X19" s="87"/>
      <c r="Y19" s="73">
        <f>ResourceAction[No]</f>
        <v>332117</v>
      </c>
      <c r="AA19" s="4" t="s">
        <v>1821</v>
      </c>
      <c r="AB19" s="30">
        <f>VLOOKUP(ActionListNData[[#This Row],[Action Name]],ResourceAction[[Display]:[No]],3,0)</f>
        <v>332129</v>
      </c>
      <c r="AC19" s="60" t="s">
        <v>1746</v>
      </c>
      <c r="AD19" s="30"/>
      <c r="AE19" s="30" t="str">
        <f>'Table Seed Map'!$A$37&amp;"-"&amp;-1+COUNTA($AC$1:ActionListNData[[#This Row],[Resource List]])</f>
        <v>Action List-17</v>
      </c>
      <c r="AF19" s="3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30">
        <f>ActionListNData[[#This Row],[Action]]</f>
        <v>332129</v>
      </c>
      <c r="AH19" s="30">
        <f>IF(ActionListNData[[#This Row],[Action Name]]="","resource_list",IFERROR(VLOOKUP(ActionListNData[[#This Row],[Resource List]],ResourceList[[ListDisplayName]:[No]],2,0),""))</f>
        <v>322108</v>
      </c>
      <c r="AI19" s="30" t="str">
        <f>'Table Seed Map'!$A$38&amp;"-"&amp;-1+COUNTA($AD$1:ActionListNData[[#This Row],[Resource Data]])</f>
        <v>Action Data-3</v>
      </c>
      <c r="AJ19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9" s="30">
        <f>ActionListNData[[#This Row],[Action]]</f>
        <v>332129</v>
      </c>
      <c r="AL19" s="30" t="str">
        <f>IF(ActionListNData[[#This Row],[Action Name]]="","resource_data",IFERROR(VLOOKUP(ActionListNData[[#This Row],[Resource Data]],ResourceData[[DataDisplayName]:[No]],2,0),""))</f>
        <v/>
      </c>
    </row>
    <row r="20" spans="1:38" x14ac:dyDescent="0.25">
      <c r="A20" s="67" t="str">
        <f>'Table Seed Map'!$A$34&amp;"-"&amp;(COUNTA($E$1:ResourceAction[[#This Row],[Resource]])-2)</f>
        <v>Resource Actions-18</v>
      </c>
      <c r="B20" s="67" t="str">
        <f>ResourceAction[[#This Row],[Resource Name]]&amp;"/"&amp;ResourceAction[[#This Row],[Name]]</f>
        <v>UserStoreArea/EditUserStoreAreaAction</v>
      </c>
      <c r="C20" s="74" t="s">
        <v>1287</v>
      </c>
      <c r="D20" s="67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67">
        <f>IFERROR(VLOOKUP(ResourceAction[[#This Row],[Resource Name]],ResourceTable[[RName]:[No]],3,0),"resource")</f>
        <v>305118</v>
      </c>
      <c r="F20" s="67" t="s">
        <v>1520</v>
      </c>
      <c r="G20" s="67" t="s">
        <v>1521</v>
      </c>
      <c r="H20" s="67" t="s">
        <v>1396</v>
      </c>
      <c r="I20" s="67" t="s">
        <v>1366</v>
      </c>
      <c r="J20" s="67"/>
      <c r="K20" s="65" t="str">
        <f>'Table Seed Map'!$A$35&amp;"-"&amp;(COUNTA($E$1:ResourceAction[[#This Row],[Resource]])-2)</f>
        <v>Action Method-18</v>
      </c>
      <c r="L20" s="67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67">
        <f>IF(ResourceAction[[#This Row],[No]]="id","resource_action",ResourceAction[[#This Row],[No]])</f>
        <v>332118</v>
      </c>
      <c r="N20" s="85" t="s">
        <v>224</v>
      </c>
      <c r="O20" s="86">
        <f ca="1">IF(ResourceAction[[#This Row],[Resource Name]]="","idn1",IF(ResourceAction[[#This Row],[IDN1]]="","",VLOOKUP(ResourceAction[[#This Row],[IDN1]],IDNMaps[[Display]:[ID]],2,0)))</f>
        <v>309104</v>
      </c>
      <c r="P20" s="86">
        <f ca="1">IF(ResourceAction[[#This Row],[Resource Name]]="","idn2",IF(ResourceAction[[#This Row],[IDN2]]="","",VLOOKUP(ResourceAction[[#This Row],[IDN2]],IDNMaps[[Display]:[ID]],2,0)))</f>
        <v>327103</v>
      </c>
      <c r="Q20" s="86" t="str">
        <f>IF(ResourceAction[[#This Row],[Resource Name]]="","idn3",IF(ResourceAction[[#This Row],[IDN3]]="","",VLOOKUP(ResourceAction[[#This Row],[IDN3]],IDNMaps[[Display]:[ID]],2,0)))</f>
        <v/>
      </c>
      <c r="R20" s="86" t="str">
        <f>IF(ResourceAction[[#This Row],[Resource Name]]="","idn4",IF(ResourceAction[[#This Row],[IDN4]]="","",VLOOKUP(ResourceAction[[#This Row],[IDN4]],IDNMaps[[Display]:[ID]],2,0)))</f>
        <v/>
      </c>
      <c r="S20" s="86" t="str">
        <f>IF(ResourceAction[[#This Row],[Resource Name]]="","idn5",IF(ResourceAction[[#This Row],[IDN5]]="","",VLOOKUP(ResourceAction[[#This Row],[IDN5]],IDNMaps[[Display]:[ID]],2,0)))</f>
        <v/>
      </c>
      <c r="T20" s="87" t="s">
        <v>1504</v>
      </c>
      <c r="U20" s="87" t="s">
        <v>1519</v>
      </c>
      <c r="V20" s="87"/>
      <c r="W20" s="87"/>
      <c r="X20" s="87"/>
      <c r="Y20" s="73">
        <f>ResourceAction[No]</f>
        <v>332118</v>
      </c>
      <c r="AA20" s="4" t="s">
        <v>1792</v>
      </c>
      <c r="AB20" s="30">
        <f>VLOOKUP(ActionListNData[[#This Row],[Action Name]],ResourceAction[[Display]:[No]],3,0)</f>
        <v>332132</v>
      </c>
      <c r="AC20" s="60" t="s">
        <v>1782</v>
      </c>
      <c r="AD20" s="30"/>
      <c r="AE20" s="30" t="str">
        <f>'Table Seed Map'!$A$37&amp;"-"&amp;-1+COUNTA($AC$1:ActionListNData[[#This Row],[Resource List]])</f>
        <v>Action List-18</v>
      </c>
      <c r="AF20" s="30">
        <f>IF(ActionListNData[[#This Row],[Action Name]]="","id",-1+COUNTA($AC$1:ActionListNData[[#This Row],[Resource List]])+IF(ISNUMBER(VLOOKUP('Table Seed Map'!$A$37,SeedMap[],9,0)),VLOOKUP('Table Seed Map'!$A$37,SeedMap[],9,0),0))</f>
        <v>335118</v>
      </c>
      <c r="AG20" s="30">
        <f>ActionListNData[[#This Row],[Action]]</f>
        <v>332132</v>
      </c>
      <c r="AH20" s="30">
        <f>IF(ActionListNData[[#This Row],[Action Name]]="","resource_list",IFERROR(VLOOKUP(ActionListNData[[#This Row],[Resource List]],ResourceList[[ListDisplayName]:[No]],2,0),""))</f>
        <v>322110</v>
      </c>
      <c r="AI20" s="30" t="str">
        <f>'Table Seed Map'!$A$38&amp;"-"&amp;-1+COUNTA($AD$1:ActionListNData[[#This Row],[Resource Data]])</f>
        <v>Action Data-3</v>
      </c>
      <c r="AJ20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20" s="30">
        <f>ActionListNData[[#This Row],[Action]]</f>
        <v>332132</v>
      </c>
      <c r="AL20" s="30" t="str">
        <f>IF(ActionListNData[[#This Row],[Action Name]]="","resource_data",IFERROR(VLOOKUP(ActionListNData[[#This Row],[Resource Data]],ResourceData[[DataDisplayName]:[No]],2,0),""))</f>
        <v/>
      </c>
    </row>
    <row r="21" spans="1:38" x14ac:dyDescent="0.25">
      <c r="A21" s="67" t="str">
        <f>'Table Seed Map'!$A$34&amp;"-"&amp;(COUNTA($E$1:ResourceAction[[#This Row],[Resource]])-2)</f>
        <v>Resource Actions-19</v>
      </c>
      <c r="B21" s="67" t="str">
        <f>ResourceAction[[#This Row],[Resource Name]]&amp;"/"&amp;ResourceAction[[#This Row],[Name]]</f>
        <v>Area/ListAreaAction</v>
      </c>
      <c r="C21" s="74" t="s">
        <v>1284</v>
      </c>
      <c r="D21" s="67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67">
        <f>IFERROR(VLOOKUP(ResourceAction[[#This Row],[Resource Name]],ResourceTable[[RName]:[No]],3,0),"resource")</f>
        <v>305115</v>
      </c>
      <c r="F21" s="67" t="s">
        <v>1535</v>
      </c>
      <c r="G21" s="67" t="s">
        <v>1536</v>
      </c>
      <c r="H21" s="67"/>
      <c r="I21" s="67"/>
      <c r="J21" s="67" t="s">
        <v>1389</v>
      </c>
      <c r="K21" s="65" t="str">
        <f>'Table Seed Map'!$A$35&amp;"-"&amp;(COUNTA($E$1:ResourceAction[[#This Row],[Resource]])-2)</f>
        <v>Action Method-19</v>
      </c>
      <c r="L21" s="67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67">
        <f>IF(ResourceAction[[#This Row],[No]]="id","resource_action",ResourceAction[[#This Row],[No]])</f>
        <v>332119</v>
      </c>
      <c r="N21" s="85" t="s">
        <v>122</v>
      </c>
      <c r="O21" s="86">
        <f ca="1">IF(ResourceAction[[#This Row],[Resource Name]]="","idn1",IF(ResourceAction[[#This Row],[IDN1]]="","",VLOOKUP(ResourceAction[[#This Row],[IDN1]],IDNMaps[[Display]:[ID]],2,0)))</f>
        <v>322106</v>
      </c>
      <c r="P21" s="86" t="str">
        <f>IF(ResourceAction[[#This Row],[Resource Name]]="","idn2",IF(ResourceAction[[#This Row],[IDN2]]="","",VLOOKUP(ResourceAction[[#This Row],[IDN2]],IDNMaps[[Display]:[ID]],2,0)))</f>
        <v/>
      </c>
      <c r="Q21" s="86" t="str">
        <f>IF(ResourceAction[[#This Row],[Resource Name]]="","idn3",IF(ResourceAction[[#This Row],[IDN3]]="","",VLOOKUP(ResourceAction[[#This Row],[IDN3]],IDNMaps[[Display]:[ID]],2,0)))</f>
        <v/>
      </c>
      <c r="R21" s="86" t="str">
        <f>IF(ResourceAction[[#This Row],[Resource Name]]="","idn4",IF(ResourceAction[[#This Row],[IDN4]]="","",VLOOKUP(ResourceAction[[#This Row],[IDN4]],IDNMaps[[Display]:[ID]],2,0)))</f>
        <v/>
      </c>
      <c r="S21" s="86" t="str">
        <f>IF(ResourceAction[[#This Row],[Resource Name]]="","idn5",IF(ResourceAction[[#This Row],[IDN5]]="","",VLOOKUP(ResourceAction[[#This Row],[IDN5]],IDNMaps[[Display]:[ID]],2,0)))</f>
        <v/>
      </c>
      <c r="T21" s="87" t="s">
        <v>1537</v>
      </c>
      <c r="U21" s="87"/>
      <c r="V21" s="87"/>
      <c r="W21" s="87"/>
      <c r="X21" s="87"/>
      <c r="Y21" s="73">
        <f>ResourceAction[No]</f>
        <v>332119</v>
      </c>
      <c r="AA21" s="4" t="s">
        <v>1800</v>
      </c>
      <c r="AB21" s="30">
        <f>VLOOKUP(ActionListNData[[#This Row],[Action Name]],ResourceAction[[Display]:[No]],3,0)</f>
        <v>332133</v>
      </c>
      <c r="AC21" s="60" t="s">
        <v>1782</v>
      </c>
      <c r="AD21" s="30" t="s">
        <v>1766</v>
      </c>
      <c r="AE21" s="30" t="str">
        <f>'Table Seed Map'!$A$37&amp;"-"&amp;-1+COUNTA($AC$1:ActionListNData[[#This Row],[Resource List]])</f>
        <v>Action List-19</v>
      </c>
      <c r="AF21" s="30">
        <f>IF(ActionListNData[[#This Row],[Action Name]]="","id",-1+COUNTA($AC$1:ActionListNData[[#This Row],[Resource List]])+IF(ISNUMBER(VLOOKUP('Table Seed Map'!$A$37,SeedMap[],9,0)),VLOOKUP('Table Seed Map'!$A$37,SeedMap[],9,0),0))</f>
        <v>335119</v>
      </c>
      <c r="AG21" s="30">
        <f>ActionListNData[[#This Row],[Action]]</f>
        <v>332133</v>
      </c>
      <c r="AH21" s="30">
        <f>IF(ActionListNData[[#This Row],[Action Name]]="","resource_list",IFERROR(VLOOKUP(ActionListNData[[#This Row],[Resource List]],ResourceList[[ListDisplayName]:[No]],2,0),""))</f>
        <v>322110</v>
      </c>
      <c r="AI21" s="30" t="str">
        <f>'Table Seed Map'!$A$38&amp;"-"&amp;-1+COUNTA($AD$1:ActionListNData[[#This Row],[Resource Data]])</f>
        <v>Action Data-4</v>
      </c>
      <c r="AJ21" s="3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21" s="30">
        <f>ActionListNData[[#This Row],[Action]]</f>
        <v>332133</v>
      </c>
      <c r="AL21" s="30">
        <f>IF(ActionListNData[[#This Row],[Action Name]]="","resource_data",IFERROR(VLOOKUP(ActionListNData[[#This Row],[Resource Data]],ResourceData[[DataDisplayName]:[No]],2,0),""))</f>
        <v>327105</v>
      </c>
    </row>
    <row r="22" spans="1:38" x14ac:dyDescent="0.25">
      <c r="A22" s="67" t="str">
        <f>'Table Seed Map'!$A$34&amp;"-"&amp;(COUNTA($E$1:ResourceAction[[#This Row],[Resource]])-2)</f>
        <v>Resource Actions-20</v>
      </c>
      <c r="B22" s="67" t="str">
        <f>ResourceAction[[#This Row],[Resource Name]]&amp;"/"&amp;ResourceAction[[#This Row],[Name]]</f>
        <v>Store/ListStoreAction</v>
      </c>
      <c r="C22" s="74" t="s">
        <v>1283</v>
      </c>
      <c r="D22" s="67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67">
        <f>IFERROR(VLOOKUP(ResourceAction[[#This Row],[Resource Name]],ResourceTable[[RName]:[No]],3,0),"resource")</f>
        <v>305114</v>
      </c>
      <c r="F22" s="67" t="s">
        <v>1538</v>
      </c>
      <c r="G22" s="67" t="s">
        <v>1539</v>
      </c>
      <c r="H22" s="67"/>
      <c r="I22" s="67"/>
      <c r="J22" s="67" t="s">
        <v>1389</v>
      </c>
      <c r="K22" s="65" t="str">
        <f>'Table Seed Map'!$A$35&amp;"-"&amp;(COUNTA($E$1:ResourceAction[[#This Row],[Resource]])-2)</f>
        <v>Action Method-20</v>
      </c>
      <c r="L22" s="67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67">
        <f>IF(ResourceAction[[#This Row],[No]]="id","resource_action",ResourceAction[[#This Row],[No]])</f>
        <v>332120</v>
      </c>
      <c r="N22" s="85" t="s">
        <v>122</v>
      </c>
      <c r="O22" s="86">
        <f ca="1">IF(ResourceAction[[#This Row],[Resource Name]]="","idn1",IF(ResourceAction[[#This Row],[IDN1]]="","",VLOOKUP(ResourceAction[[#This Row],[IDN1]],IDNMaps[[Display]:[ID]],2,0)))</f>
        <v>322107</v>
      </c>
      <c r="P22" s="86" t="str">
        <f>IF(ResourceAction[[#This Row],[Resource Name]]="","idn2",IF(ResourceAction[[#This Row],[IDN2]]="","",VLOOKUP(ResourceAction[[#This Row],[IDN2]],IDNMaps[[Display]:[ID]],2,0)))</f>
        <v/>
      </c>
      <c r="Q22" s="86" t="str">
        <f>IF(ResourceAction[[#This Row],[Resource Name]]="","idn3",IF(ResourceAction[[#This Row],[IDN3]]="","",VLOOKUP(ResourceAction[[#This Row],[IDN3]],IDNMaps[[Display]:[ID]],2,0)))</f>
        <v/>
      </c>
      <c r="R22" s="86" t="str">
        <f>IF(ResourceAction[[#This Row],[Resource Name]]="","idn4",IF(ResourceAction[[#This Row],[IDN4]]="","",VLOOKUP(ResourceAction[[#This Row],[IDN4]],IDNMaps[[Display]:[ID]],2,0)))</f>
        <v/>
      </c>
      <c r="S22" s="86" t="str">
        <f>IF(ResourceAction[[#This Row],[Resource Name]]="","idn5",IF(ResourceAction[[#This Row],[IDN5]]="","",VLOOKUP(ResourceAction[[#This Row],[IDN5]],IDNMaps[[Display]:[ID]],2,0)))</f>
        <v/>
      </c>
      <c r="T22" s="87" t="s">
        <v>1540</v>
      </c>
      <c r="U22" s="87"/>
      <c r="V22" s="87"/>
      <c r="W22" s="87"/>
      <c r="X22" s="87"/>
      <c r="Y22" s="73">
        <f>ResourceAction[No]</f>
        <v>332120</v>
      </c>
      <c r="AA22" s="4" t="s">
        <v>1792</v>
      </c>
      <c r="AB22" s="30">
        <f>VLOOKUP(ActionListNData[[#This Row],[Action Name]],ResourceAction[[Display]:[No]],3,0)</f>
        <v>332132</v>
      </c>
      <c r="AC22" s="60" t="s">
        <v>1806</v>
      </c>
      <c r="AD22" s="30"/>
      <c r="AE22" s="30" t="str">
        <f>'Table Seed Map'!$A$37&amp;"-"&amp;-1+COUNTA($AC$1:ActionListNData[[#This Row],[Resource List]])</f>
        <v>Action List-20</v>
      </c>
      <c r="AF22" s="30">
        <f>IF(ActionListNData[[#This Row],[Action Name]]="","id",-1+COUNTA($AC$1:ActionListNData[[#This Row],[Resource List]])+IF(ISNUMBER(VLOOKUP('Table Seed Map'!$A$37,SeedMap[],9,0)),VLOOKUP('Table Seed Map'!$A$37,SeedMap[],9,0),0))</f>
        <v>335120</v>
      </c>
      <c r="AG22" s="30">
        <f>ActionListNData[[#This Row],[Action]]</f>
        <v>332132</v>
      </c>
      <c r="AH22" s="30">
        <f>IF(ActionListNData[[#This Row],[Action Name]]="","resource_list",IFERROR(VLOOKUP(ActionListNData[[#This Row],[Resource List]],ResourceList[[ListDisplayName]:[No]],2,0),""))</f>
        <v>322111</v>
      </c>
      <c r="AI22" s="30" t="str">
        <f>'Table Seed Map'!$A$38&amp;"-"&amp;-1+COUNTA($AD$1:ActionListNData[[#This Row],[Resource Data]])</f>
        <v>Action Data-4</v>
      </c>
      <c r="AJ22" s="3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22" s="30">
        <f>ActionListNData[[#This Row],[Action]]</f>
        <v>332132</v>
      </c>
      <c r="AL22" s="30" t="str">
        <f>IF(ActionListNData[[#This Row],[Action Name]]="","resource_data",IFERROR(VLOOKUP(ActionListNData[[#This Row],[Resource Data]],ResourceData[[DataDisplayName]:[No]],2,0),""))</f>
        <v/>
      </c>
    </row>
    <row r="23" spans="1:38" x14ac:dyDescent="0.25">
      <c r="A23" s="67" t="str">
        <f>'Table Seed Map'!$A$34&amp;"-"&amp;(COUNTA($E$1:ResourceAction[[#This Row],[Resource]])-2)</f>
        <v>Resource Actions-21</v>
      </c>
      <c r="B23" s="67" t="str">
        <f>ResourceAction[[#This Row],[Resource Name]]&amp;"/"&amp;ResourceAction[[#This Row],[Name]]</f>
        <v>User/ListStoreAreaOfUserAction</v>
      </c>
      <c r="C23" s="74" t="s">
        <v>74</v>
      </c>
      <c r="D23" s="67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67">
        <f>IFERROR(VLOOKUP(ResourceAction[[#This Row],[Resource Name]],ResourceTable[[RName]:[No]],3,0),"resource")</f>
        <v>305101</v>
      </c>
      <c r="F23" s="67" t="s">
        <v>1541</v>
      </c>
      <c r="G23" s="67" t="s">
        <v>1542</v>
      </c>
      <c r="H23" s="67" t="s">
        <v>1543</v>
      </c>
      <c r="I23" s="67" t="s">
        <v>1366</v>
      </c>
      <c r="J23" s="67"/>
      <c r="K23" s="65" t="str">
        <f>'Table Seed Map'!$A$35&amp;"-"&amp;(COUNTA($E$1:ResourceAction[[#This Row],[Resource]])-2)</f>
        <v>Action Method-21</v>
      </c>
      <c r="L23" s="67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67">
        <f>IF(ResourceAction[[#This Row],[No]]="id","resource_action",ResourceAction[[#This Row],[No]])</f>
        <v>332121</v>
      </c>
      <c r="N23" s="85" t="s">
        <v>1405</v>
      </c>
      <c r="O23" s="86">
        <f ca="1">IF(ResourceAction[[#This Row],[Resource Name]]="","idn1",IF(ResourceAction[[#This Row],[IDN1]]="","",VLOOKUP(ResourceAction[[#This Row],[IDN1]],IDNMaps[[Display]:[ID]],2,0)))</f>
        <v>308112</v>
      </c>
      <c r="P23" s="86">
        <f ca="1">IF(ResourceAction[[#This Row],[Resource Name]]="","idn2",IF(ResourceAction[[#This Row],[IDN2]]="","",VLOOKUP(ResourceAction[[#This Row],[IDN2]],IDNMaps[[Display]:[ID]],2,0)))</f>
        <v>322105</v>
      </c>
      <c r="Q23" s="86" t="str">
        <f>IF(ResourceAction[[#This Row],[Resource Name]]="","idn3",IF(ResourceAction[[#This Row],[IDN3]]="","",VLOOKUP(ResourceAction[[#This Row],[IDN3]],IDNMaps[[Display]:[ID]],2,0)))</f>
        <v/>
      </c>
      <c r="R23" s="86" t="str">
        <f>IF(ResourceAction[[#This Row],[Resource Name]]="","idn4",IF(ResourceAction[[#This Row],[IDN4]]="","",VLOOKUP(ResourceAction[[#This Row],[IDN4]],IDNMaps[[Display]:[ID]],2,0)))</f>
        <v/>
      </c>
      <c r="S23" s="86" t="str">
        <f>IF(ResourceAction[[#This Row],[Resource Name]]="","idn5",IF(ResourceAction[[#This Row],[IDN5]]="","",VLOOKUP(ResourceAction[[#This Row],[IDN5]],IDNMaps[[Display]:[ID]],2,0)))</f>
        <v/>
      </c>
      <c r="T23" s="87" t="s">
        <v>1544</v>
      </c>
      <c r="U23" s="87" t="s">
        <v>1507</v>
      </c>
      <c r="V23" s="87"/>
      <c r="W23" s="87"/>
      <c r="X23" s="87"/>
      <c r="Y23" s="73">
        <f>ResourceAction[No]</f>
        <v>332121</v>
      </c>
      <c r="AA23" s="4" t="s">
        <v>1800</v>
      </c>
      <c r="AB23" s="30">
        <f>VLOOKUP(ActionListNData[[#This Row],[Action Name]],ResourceAction[[Display]:[No]],3,0)</f>
        <v>332133</v>
      </c>
      <c r="AC23" s="60" t="s">
        <v>1806</v>
      </c>
      <c r="AD23" s="30" t="s">
        <v>1766</v>
      </c>
      <c r="AE23" s="30" t="str">
        <f>'Table Seed Map'!$A$37&amp;"-"&amp;-1+COUNTA($AC$1:ActionListNData[[#This Row],[Resource List]])</f>
        <v>Action List-21</v>
      </c>
      <c r="AF23" s="30">
        <f>IF(ActionListNData[[#This Row],[Action Name]]="","id",-1+COUNTA($AC$1:ActionListNData[[#This Row],[Resource List]])+IF(ISNUMBER(VLOOKUP('Table Seed Map'!$A$37,SeedMap[],9,0)),VLOOKUP('Table Seed Map'!$A$37,SeedMap[],9,0),0))</f>
        <v>335121</v>
      </c>
      <c r="AG23" s="30">
        <f>ActionListNData[[#This Row],[Action]]</f>
        <v>332133</v>
      </c>
      <c r="AH23" s="30">
        <f>IF(ActionListNData[[#This Row],[Action Name]]="","resource_list",IFERROR(VLOOKUP(ActionListNData[[#This Row],[Resource List]],ResourceList[[ListDisplayName]:[No]],2,0),""))</f>
        <v>322111</v>
      </c>
      <c r="AI23" s="30" t="str">
        <f>'Table Seed Map'!$A$38&amp;"-"&amp;-1+COUNTA($AD$1:ActionListNData[[#This Row],[Resource Data]])</f>
        <v>Action Data-5</v>
      </c>
      <c r="AJ23" s="3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23" s="30">
        <f>ActionListNData[[#This Row],[Action]]</f>
        <v>332133</v>
      </c>
      <c r="AL23" s="30">
        <f>IF(ActionListNData[[#This Row],[Action Name]]="","resource_data",IFERROR(VLOOKUP(ActionListNData[[#This Row],[Resource Data]],ResourceData[[DataDisplayName]:[No]],2,0),""))</f>
        <v>327105</v>
      </c>
    </row>
    <row r="24" spans="1:38" x14ac:dyDescent="0.25">
      <c r="A24" s="67" t="str">
        <f>'Table Seed Map'!$A$34&amp;"-"&amp;(COUNTA($E$1:ResourceAction[[#This Row],[Resource]])-2)</f>
        <v>Resource Actions-22</v>
      </c>
      <c r="B24" s="67" t="str">
        <f>ResourceAction[[#This Row],[Resource Name]]&amp;"/"&amp;ResourceAction[[#This Row],[Name]]</f>
        <v>User/AddStoreAreaForUser</v>
      </c>
      <c r="C24" s="74" t="s">
        <v>74</v>
      </c>
      <c r="D24" s="67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67">
        <f>IFERROR(VLOOKUP(ResourceAction[[#This Row],[Resource Name]],ResourceTable[[RName]:[No]],3,0),"resource")</f>
        <v>305101</v>
      </c>
      <c r="F24" s="67" t="s">
        <v>1546</v>
      </c>
      <c r="G24" s="67" t="s">
        <v>1547</v>
      </c>
      <c r="H24" s="67" t="s">
        <v>1548</v>
      </c>
      <c r="I24" s="67" t="s">
        <v>1366</v>
      </c>
      <c r="J24" s="67"/>
      <c r="K24" s="65" t="str">
        <f>'Table Seed Map'!$A$35&amp;"-"&amp;(COUNTA($E$1:ResourceAction[[#This Row],[Resource]])-2)</f>
        <v>Action Method-22</v>
      </c>
      <c r="L24" s="67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67">
        <f>IF(ResourceAction[[#This Row],[No]]="id","resource_action",ResourceAction[[#This Row],[No]])</f>
        <v>332122</v>
      </c>
      <c r="N24" s="85" t="s">
        <v>1451</v>
      </c>
      <c r="O24" s="86">
        <f ca="1">IF(ResourceAction[[#This Row],[Resource Name]]="","idn1",IF(ResourceAction[[#This Row],[IDN1]]="","",VLOOKUP(ResourceAction[[#This Row],[IDN1]],IDNMaps[[Display]:[ID]],2,0)))</f>
        <v>308112</v>
      </c>
      <c r="P24" s="86">
        <f ca="1">IF(ResourceAction[[#This Row],[Resource Name]]="","idn2",IF(ResourceAction[[#This Row],[IDN2]]="","",VLOOKUP(ResourceAction[[#This Row],[IDN2]],IDNMaps[[Display]:[ID]],2,0)))</f>
        <v>309104</v>
      </c>
      <c r="Q24" s="86">
        <f ca="1">IF(ResourceAction[[#This Row],[Resource Name]]="","idn3",IF(ResourceAction[[#This Row],[IDN3]]="","",VLOOKUP(ResourceAction[[#This Row],[IDN3]],IDNMaps[[Display]:[ID]],2,0)))</f>
        <v>310110</v>
      </c>
      <c r="R24" s="86" t="str">
        <f>IF(ResourceAction[[#This Row],[Resource Name]]="","idn4",IF(ResourceAction[[#This Row],[IDN4]]="","",VLOOKUP(ResourceAction[[#This Row],[IDN4]],IDNMaps[[Display]:[ID]],2,0)))</f>
        <v/>
      </c>
      <c r="S24" s="86" t="str">
        <f>IF(ResourceAction[[#This Row],[Resource Name]]="","idn5",IF(ResourceAction[[#This Row],[IDN5]]="","",VLOOKUP(ResourceAction[[#This Row],[IDN5]],IDNMaps[[Display]:[ID]],2,0)))</f>
        <v/>
      </c>
      <c r="T24" s="87" t="s">
        <v>1544</v>
      </c>
      <c r="U24" s="87" t="s">
        <v>1504</v>
      </c>
      <c r="V24" s="87" t="s">
        <v>1550</v>
      </c>
      <c r="W24" s="87"/>
      <c r="X24" s="87"/>
      <c r="Y24" s="73">
        <f>ResourceAction[No]</f>
        <v>332122</v>
      </c>
      <c r="AA24" s="4" t="s">
        <v>1913</v>
      </c>
      <c r="AB24" s="30">
        <f>VLOOKUP(ActionListNData[[#This Row],[Action Name]],ResourceAction[[Display]:[No]],3,0)</f>
        <v>332138</v>
      </c>
      <c r="AC24" s="60" t="s">
        <v>1928</v>
      </c>
      <c r="AD24" s="30" t="s">
        <v>1920</v>
      </c>
      <c r="AE24" s="30" t="str">
        <f>'Table Seed Map'!$A$37&amp;"-"&amp;-1+COUNTA($AC$1:ActionListNData[[#This Row],[Resource List]])</f>
        <v>Action List-22</v>
      </c>
      <c r="AF24" s="30">
        <f>IF(ActionListNData[[#This Row],[Action Name]]="","id",-1+COUNTA($AC$1:ActionListNData[[#This Row],[Resource List]])+IF(ISNUMBER(VLOOKUP('Table Seed Map'!$A$37,SeedMap[],9,0)),VLOOKUP('Table Seed Map'!$A$37,SeedMap[],9,0),0))</f>
        <v>335122</v>
      </c>
      <c r="AG24" s="30">
        <f>ActionListNData[[#This Row],[Action]]</f>
        <v>332138</v>
      </c>
      <c r="AH24" s="30">
        <f>IF(ActionListNData[[#This Row],[Action Name]]="","resource_list",IFERROR(VLOOKUP(ActionListNData[[#This Row],[Resource List]],ResourceList[[ListDisplayName]:[No]],2,0),""))</f>
        <v>322114</v>
      </c>
      <c r="AI24" s="30" t="str">
        <f>'Table Seed Map'!$A$38&amp;"-"&amp;-1+COUNTA($AD$1:ActionListNData[[#This Row],[Resource Data]])</f>
        <v>Action Data-6</v>
      </c>
      <c r="AJ24" s="30">
        <f>IF(ActionListNData[[#This Row],[Action Name]]="","id",-1+COUNTA($AD$1:ActionListNData[[#This Row],[Resource Data]])+IF(ISNUMBER(VLOOKUP('Table Seed Map'!$A$38,SeedMap[],9,0)),VLOOKUP('Table Seed Map'!$A$38,SeedMap[],9,0),0))</f>
        <v>336106</v>
      </c>
      <c r="AK24" s="30">
        <f>ActionListNData[[#This Row],[Action]]</f>
        <v>332138</v>
      </c>
      <c r="AL24" s="30">
        <f>IF(ActionListNData[[#This Row],[Action Name]]="","resource_data",IFERROR(VLOOKUP(ActionListNData[[#This Row],[Resource Data]],ResourceData[[DataDisplayName]:[No]],2,0),""))</f>
        <v>327106</v>
      </c>
    </row>
    <row r="25" spans="1:38" x14ac:dyDescent="0.25">
      <c r="A25" s="67" t="str">
        <f>'Table Seed Map'!$A$34&amp;"-"&amp;(COUNTA($E$1:ResourceAction[[#This Row],[Resource]])-2)</f>
        <v>Resource Actions-23</v>
      </c>
      <c r="B25" s="67" t="str">
        <f>ResourceAction[[#This Row],[Resource Name]]&amp;"/"&amp;ResourceAction[[#This Row],[Name]]</f>
        <v>Area/ListStoreAndUserOfArea</v>
      </c>
      <c r="C25" s="74" t="s">
        <v>1284</v>
      </c>
      <c r="D25" s="67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67">
        <f>IFERROR(VLOOKUP(ResourceAction[[#This Row],[Resource Name]],ResourceTable[[RName]:[No]],3,0),"resource")</f>
        <v>305115</v>
      </c>
      <c r="F25" s="67" t="s">
        <v>1551</v>
      </c>
      <c r="G25" s="67" t="s">
        <v>1552</v>
      </c>
      <c r="H25" s="67" t="s">
        <v>1553</v>
      </c>
      <c r="I25" s="67" t="s">
        <v>1366</v>
      </c>
      <c r="J25" s="67"/>
      <c r="K25" s="65" t="str">
        <f>'Table Seed Map'!$A$35&amp;"-"&amp;(COUNTA($E$1:ResourceAction[[#This Row],[Resource]])-2)</f>
        <v>Action Method-23</v>
      </c>
      <c r="L25" s="67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67">
        <f>IF(ResourceAction[[#This Row],[No]]="id","resource_action",ResourceAction[[#This Row],[No]])</f>
        <v>332123</v>
      </c>
      <c r="N25" s="85" t="s">
        <v>1405</v>
      </c>
      <c r="O25" s="86">
        <f ca="1">IF(ResourceAction[[#This Row],[Resource Name]]="","idn1",IF(ResourceAction[[#This Row],[IDN1]]="","",VLOOKUP(ResourceAction[[#This Row],[IDN1]],IDNMaps[[Display]:[ID]],2,0)))</f>
        <v>308117</v>
      </c>
      <c r="P25" s="86">
        <f ca="1">IF(ResourceAction[[#This Row],[Resource Name]]="","idn2",IF(ResourceAction[[#This Row],[IDN2]]="","",VLOOKUP(ResourceAction[[#This Row],[IDN2]],IDNMaps[[Display]:[ID]],2,0)))</f>
        <v>322105</v>
      </c>
      <c r="Q25" s="86" t="str">
        <f>IF(ResourceAction[[#This Row],[Resource Name]]="","idn3",IF(ResourceAction[[#This Row],[IDN3]]="","",VLOOKUP(ResourceAction[[#This Row],[IDN3]],IDNMaps[[Display]:[ID]],2,0)))</f>
        <v/>
      </c>
      <c r="R25" s="86" t="str">
        <f>IF(ResourceAction[[#This Row],[Resource Name]]="","idn4",IF(ResourceAction[[#This Row],[IDN4]]="","",VLOOKUP(ResourceAction[[#This Row],[IDN4]],IDNMaps[[Display]:[ID]],2,0)))</f>
        <v/>
      </c>
      <c r="S25" s="86" t="str">
        <f>IF(ResourceAction[[#This Row],[Resource Name]]="","idn5",IF(ResourceAction[[#This Row],[IDN5]]="","",VLOOKUP(ResourceAction[[#This Row],[IDN5]],IDNMaps[[Display]:[ID]],2,0)))</f>
        <v/>
      </c>
      <c r="T25" s="87" t="s">
        <v>1554</v>
      </c>
      <c r="U25" s="87" t="s">
        <v>1507</v>
      </c>
      <c r="V25" s="87"/>
      <c r="W25" s="87"/>
      <c r="X25" s="87"/>
      <c r="Y25" s="73">
        <f>ResourceAction[No]</f>
        <v>332123</v>
      </c>
      <c r="AA25" s="4" t="s">
        <v>1920</v>
      </c>
      <c r="AB25" s="30">
        <f>VLOOKUP(ActionListNData[[#This Row],[Action Name]],ResourceAction[[Display]:[No]],3,0)</f>
        <v>332139</v>
      </c>
      <c r="AC25" s="60" t="s">
        <v>1928</v>
      </c>
      <c r="AD25" s="30"/>
      <c r="AE25" s="30" t="str">
        <f>'Table Seed Map'!$A$37&amp;"-"&amp;-1+COUNTA($AC$1:ActionListNData[[#This Row],[Resource List]])</f>
        <v>Action List-23</v>
      </c>
      <c r="AF25" s="30">
        <f>IF(ActionListNData[[#This Row],[Action Name]]="","id",-1+COUNTA($AC$1:ActionListNData[[#This Row],[Resource List]])+IF(ISNUMBER(VLOOKUP('Table Seed Map'!$A$37,SeedMap[],9,0)),VLOOKUP('Table Seed Map'!$A$37,SeedMap[],9,0),0))</f>
        <v>335123</v>
      </c>
      <c r="AG25" s="30">
        <f>ActionListNData[[#This Row],[Action]]</f>
        <v>332139</v>
      </c>
      <c r="AH25" s="30">
        <f>IF(ActionListNData[[#This Row],[Action Name]]="","resource_list",IFERROR(VLOOKUP(ActionListNData[[#This Row],[Resource List]],ResourceList[[ListDisplayName]:[No]],2,0),""))</f>
        <v>322114</v>
      </c>
      <c r="AI25" s="30" t="str">
        <f>'Table Seed Map'!$A$38&amp;"-"&amp;-1+COUNTA($AD$1:ActionListNData[[#This Row],[Resource Data]])</f>
        <v>Action Data-6</v>
      </c>
      <c r="AJ25" s="30">
        <f>IF(ActionListNData[[#This Row],[Action Name]]="","id",-1+COUNTA($AD$1:ActionListNData[[#This Row],[Resource Data]])+IF(ISNUMBER(VLOOKUP('Table Seed Map'!$A$38,SeedMap[],9,0)),VLOOKUP('Table Seed Map'!$A$38,SeedMap[],9,0),0))</f>
        <v>336106</v>
      </c>
      <c r="AK25" s="30">
        <f>ActionListNData[[#This Row],[Action]]</f>
        <v>332139</v>
      </c>
      <c r="AL25" s="30" t="str">
        <f>IF(ActionListNData[[#This Row],[Action Name]]="","resource_data",IFERROR(VLOOKUP(ActionListNData[[#This Row],[Resource Data]],ResourceData[[DataDisplayName]:[No]],2,0),""))</f>
        <v/>
      </c>
    </row>
    <row r="26" spans="1:38" x14ac:dyDescent="0.25">
      <c r="A26" s="67" t="str">
        <f>'Table Seed Map'!$A$34&amp;"-"&amp;(COUNTA($E$1:ResourceAction[[#This Row],[Resource]])-2)</f>
        <v>Resource Actions-24</v>
      </c>
      <c r="B26" s="67" t="str">
        <f>ResourceAction[[#This Row],[Resource Name]]&amp;"/"&amp;ResourceAction[[#This Row],[Name]]</f>
        <v>Area/AssignStoreAndUserForArea</v>
      </c>
      <c r="C26" s="74" t="s">
        <v>1284</v>
      </c>
      <c r="D26" s="67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67">
        <f>IFERROR(VLOOKUP(ResourceAction[[#This Row],[Resource Name]],ResourceTable[[RName]:[No]],3,0),"resource")</f>
        <v>305115</v>
      </c>
      <c r="F26" s="67" t="s">
        <v>1555</v>
      </c>
      <c r="G26" s="67" t="s">
        <v>1556</v>
      </c>
      <c r="H26" s="67" t="s">
        <v>1557</v>
      </c>
      <c r="I26" s="67" t="s">
        <v>1366</v>
      </c>
      <c r="J26" s="67"/>
      <c r="K26" s="65" t="str">
        <f>'Table Seed Map'!$A$35&amp;"-"&amp;(COUNTA($E$1:ResourceAction[[#This Row],[Resource]])-2)</f>
        <v>Action Method-24</v>
      </c>
      <c r="L26" s="67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67">
        <f>IF(ResourceAction[[#This Row],[No]]="id","resource_action",ResourceAction[[#This Row],[No]])</f>
        <v>332124</v>
      </c>
      <c r="N26" s="85" t="s">
        <v>1451</v>
      </c>
      <c r="O26" s="86">
        <f ca="1">IF(ResourceAction[[#This Row],[Resource Name]]="","idn1",IF(ResourceAction[[#This Row],[IDN1]]="","",VLOOKUP(ResourceAction[[#This Row],[IDN1]],IDNMaps[[Display]:[ID]],2,0)))</f>
        <v>308117</v>
      </c>
      <c r="P26" s="86">
        <f ca="1">IF(ResourceAction[[#This Row],[Resource Name]]="","idn2",IF(ResourceAction[[#This Row],[IDN2]]="","",VLOOKUP(ResourceAction[[#This Row],[IDN2]],IDNMaps[[Display]:[ID]],2,0)))</f>
        <v>309104</v>
      </c>
      <c r="Q26" s="86">
        <f ca="1">IF(ResourceAction[[#This Row],[Resource Name]]="","idn3",IF(ResourceAction[[#This Row],[IDN3]]="","",VLOOKUP(ResourceAction[[#This Row],[IDN3]],IDNMaps[[Display]:[ID]],2,0)))</f>
        <v>310112</v>
      </c>
      <c r="R26" s="86" t="str">
        <f>IF(ResourceAction[[#This Row],[Resource Name]]="","idn4",IF(ResourceAction[[#This Row],[IDN4]]="","",VLOOKUP(ResourceAction[[#This Row],[IDN4]],IDNMaps[[Display]:[ID]],2,0)))</f>
        <v/>
      </c>
      <c r="S26" s="86" t="str">
        <f>IF(ResourceAction[[#This Row],[Resource Name]]="","idn5",IF(ResourceAction[[#This Row],[IDN5]]="","",VLOOKUP(ResourceAction[[#This Row],[IDN5]],IDNMaps[[Display]:[ID]],2,0)))</f>
        <v/>
      </c>
      <c r="T26" s="87" t="s">
        <v>1554</v>
      </c>
      <c r="U26" s="87" t="s">
        <v>1504</v>
      </c>
      <c r="V26" s="87" t="s">
        <v>1558</v>
      </c>
      <c r="W26" s="87"/>
      <c r="X26" s="87"/>
      <c r="Y26" s="73">
        <f>ResourceAction[No]</f>
        <v>332124</v>
      </c>
      <c r="AA26" s="4" t="s">
        <v>2062</v>
      </c>
      <c r="AB26" s="30">
        <f>VLOOKUP(ActionListNData[[#This Row],[Action Name]],ResourceAction[[Display]:[No]],3,0)</f>
        <v>332146</v>
      </c>
      <c r="AC26" s="60" t="s">
        <v>2033</v>
      </c>
      <c r="AD26" s="30" t="s">
        <v>2036</v>
      </c>
      <c r="AE26" s="30" t="str">
        <f>'Table Seed Map'!$A$37&amp;"-"&amp;-1+COUNTA($AC$1:ActionListNData[[#This Row],[Resource List]])</f>
        <v>Action List-24</v>
      </c>
      <c r="AF26" s="30">
        <f>IF(ActionListNData[[#This Row],[Action Name]]="","id",-1+COUNTA($AC$1:ActionListNData[[#This Row],[Resource List]])+IF(ISNUMBER(VLOOKUP('Table Seed Map'!$A$37,SeedMap[],9,0)),VLOOKUP('Table Seed Map'!$A$37,SeedMap[],9,0),0))</f>
        <v>335124</v>
      </c>
      <c r="AG26" s="30">
        <f>ActionListNData[[#This Row],[Action]]</f>
        <v>332146</v>
      </c>
      <c r="AH26" s="30">
        <f>IF(ActionListNData[[#This Row],[Action Name]]="","resource_list",IFERROR(VLOOKUP(ActionListNData[[#This Row],[Resource List]],ResourceList[[ListDisplayName]:[No]],2,0),""))</f>
        <v>322116</v>
      </c>
      <c r="AI26" s="30" t="str">
        <f>'Table Seed Map'!$A$38&amp;"-"&amp;-1+COUNTA($AD$1:ActionListNData[[#This Row],[Resource Data]])</f>
        <v>Action Data-7</v>
      </c>
      <c r="AJ26" s="30">
        <f>IF(ActionListNData[[#This Row],[Action Name]]="","id",-1+COUNTA($AD$1:ActionListNData[[#This Row],[Resource Data]])+IF(ISNUMBER(VLOOKUP('Table Seed Map'!$A$38,SeedMap[],9,0)),VLOOKUP('Table Seed Map'!$A$38,SeedMap[],9,0),0))</f>
        <v>336107</v>
      </c>
      <c r="AK26" s="30">
        <f>ActionListNData[[#This Row],[Action]]</f>
        <v>332146</v>
      </c>
      <c r="AL26" s="30">
        <f>IF(ActionListNData[[#This Row],[Action Name]]="","resource_data",IFERROR(VLOOKUP(ActionListNData[[#This Row],[Resource Data]],ResourceData[[DataDisplayName]:[No]],2,0),""))</f>
        <v>327107</v>
      </c>
    </row>
    <row r="27" spans="1:38" x14ac:dyDescent="0.25">
      <c r="A27" s="67" t="str">
        <f>'Table Seed Map'!$A$34&amp;"-"&amp;(COUNTA($E$1:ResourceAction[[#This Row],[Resource]])-2)</f>
        <v>Resource Actions-25</v>
      </c>
      <c r="B27" s="67" t="str">
        <f>ResourceAction[[#This Row],[Resource Name]]&amp;"/"&amp;ResourceAction[[#This Row],[Name]]</f>
        <v>Store/ListUsersAssigned</v>
      </c>
      <c r="C27" s="74" t="s">
        <v>1283</v>
      </c>
      <c r="D27" s="67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67">
        <f>IFERROR(VLOOKUP(ResourceAction[[#This Row],[Resource Name]],ResourceTable[[RName]:[No]],3,0),"resource")</f>
        <v>305114</v>
      </c>
      <c r="F27" s="67" t="s">
        <v>1562</v>
      </c>
      <c r="G27" s="67" t="s">
        <v>1563</v>
      </c>
      <c r="H27" s="67" t="s">
        <v>1564</v>
      </c>
      <c r="I27" s="67" t="s">
        <v>1366</v>
      </c>
      <c r="J27" s="67"/>
      <c r="K27" s="65" t="str">
        <f>'Table Seed Map'!$A$35&amp;"-"&amp;(COUNTA($E$1:ResourceAction[[#This Row],[Resource]])-2)</f>
        <v>Action Method-25</v>
      </c>
      <c r="L27" s="67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67">
        <f>IF(ResourceAction[[#This Row],[No]]="id","resource_action",ResourceAction[[#This Row],[No]])</f>
        <v>332125</v>
      </c>
      <c r="N27" s="85" t="s">
        <v>1565</v>
      </c>
      <c r="O27" s="86">
        <f ca="1">IF(ResourceAction[[#This Row],[Resource Name]]="","idn1",IF(ResourceAction[[#This Row],[IDN1]]="","",VLOOKUP(ResourceAction[[#This Row],[IDN1]],IDNMaps[[Display]:[ID]],2,0)))</f>
        <v>308116</v>
      </c>
      <c r="P27" s="86">
        <f ca="1">IF(ResourceAction[[#This Row],[Resource Name]]="","idn2",IF(ResourceAction[[#This Row],[IDN2]]="","",VLOOKUP(ResourceAction[[#This Row],[IDN2]],IDNMaps[[Display]:[ID]],2,0)))</f>
        <v>322104</v>
      </c>
      <c r="Q27" s="86" t="str">
        <f>IF(ResourceAction[[#This Row],[Resource Name]]="","idn3",IF(ResourceAction[[#This Row],[IDN3]]="","",VLOOKUP(ResourceAction[[#This Row],[IDN3]],IDNMaps[[Display]:[ID]],2,0)))</f>
        <v/>
      </c>
      <c r="R27" s="86" t="str">
        <f>IF(ResourceAction[[#This Row],[Resource Name]]="","idn4",IF(ResourceAction[[#This Row],[IDN4]]="","",VLOOKUP(ResourceAction[[#This Row],[IDN4]],IDNMaps[[Display]:[ID]],2,0)))</f>
        <v/>
      </c>
      <c r="S27" s="86" t="str">
        <f>IF(ResourceAction[[#This Row],[Resource Name]]="","idn5",IF(ResourceAction[[#This Row],[IDN5]]="","",VLOOKUP(ResourceAction[[#This Row],[IDN5]],IDNMaps[[Display]:[ID]],2,0)))</f>
        <v/>
      </c>
      <c r="T27" s="87" t="s">
        <v>1561</v>
      </c>
      <c r="U27" s="87" t="s">
        <v>1439</v>
      </c>
      <c r="V27" s="87"/>
      <c r="W27" s="87"/>
      <c r="X27" s="87"/>
      <c r="Y27" s="73">
        <f>ResourceAction[No]</f>
        <v>332125</v>
      </c>
      <c r="AA27" s="4" t="s">
        <v>2063</v>
      </c>
      <c r="AB27" s="30">
        <f>VLOOKUP(ActionListNData[[#This Row],[Action Name]],ResourceAction[[Display]:[No]],3,0)</f>
        <v>332145</v>
      </c>
      <c r="AC27" s="60" t="s">
        <v>2033</v>
      </c>
      <c r="AD27" s="30"/>
      <c r="AE27" s="30" t="str">
        <f>'Table Seed Map'!$A$37&amp;"-"&amp;-1+COUNTA($AC$1:ActionListNData[[#This Row],[Resource List]])</f>
        <v>Action List-25</v>
      </c>
      <c r="AF27" s="30">
        <f>IF(ActionListNData[[#This Row],[Action Name]]="","id",-1+COUNTA($AC$1:ActionListNData[[#This Row],[Resource List]])+IF(ISNUMBER(VLOOKUP('Table Seed Map'!$A$37,SeedMap[],9,0)),VLOOKUP('Table Seed Map'!$A$37,SeedMap[],9,0),0))</f>
        <v>335125</v>
      </c>
      <c r="AG27" s="30">
        <f>ActionListNData[[#This Row],[Action]]</f>
        <v>332145</v>
      </c>
      <c r="AH27" s="30">
        <f>IF(ActionListNData[[#This Row],[Action Name]]="","resource_list",IFERROR(VLOOKUP(ActionListNData[[#This Row],[Resource List]],ResourceList[[ListDisplayName]:[No]],2,0),""))</f>
        <v>322116</v>
      </c>
      <c r="AI27" s="30" t="str">
        <f>'Table Seed Map'!$A$38&amp;"-"&amp;-1+COUNTA($AD$1:ActionListNData[[#This Row],[Resource Data]])</f>
        <v>Action Data-7</v>
      </c>
      <c r="AJ27" s="30">
        <f>IF(ActionListNData[[#This Row],[Action Name]]="","id",-1+COUNTA($AD$1:ActionListNData[[#This Row],[Resource Data]])+IF(ISNUMBER(VLOOKUP('Table Seed Map'!$A$38,SeedMap[],9,0)),VLOOKUP('Table Seed Map'!$A$38,SeedMap[],9,0),0))</f>
        <v>336107</v>
      </c>
      <c r="AK27" s="30">
        <f>ActionListNData[[#This Row],[Action]]</f>
        <v>332145</v>
      </c>
      <c r="AL27" s="30" t="str">
        <f>IF(ActionListNData[[#This Row],[Action Name]]="","resource_data",IFERROR(VLOOKUP(ActionListNData[[#This Row],[Resource Data]],ResourceData[[DataDisplayName]:[No]],2,0),""))</f>
        <v/>
      </c>
    </row>
    <row r="28" spans="1:38" x14ac:dyDescent="0.25">
      <c r="A28" s="79" t="str">
        <f>'Table Seed Map'!$A$34&amp;"-"&amp;(COUNTA($E$1:ResourceAction[[#This Row],[Resource]])-2)</f>
        <v>Resource Actions-26</v>
      </c>
      <c r="B28" s="79" t="str">
        <f>ResourceAction[[#This Row],[Resource Name]]&amp;"/"&amp;ResourceAction[[#This Row],[Name]]</f>
        <v>ProductImage/AddProductImages</v>
      </c>
      <c r="C28" s="74" t="s">
        <v>1714</v>
      </c>
      <c r="D28" s="79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79">
        <f>IFERROR(VLOOKUP(ResourceAction[[#This Row],[Resource Name]],ResourceTable[[RName]:[No]],3,0),"resource")</f>
        <v>305110</v>
      </c>
      <c r="F28" s="79" t="s">
        <v>1729</v>
      </c>
      <c r="G28" s="79" t="s">
        <v>1730</v>
      </c>
      <c r="H28" s="79"/>
      <c r="I28" s="67" t="s">
        <v>1366</v>
      </c>
      <c r="J28" s="79" t="s">
        <v>1742</v>
      </c>
      <c r="K28" s="80" t="str">
        <f>'Table Seed Map'!$A$35&amp;"-"&amp;(COUNTA($E$1:ResourceAction[[#This Row],[Resource]])-2)</f>
        <v>Action Method-26</v>
      </c>
      <c r="L28" s="79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79">
        <f>IF(ResourceAction[[#This Row],[No]]="id","resource_action",ResourceAction[[#This Row],[No]])</f>
        <v>332126</v>
      </c>
      <c r="N28" s="85" t="s">
        <v>121</v>
      </c>
      <c r="O28" s="82">
        <f ca="1">IF(ResourceAction[[#This Row],[Resource Name]]="","idn1",IF(ResourceAction[[#This Row],[IDN1]]="","",VLOOKUP(ResourceAction[[#This Row],[IDN1]],IDNMaps[[Display]:[ID]],2,0)))</f>
        <v>309105</v>
      </c>
      <c r="P28" s="82" t="str">
        <f>IF(ResourceAction[[#This Row],[Resource Name]]="","idn2",IF(ResourceAction[[#This Row],[IDN2]]="","",VLOOKUP(ResourceAction[[#This Row],[IDN2]],IDNMaps[[Display]:[ID]],2,0)))</f>
        <v/>
      </c>
      <c r="Q28" s="82" t="str">
        <f>IF(ResourceAction[[#This Row],[Resource Name]]="","idn3",IF(ResourceAction[[#This Row],[IDN3]]="","",VLOOKUP(ResourceAction[[#This Row],[IDN3]],IDNMaps[[Display]:[ID]],2,0)))</f>
        <v/>
      </c>
      <c r="R28" s="82" t="str">
        <f>IF(ResourceAction[[#This Row],[Resource Name]]="","idn4",IF(ResourceAction[[#This Row],[IDN4]]="","",VLOOKUP(ResourceAction[[#This Row],[IDN4]],IDNMaps[[Display]:[ID]],2,0)))</f>
        <v/>
      </c>
      <c r="S28" s="82" t="str">
        <f>IF(ResourceAction[[#This Row],[Resource Name]]="","idn5",IF(ResourceAction[[#This Row],[IDN5]]="","",VLOOKUP(ResourceAction[[#This Row],[IDN5]],IDNMaps[[Display]:[ID]],2,0)))</f>
        <v/>
      </c>
      <c r="T28" s="87" t="s">
        <v>1731</v>
      </c>
      <c r="U28" s="83"/>
      <c r="V28" s="83"/>
      <c r="W28" s="83"/>
      <c r="X28" s="83"/>
      <c r="Y28" s="84">
        <f>ResourceAction[No]</f>
        <v>332126</v>
      </c>
    </row>
    <row r="29" spans="1:38" x14ac:dyDescent="0.25">
      <c r="A29" s="79" t="str">
        <f>'Table Seed Map'!$A$34&amp;"-"&amp;(COUNTA($E$1:ResourceAction[[#This Row],[Resource]])-2)</f>
        <v>Resource Actions-27</v>
      </c>
      <c r="B29" s="79" t="str">
        <f>ResourceAction[[#This Row],[Resource Name]]&amp;"/"&amp;ResourceAction[[#This Row],[Name]]</f>
        <v>ProductImage/EditProductImages</v>
      </c>
      <c r="C29" s="74" t="s">
        <v>1714</v>
      </c>
      <c r="D29" s="79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79">
        <f>IFERROR(VLOOKUP(ResourceAction[[#This Row],[Resource Name]],ResourceTable[[RName]:[No]],3,0),"resource")</f>
        <v>305110</v>
      </c>
      <c r="F29" s="79" t="s">
        <v>1740</v>
      </c>
      <c r="G29" s="79" t="s">
        <v>1741</v>
      </c>
      <c r="H29" s="79" t="s">
        <v>1743</v>
      </c>
      <c r="I29" s="67" t="s">
        <v>1366</v>
      </c>
      <c r="J29" s="79"/>
      <c r="K29" s="80" t="str">
        <f>'Table Seed Map'!$A$35&amp;"-"&amp;(COUNTA($E$1:ResourceAction[[#This Row],[Resource]])-2)</f>
        <v>Action Method-27</v>
      </c>
      <c r="L29" s="79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79">
        <f>IF(ResourceAction[[#This Row],[No]]="id","resource_action",ResourceAction[[#This Row],[No]])</f>
        <v>332127</v>
      </c>
      <c r="N29" s="85" t="s">
        <v>224</v>
      </c>
      <c r="O29" s="82">
        <f ca="1">IF(ResourceAction[[#This Row],[Resource Name]]="","idn1",IF(ResourceAction[[#This Row],[IDN1]]="","",VLOOKUP(ResourceAction[[#This Row],[IDN1]],IDNMaps[[Display]:[ID]],2,0)))</f>
        <v>309105</v>
      </c>
      <c r="P29" s="82">
        <f ca="1">IF(ResourceAction[[#This Row],[Resource Name]]="","idn2",IF(ResourceAction[[#This Row],[IDN2]]="","",VLOOKUP(ResourceAction[[#This Row],[IDN2]],IDNMaps[[Display]:[ID]],2,0)))</f>
        <v>327104</v>
      </c>
      <c r="Q29" s="82" t="str">
        <f>IF(ResourceAction[[#This Row],[Resource Name]]="","idn3",IF(ResourceAction[[#This Row],[IDN3]]="","",VLOOKUP(ResourceAction[[#This Row],[IDN3]],IDNMaps[[Display]:[ID]],2,0)))</f>
        <v/>
      </c>
      <c r="R29" s="82" t="str">
        <f>IF(ResourceAction[[#This Row],[Resource Name]]="","idn4",IF(ResourceAction[[#This Row],[IDN4]]="","",VLOOKUP(ResourceAction[[#This Row],[IDN4]],IDNMaps[[Display]:[ID]],2,0)))</f>
        <v/>
      </c>
      <c r="S29" s="82" t="str">
        <f>IF(ResourceAction[[#This Row],[Resource Name]]="","idn5",IF(ResourceAction[[#This Row],[IDN5]]="","",VLOOKUP(ResourceAction[[#This Row],[IDN5]],IDNMaps[[Display]:[ID]],2,0)))</f>
        <v/>
      </c>
      <c r="T29" s="87" t="s">
        <v>1731</v>
      </c>
      <c r="U29" s="87" t="s">
        <v>1744</v>
      </c>
      <c r="V29" s="83"/>
      <c r="W29" s="83"/>
      <c r="X29" s="83"/>
      <c r="Y29" s="84">
        <f>ResourceAction[No]</f>
        <v>332127</v>
      </c>
    </row>
    <row r="30" spans="1:38" x14ac:dyDescent="0.25">
      <c r="A30" s="79" t="str">
        <f>'Table Seed Map'!$A$34&amp;"-"&amp;(COUNTA($E$1:ResourceAction[[#This Row],[Resource]])-2)</f>
        <v>Resource Actions-28</v>
      </c>
      <c r="B30" s="79" t="str">
        <f>ResourceAction[[#This Row],[Resource Name]]&amp;"/"&amp;ResourceAction[[#This Row],[Name]]</f>
        <v>ProductImage/ListProductImages</v>
      </c>
      <c r="C30" s="74" t="s">
        <v>1714</v>
      </c>
      <c r="D30" s="79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79">
        <f>IFERROR(VLOOKUP(ResourceAction[[#This Row],[Resource Name]],ResourceTable[[RName]:[No]],3,0),"resource")</f>
        <v>305110</v>
      </c>
      <c r="F30" s="79" t="s">
        <v>1748</v>
      </c>
      <c r="G30" s="79" t="s">
        <v>1749</v>
      </c>
      <c r="H30" s="79"/>
      <c r="I30" s="79"/>
      <c r="J30" s="79" t="s">
        <v>1389</v>
      </c>
      <c r="K30" s="80" t="str">
        <f>'Table Seed Map'!$A$35&amp;"-"&amp;(COUNTA($E$1:ResourceAction[[#This Row],[Resource]])-2)</f>
        <v>Action Method-28</v>
      </c>
      <c r="L30" s="79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79">
        <f>IF(ResourceAction[[#This Row],[No]]="id","resource_action",ResourceAction[[#This Row],[No]])</f>
        <v>332128</v>
      </c>
      <c r="N30" s="85" t="s">
        <v>122</v>
      </c>
      <c r="O30" s="82">
        <f ca="1">IF(ResourceAction[[#This Row],[Resource Name]]="","idn1",IF(ResourceAction[[#This Row],[IDN1]]="","",VLOOKUP(ResourceAction[[#This Row],[IDN1]],IDNMaps[[Display]:[ID]],2,0)))</f>
        <v>322108</v>
      </c>
      <c r="P30" s="82" t="str">
        <f>IF(ResourceAction[[#This Row],[Resource Name]]="","idn2",IF(ResourceAction[[#This Row],[IDN2]]="","",VLOOKUP(ResourceAction[[#This Row],[IDN2]],IDNMaps[[Display]:[ID]],2,0)))</f>
        <v/>
      </c>
      <c r="Q30" s="82" t="str">
        <f>IF(ResourceAction[[#This Row],[Resource Name]]="","idn3",IF(ResourceAction[[#This Row],[IDN3]]="","",VLOOKUP(ResourceAction[[#This Row],[IDN3]],IDNMaps[[Display]:[ID]],2,0)))</f>
        <v/>
      </c>
      <c r="R30" s="82" t="str">
        <f>IF(ResourceAction[[#This Row],[Resource Name]]="","idn4",IF(ResourceAction[[#This Row],[IDN4]]="","",VLOOKUP(ResourceAction[[#This Row],[IDN4]],IDNMaps[[Display]:[ID]],2,0)))</f>
        <v/>
      </c>
      <c r="S30" s="82" t="str">
        <f>IF(ResourceAction[[#This Row],[Resource Name]]="","idn5",IF(ResourceAction[[#This Row],[IDN5]]="","",VLOOKUP(ResourceAction[[#This Row],[IDN5]],IDNMaps[[Display]:[ID]],2,0)))</f>
        <v/>
      </c>
      <c r="T30" s="87" t="s">
        <v>1750</v>
      </c>
      <c r="U30" s="83"/>
      <c r="V30" s="83"/>
      <c r="W30" s="83"/>
      <c r="X30" s="83"/>
      <c r="Y30" s="84">
        <f>ResourceAction[No]</f>
        <v>332128</v>
      </c>
    </row>
    <row r="31" spans="1:38" x14ac:dyDescent="0.25">
      <c r="A31" s="79" t="str">
        <f>'Table Seed Map'!$A$34&amp;"-"&amp;(COUNTA($E$1:ResourceAction[[#This Row],[Resource]])-2)</f>
        <v>Resource Actions-29</v>
      </c>
      <c r="B31" s="79" t="str">
        <f>ResourceAction[[#This Row],[Resource Name]]&amp;"/"&amp;ResourceAction[[#This Row],[Name]]</f>
        <v>ProductImage/ViewProductImage</v>
      </c>
      <c r="C31" s="74" t="s">
        <v>1714</v>
      </c>
      <c r="D31" s="79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79">
        <f>IFERROR(VLOOKUP(ResourceAction[[#This Row],[Resource Name]],ResourceTable[[RName]:[No]],3,0),"resource")</f>
        <v>305110</v>
      </c>
      <c r="F31" s="79" t="s">
        <v>1819</v>
      </c>
      <c r="G31" s="79" t="s">
        <v>1820</v>
      </c>
      <c r="H31" s="79" t="s">
        <v>1348</v>
      </c>
      <c r="I31" s="79" t="s">
        <v>1366</v>
      </c>
      <c r="J31" s="79"/>
      <c r="K31" s="80" t="str">
        <f>'Table Seed Map'!$A$35&amp;"-"&amp;(COUNTA($E$1:ResourceAction[[#This Row],[Resource]])-2)</f>
        <v>Action Method-29</v>
      </c>
      <c r="L31" s="79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79">
        <f>IF(ResourceAction[[#This Row],[No]]="id","resource_action",ResourceAction[[#This Row],[No]])</f>
        <v>332129</v>
      </c>
      <c r="N31" s="85" t="s">
        <v>130</v>
      </c>
      <c r="O31" s="82">
        <f ca="1">IF(ResourceAction[[#This Row],[Resource Name]]="","idn1",IF(ResourceAction[[#This Row],[IDN1]]="","",VLOOKUP(ResourceAction[[#This Row],[IDN1]],IDNMaps[[Display]:[ID]],2,0)))</f>
        <v>327104</v>
      </c>
      <c r="P31" s="82" t="str">
        <f>IF(ResourceAction[[#This Row],[Resource Name]]="","idn2",IF(ResourceAction[[#This Row],[IDN2]]="","",VLOOKUP(ResourceAction[[#This Row],[IDN2]],IDNMaps[[Display]:[ID]],2,0)))</f>
        <v/>
      </c>
      <c r="Q31" s="82" t="str">
        <f>IF(ResourceAction[[#This Row],[Resource Name]]="","idn3",IF(ResourceAction[[#This Row],[IDN3]]="","",VLOOKUP(ResourceAction[[#This Row],[IDN3]],IDNMaps[[Display]:[ID]],2,0)))</f>
        <v/>
      </c>
      <c r="R31" s="82" t="str">
        <f>IF(ResourceAction[[#This Row],[Resource Name]]="","idn4",IF(ResourceAction[[#This Row],[IDN4]]="","",VLOOKUP(ResourceAction[[#This Row],[IDN4]],IDNMaps[[Display]:[ID]],2,0)))</f>
        <v/>
      </c>
      <c r="S31" s="82" t="str">
        <f>IF(ResourceAction[[#This Row],[Resource Name]]="","idn5",IF(ResourceAction[[#This Row],[IDN5]]="","",VLOOKUP(ResourceAction[[#This Row],[IDN5]],IDNMaps[[Display]:[ID]],2,0)))</f>
        <v/>
      </c>
      <c r="T31" s="87" t="s">
        <v>1744</v>
      </c>
      <c r="U31" s="83"/>
      <c r="V31" s="83"/>
      <c r="W31" s="83"/>
      <c r="X31" s="83"/>
      <c r="Y31" s="84">
        <f>ResourceAction[No]</f>
        <v>332129</v>
      </c>
    </row>
    <row r="32" spans="1:38" x14ac:dyDescent="0.25">
      <c r="A32" s="79" t="str">
        <f>'Table Seed Map'!$A$34&amp;"-"&amp;(COUNTA($E$1:ResourceAction[[#This Row],[Resource]])-2)</f>
        <v>Resource Actions-30</v>
      </c>
      <c r="B32" s="79" t="str">
        <f>ResourceAction[[#This Row],[Resource Name]]&amp;"/"&amp;ResourceAction[[#This Row],[Name]]</f>
        <v>FnReserve/ListReserves</v>
      </c>
      <c r="C32" s="74" t="s">
        <v>1633</v>
      </c>
      <c r="D32" s="79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79">
        <f>IFERROR(VLOOKUP(ResourceAction[[#This Row],[Resource Name]],ResourceTable[[RName]:[No]],3,0),"resource")</f>
        <v>305127</v>
      </c>
      <c r="F32" s="79" t="s">
        <v>1783</v>
      </c>
      <c r="G32" s="79" t="s">
        <v>1784</v>
      </c>
      <c r="H32" s="79"/>
      <c r="I32" s="79"/>
      <c r="J32" s="79" t="s">
        <v>1389</v>
      </c>
      <c r="K32" s="80" t="str">
        <f>'Table Seed Map'!$A$35&amp;"-"&amp;(COUNTA($E$1:ResourceAction[[#This Row],[Resource]])-2)</f>
        <v>Action Method-30</v>
      </c>
      <c r="L32" s="79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79">
        <f>IF(ResourceAction[[#This Row],[No]]="id","resource_action",ResourceAction[[#This Row],[No]])</f>
        <v>332130</v>
      </c>
      <c r="N32" s="85" t="s">
        <v>122</v>
      </c>
      <c r="O32" s="82">
        <f ca="1">IF(ResourceAction[[#This Row],[Resource Name]]="","idn1",IF(ResourceAction[[#This Row],[IDN1]]="","",VLOOKUP(ResourceAction[[#This Row],[IDN1]],IDNMaps[[Display]:[ID]],2,0)))</f>
        <v>322110</v>
      </c>
      <c r="P32" s="82" t="str">
        <f>IF(ResourceAction[[#This Row],[Resource Name]]="","idn2",IF(ResourceAction[[#This Row],[IDN2]]="","",VLOOKUP(ResourceAction[[#This Row],[IDN2]],IDNMaps[[Display]:[ID]],2,0)))</f>
        <v/>
      </c>
      <c r="Q32" s="82" t="str">
        <f>IF(ResourceAction[[#This Row],[Resource Name]]="","idn3",IF(ResourceAction[[#This Row],[IDN3]]="","",VLOOKUP(ResourceAction[[#This Row],[IDN3]],IDNMaps[[Display]:[ID]],2,0)))</f>
        <v/>
      </c>
      <c r="R32" s="82" t="str">
        <f>IF(ResourceAction[[#This Row],[Resource Name]]="","idn4",IF(ResourceAction[[#This Row],[IDN4]]="","",VLOOKUP(ResourceAction[[#This Row],[IDN4]],IDNMaps[[Display]:[ID]],2,0)))</f>
        <v/>
      </c>
      <c r="S32" s="82" t="str">
        <f>IF(ResourceAction[[#This Row],[Resource Name]]="","idn5",IF(ResourceAction[[#This Row],[IDN5]]="","",VLOOKUP(ResourceAction[[#This Row],[IDN5]],IDNMaps[[Display]:[ID]],2,0)))</f>
        <v/>
      </c>
      <c r="T32" s="87" t="s">
        <v>1785</v>
      </c>
      <c r="U32" s="83"/>
      <c r="V32" s="83"/>
      <c r="W32" s="83"/>
      <c r="X32" s="83"/>
      <c r="Y32" s="84">
        <f>ResourceAction[No]</f>
        <v>332130</v>
      </c>
    </row>
    <row r="33" spans="1:25" x14ac:dyDescent="0.25">
      <c r="A33" s="79" t="str">
        <f>'Table Seed Map'!$A$34&amp;"-"&amp;(COUNTA($E$1:ResourceAction[[#This Row],[Resource]])-2)</f>
        <v>Resource Actions-31</v>
      </c>
      <c r="B33" s="79" t="str">
        <f>ResourceAction[[#This Row],[Resource Name]]&amp;"/"&amp;ResourceAction[[#This Row],[Name]]</f>
        <v>FnReserve/AddReserveEntry</v>
      </c>
      <c r="C33" s="74" t="s">
        <v>1633</v>
      </c>
      <c r="D33" s="79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79">
        <f>IFERROR(VLOOKUP(ResourceAction[[#This Row],[Resource Name]],ResourceTable[[RName]:[No]],3,0),"resource")</f>
        <v>305127</v>
      </c>
      <c r="F33" s="79" t="s">
        <v>1786</v>
      </c>
      <c r="G33" s="79" t="s">
        <v>1787</v>
      </c>
      <c r="H33" s="79"/>
      <c r="I33" s="79"/>
      <c r="J33" s="79" t="s">
        <v>1742</v>
      </c>
      <c r="K33" s="80" t="str">
        <f>'Table Seed Map'!$A$35&amp;"-"&amp;(COUNTA($E$1:ResourceAction[[#This Row],[Resource]])-2)</f>
        <v>Action Method-31</v>
      </c>
      <c r="L33" s="79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79">
        <f>IF(ResourceAction[[#This Row],[No]]="id","resource_action",ResourceAction[[#This Row],[No]])</f>
        <v>332131</v>
      </c>
      <c r="N33" s="85" t="s">
        <v>121</v>
      </c>
      <c r="O33" s="82">
        <f ca="1">IF(ResourceAction[[#This Row],[Resource Name]]="","idn1",IF(ResourceAction[[#This Row],[IDN1]]="","",VLOOKUP(ResourceAction[[#This Row],[IDN1]],IDNMaps[[Display]:[ID]],2,0)))</f>
        <v>309106</v>
      </c>
      <c r="P33" s="82" t="str">
        <f>IF(ResourceAction[[#This Row],[Resource Name]]="","idn2",IF(ResourceAction[[#This Row],[IDN2]]="","",VLOOKUP(ResourceAction[[#This Row],[IDN2]],IDNMaps[[Display]:[ID]],2,0)))</f>
        <v/>
      </c>
      <c r="Q33" s="82" t="str">
        <f>IF(ResourceAction[[#This Row],[Resource Name]]="","idn3",IF(ResourceAction[[#This Row],[IDN3]]="","",VLOOKUP(ResourceAction[[#This Row],[IDN3]],IDNMaps[[Display]:[ID]],2,0)))</f>
        <v/>
      </c>
      <c r="R33" s="82" t="str">
        <f>IF(ResourceAction[[#This Row],[Resource Name]]="","idn4",IF(ResourceAction[[#This Row],[IDN4]]="","",VLOOKUP(ResourceAction[[#This Row],[IDN4]],IDNMaps[[Display]:[ID]],2,0)))</f>
        <v/>
      </c>
      <c r="S33" s="82" t="str">
        <f>IF(ResourceAction[[#This Row],[Resource Name]]="","idn5",IF(ResourceAction[[#This Row],[IDN5]]="","",VLOOKUP(ResourceAction[[#This Row],[IDN5]],IDNMaps[[Display]:[ID]],2,0)))</f>
        <v/>
      </c>
      <c r="T33" s="87" t="s">
        <v>1788</v>
      </c>
      <c r="U33" s="83"/>
      <c r="V33" s="83"/>
      <c r="W33" s="83"/>
      <c r="X33" s="83"/>
      <c r="Y33" s="84">
        <f>ResourceAction[No]</f>
        <v>332131</v>
      </c>
    </row>
    <row r="34" spans="1:25" x14ac:dyDescent="0.25">
      <c r="A34" s="79" t="str">
        <f>'Table Seed Map'!$A$34&amp;"-"&amp;(COUNTA($E$1:ResourceAction[[#This Row],[Resource]])-2)</f>
        <v>Resource Actions-32</v>
      </c>
      <c r="B34" s="79" t="str">
        <f>ResourceAction[[#This Row],[Resource Name]]&amp;"/"&amp;ResourceAction[[#This Row],[Name]]</f>
        <v>FnReserve/ViewFnReserve</v>
      </c>
      <c r="C34" s="74" t="s">
        <v>1633</v>
      </c>
      <c r="D34" s="79">
        <f>IF(ResourceAction[[#This Row],[Resource Name]]="","id",COUNTA($C$1:ResourceAction[[#This Row],[Resource Name]])-1+IF(VLOOKUP('Table Seed Map'!$A$34,SeedMap[],9,0),VLOOKUP('Table Seed Map'!$A$34,SeedMap[],9,0),0))</f>
        <v>332132</v>
      </c>
      <c r="E34" s="79">
        <f>IFERROR(VLOOKUP(ResourceAction[[#This Row],[Resource Name]],ResourceTable[[RName]:[No]],3,0),"resource")</f>
        <v>305127</v>
      </c>
      <c r="F34" s="79" t="s">
        <v>1789</v>
      </c>
      <c r="G34" s="79" t="s">
        <v>1790</v>
      </c>
      <c r="H34" s="79" t="s">
        <v>1348</v>
      </c>
      <c r="I34" s="79" t="s">
        <v>1366</v>
      </c>
      <c r="J34" s="79"/>
      <c r="K34" s="80" t="str">
        <f>'Table Seed Map'!$A$35&amp;"-"&amp;(COUNTA($E$1:ResourceAction[[#This Row],[Resource]])-2)</f>
        <v>Action Method-32</v>
      </c>
      <c r="L34" s="79">
        <f>IF(ResourceAction[[#This Row],[No]]="id","id",-2+COUNTA($E$1:ResourceAction[[#This Row],[Resource]])+IF(ISNUMBER(VLOOKUP('Table Seed Map'!$A$35,SeedMap[],9,0)),VLOOKUP('Table Seed Map'!$A$35,SeedMap[],9,0),0))</f>
        <v>333132</v>
      </c>
      <c r="M34" s="79">
        <f>IF(ResourceAction[[#This Row],[No]]="id","resource_action",ResourceAction[[#This Row],[No]])</f>
        <v>332132</v>
      </c>
      <c r="N34" s="81" t="s">
        <v>130</v>
      </c>
      <c r="O34" s="82">
        <f ca="1">IF(ResourceAction[[#This Row],[Resource Name]]="","idn1",IF(ResourceAction[[#This Row],[IDN1]]="","",VLOOKUP(ResourceAction[[#This Row],[IDN1]],IDNMaps[[Display]:[ID]],2,0)))</f>
        <v>327105</v>
      </c>
      <c r="P34" s="82" t="str">
        <f>IF(ResourceAction[[#This Row],[Resource Name]]="","idn2",IF(ResourceAction[[#This Row],[IDN2]]="","",VLOOKUP(ResourceAction[[#This Row],[IDN2]],IDNMaps[[Display]:[ID]],2,0)))</f>
        <v/>
      </c>
      <c r="Q34" s="82" t="str">
        <f>IF(ResourceAction[[#This Row],[Resource Name]]="","idn3",IF(ResourceAction[[#This Row],[IDN3]]="","",VLOOKUP(ResourceAction[[#This Row],[IDN3]],IDNMaps[[Display]:[ID]],2,0)))</f>
        <v/>
      </c>
      <c r="R34" s="82" t="str">
        <f>IF(ResourceAction[[#This Row],[Resource Name]]="","idn4",IF(ResourceAction[[#This Row],[IDN4]]="","",VLOOKUP(ResourceAction[[#This Row],[IDN4]],IDNMaps[[Display]:[ID]],2,0)))</f>
        <v/>
      </c>
      <c r="S34" s="82" t="str">
        <f>IF(ResourceAction[[#This Row],[Resource Name]]="","idn5",IF(ResourceAction[[#This Row],[IDN5]]="","",VLOOKUP(ResourceAction[[#This Row],[IDN5]],IDNMaps[[Display]:[ID]],2,0)))</f>
        <v/>
      </c>
      <c r="T34" s="87" t="s">
        <v>1791</v>
      </c>
      <c r="U34" s="83"/>
      <c r="V34" s="83"/>
      <c r="W34" s="83"/>
      <c r="X34" s="83"/>
      <c r="Y34" s="84">
        <f>ResourceAction[No]</f>
        <v>332132</v>
      </c>
    </row>
    <row r="35" spans="1:25" x14ac:dyDescent="0.25">
      <c r="A35" s="79" t="str">
        <f>'Table Seed Map'!$A$34&amp;"-"&amp;(COUNTA($E$1:ResourceAction[[#This Row],[Resource]])-2)</f>
        <v>Resource Actions-33</v>
      </c>
      <c r="B35" s="79" t="str">
        <f>ResourceAction[[#This Row],[Resource Name]]&amp;"/"&amp;ResourceAction[[#This Row],[Name]]</f>
        <v>FnReserve/UpdateReserveAction</v>
      </c>
      <c r="C35" s="74" t="s">
        <v>1633</v>
      </c>
      <c r="D35" s="79">
        <f>IF(ResourceAction[[#This Row],[Resource Name]]="","id",COUNTA($C$1:ResourceAction[[#This Row],[Resource Name]])-1+IF(VLOOKUP('Table Seed Map'!$A$34,SeedMap[],9,0),VLOOKUP('Table Seed Map'!$A$34,SeedMap[],9,0),0))</f>
        <v>332133</v>
      </c>
      <c r="E35" s="79">
        <f>IFERROR(VLOOKUP(ResourceAction[[#This Row],[Resource Name]],ResourceTable[[RName]:[No]],3,0),"resource")</f>
        <v>305127</v>
      </c>
      <c r="F35" s="79" t="s">
        <v>1797</v>
      </c>
      <c r="G35" s="79" t="s">
        <v>1798</v>
      </c>
      <c r="H35" s="79" t="s">
        <v>335</v>
      </c>
      <c r="I35" s="79" t="s">
        <v>1366</v>
      </c>
      <c r="J35" s="79"/>
      <c r="K35" s="80" t="str">
        <f>'Table Seed Map'!$A$35&amp;"-"&amp;(COUNTA($E$1:ResourceAction[[#This Row],[Resource]])-2)</f>
        <v>Action Method-33</v>
      </c>
      <c r="L35" s="79">
        <f>IF(ResourceAction[[#This Row],[No]]="id","id",-2+COUNTA($E$1:ResourceAction[[#This Row],[Resource]])+IF(ISNUMBER(VLOOKUP('Table Seed Map'!$A$35,SeedMap[],9,0)),VLOOKUP('Table Seed Map'!$A$35,SeedMap[],9,0),0))</f>
        <v>333133</v>
      </c>
      <c r="M35" s="79">
        <f>IF(ResourceAction[[#This Row],[No]]="id","resource_action",ResourceAction[[#This Row],[No]])</f>
        <v>332133</v>
      </c>
      <c r="N35" s="81" t="s">
        <v>224</v>
      </c>
      <c r="O35" s="82">
        <f ca="1">IF(ResourceAction[[#This Row],[Resource Name]]="","idn1",IF(ResourceAction[[#This Row],[IDN1]]="","",VLOOKUP(ResourceAction[[#This Row],[IDN1]],IDNMaps[[Display]:[ID]],2,0)))</f>
        <v>309107</v>
      </c>
      <c r="P35" s="82">
        <f ca="1">IF(ResourceAction[[#This Row],[Resource Name]]="","idn2",IF(ResourceAction[[#This Row],[IDN2]]="","",VLOOKUP(ResourceAction[[#This Row],[IDN2]],IDNMaps[[Display]:[ID]],2,0)))</f>
        <v>327105</v>
      </c>
      <c r="Q35" s="82" t="str">
        <f>IF(ResourceAction[[#This Row],[Resource Name]]="","idn3",IF(ResourceAction[[#This Row],[IDN3]]="","",VLOOKUP(ResourceAction[[#This Row],[IDN3]],IDNMaps[[Display]:[ID]],2,0)))</f>
        <v/>
      </c>
      <c r="R35" s="82" t="str">
        <f>IF(ResourceAction[[#This Row],[Resource Name]]="","idn4",IF(ResourceAction[[#This Row],[IDN4]]="","",VLOOKUP(ResourceAction[[#This Row],[IDN4]],IDNMaps[[Display]:[ID]],2,0)))</f>
        <v/>
      </c>
      <c r="S35" s="82" t="str">
        <f>IF(ResourceAction[[#This Row],[Resource Name]]="","idn5",IF(ResourceAction[[#This Row],[IDN5]]="","",VLOOKUP(ResourceAction[[#This Row],[IDN5]],IDNMaps[[Display]:[ID]],2,0)))</f>
        <v/>
      </c>
      <c r="T35" s="87" t="s">
        <v>1799</v>
      </c>
      <c r="U35" s="83" t="s">
        <v>1791</v>
      </c>
      <c r="V35" s="83"/>
      <c r="W35" s="83"/>
      <c r="X35" s="83"/>
      <c r="Y35" s="84">
        <f>ResourceAction[No]</f>
        <v>332133</v>
      </c>
    </row>
    <row r="36" spans="1:25" x14ac:dyDescent="0.25">
      <c r="A36" s="79" t="str">
        <f>'Table Seed Map'!$A$34&amp;"-"&amp;(COUNTA($E$1:ResourceAction[[#This Row],[Resource]])-2)</f>
        <v>Resource Actions-34</v>
      </c>
      <c r="B36" s="79" t="str">
        <f>ResourceAction[[#This Row],[Resource Name]]&amp;"/"&amp;ResourceAction[[#This Row],[Name]]</f>
        <v>FnReserve/ListUncompletedReserves</v>
      </c>
      <c r="C36" s="74" t="s">
        <v>1633</v>
      </c>
      <c r="D36" s="79">
        <f>IF(ResourceAction[[#This Row],[Resource Name]]="","id",COUNTA($C$1:ResourceAction[[#This Row],[Resource Name]])-1+IF(VLOOKUP('Table Seed Map'!$A$34,SeedMap[],9,0),VLOOKUP('Table Seed Map'!$A$34,SeedMap[],9,0),0))</f>
        <v>332134</v>
      </c>
      <c r="E36" s="79">
        <f>IFERROR(VLOOKUP(ResourceAction[[#This Row],[Resource Name]],ResourceTable[[RName]:[No]],3,0),"resource")</f>
        <v>305127</v>
      </c>
      <c r="F36" s="79" t="s">
        <v>1809</v>
      </c>
      <c r="G36" s="79" t="s">
        <v>1810</v>
      </c>
      <c r="H36" s="79"/>
      <c r="I36" s="79"/>
      <c r="J36" s="79" t="s">
        <v>1811</v>
      </c>
      <c r="K36" s="80" t="str">
        <f>'Table Seed Map'!$A$35&amp;"-"&amp;(COUNTA($E$1:ResourceAction[[#This Row],[Resource]])-2)</f>
        <v>Action Method-34</v>
      </c>
      <c r="L36" s="79">
        <f>IF(ResourceAction[[#This Row],[No]]="id","id",-2+COUNTA($E$1:ResourceAction[[#This Row],[Resource]])+IF(ISNUMBER(VLOOKUP('Table Seed Map'!$A$35,SeedMap[],9,0)),VLOOKUP('Table Seed Map'!$A$35,SeedMap[],9,0),0))</f>
        <v>333134</v>
      </c>
      <c r="M36" s="79">
        <f>IF(ResourceAction[[#This Row],[No]]="id","resource_action",ResourceAction[[#This Row],[No]])</f>
        <v>332134</v>
      </c>
      <c r="N36" s="81" t="s">
        <v>122</v>
      </c>
      <c r="O36" s="82">
        <f ca="1">IF(ResourceAction[[#This Row],[Resource Name]]="","idn1",IF(ResourceAction[[#This Row],[IDN1]]="","",VLOOKUP(ResourceAction[[#This Row],[IDN1]],IDNMaps[[Display]:[ID]],2,0)))</f>
        <v>322111</v>
      </c>
      <c r="P36" s="82" t="str">
        <f>IF(ResourceAction[[#This Row],[Resource Name]]="","idn2",IF(ResourceAction[[#This Row],[IDN2]]="","",VLOOKUP(ResourceAction[[#This Row],[IDN2]],IDNMaps[[Display]:[ID]],2,0)))</f>
        <v/>
      </c>
      <c r="Q36" s="82" t="str">
        <f>IF(ResourceAction[[#This Row],[Resource Name]]="","idn3",IF(ResourceAction[[#This Row],[IDN3]]="","",VLOOKUP(ResourceAction[[#This Row],[IDN3]],IDNMaps[[Display]:[ID]],2,0)))</f>
        <v/>
      </c>
      <c r="R36" s="82" t="str">
        <f>IF(ResourceAction[[#This Row],[Resource Name]]="","idn4",IF(ResourceAction[[#This Row],[IDN4]]="","",VLOOKUP(ResourceAction[[#This Row],[IDN4]],IDNMaps[[Display]:[ID]],2,0)))</f>
        <v/>
      </c>
      <c r="S36" s="82" t="str">
        <f>IF(ResourceAction[[#This Row],[Resource Name]]="","idn5",IF(ResourceAction[[#This Row],[IDN5]]="","",VLOOKUP(ResourceAction[[#This Row],[IDN5]],IDNMaps[[Display]:[ID]],2,0)))</f>
        <v/>
      </c>
      <c r="T36" s="87" t="s">
        <v>1812</v>
      </c>
      <c r="U36" s="83"/>
      <c r="V36" s="83"/>
      <c r="W36" s="83"/>
      <c r="X36" s="83"/>
      <c r="Y36" s="84">
        <f>ResourceAction[No]</f>
        <v>332134</v>
      </c>
    </row>
    <row r="37" spans="1:25" x14ac:dyDescent="0.25">
      <c r="A37" s="79" t="str">
        <f>'Table Seed Map'!$A$34&amp;"-"&amp;(COUNTA($E$1:ResourceAction[[#This Row],[Resource]])-2)</f>
        <v>Resource Actions-35</v>
      </c>
      <c r="B37" s="79" t="str">
        <f>ResourceAction[[#This Row],[Resource Name]]&amp;"/"&amp;ResourceAction[[#This Row],[Name]]</f>
        <v>User/ListLoginUsers</v>
      </c>
      <c r="C37" s="74" t="s">
        <v>74</v>
      </c>
      <c r="D37" s="79">
        <f>IF(ResourceAction[[#This Row],[Resource Name]]="","id",COUNTA($C$1:ResourceAction[[#This Row],[Resource Name]])-1+IF(VLOOKUP('Table Seed Map'!$A$34,SeedMap[],9,0),VLOOKUP('Table Seed Map'!$A$34,SeedMap[],9,0),0))</f>
        <v>332135</v>
      </c>
      <c r="E37" s="79">
        <f>IFERROR(VLOOKUP(ResourceAction[[#This Row],[Resource Name]],ResourceTable[[RName]:[No]],3,0),"resource")</f>
        <v>305101</v>
      </c>
      <c r="F37" s="79" t="s">
        <v>1902</v>
      </c>
      <c r="G37" s="79" t="s">
        <v>1903</v>
      </c>
      <c r="H37" s="79"/>
      <c r="I37" s="79"/>
      <c r="J37" s="79" t="s">
        <v>1904</v>
      </c>
      <c r="K37" s="80" t="str">
        <f>'Table Seed Map'!$A$35&amp;"-"&amp;(COUNTA($E$1:ResourceAction[[#This Row],[Resource]])-2)</f>
        <v>Action Method-35</v>
      </c>
      <c r="L37" s="79">
        <f>IF(ResourceAction[[#This Row],[No]]="id","id",-2+COUNTA($E$1:ResourceAction[[#This Row],[Resource]])+IF(ISNUMBER(VLOOKUP('Table Seed Map'!$A$35,SeedMap[],9,0)),VLOOKUP('Table Seed Map'!$A$35,SeedMap[],9,0),0))</f>
        <v>333135</v>
      </c>
      <c r="M37" s="79">
        <f>IF(ResourceAction[[#This Row],[No]]="id","resource_action",ResourceAction[[#This Row],[No]])</f>
        <v>332135</v>
      </c>
      <c r="N37" s="81" t="s">
        <v>122</v>
      </c>
      <c r="O37" s="82">
        <f ca="1">IF(ResourceAction[[#This Row],[Resource Name]]="","idn1",IF(ResourceAction[[#This Row],[IDN1]]="","",VLOOKUP(ResourceAction[[#This Row],[IDN1]],IDNMaps[[Display]:[ID]],2,0)))</f>
        <v>322112</v>
      </c>
      <c r="P37" s="82" t="str">
        <f>IF(ResourceAction[[#This Row],[Resource Name]]="","idn2",IF(ResourceAction[[#This Row],[IDN2]]="","",VLOOKUP(ResourceAction[[#This Row],[IDN2]],IDNMaps[[Display]:[ID]],2,0)))</f>
        <v/>
      </c>
      <c r="Q37" s="82" t="str">
        <f>IF(ResourceAction[[#This Row],[Resource Name]]="","idn3",IF(ResourceAction[[#This Row],[IDN3]]="","",VLOOKUP(ResourceAction[[#This Row],[IDN3]],IDNMaps[[Display]:[ID]],2,0)))</f>
        <v/>
      </c>
      <c r="R37" s="82" t="str">
        <f>IF(ResourceAction[[#This Row],[Resource Name]]="","idn4",IF(ResourceAction[[#This Row],[IDN4]]="","",VLOOKUP(ResourceAction[[#This Row],[IDN4]],IDNMaps[[Display]:[ID]],2,0)))</f>
        <v/>
      </c>
      <c r="S37" s="82" t="str">
        <f>IF(ResourceAction[[#This Row],[Resource Name]]="","idn5",IF(ResourceAction[[#This Row],[IDN5]]="","",VLOOKUP(ResourceAction[[#This Row],[IDN5]],IDNMaps[[Display]:[ID]],2,0)))</f>
        <v/>
      </c>
      <c r="T37" s="87" t="s">
        <v>1905</v>
      </c>
      <c r="U37" s="83"/>
      <c r="V37" s="83"/>
      <c r="W37" s="83"/>
      <c r="X37" s="83"/>
      <c r="Y37" s="84">
        <f>ResourceAction[No]</f>
        <v>332135</v>
      </c>
    </row>
    <row r="38" spans="1:25" x14ac:dyDescent="0.25">
      <c r="A38" s="79" t="str">
        <f>'Table Seed Map'!$A$34&amp;"-"&amp;(COUNTA($E$1:ResourceAction[[#This Row],[Resource]])-2)</f>
        <v>Resource Actions-36</v>
      </c>
      <c r="B38" s="79" t="str">
        <f>ResourceAction[[#This Row],[Resource Name]]&amp;"/"&amp;ResourceAction[[#This Row],[Name]]</f>
        <v>User/ListLoginExecutives</v>
      </c>
      <c r="C38" s="74" t="s">
        <v>74</v>
      </c>
      <c r="D38" s="79">
        <f>IF(ResourceAction[[#This Row],[Resource Name]]="","id",COUNTA($C$1:ResourceAction[[#This Row],[Resource Name]])-1+IF(VLOOKUP('Table Seed Map'!$A$34,SeedMap[],9,0),VLOOKUP('Table Seed Map'!$A$34,SeedMap[],9,0),0))</f>
        <v>332136</v>
      </c>
      <c r="E38" s="79">
        <f>IFERROR(VLOOKUP(ResourceAction[[#This Row],[Resource Name]],ResourceTable[[RName]:[No]],3,0),"resource")</f>
        <v>305101</v>
      </c>
      <c r="F38" s="79" t="s">
        <v>1906</v>
      </c>
      <c r="G38" s="79" t="s">
        <v>1908</v>
      </c>
      <c r="H38" s="79"/>
      <c r="I38" s="79"/>
      <c r="J38" s="79" t="s">
        <v>1907</v>
      </c>
      <c r="K38" s="80" t="str">
        <f>'Table Seed Map'!$A$35&amp;"-"&amp;(COUNTA($E$1:ResourceAction[[#This Row],[Resource]])-2)</f>
        <v>Action Method-36</v>
      </c>
      <c r="L38" s="79">
        <f>IF(ResourceAction[[#This Row],[No]]="id","id",-2+COUNTA($E$1:ResourceAction[[#This Row],[Resource]])+IF(ISNUMBER(VLOOKUP('Table Seed Map'!$A$35,SeedMap[],9,0)),VLOOKUP('Table Seed Map'!$A$35,SeedMap[],9,0),0))</f>
        <v>333136</v>
      </c>
      <c r="M38" s="79">
        <f>IF(ResourceAction[[#This Row],[No]]="id","resource_action",ResourceAction[[#This Row],[No]])</f>
        <v>332136</v>
      </c>
      <c r="N38" s="81" t="s">
        <v>122</v>
      </c>
      <c r="O38" s="82">
        <f ca="1">IF(ResourceAction[[#This Row],[Resource Name]]="","idn1",IF(ResourceAction[[#This Row],[IDN1]]="","",VLOOKUP(ResourceAction[[#This Row],[IDN1]],IDNMaps[[Display]:[ID]],2,0)))</f>
        <v>322113</v>
      </c>
      <c r="P38" s="82" t="str">
        <f>IF(ResourceAction[[#This Row],[Resource Name]]="","idn2",IF(ResourceAction[[#This Row],[IDN2]]="","",VLOOKUP(ResourceAction[[#This Row],[IDN2]],IDNMaps[[Display]:[ID]],2,0)))</f>
        <v/>
      </c>
      <c r="Q38" s="82" t="str">
        <f>IF(ResourceAction[[#This Row],[Resource Name]]="","idn3",IF(ResourceAction[[#This Row],[IDN3]]="","",VLOOKUP(ResourceAction[[#This Row],[IDN3]],IDNMaps[[Display]:[ID]],2,0)))</f>
        <v/>
      </c>
      <c r="R38" s="82" t="str">
        <f>IF(ResourceAction[[#This Row],[Resource Name]]="","idn4",IF(ResourceAction[[#This Row],[IDN4]]="","",VLOOKUP(ResourceAction[[#This Row],[IDN4]],IDNMaps[[Display]:[ID]],2,0)))</f>
        <v/>
      </c>
      <c r="S38" s="82" t="str">
        <f>IF(ResourceAction[[#This Row],[Resource Name]]="","idn5",IF(ResourceAction[[#This Row],[IDN5]]="","",VLOOKUP(ResourceAction[[#This Row],[IDN5]],IDNMaps[[Display]:[ID]],2,0)))</f>
        <v/>
      </c>
      <c r="T38" s="87" t="s">
        <v>1909</v>
      </c>
      <c r="U38" s="83"/>
      <c r="V38" s="83"/>
      <c r="W38" s="83"/>
      <c r="X38" s="83"/>
      <c r="Y38" s="84">
        <f>ResourceAction[No]</f>
        <v>332136</v>
      </c>
    </row>
    <row r="39" spans="1:25" x14ac:dyDescent="0.25">
      <c r="A39" s="79" t="str">
        <f>'Table Seed Map'!$A$34&amp;"-"&amp;(COUNTA($E$1:ResourceAction[[#This Row],[Resource]])-2)</f>
        <v>Resource Actions-37</v>
      </c>
      <c r="B39" s="79" t="str">
        <f>ResourceAction[[#This Row],[Resource Name]]&amp;"/"&amp;ResourceAction[[#This Row],[Name]]</f>
        <v>Menu/ListMenu</v>
      </c>
      <c r="C39" s="74" t="s">
        <v>115</v>
      </c>
      <c r="D39" s="79">
        <f>IF(ResourceAction[[#This Row],[Resource Name]]="","id",COUNTA($C$1:ResourceAction[[#This Row],[Resource Name]])-1+IF(VLOOKUP('Table Seed Map'!$A$34,SeedMap[],9,0),VLOOKUP('Table Seed Map'!$A$34,SeedMap[],9,0),0))</f>
        <v>332137</v>
      </c>
      <c r="E39" s="79">
        <f>IFERROR(VLOOKUP(ResourceAction[[#This Row],[Resource Name]],ResourceTable[[RName]:[No]],3,0),"resource")</f>
        <v>305104</v>
      </c>
      <c r="F39" s="79" t="s">
        <v>1931</v>
      </c>
      <c r="G39" s="79" t="s">
        <v>1932</v>
      </c>
      <c r="H39" s="79"/>
      <c r="I39" s="79"/>
      <c r="J39" s="79" t="s">
        <v>1389</v>
      </c>
      <c r="K39" s="80" t="str">
        <f>'Table Seed Map'!$A$35&amp;"-"&amp;(COUNTA($E$1:ResourceAction[[#This Row],[Resource]])-2)</f>
        <v>Action Method-37</v>
      </c>
      <c r="L39" s="79">
        <f>IF(ResourceAction[[#This Row],[No]]="id","id",-2+COUNTA($E$1:ResourceAction[[#This Row],[Resource]])+IF(ISNUMBER(VLOOKUP('Table Seed Map'!$A$35,SeedMap[],9,0)),VLOOKUP('Table Seed Map'!$A$35,SeedMap[],9,0),0))</f>
        <v>333137</v>
      </c>
      <c r="M39" s="79">
        <f>IF(ResourceAction[[#This Row],[No]]="id","resource_action",ResourceAction[[#This Row],[No]])</f>
        <v>332137</v>
      </c>
      <c r="N39" s="81" t="s">
        <v>122</v>
      </c>
      <c r="O39" s="82">
        <f ca="1">IF(ResourceAction[[#This Row],[Resource Name]]="","idn1",IF(ResourceAction[[#This Row],[IDN1]]="","",VLOOKUP(ResourceAction[[#This Row],[IDN1]],IDNMaps[[Display]:[ID]],2,0)))</f>
        <v>322114</v>
      </c>
      <c r="P39" s="82" t="str">
        <f>IF(ResourceAction[[#This Row],[Resource Name]]="","idn2",IF(ResourceAction[[#This Row],[IDN2]]="","",VLOOKUP(ResourceAction[[#This Row],[IDN2]],IDNMaps[[Display]:[ID]],2,0)))</f>
        <v/>
      </c>
      <c r="Q39" s="82" t="str">
        <f>IF(ResourceAction[[#This Row],[Resource Name]]="","idn3",IF(ResourceAction[[#This Row],[IDN3]]="","",VLOOKUP(ResourceAction[[#This Row],[IDN3]],IDNMaps[[Display]:[ID]],2,0)))</f>
        <v/>
      </c>
      <c r="R39" s="82" t="str">
        <f>IF(ResourceAction[[#This Row],[Resource Name]]="","idn4",IF(ResourceAction[[#This Row],[IDN4]]="","",VLOOKUP(ResourceAction[[#This Row],[IDN4]],IDNMaps[[Display]:[ID]],2,0)))</f>
        <v/>
      </c>
      <c r="S39" s="82" t="str">
        <f>IF(ResourceAction[[#This Row],[Resource Name]]="","idn5",IF(ResourceAction[[#This Row],[IDN5]]="","",VLOOKUP(ResourceAction[[#This Row],[IDN5]],IDNMaps[[Display]:[ID]],2,0)))</f>
        <v/>
      </c>
      <c r="T39" s="87" t="s">
        <v>1933</v>
      </c>
      <c r="U39" s="83"/>
      <c r="V39" s="83"/>
      <c r="W39" s="83"/>
      <c r="X39" s="83"/>
      <c r="Y39" s="84">
        <f>ResourceAction[No]</f>
        <v>332137</v>
      </c>
    </row>
    <row r="40" spans="1:25" x14ac:dyDescent="0.25">
      <c r="A40" s="79" t="str">
        <f>'Table Seed Map'!$A$34&amp;"-"&amp;(COUNTA($E$1:ResourceAction[[#This Row],[Resource]])-2)</f>
        <v>Resource Actions-38</v>
      </c>
      <c r="B40" s="79" t="str">
        <f>ResourceAction[[#This Row],[Resource Name]]&amp;"/"&amp;ResourceAction[[#This Row],[Name]]</f>
        <v>Menu/UpdateMenu</v>
      </c>
      <c r="C40" s="74" t="s">
        <v>115</v>
      </c>
      <c r="D40" s="79">
        <f>IF(ResourceAction[[#This Row],[Resource Name]]="","id",COUNTA($C$1:ResourceAction[[#This Row],[Resource Name]])-1+IF(VLOOKUP('Table Seed Map'!$A$34,SeedMap[],9,0),VLOOKUP('Table Seed Map'!$A$34,SeedMap[],9,0),0))</f>
        <v>332138</v>
      </c>
      <c r="E40" s="79">
        <f>IFERROR(VLOOKUP(ResourceAction[[#This Row],[Resource Name]],ResourceTable[[RName]:[No]],3,0),"resource")</f>
        <v>305104</v>
      </c>
      <c r="F40" s="79" t="s">
        <v>1910</v>
      </c>
      <c r="G40" s="79" t="s">
        <v>1934</v>
      </c>
      <c r="H40" s="79" t="s">
        <v>335</v>
      </c>
      <c r="I40" s="79" t="s">
        <v>1366</v>
      </c>
      <c r="J40" s="79"/>
      <c r="K40" s="80" t="str">
        <f>'Table Seed Map'!$A$35&amp;"-"&amp;(COUNTA($E$1:ResourceAction[[#This Row],[Resource]])-2)</f>
        <v>Action Method-38</v>
      </c>
      <c r="L40" s="79">
        <f>IF(ResourceAction[[#This Row],[No]]="id","id",-2+COUNTA($E$1:ResourceAction[[#This Row],[Resource]])+IF(ISNUMBER(VLOOKUP('Table Seed Map'!$A$35,SeedMap[],9,0)),VLOOKUP('Table Seed Map'!$A$35,SeedMap[],9,0),0))</f>
        <v>333138</v>
      </c>
      <c r="M40" s="79">
        <f>IF(ResourceAction[[#This Row],[No]]="id","resource_action",ResourceAction[[#This Row],[No]])</f>
        <v>332138</v>
      </c>
      <c r="N40" s="81" t="s">
        <v>224</v>
      </c>
      <c r="O40" s="82">
        <f ca="1">IF(ResourceAction[[#This Row],[Resource Name]]="","idn1",IF(ResourceAction[[#This Row],[IDN1]]="","",VLOOKUP(ResourceAction[[#This Row],[IDN1]],IDNMaps[[Display]:[ID]],2,0)))</f>
        <v>309108</v>
      </c>
      <c r="P40" s="82">
        <f ca="1">IF(ResourceAction[[#This Row],[Resource Name]]="","idn2",IF(ResourceAction[[#This Row],[IDN2]]="","",VLOOKUP(ResourceAction[[#This Row],[IDN2]],IDNMaps[[Display]:[ID]],2,0)))</f>
        <v>327106</v>
      </c>
      <c r="Q40" s="82" t="str">
        <f>IF(ResourceAction[[#This Row],[Resource Name]]="","idn3",IF(ResourceAction[[#This Row],[IDN3]]="","",VLOOKUP(ResourceAction[[#This Row],[IDN3]],IDNMaps[[Display]:[ID]],2,0)))</f>
        <v/>
      </c>
      <c r="R40" s="82" t="str">
        <f>IF(ResourceAction[[#This Row],[Resource Name]]="","idn4",IF(ResourceAction[[#This Row],[IDN4]]="","",VLOOKUP(ResourceAction[[#This Row],[IDN4]],IDNMaps[[Display]:[ID]],2,0)))</f>
        <v/>
      </c>
      <c r="S40" s="82" t="str">
        <f>IF(ResourceAction[[#This Row],[Resource Name]]="","idn5",IF(ResourceAction[[#This Row],[IDN5]]="","",VLOOKUP(ResourceAction[[#This Row],[IDN5]],IDNMaps[[Display]:[ID]],2,0)))</f>
        <v/>
      </c>
      <c r="T40" s="87" t="s">
        <v>1935</v>
      </c>
      <c r="U40" s="83" t="s">
        <v>1936</v>
      </c>
      <c r="V40" s="83"/>
      <c r="W40" s="83"/>
      <c r="X40" s="83"/>
      <c r="Y40" s="84">
        <f>ResourceAction[No]</f>
        <v>332138</v>
      </c>
    </row>
    <row r="41" spans="1:25" x14ac:dyDescent="0.25">
      <c r="A41" s="79" t="str">
        <f>'Table Seed Map'!$A$34&amp;"-"&amp;(COUNTA($E$1:ResourceAction[[#This Row],[Resource]])-2)</f>
        <v>Resource Actions-39</v>
      </c>
      <c r="B41" s="79" t="str">
        <f>ResourceAction[[#This Row],[Resource Name]]&amp;"/"&amp;ResourceAction[[#This Row],[Name]]</f>
        <v>Menu/MenuView</v>
      </c>
      <c r="C41" s="74" t="s">
        <v>115</v>
      </c>
      <c r="D41" s="79">
        <f>IF(ResourceAction[[#This Row],[Resource Name]]="","id",COUNTA($C$1:ResourceAction[[#This Row],[Resource Name]])-1+IF(VLOOKUP('Table Seed Map'!$A$34,SeedMap[],9,0),VLOOKUP('Table Seed Map'!$A$34,SeedMap[],9,0),0))</f>
        <v>332139</v>
      </c>
      <c r="E41" s="79">
        <f>IFERROR(VLOOKUP(ResourceAction[[#This Row],[Resource Name]],ResourceTable[[RName]:[No]],3,0),"resource")</f>
        <v>305104</v>
      </c>
      <c r="F41" s="79" t="s">
        <v>1918</v>
      </c>
      <c r="G41" s="79" t="s">
        <v>1937</v>
      </c>
      <c r="H41" s="79" t="s">
        <v>1348</v>
      </c>
      <c r="I41" s="79" t="s">
        <v>1366</v>
      </c>
      <c r="J41" s="79"/>
      <c r="K41" s="80" t="str">
        <f>'Table Seed Map'!$A$35&amp;"-"&amp;(COUNTA($E$1:ResourceAction[[#This Row],[Resource]])-2)</f>
        <v>Action Method-39</v>
      </c>
      <c r="L41" s="79">
        <f>IF(ResourceAction[[#This Row],[No]]="id","id",-2+COUNTA($E$1:ResourceAction[[#This Row],[Resource]])+IF(ISNUMBER(VLOOKUP('Table Seed Map'!$A$35,SeedMap[],9,0)),VLOOKUP('Table Seed Map'!$A$35,SeedMap[],9,0),0))</f>
        <v>333139</v>
      </c>
      <c r="M41" s="79">
        <f>IF(ResourceAction[[#This Row],[No]]="id","resource_action",ResourceAction[[#This Row],[No]])</f>
        <v>332139</v>
      </c>
      <c r="N41" s="81" t="s">
        <v>130</v>
      </c>
      <c r="O41" s="82">
        <f ca="1">IF(ResourceAction[[#This Row],[Resource Name]]="","idn1",IF(ResourceAction[[#This Row],[IDN1]]="","",VLOOKUP(ResourceAction[[#This Row],[IDN1]],IDNMaps[[Display]:[ID]],2,0)))</f>
        <v>327106</v>
      </c>
      <c r="P41" s="82" t="str">
        <f>IF(ResourceAction[[#This Row],[Resource Name]]="","idn2",IF(ResourceAction[[#This Row],[IDN2]]="","",VLOOKUP(ResourceAction[[#This Row],[IDN2]],IDNMaps[[Display]:[ID]],2,0)))</f>
        <v/>
      </c>
      <c r="Q41" s="82" t="str">
        <f>IF(ResourceAction[[#This Row],[Resource Name]]="","idn3",IF(ResourceAction[[#This Row],[IDN3]]="","",VLOOKUP(ResourceAction[[#This Row],[IDN3]],IDNMaps[[Display]:[ID]],2,0)))</f>
        <v/>
      </c>
      <c r="R41" s="82" t="str">
        <f>IF(ResourceAction[[#This Row],[Resource Name]]="","idn4",IF(ResourceAction[[#This Row],[IDN4]]="","",VLOOKUP(ResourceAction[[#This Row],[IDN4]],IDNMaps[[Display]:[ID]],2,0)))</f>
        <v/>
      </c>
      <c r="S41" s="82" t="str">
        <f>IF(ResourceAction[[#This Row],[Resource Name]]="","idn5",IF(ResourceAction[[#This Row],[IDN5]]="","",VLOOKUP(ResourceAction[[#This Row],[IDN5]],IDNMaps[[Display]:[ID]],2,0)))</f>
        <v/>
      </c>
      <c r="T41" s="87" t="s">
        <v>1936</v>
      </c>
      <c r="U41" s="83"/>
      <c r="V41" s="83"/>
      <c r="W41" s="83"/>
      <c r="X41" s="83"/>
      <c r="Y41" s="84">
        <f>ResourceAction[No]</f>
        <v>332139</v>
      </c>
    </row>
    <row r="42" spans="1:25" x14ac:dyDescent="0.25">
      <c r="A42" s="37" t="str">
        <f>'Table Seed Map'!$A$34&amp;"-"&amp;(COUNTA($E$1:ResourceAction[[#This Row],[Resource]])-2)</f>
        <v>Resource Actions-40</v>
      </c>
      <c r="B42" s="37" t="str">
        <f>ResourceAction[[#This Row],[Resource Name]]&amp;"/"&amp;ResourceAction[[#This Row],[Name]]</f>
        <v>UserExecutive/ListUserExecutiveEntries</v>
      </c>
      <c r="C42" s="92" t="s">
        <v>1955</v>
      </c>
      <c r="D42" s="37">
        <f>IF(ResourceAction[[#This Row],[Resource Name]]="","id",COUNTA($C$1:ResourceAction[[#This Row],[Resource Name]])-1+IF(VLOOKUP('Table Seed Map'!$A$34,SeedMap[],9,0),VLOOKUP('Table Seed Map'!$A$34,SeedMap[],9,0),0))</f>
        <v>332140</v>
      </c>
      <c r="E42" s="37">
        <f>IFERROR(VLOOKUP(ResourceAction[[#This Row],[Resource Name]],ResourceTable[[RName]:[No]],3,0),"resource")</f>
        <v>305128</v>
      </c>
      <c r="F42" s="37" t="s">
        <v>1980</v>
      </c>
      <c r="G42" s="37" t="s">
        <v>1977</v>
      </c>
      <c r="H42" s="37"/>
      <c r="I42" s="37"/>
      <c r="J42" s="37" t="s">
        <v>1389</v>
      </c>
      <c r="K42" s="39" t="str">
        <f>'Table Seed Map'!$A$35&amp;"-"&amp;(COUNTA($E$1:ResourceAction[[#This Row],[Resource]])-2)</f>
        <v>Action Method-40</v>
      </c>
      <c r="L42" s="37">
        <f>IF(ResourceAction[[#This Row],[No]]="id","id",-2+COUNTA($E$1:ResourceAction[[#This Row],[Resource]])+IF(ISNUMBER(VLOOKUP('Table Seed Map'!$A$35,SeedMap[],9,0)),VLOOKUP('Table Seed Map'!$A$35,SeedMap[],9,0),0))</f>
        <v>333140</v>
      </c>
      <c r="M42" s="37">
        <f>IF(ResourceAction[[#This Row],[No]]="id","resource_action",ResourceAction[[#This Row],[No]])</f>
        <v>332140</v>
      </c>
      <c r="N42" s="81" t="s">
        <v>122</v>
      </c>
      <c r="O42" s="49">
        <f ca="1">IF(ResourceAction[[#This Row],[Resource Name]]="","idn1",IF(ResourceAction[[#This Row],[IDN1]]="","",VLOOKUP(ResourceAction[[#This Row],[IDN1]],IDNMaps[[Display]:[ID]],2,0)))</f>
        <v>322115</v>
      </c>
      <c r="P42" s="49" t="str">
        <f>IF(ResourceAction[[#This Row],[Resource Name]]="","idn2",IF(ResourceAction[[#This Row],[IDN2]]="","",VLOOKUP(ResourceAction[[#This Row],[IDN2]],IDNMaps[[Display]:[ID]],2,0)))</f>
        <v/>
      </c>
      <c r="Q42" s="49" t="str">
        <f>IF(ResourceAction[[#This Row],[Resource Name]]="","idn3",IF(ResourceAction[[#This Row],[IDN3]]="","",VLOOKUP(ResourceAction[[#This Row],[IDN3]],IDNMaps[[Display]:[ID]],2,0)))</f>
        <v/>
      </c>
      <c r="R42" s="49" t="str">
        <f>IF(ResourceAction[[#This Row],[Resource Name]]="","idn4",IF(ResourceAction[[#This Row],[IDN4]]="","",VLOOKUP(ResourceAction[[#This Row],[IDN4]],IDNMaps[[Display]:[ID]],2,0)))</f>
        <v/>
      </c>
      <c r="S42" s="49" t="str">
        <f>IF(ResourceAction[[#This Row],[Resource Name]]="","idn5",IF(ResourceAction[[#This Row],[IDN5]]="","",VLOOKUP(ResourceAction[[#This Row],[IDN5]],IDNMaps[[Display]:[ID]],2,0)))</f>
        <v/>
      </c>
      <c r="T42" s="87" t="s">
        <v>1978</v>
      </c>
      <c r="U42" s="57"/>
      <c r="V42" s="57"/>
      <c r="W42" s="57"/>
      <c r="X42" s="57"/>
      <c r="Y42" s="54">
        <f>ResourceAction[No]</f>
        <v>332140</v>
      </c>
    </row>
    <row r="43" spans="1:25" x14ac:dyDescent="0.25">
      <c r="A43" s="37" t="str">
        <f>'Table Seed Map'!$A$34&amp;"-"&amp;(COUNTA($E$1:ResourceAction[[#This Row],[Resource]])-2)</f>
        <v>Resource Actions-41</v>
      </c>
      <c r="B43" s="37" t="str">
        <f>ResourceAction[[#This Row],[Resource Name]]&amp;"/"&amp;ResourceAction[[#This Row],[Name]]</f>
        <v>UserExecutive/AddUserExecutiveEntries</v>
      </c>
      <c r="C43" s="92" t="s">
        <v>1955</v>
      </c>
      <c r="D43" s="37">
        <f>IF(ResourceAction[[#This Row],[Resource Name]]="","id",COUNTA($C$1:ResourceAction[[#This Row],[Resource Name]])-1+IF(VLOOKUP('Table Seed Map'!$A$34,SeedMap[],9,0),VLOOKUP('Table Seed Map'!$A$34,SeedMap[],9,0),0))</f>
        <v>332141</v>
      </c>
      <c r="E43" s="37">
        <f>IFERROR(VLOOKUP(ResourceAction[[#This Row],[Resource Name]],ResourceTable[[RName]:[No]],3,0),"resource")</f>
        <v>305128</v>
      </c>
      <c r="F43" s="37" t="s">
        <v>1979</v>
      </c>
      <c r="G43" s="37" t="s">
        <v>1981</v>
      </c>
      <c r="H43" s="37"/>
      <c r="I43" s="37"/>
      <c r="J43" s="37" t="s">
        <v>1982</v>
      </c>
      <c r="K43" s="39" t="str">
        <f>'Table Seed Map'!$A$35&amp;"-"&amp;(COUNTA($E$1:ResourceAction[[#This Row],[Resource]])-2)</f>
        <v>Action Method-41</v>
      </c>
      <c r="L43" s="37">
        <f>IF(ResourceAction[[#This Row],[No]]="id","id",-2+COUNTA($E$1:ResourceAction[[#This Row],[Resource]])+IF(ISNUMBER(VLOOKUP('Table Seed Map'!$A$35,SeedMap[],9,0)),VLOOKUP('Table Seed Map'!$A$35,SeedMap[],9,0),0))</f>
        <v>333141</v>
      </c>
      <c r="M43" s="37">
        <f>IF(ResourceAction[[#This Row],[No]]="id","resource_action",ResourceAction[[#This Row],[No]])</f>
        <v>332141</v>
      </c>
      <c r="N43" s="48" t="s">
        <v>121</v>
      </c>
      <c r="O43" s="49">
        <f ca="1">IF(ResourceAction[[#This Row],[Resource Name]]="","idn1",IF(ResourceAction[[#This Row],[IDN1]]="","",VLOOKUP(ResourceAction[[#This Row],[IDN1]],IDNMaps[[Display]:[ID]],2,0)))</f>
        <v>309109</v>
      </c>
      <c r="P43" s="49" t="str">
        <f>IF(ResourceAction[[#This Row],[Resource Name]]="","idn2",IF(ResourceAction[[#This Row],[IDN2]]="","",VLOOKUP(ResourceAction[[#This Row],[IDN2]],IDNMaps[[Display]:[ID]],2,0)))</f>
        <v/>
      </c>
      <c r="Q43" s="49" t="str">
        <f>IF(ResourceAction[[#This Row],[Resource Name]]="","idn3",IF(ResourceAction[[#This Row],[IDN3]]="","",VLOOKUP(ResourceAction[[#This Row],[IDN3]],IDNMaps[[Display]:[ID]],2,0)))</f>
        <v/>
      </c>
      <c r="R43" s="49" t="str">
        <f>IF(ResourceAction[[#This Row],[Resource Name]]="","idn4",IF(ResourceAction[[#This Row],[IDN4]]="","",VLOOKUP(ResourceAction[[#This Row],[IDN4]],IDNMaps[[Display]:[ID]],2,0)))</f>
        <v/>
      </c>
      <c r="S43" s="49" t="str">
        <f>IF(ResourceAction[[#This Row],[Resource Name]]="","idn5",IF(ResourceAction[[#This Row],[IDN5]]="","",VLOOKUP(ResourceAction[[#This Row],[IDN5]],IDNMaps[[Display]:[ID]],2,0)))</f>
        <v/>
      </c>
      <c r="T43" s="87" t="s">
        <v>1983</v>
      </c>
      <c r="U43" s="57"/>
      <c r="V43" s="57"/>
      <c r="W43" s="57"/>
      <c r="X43" s="57"/>
      <c r="Y43" s="54">
        <f>ResourceAction[No]</f>
        <v>332141</v>
      </c>
    </row>
    <row r="44" spans="1:25" x14ac:dyDescent="0.25">
      <c r="A44" s="79" t="str">
        <f>'Table Seed Map'!$A$34&amp;"-"&amp;(COUNTA($E$1:ResourceAction[[#This Row],[Resource]])-2)</f>
        <v>Resource Actions-42</v>
      </c>
      <c r="B44" s="79" t="str">
        <f>ResourceAction[[#This Row],[Resource Name]]&amp;"/"&amp;ResourceAction[[#This Row],[Name]]</f>
        <v>Printing/ListAllPrintAction</v>
      </c>
      <c r="C44" s="74" t="s">
        <v>2001</v>
      </c>
      <c r="D44" s="79">
        <f>IF(ResourceAction[[#This Row],[Resource Name]]="","id",COUNTA($C$1:ResourceAction[[#This Row],[Resource Name]])-1+IF(VLOOKUP('Table Seed Map'!$A$34,SeedMap[],9,0),VLOOKUP('Table Seed Map'!$A$34,SeedMap[],9,0),0))</f>
        <v>332142</v>
      </c>
      <c r="E44" s="79">
        <f>IFERROR(VLOOKUP(ResourceAction[[#This Row],[Resource Name]],ResourceTable[[RName]:[No]],3,0),"resource")</f>
        <v>305129</v>
      </c>
      <c r="F44" s="79" t="s">
        <v>2046</v>
      </c>
      <c r="G44" s="79" t="s">
        <v>2047</v>
      </c>
      <c r="H44" s="79"/>
      <c r="I44" s="79"/>
      <c r="J44" s="79" t="s">
        <v>1389</v>
      </c>
      <c r="K44" s="80" t="str">
        <f>'Table Seed Map'!$A$35&amp;"-"&amp;(COUNTA($E$1:ResourceAction[[#This Row],[Resource]])-2)</f>
        <v>Action Method-42</v>
      </c>
      <c r="L44" s="79">
        <f>IF(ResourceAction[[#This Row],[No]]="id","id",-2+COUNTA($E$1:ResourceAction[[#This Row],[Resource]])+IF(ISNUMBER(VLOOKUP('Table Seed Map'!$A$35,SeedMap[],9,0)),VLOOKUP('Table Seed Map'!$A$35,SeedMap[],9,0),0))</f>
        <v>333142</v>
      </c>
      <c r="M44" s="79">
        <f>IF(ResourceAction[[#This Row],[No]]="id","resource_action",ResourceAction[[#This Row],[No]])</f>
        <v>332142</v>
      </c>
      <c r="N44" s="81" t="s">
        <v>122</v>
      </c>
      <c r="O44" s="82">
        <f ca="1">IF(ResourceAction[[#This Row],[Resource Name]]="","idn1",IF(ResourceAction[[#This Row],[IDN1]]="","",VLOOKUP(ResourceAction[[#This Row],[IDN1]],IDNMaps[[Display]:[ID]],2,0)))</f>
        <v>322116</v>
      </c>
      <c r="P44" s="82" t="str">
        <f>IF(ResourceAction[[#This Row],[Resource Name]]="","idn2",IF(ResourceAction[[#This Row],[IDN2]]="","",VLOOKUP(ResourceAction[[#This Row],[IDN2]],IDNMaps[[Display]:[ID]],2,0)))</f>
        <v/>
      </c>
      <c r="Q44" s="82" t="str">
        <f>IF(ResourceAction[[#This Row],[Resource Name]]="","idn3",IF(ResourceAction[[#This Row],[IDN3]]="","",VLOOKUP(ResourceAction[[#This Row],[IDN3]],IDNMaps[[Display]:[ID]],2,0)))</f>
        <v/>
      </c>
      <c r="R44" s="82" t="str">
        <f>IF(ResourceAction[[#This Row],[Resource Name]]="","idn4",IF(ResourceAction[[#This Row],[IDN4]]="","",VLOOKUP(ResourceAction[[#This Row],[IDN4]],IDNMaps[[Display]:[ID]],2,0)))</f>
        <v/>
      </c>
      <c r="S44" s="82" t="str">
        <f>IF(ResourceAction[[#This Row],[Resource Name]]="","idn5",IF(ResourceAction[[#This Row],[IDN5]]="","",VLOOKUP(ResourceAction[[#This Row],[IDN5]],IDNMaps[[Display]:[ID]],2,0)))</f>
        <v/>
      </c>
      <c r="T44" s="87" t="s">
        <v>2048</v>
      </c>
      <c r="U44" s="83"/>
      <c r="V44" s="83"/>
      <c r="W44" s="83"/>
      <c r="X44" s="83"/>
      <c r="Y44" s="84">
        <f>ResourceAction[No]</f>
        <v>332142</v>
      </c>
    </row>
    <row r="45" spans="1:25" x14ac:dyDescent="0.25">
      <c r="A45" s="79" t="str">
        <f>'Table Seed Map'!$A$34&amp;"-"&amp;(COUNTA($E$1:ResourceAction[[#This Row],[Resource]])-2)</f>
        <v>Resource Actions-43</v>
      </c>
      <c r="B45" s="79" t="str">
        <f>ResourceAction[[#This Row],[Resource Name]]&amp;"/"&amp;ResourceAction[[#This Row],[Name]]</f>
        <v>Printing/AddNewPrintWithFormAction</v>
      </c>
      <c r="C45" s="74" t="s">
        <v>2001</v>
      </c>
      <c r="D45" s="79">
        <f>IF(ResourceAction[[#This Row],[Resource Name]]="","id",COUNTA($C$1:ResourceAction[[#This Row],[Resource Name]])-1+IF(VLOOKUP('Table Seed Map'!$A$34,SeedMap[],9,0),VLOOKUP('Table Seed Map'!$A$34,SeedMap[],9,0),0))</f>
        <v>332143</v>
      </c>
      <c r="E45" s="79">
        <f>IFERROR(VLOOKUP(ResourceAction[[#This Row],[Resource Name]],ResourceTable[[RName]:[No]],3,0),"resource")</f>
        <v>305129</v>
      </c>
      <c r="F45" s="79" t="s">
        <v>2049</v>
      </c>
      <c r="G45" s="79" t="s">
        <v>2058</v>
      </c>
      <c r="H45" s="79"/>
      <c r="I45" s="79"/>
      <c r="J45" s="79" t="s">
        <v>2050</v>
      </c>
      <c r="K45" s="80" t="str">
        <f>'Table Seed Map'!$A$35&amp;"-"&amp;(COUNTA($E$1:ResourceAction[[#This Row],[Resource]])-2)</f>
        <v>Action Method-43</v>
      </c>
      <c r="L45" s="79">
        <f>IF(ResourceAction[[#This Row],[No]]="id","id",-2+COUNTA($E$1:ResourceAction[[#This Row],[Resource]])+IF(ISNUMBER(VLOOKUP('Table Seed Map'!$A$35,SeedMap[],9,0)),VLOOKUP('Table Seed Map'!$A$35,SeedMap[],9,0),0))</f>
        <v>333143</v>
      </c>
      <c r="M45" s="79">
        <f>IF(ResourceAction[[#This Row],[No]]="id","resource_action",ResourceAction[[#This Row],[No]])</f>
        <v>332143</v>
      </c>
      <c r="N45" s="48" t="s">
        <v>121</v>
      </c>
      <c r="O45" s="82">
        <f ca="1">IF(ResourceAction[[#This Row],[Resource Name]]="","idn1",IF(ResourceAction[[#This Row],[IDN1]]="","",VLOOKUP(ResourceAction[[#This Row],[IDN1]],IDNMaps[[Display]:[ID]],2,0)))</f>
        <v>309110</v>
      </c>
      <c r="P45" s="82" t="str">
        <f>IF(ResourceAction[[#This Row],[Resource Name]]="","idn2",IF(ResourceAction[[#This Row],[IDN2]]="","",VLOOKUP(ResourceAction[[#This Row],[IDN2]],IDNMaps[[Display]:[ID]],2,0)))</f>
        <v/>
      </c>
      <c r="Q45" s="82" t="str">
        <f>IF(ResourceAction[[#This Row],[Resource Name]]="","idn3",IF(ResourceAction[[#This Row],[IDN3]]="","",VLOOKUP(ResourceAction[[#This Row],[IDN3]],IDNMaps[[Display]:[ID]],2,0)))</f>
        <v/>
      </c>
      <c r="R45" s="82" t="str">
        <f>IF(ResourceAction[[#This Row],[Resource Name]]="","idn4",IF(ResourceAction[[#This Row],[IDN4]]="","",VLOOKUP(ResourceAction[[#This Row],[IDN4]],IDNMaps[[Display]:[ID]],2,0)))</f>
        <v/>
      </c>
      <c r="S45" s="82" t="str">
        <f>IF(ResourceAction[[#This Row],[Resource Name]]="","idn5",IF(ResourceAction[[#This Row],[IDN5]]="","",VLOOKUP(ResourceAction[[#This Row],[IDN5]],IDNMaps[[Display]:[ID]],2,0)))</f>
        <v/>
      </c>
      <c r="T45" s="87" t="s">
        <v>2051</v>
      </c>
      <c r="U45" s="83"/>
      <c r="V45" s="83"/>
      <c r="W45" s="83"/>
      <c r="X45" s="83"/>
      <c r="Y45" s="84">
        <f>ResourceAction[No]</f>
        <v>332143</v>
      </c>
    </row>
    <row r="46" spans="1:25" x14ac:dyDescent="0.25">
      <c r="A46" s="79" t="str">
        <f>'Table Seed Map'!$A$34&amp;"-"&amp;(COUNTA($E$1:ResourceAction[[#This Row],[Resource]])-2)</f>
        <v>Resource Actions-44</v>
      </c>
      <c r="B46" s="79" t="str">
        <f>ResourceAction[[#This Row],[Resource Name]]&amp;"/"&amp;ResourceAction[[#This Row],[Name]]</f>
        <v>Printing/AddNewPrintWithUploadAction</v>
      </c>
      <c r="C46" s="74" t="s">
        <v>2001</v>
      </c>
      <c r="D46" s="79">
        <f>IF(ResourceAction[[#This Row],[Resource Name]]="","id",COUNTA($C$1:ResourceAction[[#This Row],[Resource Name]])-1+IF(VLOOKUP('Table Seed Map'!$A$34,SeedMap[],9,0),VLOOKUP('Table Seed Map'!$A$34,SeedMap[],9,0),0))</f>
        <v>332144</v>
      </c>
      <c r="E46" s="79">
        <f>IFERROR(VLOOKUP(ResourceAction[[#This Row],[Resource Name]],ResourceTable[[RName]:[No]],3,0),"resource")</f>
        <v>305129</v>
      </c>
      <c r="F46" s="79" t="s">
        <v>2056</v>
      </c>
      <c r="G46" s="79" t="s">
        <v>2057</v>
      </c>
      <c r="H46" s="79"/>
      <c r="I46" s="79"/>
      <c r="J46" s="79" t="s">
        <v>2059</v>
      </c>
      <c r="K46" s="80" t="str">
        <f>'Table Seed Map'!$A$35&amp;"-"&amp;(COUNTA($E$1:ResourceAction[[#This Row],[Resource]])-2)</f>
        <v>Action Method-44</v>
      </c>
      <c r="L46" s="79">
        <f>IF(ResourceAction[[#This Row],[No]]="id","id",-2+COUNTA($E$1:ResourceAction[[#This Row],[Resource]])+IF(ISNUMBER(VLOOKUP('Table Seed Map'!$A$35,SeedMap[],9,0)),VLOOKUP('Table Seed Map'!$A$35,SeedMap[],9,0),0))</f>
        <v>333144</v>
      </c>
      <c r="M46" s="79">
        <f>IF(ResourceAction[[#This Row],[No]]="id","resource_action",ResourceAction[[#This Row],[No]])</f>
        <v>332144</v>
      </c>
      <c r="N46" s="48" t="s">
        <v>121</v>
      </c>
      <c r="O46" s="82">
        <f ca="1">IF(ResourceAction[[#This Row],[Resource Name]]="","idn1",IF(ResourceAction[[#This Row],[IDN1]]="","",VLOOKUP(ResourceAction[[#This Row],[IDN1]],IDNMaps[[Display]:[ID]],2,0)))</f>
        <v>309111</v>
      </c>
      <c r="P46" s="82" t="str">
        <f>IF(ResourceAction[[#This Row],[Resource Name]]="","idn2",IF(ResourceAction[[#This Row],[IDN2]]="","",VLOOKUP(ResourceAction[[#This Row],[IDN2]],IDNMaps[[Display]:[ID]],2,0)))</f>
        <v/>
      </c>
      <c r="Q46" s="82" t="str">
        <f>IF(ResourceAction[[#This Row],[Resource Name]]="","idn3",IF(ResourceAction[[#This Row],[IDN3]]="","",VLOOKUP(ResourceAction[[#This Row],[IDN3]],IDNMaps[[Display]:[ID]],2,0)))</f>
        <v/>
      </c>
      <c r="R46" s="82" t="str">
        <f>IF(ResourceAction[[#This Row],[Resource Name]]="","idn4",IF(ResourceAction[[#This Row],[IDN4]]="","",VLOOKUP(ResourceAction[[#This Row],[IDN4]],IDNMaps[[Display]:[ID]],2,0)))</f>
        <v/>
      </c>
      <c r="S46" s="82" t="str">
        <f>IF(ResourceAction[[#This Row],[Resource Name]]="","idn5",IF(ResourceAction[[#This Row],[IDN5]]="","",VLOOKUP(ResourceAction[[#This Row],[IDN5]],IDNMaps[[Display]:[ID]],2,0)))</f>
        <v/>
      </c>
      <c r="T46" s="87" t="s">
        <v>2060</v>
      </c>
      <c r="U46" s="83"/>
      <c r="V46" s="83"/>
      <c r="W46" s="83"/>
      <c r="X46" s="83"/>
      <c r="Y46" s="84">
        <f>ResourceAction[No]</f>
        <v>332144</v>
      </c>
    </row>
    <row r="47" spans="1:25" x14ac:dyDescent="0.25">
      <c r="A47" s="79" t="str">
        <f>'Table Seed Map'!$A$34&amp;"-"&amp;(COUNTA($E$1:ResourceAction[[#This Row],[Resource]])-2)</f>
        <v>Resource Actions-45</v>
      </c>
      <c r="B47" s="79" t="str">
        <f>ResourceAction[[#This Row],[Resource Name]]&amp;"/"&amp;ResourceAction[[#This Row],[Name]]</f>
        <v>Printing/ViewPrintDetailsAction</v>
      </c>
      <c r="C47" s="74" t="s">
        <v>2001</v>
      </c>
      <c r="D47" s="79">
        <f>IF(ResourceAction[[#This Row],[Resource Name]]="","id",COUNTA($C$1:ResourceAction[[#This Row],[Resource Name]])-1+IF(VLOOKUP('Table Seed Map'!$A$34,SeedMap[],9,0),VLOOKUP('Table Seed Map'!$A$34,SeedMap[],9,0),0))</f>
        <v>332145</v>
      </c>
      <c r="E47" s="79">
        <f>IFERROR(VLOOKUP(ResourceAction[[#This Row],[Resource Name]],ResourceTable[[RName]:[No]],3,0),"resource")</f>
        <v>305129</v>
      </c>
      <c r="F47" s="79" t="s">
        <v>2055</v>
      </c>
      <c r="G47" s="79" t="s">
        <v>2052</v>
      </c>
      <c r="H47" s="79" t="s">
        <v>1348</v>
      </c>
      <c r="I47" s="79"/>
      <c r="J47" s="79"/>
      <c r="K47" s="80" t="str">
        <f>'Table Seed Map'!$A$35&amp;"-"&amp;(COUNTA($E$1:ResourceAction[[#This Row],[Resource]])-2)</f>
        <v>Action Method-45</v>
      </c>
      <c r="L47" s="79">
        <f>IF(ResourceAction[[#This Row],[No]]="id","id",-2+COUNTA($E$1:ResourceAction[[#This Row],[Resource]])+IF(ISNUMBER(VLOOKUP('Table Seed Map'!$A$35,SeedMap[],9,0)),VLOOKUP('Table Seed Map'!$A$35,SeedMap[],9,0),0))</f>
        <v>333145</v>
      </c>
      <c r="M47" s="79">
        <f>IF(ResourceAction[[#This Row],[No]]="id","resource_action",ResourceAction[[#This Row],[No]])</f>
        <v>332145</v>
      </c>
      <c r="N47" s="81" t="s">
        <v>130</v>
      </c>
      <c r="O47" s="82">
        <f ca="1">IF(ResourceAction[[#This Row],[Resource Name]]="","idn1",IF(ResourceAction[[#This Row],[IDN1]]="","",VLOOKUP(ResourceAction[[#This Row],[IDN1]],IDNMaps[[Display]:[ID]],2,0)))</f>
        <v>327107</v>
      </c>
      <c r="P47" s="82" t="str">
        <f>IF(ResourceAction[[#This Row],[Resource Name]]="","idn2",IF(ResourceAction[[#This Row],[IDN2]]="","",VLOOKUP(ResourceAction[[#This Row],[IDN2]],IDNMaps[[Display]:[ID]],2,0)))</f>
        <v/>
      </c>
      <c r="Q47" s="82" t="str">
        <f>IF(ResourceAction[[#This Row],[Resource Name]]="","idn3",IF(ResourceAction[[#This Row],[IDN3]]="","",VLOOKUP(ResourceAction[[#This Row],[IDN3]],IDNMaps[[Display]:[ID]],2,0)))</f>
        <v/>
      </c>
      <c r="R47" s="82" t="str">
        <f>IF(ResourceAction[[#This Row],[Resource Name]]="","idn4",IF(ResourceAction[[#This Row],[IDN4]]="","",VLOOKUP(ResourceAction[[#This Row],[IDN4]],IDNMaps[[Display]:[ID]],2,0)))</f>
        <v/>
      </c>
      <c r="S47" s="82" t="str">
        <f>IF(ResourceAction[[#This Row],[Resource Name]]="","idn5",IF(ResourceAction[[#This Row],[IDN5]]="","",VLOOKUP(ResourceAction[[#This Row],[IDN5]],IDNMaps[[Display]:[ID]],2,0)))</f>
        <v/>
      </c>
      <c r="T47" s="87" t="s">
        <v>2053</v>
      </c>
      <c r="U47" s="83"/>
      <c r="V47" s="83"/>
      <c r="W47" s="83"/>
      <c r="X47" s="83"/>
      <c r="Y47" s="84">
        <f>ResourceAction[No]</f>
        <v>332145</v>
      </c>
    </row>
    <row r="48" spans="1:25" x14ac:dyDescent="0.25">
      <c r="A48" s="79" t="str">
        <f>'Table Seed Map'!$A$34&amp;"-"&amp;(COUNTA($E$1:ResourceAction[[#This Row],[Resource]])-2)</f>
        <v>Resource Actions-46</v>
      </c>
      <c r="B48" s="79" t="str">
        <f>ResourceAction[[#This Row],[Resource Name]]&amp;"/"&amp;ResourceAction[[#This Row],[Name]]</f>
        <v>Printing/UpdatePrintDetailsAction</v>
      </c>
      <c r="C48" s="74" t="s">
        <v>2001</v>
      </c>
      <c r="D48" s="79">
        <f>IF(ResourceAction[[#This Row],[Resource Name]]="","id",COUNTA($C$1:ResourceAction[[#This Row],[Resource Name]])-1+IF(VLOOKUP('Table Seed Map'!$A$34,SeedMap[],9,0),VLOOKUP('Table Seed Map'!$A$34,SeedMap[],9,0),0))</f>
        <v>332146</v>
      </c>
      <c r="E48" s="79">
        <f>IFERROR(VLOOKUP(ResourceAction[[#This Row],[Resource Name]],ResourceTable[[RName]:[No]],3,0),"resource")</f>
        <v>305129</v>
      </c>
      <c r="F48" s="79" t="s">
        <v>2054</v>
      </c>
      <c r="G48" s="79" t="s">
        <v>2061</v>
      </c>
      <c r="H48" s="79" t="s">
        <v>335</v>
      </c>
      <c r="I48" s="79"/>
      <c r="J48" s="79"/>
      <c r="K48" s="80" t="str">
        <f>'Table Seed Map'!$A$35&amp;"-"&amp;(COUNTA($E$1:ResourceAction[[#This Row],[Resource]])-2)</f>
        <v>Action Method-46</v>
      </c>
      <c r="L48" s="79">
        <f>IF(ResourceAction[[#This Row],[No]]="id","id",-2+COUNTA($E$1:ResourceAction[[#This Row],[Resource]])+IF(ISNUMBER(VLOOKUP('Table Seed Map'!$A$35,SeedMap[],9,0)),VLOOKUP('Table Seed Map'!$A$35,SeedMap[],9,0),0))</f>
        <v>333146</v>
      </c>
      <c r="M48" s="79">
        <f>IF(ResourceAction[[#This Row],[No]]="id","resource_action",ResourceAction[[#This Row],[No]])</f>
        <v>332146</v>
      </c>
      <c r="N48" s="81" t="s">
        <v>224</v>
      </c>
      <c r="O48" s="82">
        <f ca="1">IF(ResourceAction[[#This Row],[Resource Name]]="","idn1",IF(ResourceAction[[#This Row],[IDN1]]="","",VLOOKUP(ResourceAction[[#This Row],[IDN1]],IDNMaps[[Display]:[ID]],2,0)))</f>
        <v>309110</v>
      </c>
      <c r="P48" s="82">
        <f ca="1">IF(ResourceAction[[#This Row],[Resource Name]]="","idn2",IF(ResourceAction[[#This Row],[IDN2]]="","",VLOOKUP(ResourceAction[[#This Row],[IDN2]],IDNMaps[[Display]:[ID]],2,0)))</f>
        <v>327107</v>
      </c>
      <c r="Q48" s="82" t="str">
        <f>IF(ResourceAction[[#This Row],[Resource Name]]="","idn3",IF(ResourceAction[[#This Row],[IDN3]]="","",VLOOKUP(ResourceAction[[#This Row],[IDN3]],IDNMaps[[Display]:[ID]],2,0)))</f>
        <v/>
      </c>
      <c r="R48" s="82" t="str">
        <f>IF(ResourceAction[[#This Row],[Resource Name]]="","idn4",IF(ResourceAction[[#This Row],[IDN4]]="","",VLOOKUP(ResourceAction[[#This Row],[IDN4]],IDNMaps[[Display]:[ID]],2,0)))</f>
        <v/>
      </c>
      <c r="S48" s="82" t="str">
        <f>IF(ResourceAction[[#This Row],[Resource Name]]="","idn5",IF(ResourceAction[[#This Row],[IDN5]]="","",VLOOKUP(ResourceAction[[#This Row],[IDN5]],IDNMaps[[Display]:[ID]],2,0)))</f>
        <v/>
      </c>
      <c r="T48" s="87" t="s">
        <v>2051</v>
      </c>
      <c r="U48" s="83" t="s">
        <v>2053</v>
      </c>
      <c r="V48" s="83"/>
      <c r="W48" s="83"/>
      <c r="X48" s="83"/>
      <c r="Y48" s="84">
        <f>ResourceAction[No]</f>
        <v>332146</v>
      </c>
    </row>
  </sheetData>
  <dataValidations count="7">
    <dataValidation type="list" allowBlank="1" showInputMessage="1" showErrorMessage="1" sqref="AN2 AA2:AA27">
      <formula1>ActionsName</formula1>
    </dataValidation>
    <dataValidation type="list" allowBlank="1" showInputMessage="1" showErrorMessage="1" sqref="AC2:AC27">
      <formula1>ListNames</formula1>
    </dataValidation>
    <dataValidation type="list" allowBlank="1" showInputMessage="1" showErrorMessage="1" sqref="AD2:AD27">
      <formula1>DataNames</formula1>
    </dataValidation>
    <dataValidation type="list" allowBlank="1" showInputMessage="1" showErrorMessage="1" sqref="I2:I48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48">
      <formula1>Resources</formula1>
    </dataValidation>
    <dataValidation type="list" allowBlank="1" showInputMessage="1" showErrorMessage="1" sqref="T2:X48">
      <formula1>IDNs</formula1>
    </dataValidation>
    <dataValidation type="list" allowBlank="1" showInputMessage="1" showErrorMessage="1" sqref="N2:N48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2" sqref="K2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11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Setting/AddNewSetting</v>
      </c>
      <c r="O2" s="6" t="str">
        <f ca="1">IF(IDNMaps[[#This Row],[Name]]="","","("&amp;IDNMaps[[#This Row],[Type]]&amp;") "&amp;IDNMaps[[#This Row],[Name]])</f>
        <v>(Forms) Setting/AddNewSetting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16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3" s="6" t="str">
        <f ca="1">IF(IDNMaps[[#This Row],[Name]]="","","("&amp;IDNMaps[[#This Row],[Type]]&amp;") "&amp;IDNMaps[[#This Row],[Name]])</f>
        <v>(Forms) UserSetting/AddNewUserSetting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7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4" s="6" t="str">
        <f ca="1">IF(IDNMaps[[#This Row],[Name]]="","","("&amp;IDNMaps[[#This Row],[Type]]&amp;") "&amp;IDNMaps[[#This Row],[Name]])</f>
        <v>(Forms) UserSetting/ChangeUserSettingStatus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43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5" s="6" t="str">
        <f ca="1">IF(IDNMaps[[#This Row],[Name]]="","","("&amp;IDNMaps[[#This Row],[Type]]&amp;") "&amp;IDNMaps[[#This Row],[Name]])</f>
        <v>(Forms) UserStoreArea/AddUserStoreAreaForm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 x14ac:dyDescent="0.25">
      <c r="A6" s="38" t="s">
        <v>1463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59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ProductImage/AddProductImage</v>
      </c>
      <c r="O6" s="6" t="str">
        <f ca="1">IF(IDNMaps[[#This Row],[Name]]="","","("&amp;IDNMaps[[#This Row],[Type]]&amp;") "&amp;IDNMaps[[#This Row],[Name]])</f>
        <v>(Forms) ProductImage/AddProductImage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FnReserve/AddFNReserves</v>
      </c>
      <c r="O7" s="6" t="str">
        <f ca="1">IF(IDNMaps[[#This Row],[Name]]="","","("&amp;IDNMaps[[#This Row],[Type]]&amp;") "&amp;IDNMaps[[#This Row],[Name]])</f>
        <v>(Forms) FnReserve/AddFNReserves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FnReserve/UpdateReserves</v>
      </c>
      <c r="O8" s="6" t="str">
        <f ca="1">IF(IDNMaps[[#This Row],[Name]]="","","("&amp;IDNMaps[[#This Row],[Type]]&amp;") "&amp;IDNMaps[[#This Row],[Name]])</f>
        <v>(Forms) FnReserve/UpdateReserves</v>
      </c>
      <c r="P8" s="6">
        <f ca="1">IFERROR(VLOOKUP(IDNMaps[[#This Row],[Primary]],INDIRECT(VLOOKUP(IDNMaps[[#This Row],[Type]],RecordCount[],2,0)),VLOOKUP(IDNMaps[[#This Row],[Type]],RecordCount[],8,0),0),"")</f>
        <v>309107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Menu/UpdateMenu</v>
      </c>
      <c r="O9" s="6" t="str">
        <f ca="1">IF(IDNMaps[[#This Row],[Name]]="","","("&amp;IDNMaps[[#This Row],[Type]]&amp;") "&amp;IDNMaps[[#This Row],[Name]])</f>
        <v>(Forms) Menu/UpdateMenu</v>
      </c>
      <c r="P9" s="6">
        <f ca="1">IFERROR(VLOOKUP(IDNMaps[[#This Row],[Primary]],INDIRECT(VLOOKUP(IDNMaps[[#This Row],[Type]],RecordCount[],2,0)),VLOOKUP(IDNMaps[[#This Row],[Type]],RecordCount[],8,0),0),"")</f>
        <v>309108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UserExecutive/NewExecutiveLoginMap</v>
      </c>
      <c r="O10" s="6" t="str">
        <f ca="1">IF(IDNMaps[[#This Row],[Name]]="","","("&amp;IDNMaps[[#This Row],[Type]]&amp;") "&amp;IDNMaps[[#This Row],[Name]])</f>
        <v>(Forms) UserExecutive/NewExecutiveLoginMap</v>
      </c>
      <c r="P10" s="6">
        <f ca="1">IFERROR(VLOOKUP(IDNMaps[[#This Row],[Primary]],INDIRECT(VLOOKUP(IDNMaps[[#This Row],[Type]],RecordCount[],2,0)),VLOOKUP(IDNMaps[[#This Row],[Type]],RecordCount[],8,0),0),"")</f>
        <v>309109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Forms-10</v>
      </c>
      <c r="N11" s="6" t="str">
        <f ca="1">IFERROR(VLOOKUP(IDNMaps[[#This Row],[Primary]],INDIRECT(VLOOKUP(IDNMaps[[#This Row],[Type]],RecordCount[],2,0)),VLOOKUP(IDNMaps[[#This Row],[Type]],RecordCount[],7,0),0),"")</f>
        <v>Printing/NewPrintThroughForm</v>
      </c>
      <c r="O11" s="6" t="str">
        <f ca="1">IF(IDNMaps[[#This Row],[Name]]="","","("&amp;IDNMaps[[#This Row],[Type]]&amp;") "&amp;IDNMaps[[#This Row],[Name]])</f>
        <v>(Forms) Printing/NewPrintThroughForm</v>
      </c>
      <c r="P11" s="6">
        <f ca="1">IFERROR(VLOOKUP(IDNMaps[[#This Row],[Primary]],INDIRECT(VLOOKUP(IDNMaps[[#This Row],[Type]],RecordCount[],2,0)),VLOOKUP(IDNMaps[[#This Row],[Type]],RecordCount[],8,0),0),"")</f>
        <v>309110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2" s="6">
        <f ca="1">IF(IDNMaps[[#This Row],[Type]]="","",COUNTIF($K$1:IDNMaps[[#This Row],[Type]],IDNMaps[[#This Row],[Type]]))</f>
        <v>11</v>
      </c>
      <c r="M12" s="6" t="str">
        <f ca="1">IFERROR(VLOOKUP(IDNMaps[[#This Row],[Type]],RecordCount[],6,0)&amp;"-"&amp;IDNMaps[[#This Row],[Type Count]],"")</f>
        <v>Resource Forms-11</v>
      </c>
      <c r="N12" s="6" t="str">
        <f ca="1">IFERROR(VLOOKUP(IDNMaps[[#This Row],[Primary]],INDIRECT(VLOOKUP(IDNMaps[[#This Row],[Type]],RecordCount[],2,0)),VLOOKUP(IDNMaps[[#This Row],[Type]],RecordCount[],7,0),0),"")</f>
        <v>Printing/NewPrintThroughUpload</v>
      </c>
      <c r="O12" s="6" t="str">
        <f ca="1">IF(IDNMaps[[#This Row],[Name]]="","","("&amp;IDNMaps[[#This Row],[Type]]&amp;") "&amp;IDNMaps[[#This Row],[Name]])</f>
        <v>(Forms) Printing/NewPrintThroughUpload</v>
      </c>
      <c r="P12" s="6">
        <f ca="1">IFERROR(VLOOKUP(IDNMaps[[#This Row],[Primary]],INDIRECT(VLOOKUP(IDNMaps[[#This Row],[Type]],RecordCount[],2,0)),VLOOKUP(IDNMaps[[#This Row],[Type]],RecordCount[],8,0),0),"")</f>
        <v>309111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1</v>
      </c>
      <c r="M13" s="6" t="str">
        <f ca="1">IFERROR(VLOOKUP(IDNMaps[[#This Row],[Type]],RecordCount[],6,0)&amp;"-"&amp;IDNMaps[[#This Row],[Type Count]],"")</f>
        <v>Resource Lists-1</v>
      </c>
      <c r="N13" s="6" t="str">
        <f ca="1">IFERROR(VLOOKUP(IDNMaps[[#This Row],[Primary]],INDIRECT(VLOOKUP(IDNMaps[[#This Row],[Type]],RecordCount[],2,0)),VLOOKUP(IDNMaps[[#This Row],[Type]],RecordCount[],7,0),0),"")</f>
        <v>Setting/Settings</v>
      </c>
      <c r="O13" s="6" t="str">
        <f ca="1">IF(IDNMaps[[#This Row],[Name]]="","","("&amp;IDNMaps[[#This Row],[Type]]&amp;") "&amp;IDNMaps[[#This Row],[Name]])</f>
        <v>(Lists) Setting/Settings</v>
      </c>
      <c r="P13" s="6">
        <f ca="1">IFERROR(VLOOKUP(IDNMaps[[#This Row],[Primary]],INDIRECT(VLOOKUP(IDNMaps[[#This Row],[Type]],RecordCount[],2,0)),VLOOKUP(IDNMaps[[#This Row],[Type]],RecordCount[],8,0),0),"")</f>
        <v>322101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2</v>
      </c>
      <c r="M14" s="6" t="str">
        <f ca="1">IFERROR(VLOOKUP(IDNMaps[[#This Row],[Type]],RecordCount[],6,0)&amp;"-"&amp;IDNMaps[[#This Row],[Type Count]],"")</f>
        <v>Resource Lists-2</v>
      </c>
      <c r="N14" s="6" t="str">
        <f ca="1">IFERROR(VLOOKUP(IDNMaps[[#This Row],[Primary]],INDIRECT(VLOOKUP(IDNMaps[[#This Row],[Type]],RecordCount[],2,0)),VLOOKUP(IDNMaps[[#This Row],[Type]],RecordCount[],7,0),0),"")</f>
        <v>User/ListAllUsers</v>
      </c>
      <c r="O14" s="6" t="str">
        <f ca="1">IF(IDNMaps[[#This Row],[Name]]="","","("&amp;IDNMaps[[#This Row],[Type]]&amp;") "&amp;IDNMaps[[#This Row],[Name]])</f>
        <v>(Lists) User/ListAllUsers</v>
      </c>
      <c r="P14" s="6">
        <f ca="1">IFERROR(VLOOKUP(IDNMaps[[#This Row],[Primary]],INDIRECT(VLOOKUP(IDNMaps[[#This Row],[Type]],RecordCount[],2,0)),VLOOKUP(IDNMaps[[#This Row],[Type]],RecordCount[],8,0),0),"")</f>
        <v>322102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3</v>
      </c>
      <c r="M15" s="6" t="str">
        <f ca="1">IFERROR(VLOOKUP(IDNMaps[[#This Row],[Type]],RecordCount[],6,0)&amp;"-"&amp;IDNMaps[[#This Row],[Type Count]],"")</f>
        <v>Resource Lists-3</v>
      </c>
      <c r="N15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5" s="6" t="str">
        <f ca="1">IF(IDNMaps[[#This Row],[Name]]="","","("&amp;IDNMaps[[#This Row],[Type]]&amp;") "&amp;IDNMaps[[#This Row],[Name]])</f>
        <v>(Lists) UserSetting/ListAllUserSetting</v>
      </c>
      <c r="P15" s="6">
        <f ca="1">IFERROR(VLOOKUP(IDNMaps[[#This Row],[Primary]],INDIRECT(VLOOKUP(IDNMaps[[#This Row],[Type]],RecordCount[],2,0)),VLOOKUP(IDNMaps[[#This Row],[Type]],RecordCount[],8,0),0),"")</f>
        <v>322103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4</v>
      </c>
      <c r="M16" s="6" t="str">
        <f ca="1">IFERROR(VLOOKUP(IDNMaps[[#This Row],[Type]],RecordCount[],6,0)&amp;"-"&amp;IDNMaps[[#This Row],[Type Count]],"")</f>
        <v>Resource Lists-4</v>
      </c>
      <c r="N16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6" s="6" t="str">
        <f ca="1">IF(IDNMaps[[#This Row],[Name]]="","","("&amp;IDNMaps[[#This Row],[Type]]&amp;") "&amp;IDNMaps[[#This Row],[Name]])</f>
        <v>(Lists) User/SalesExecutiveUserList</v>
      </c>
      <c r="P16" s="6">
        <f ca="1">IFERROR(VLOOKUP(IDNMaps[[#This Row],[Primary]],INDIRECT(VLOOKUP(IDNMaps[[#This Row],[Type]],RecordCount[],2,0)),VLOOKUP(IDNMaps[[#This Row],[Type]],RecordCount[],8,0),0),"")</f>
        <v>322104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7" s="6">
        <f ca="1">IF(IDNMaps[[#This Row],[Type]]="","",COUNTIF($K$1:IDNMaps[[#This Row],[Type]],IDNMaps[[#This Row],[Type]]))</f>
        <v>5</v>
      </c>
      <c r="M17" s="6" t="str">
        <f ca="1">IFERROR(VLOOKUP(IDNMaps[[#This Row],[Type]],RecordCount[],6,0)&amp;"-"&amp;IDNMaps[[#This Row],[Type Count]],"")</f>
        <v>Resource Lists-5</v>
      </c>
      <c r="N17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7" s="6" t="str">
        <f ca="1">IF(IDNMaps[[#This Row],[Name]]="","","("&amp;IDNMaps[[#This Row],[Type]]&amp;") "&amp;IDNMaps[[#This Row],[Name]])</f>
        <v>(Lists) UserStoreArea/UserStoreAreaList</v>
      </c>
      <c r="P17" s="6">
        <f ca="1">IFERROR(VLOOKUP(IDNMaps[[#This Row],[Primary]],INDIRECT(VLOOKUP(IDNMaps[[#This Row],[Type]],RecordCount[],2,0)),VLOOKUP(IDNMaps[[#This Row],[Type]],RecordCount[],8,0),0),"")</f>
        <v>322105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8" s="6">
        <f ca="1">IF(IDNMaps[[#This Row],[Type]]="","",COUNTIF($K$1:IDNMaps[[#This Row],[Type]],IDNMaps[[#This Row],[Type]]))</f>
        <v>6</v>
      </c>
      <c r="M18" s="6" t="str">
        <f ca="1">IFERROR(VLOOKUP(IDNMaps[[#This Row],[Type]],RecordCount[],6,0)&amp;"-"&amp;IDNMaps[[#This Row],[Type Count]],"")</f>
        <v>Resource Lists-6</v>
      </c>
      <c r="N18" s="6" t="str">
        <f ca="1">IFERROR(VLOOKUP(IDNMaps[[#This Row],[Primary]],INDIRECT(VLOOKUP(IDNMaps[[#This Row],[Type]],RecordCount[],2,0)),VLOOKUP(IDNMaps[[#This Row],[Type]],RecordCount[],7,0),0),"")</f>
        <v>Area/AreaList</v>
      </c>
      <c r="O18" s="6" t="str">
        <f ca="1">IF(IDNMaps[[#This Row],[Name]]="","","("&amp;IDNMaps[[#This Row],[Type]]&amp;") "&amp;IDNMaps[[#This Row],[Name]])</f>
        <v>(Lists) Area/AreaList</v>
      </c>
      <c r="P18" s="6">
        <f ca="1">IFERROR(VLOOKUP(IDNMaps[[#This Row],[Primary]],INDIRECT(VLOOKUP(IDNMaps[[#This Row],[Type]],RecordCount[],2,0)),VLOOKUP(IDNMaps[[#This Row],[Type]],RecordCount[],8,0),0),"")</f>
        <v>322106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9" s="6">
        <f ca="1">IF(IDNMaps[[#This Row],[Type]]="","",COUNTIF($K$1:IDNMaps[[#This Row],[Type]],IDNMaps[[#This Row],[Type]]))</f>
        <v>7</v>
      </c>
      <c r="M19" s="6" t="str">
        <f ca="1">IFERROR(VLOOKUP(IDNMaps[[#This Row],[Type]],RecordCount[],6,0)&amp;"-"&amp;IDNMaps[[#This Row],[Type Count]],"")</f>
        <v>Resource Lists-7</v>
      </c>
      <c r="N19" s="6" t="str">
        <f ca="1">IFERROR(VLOOKUP(IDNMaps[[#This Row],[Primary]],INDIRECT(VLOOKUP(IDNMaps[[#This Row],[Type]],RecordCount[],2,0)),VLOOKUP(IDNMaps[[#This Row],[Type]],RecordCount[],7,0),0),"")</f>
        <v>Store/StoresList</v>
      </c>
      <c r="O19" s="6" t="str">
        <f ca="1">IF(IDNMaps[[#This Row],[Name]]="","","("&amp;IDNMaps[[#This Row],[Type]]&amp;") "&amp;IDNMaps[[#This Row],[Name]])</f>
        <v>(Lists) Store/StoresList</v>
      </c>
      <c r="P19" s="6">
        <f ca="1">IFERROR(VLOOKUP(IDNMaps[[#This Row],[Primary]],INDIRECT(VLOOKUP(IDNMaps[[#This Row],[Type]],RecordCount[],2,0)),VLOOKUP(IDNMaps[[#This Row],[Type]],RecordCount[],8,0),0),"")</f>
        <v>322107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0" s="6">
        <f ca="1">IF(IDNMaps[[#This Row],[Type]]="","",COUNTIF($K$1:IDNMaps[[#This Row],[Type]],IDNMaps[[#This Row],[Type]]))</f>
        <v>8</v>
      </c>
      <c r="M20" s="6" t="str">
        <f ca="1">IFERROR(VLOOKUP(IDNMaps[[#This Row],[Type]],RecordCount[],6,0)&amp;"-"&amp;IDNMaps[[#This Row],[Type Count]],"")</f>
        <v>Resource Lists-8</v>
      </c>
      <c r="N20" s="6" t="str">
        <f ca="1">IFERROR(VLOOKUP(IDNMaps[[#This Row],[Primary]],INDIRECT(VLOOKUP(IDNMaps[[#This Row],[Type]],RecordCount[],2,0)),VLOOKUP(IDNMaps[[#This Row],[Type]],RecordCount[],7,0),0),"")</f>
        <v>ProductImage/ProductImageList</v>
      </c>
      <c r="O20" s="6" t="str">
        <f ca="1">IF(IDNMaps[[#This Row],[Name]]="","","("&amp;IDNMaps[[#This Row],[Type]]&amp;") "&amp;IDNMaps[[#This Row],[Name]])</f>
        <v>(Lists) ProductImage/ProductImageList</v>
      </c>
      <c r="P20" s="6">
        <f ca="1">IFERROR(VLOOKUP(IDNMaps[[#This Row],[Primary]],INDIRECT(VLOOKUP(IDNMaps[[#This Row],[Type]],RecordCount[],2,0)),VLOOKUP(IDNMaps[[#This Row],[Type]],RecordCount[],8,0),0),"")</f>
        <v>322108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1" s="6">
        <f ca="1">IF(IDNMaps[[#This Row],[Type]]="","",COUNTIF($K$1:IDNMaps[[#This Row],[Type]],IDNMaps[[#This Row],[Type]]))</f>
        <v>9</v>
      </c>
      <c r="M21" s="6" t="str">
        <f ca="1">IFERROR(VLOOKUP(IDNMaps[[#This Row],[Type]],RecordCount[],6,0)&amp;"-"&amp;IDNMaps[[#This Row],[Type Count]],"")</f>
        <v>Resource Lists-9</v>
      </c>
      <c r="N21" s="6" t="str">
        <f ca="1">IFERROR(VLOOKUP(IDNMaps[[#This Row],[Primary]],INDIRECT(VLOOKUP(IDNMaps[[#This Row],[Type]],RecordCount[],2,0)),VLOOKUP(IDNMaps[[#This Row],[Type]],RecordCount[],7,0),0),"")</f>
        <v>Functiondetail/FunctionDetailList</v>
      </c>
      <c r="O21" s="6" t="str">
        <f ca="1">IF(IDNMaps[[#This Row],[Name]]="","","("&amp;IDNMaps[[#This Row],[Type]]&amp;") "&amp;IDNMaps[[#This Row],[Name]])</f>
        <v>(Lists) Functiondetail/FunctionDetailList</v>
      </c>
      <c r="P21" s="6">
        <f ca="1">IFERROR(VLOOKUP(IDNMaps[[#This Row],[Primary]],INDIRECT(VLOOKUP(IDNMaps[[#This Row],[Type]],RecordCount[],2,0)),VLOOKUP(IDNMaps[[#This Row],[Type]],RecordCount[],8,0),0),"")</f>
        <v>322109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2" s="6">
        <f ca="1">IF(IDNMaps[[#This Row],[Type]]="","",COUNTIF($K$1:IDNMaps[[#This Row],[Type]],IDNMaps[[#This Row],[Type]]))</f>
        <v>10</v>
      </c>
      <c r="M22" s="6" t="str">
        <f ca="1">IFERROR(VLOOKUP(IDNMaps[[#This Row],[Type]],RecordCount[],6,0)&amp;"-"&amp;IDNMaps[[#This Row],[Type Count]],"")</f>
        <v>Resource Lists-10</v>
      </c>
      <c r="N22" s="6" t="str">
        <f ca="1">IFERROR(VLOOKUP(IDNMaps[[#This Row],[Primary]],INDIRECT(VLOOKUP(IDNMaps[[#This Row],[Type]],RecordCount[],2,0)),VLOOKUP(IDNMaps[[#This Row],[Type]],RecordCount[],7,0),0),"")</f>
        <v>FnReserve/ReservesList</v>
      </c>
      <c r="O22" s="6" t="str">
        <f ca="1">IF(IDNMaps[[#This Row],[Name]]="","","("&amp;IDNMaps[[#This Row],[Type]]&amp;") "&amp;IDNMaps[[#This Row],[Name]])</f>
        <v>(Lists) FnReserve/ReservesList</v>
      </c>
      <c r="P22" s="6">
        <f ca="1">IFERROR(VLOOKUP(IDNMaps[[#This Row],[Primary]],INDIRECT(VLOOKUP(IDNMaps[[#This Row],[Type]],RecordCount[],2,0)),VLOOKUP(IDNMaps[[#This Row],[Type]],RecordCount[],8,0),0),"")</f>
        <v>322110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3" s="6">
        <f ca="1">IF(IDNMaps[[#This Row],[Type]]="","",COUNTIF($K$1:IDNMaps[[#This Row],[Type]],IDNMaps[[#This Row],[Type]]))</f>
        <v>11</v>
      </c>
      <c r="M23" s="6" t="str">
        <f ca="1">IFERROR(VLOOKUP(IDNMaps[[#This Row],[Type]],RecordCount[],6,0)&amp;"-"&amp;IDNMaps[[#This Row],[Type Count]],"")</f>
        <v>Resource Lists-11</v>
      </c>
      <c r="N23" s="6" t="str">
        <f ca="1">IFERROR(VLOOKUP(IDNMaps[[#This Row],[Primary]],INDIRECT(VLOOKUP(IDNMaps[[#This Row],[Type]],RecordCount[],2,0)),VLOOKUP(IDNMaps[[#This Row],[Type]],RecordCount[],7,0),0),"")</f>
        <v>FnReserve/UncompletedReservesList</v>
      </c>
      <c r="O23" s="6" t="str">
        <f ca="1">IF(IDNMaps[[#This Row],[Name]]="","","("&amp;IDNMaps[[#This Row],[Type]]&amp;") "&amp;IDNMaps[[#This Row],[Name]])</f>
        <v>(Lists) FnReserve/UncompletedReservesList</v>
      </c>
      <c r="P23" s="6">
        <f ca="1">IFERROR(VLOOKUP(IDNMaps[[#This Row],[Primary]],INDIRECT(VLOOKUP(IDNMaps[[#This Row],[Type]],RecordCount[],2,0)),VLOOKUP(IDNMaps[[#This Row],[Type]],RecordCount[],8,0),0),"")</f>
        <v>322111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4" s="6">
        <f ca="1">IF(IDNMaps[[#This Row],[Type]]="","",COUNTIF($K$1:IDNMaps[[#This Row],[Type]],IDNMaps[[#This Row],[Type]]))</f>
        <v>12</v>
      </c>
      <c r="M24" s="6" t="str">
        <f ca="1">IFERROR(VLOOKUP(IDNMaps[[#This Row],[Type]],RecordCount[],6,0)&amp;"-"&amp;IDNMaps[[#This Row],[Type Count]],"")</f>
        <v>Resource Lists-12</v>
      </c>
      <c r="N24" s="6" t="str">
        <f ca="1">IFERROR(VLOOKUP(IDNMaps[[#This Row],[Primary]],INDIRECT(VLOOKUP(IDNMaps[[#This Row],[Type]],RecordCount[],2,0)),VLOOKUP(IDNMaps[[#This Row],[Type]],RecordCount[],7,0),0),"")</f>
        <v>User/LoginUsers</v>
      </c>
      <c r="O24" s="6" t="str">
        <f ca="1">IF(IDNMaps[[#This Row],[Name]]="","","("&amp;IDNMaps[[#This Row],[Type]]&amp;") "&amp;IDNMaps[[#This Row],[Name]])</f>
        <v>(Lists) User/LoginUsers</v>
      </c>
      <c r="P24" s="6">
        <f ca="1">IFERROR(VLOOKUP(IDNMaps[[#This Row],[Primary]],INDIRECT(VLOOKUP(IDNMaps[[#This Row],[Type]],RecordCount[],2,0)),VLOOKUP(IDNMaps[[#This Row],[Type]],RecordCount[],8,0),0),"")</f>
        <v>322112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5" s="6">
        <f ca="1">IF(IDNMaps[[#This Row],[Type]]="","",COUNTIF($K$1:IDNMaps[[#This Row],[Type]],IDNMaps[[#This Row],[Type]]))</f>
        <v>13</v>
      </c>
      <c r="M25" s="6" t="str">
        <f ca="1">IFERROR(VLOOKUP(IDNMaps[[#This Row],[Type]],RecordCount[],6,0)&amp;"-"&amp;IDNMaps[[#This Row],[Type Count]],"")</f>
        <v>Resource Lists-13</v>
      </c>
      <c r="N25" s="6" t="str">
        <f ca="1">IFERROR(VLOOKUP(IDNMaps[[#This Row],[Primary]],INDIRECT(VLOOKUP(IDNMaps[[#This Row],[Type]],RecordCount[],2,0)),VLOOKUP(IDNMaps[[#This Row],[Type]],RecordCount[],7,0),0),"")</f>
        <v>User/LoginSalesExecutives</v>
      </c>
      <c r="O25" s="6" t="str">
        <f ca="1">IF(IDNMaps[[#This Row],[Name]]="","","("&amp;IDNMaps[[#This Row],[Type]]&amp;") "&amp;IDNMaps[[#This Row],[Name]])</f>
        <v>(Lists) User/LoginSalesExecutives</v>
      </c>
      <c r="P25" s="6">
        <f ca="1">IFERROR(VLOOKUP(IDNMaps[[#This Row],[Primary]],INDIRECT(VLOOKUP(IDNMaps[[#This Row],[Type]],RecordCount[],2,0)),VLOOKUP(IDNMaps[[#This Row],[Type]],RecordCount[],8,0),0),"")</f>
        <v>322113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6" s="6">
        <f ca="1">IF(IDNMaps[[#This Row],[Type]]="","",COUNTIF($K$1:IDNMaps[[#This Row],[Type]],IDNMaps[[#This Row],[Type]]))</f>
        <v>14</v>
      </c>
      <c r="M26" s="6" t="str">
        <f ca="1">IFERROR(VLOOKUP(IDNMaps[[#This Row],[Type]],RecordCount[],6,0)&amp;"-"&amp;IDNMaps[[#This Row],[Type Count]],"")</f>
        <v>Resource Lists-14</v>
      </c>
      <c r="N26" s="6" t="str">
        <f ca="1">IFERROR(VLOOKUP(IDNMaps[[#This Row],[Primary]],INDIRECT(VLOOKUP(IDNMaps[[#This Row],[Type]],RecordCount[],2,0)),VLOOKUP(IDNMaps[[#This Row],[Type]],RecordCount[],7,0),0),"")</f>
        <v>Menu/MenuList</v>
      </c>
      <c r="O26" s="6" t="str">
        <f ca="1">IF(IDNMaps[[#This Row],[Name]]="","","("&amp;IDNMaps[[#This Row],[Type]]&amp;") "&amp;IDNMaps[[#This Row],[Name]])</f>
        <v>(Lists) Menu/MenuList</v>
      </c>
      <c r="P26" s="6">
        <f ca="1">IFERROR(VLOOKUP(IDNMaps[[#This Row],[Primary]],INDIRECT(VLOOKUP(IDNMaps[[#This Row],[Type]],RecordCount[],2,0)),VLOOKUP(IDNMaps[[#This Row],[Type]],RecordCount[],8,0),0),"")</f>
        <v>322114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7" s="6">
        <f ca="1">IF(IDNMaps[[#This Row],[Type]]="","",COUNTIF($K$1:IDNMaps[[#This Row],[Type]],IDNMaps[[#This Row],[Type]]))</f>
        <v>15</v>
      </c>
      <c r="M27" s="6" t="str">
        <f ca="1">IFERROR(VLOOKUP(IDNMaps[[#This Row],[Type]],RecordCount[],6,0)&amp;"-"&amp;IDNMaps[[#This Row],[Type Count]],"")</f>
        <v>Resource Lists-15</v>
      </c>
      <c r="N27" s="6" t="str">
        <f ca="1">IFERROR(VLOOKUP(IDNMaps[[#This Row],[Primary]],INDIRECT(VLOOKUP(IDNMaps[[#This Row],[Type]],RecordCount[],2,0)),VLOOKUP(IDNMaps[[#This Row],[Type]],RecordCount[],7,0),0),"")</f>
        <v>UserExecutive/UserToExecutiveMapList</v>
      </c>
      <c r="O27" s="6" t="str">
        <f ca="1">IF(IDNMaps[[#This Row],[Name]]="","","("&amp;IDNMaps[[#This Row],[Type]]&amp;") "&amp;IDNMaps[[#This Row],[Name]])</f>
        <v>(Lists) UserExecutive/UserToExecutiveMapList</v>
      </c>
      <c r="P27" s="6">
        <f ca="1">IFERROR(VLOOKUP(IDNMaps[[#This Row],[Primary]],INDIRECT(VLOOKUP(IDNMaps[[#This Row],[Type]],RecordCount[],2,0)),VLOOKUP(IDNMaps[[#This Row],[Type]],RecordCount[],8,0),0),"")</f>
        <v>322115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8" s="6">
        <f ca="1">IF(IDNMaps[[#This Row],[Type]]="","",COUNTIF($K$1:IDNMaps[[#This Row],[Type]],IDNMaps[[#This Row],[Type]]))</f>
        <v>16</v>
      </c>
      <c r="M28" s="6" t="str">
        <f ca="1">IFERROR(VLOOKUP(IDNMaps[[#This Row],[Type]],RecordCount[],6,0)&amp;"-"&amp;IDNMaps[[#This Row],[Type Count]],"")</f>
        <v>Resource Lists-16</v>
      </c>
      <c r="N28" s="6" t="str">
        <f ca="1">IFERROR(VLOOKUP(IDNMaps[[#This Row],[Primary]],INDIRECT(VLOOKUP(IDNMaps[[#This Row],[Type]],RecordCount[],2,0)),VLOOKUP(IDNMaps[[#This Row],[Type]],RecordCount[],7,0),0),"")</f>
        <v>Printing/PrintList</v>
      </c>
      <c r="O28" s="6" t="str">
        <f ca="1">IF(IDNMaps[[#This Row],[Name]]="","","("&amp;IDNMaps[[#This Row],[Type]]&amp;") "&amp;IDNMaps[[#This Row],[Name]])</f>
        <v>(Lists) Printing/PrintList</v>
      </c>
      <c r="P28" s="6">
        <f ca="1">IFERROR(VLOOKUP(IDNMaps[[#This Row],[Primary]],INDIRECT(VLOOKUP(IDNMaps[[#This Row],[Type]],RecordCount[],2,0)),VLOOKUP(IDNMaps[[#This Row],[Type]],RecordCount[],8,0),0),"")</f>
        <v>322116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9" s="6">
        <f ca="1">IF(IDNMaps[[#This Row],[Type]]="","",COUNTIF($K$1:IDNMaps[[#This Row],[Type]],IDNMaps[[#This Row],[Type]]))</f>
        <v>1</v>
      </c>
      <c r="M29" s="6" t="str">
        <f ca="1">IFERROR(VLOOKUP(IDNMaps[[#This Row],[Type]],RecordCount[],6,0)&amp;"-"&amp;IDNMaps[[#This Row],[Type Count]],"")</f>
        <v>Resource Data-1</v>
      </c>
      <c r="N29" s="6" t="str">
        <f ca="1">IFERROR(VLOOKUP(IDNMaps[[#This Row],[Primary]],INDIRECT(VLOOKUP(IDNMaps[[#This Row],[Type]],RecordCount[],2,0)),VLOOKUP(IDNMaps[[#This Row],[Type]],RecordCount[],7,0),0),"")</f>
        <v>Setting/SettingsView</v>
      </c>
      <c r="O29" s="6" t="str">
        <f ca="1">IF(IDNMaps[[#This Row],[Name]]="","","("&amp;IDNMaps[[#This Row],[Type]]&amp;") "&amp;IDNMaps[[#This Row],[Name]])</f>
        <v>(Data) Setting/SettingsView</v>
      </c>
      <c r="P29" s="6">
        <f ca="1">IFERROR(VLOOKUP(IDNMaps[[#This Row],[Primary]],INDIRECT(VLOOKUP(IDNMaps[[#This Row],[Type]],RecordCount[],2,0)),VLOOKUP(IDNMaps[[#This Row],[Type]],RecordCount[],8,0),0),"")</f>
        <v>327101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0" s="6">
        <f ca="1">IF(IDNMaps[[#This Row],[Type]]="","",COUNTIF($K$1:IDNMaps[[#This Row],[Type]],IDNMaps[[#This Row],[Type]]))</f>
        <v>2</v>
      </c>
      <c r="M30" s="6" t="str">
        <f ca="1">IFERROR(VLOOKUP(IDNMaps[[#This Row],[Type]],RecordCount[],6,0)&amp;"-"&amp;IDNMaps[[#This Row],[Type Count]],"")</f>
        <v>Resource Data-2</v>
      </c>
      <c r="N30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30" s="6" t="str">
        <f ca="1">IF(IDNMaps[[#This Row],[Name]]="","","("&amp;IDNMaps[[#This Row],[Type]]&amp;") "&amp;IDNMaps[[#This Row],[Name]])</f>
        <v>(Data) UserSetting/UserSettingsView</v>
      </c>
      <c r="P30" s="6">
        <f ca="1">IFERROR(VLOOKUP(IDNMaps[[#This Row],[Primary]],INDIRECT(VLOOKUP(IDNMaps[[#This Row],[Type]],RecordCount[],2,0)),VLOOKUP(IDNMaps[[#This Row],[Type]],RecordCount[],8,0),0),"")</f>
        <v>327102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1" s="6">
        <f ca="1">IF(IDNMaps[[#This Row],[Type]]="","",COUNTIF($K$1:IDNMaps[[#This Row],[Type]],IDNMaps[[#This Row],[Type]]))</f>
        <v>3</v>
      </c>
      <c r="M31" s="6" t="str">
        <f ca="1">IFERROR(VLOOKUP(IDNMaps[[#This Row],[Type]],RecordCount[],6,0)&amp;"-"&amp;IDNMaps[[#This Row],[Type Count]],"")</f>
        <v>Resource Data-3</v>
      </c>
      <c r="N31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31" s="6" t="str">
        <f ca="1">IF(IDNMaps[[#This Row],[Name]]="","","("&amp;IDNMaps[[#This Row],[Type]]&amp;") "&amp;IDNMaps[[#This Row],[Name]])</f>
        <v>(Data) UserStoreArea/UserStoreAreaView</v>
      </c>
      <c r="P31" s="6">
        <f ca="1">IFERROR(VLOOKUP(IDNMaps[[#This Row],[Primary]],INDIRECT(VLOOKUP(IDNMaps[[#This Row],[Type]],RecordCount[],2,0)),VLOOKUP(IDNMaps[[#This Row],[Type]],RecordCount[],8,0),0),"")</f>
        <v>327103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2" s="6">
        <f ca="1">IF(IDNMaps[[#This Row],[Type]]="","",COUNTIF($K$1:IDNMaps[[#This Row],[Type]],IDNMaps[[#This Row],[Type]]))</f>
        <v>4</v>
      </c>
      <c r="M32" s="6" t="str">
        <f ca="1">IFERROR(VLOOKUP(IDNMaps[[#This Row],[Type]],RecordCount[],6,0)&amp;"-"&amp;IDNMaps[[#This Row],[Type Count]],"")</f>
        <v>Resource Data-4</v>
      </c>
      <c r="N32" s="6" t="str">
        <f ca="1">IFERROR(VLOOKUP(IDNMaps[[#This Row],[Primary]],INDIRECT(VLOOKUP(IDNMaps[[#This Row],[Type]],RecordCount[],2,0)),VLOOKUP(IDNMaps[[#This Row],[Type]],RecordCount[],7,0),0),"")</f>
        <v>ProductImage/ProductImageView</v>
      </c>
      <c r="O32" s="6" t="str">
        <f ca="1">IF(IDNMaps[[#This Row],[Name]]="","","("&amp;IDNMaps[[#This Row],[Type]]&amp;") "&amp;IDNMaps[[#This Row],[Name]])</f>
        <v>(Data) ProductImage/ProductImageView</v>
      </c>
      <c r="P32" s="6">
        <f ca="1">IFERROR(VLOOKUP(IDNMaps[[#This Row],[Primary]],INDIRECT(VLOOKUP(IDNMaps[[#This Row],[Type]],RecordCount[],2,0)),VLOOKUP(IDNMaps[[#This Row],[Type]],RecordCount[],8,0),0),"")</f>
        <v>327104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3" s="6">
        <f ca="1">IF(IDNMaps[[#This Row],[Type]]="","",COUNTIF($K$1:IDNMaps[[#This Row],[Type]],IDNMaps[[#This Row],[Type]]))</f>
        <v>5</v>
      </c>
      <c r="M33" s="6" t="str">
        <f ca="1">IFERROR(VLOOKUP(IDNMaps[[#This Row],[Type]],RecordCount[],6,0)&amp;"-"&amp;IDNMaps[[#This Row],[Type Count]],"")</f>
        <v>Resource Data-5</v>
      </c>
      <c r="N33" s="6" t="str">
        <f ca="1">IFERROR(VLOOKUP(IDNMaps[[#This Row],[Primary]],INDIRECT(VLOOKUP(IDNMaps[[#This Row],[Type]],RecordCount[],2,0)),VLOOKUP(IDNMaps[[#This Row],[Type]],RecordCount[],7,0),0),"")</f>
        <v>FnReserve/ReserveView</v>
      </c>
      <c r="O33" s="6" t="str">
        <f ca="1">IF(IDNMaps[[#This Row],[Name]]="","","("&amp;IDNMaps[[#This Row],[Type]]&amp;") "&amp;IDNMaps[[#This Row],[Name]])</f>
        <v>(Data) FnReserve/ReserveView</v>
      </c>
      <c r="P33" s="6">
        <f ca="1">IFERROR(VLOOKUP(IDNMaps[[#This Row],[Primary]],INDIRECT(VLOOKUP(IDNMaps[[#This Row],[Type]],RecordCount[],2,0)),VLOOKUP(IDNMaps[[#This Row],[Type]],RecordCount[],8,0),0),"")</f>
        <v>327105</v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4" s="6">
        <f ca="1">IF(IDNMaps[[#This Row],[Type]]="","",COUNTIF($K$1:IDNMaps[[#This Row],[Type]],IDNMaps[[#This Row],[Type]]))</f>
        <v>6</v>
      </c>
      <c r="M34" s="6" t="str">
        <f ca="1">IFERROR(VLOOKUP(IDNMaps[[#This Row],[Type]],RecordCount[],6,0)&amp;"-"&amp;IDNMaps[[#This Row],[Type Count]],"")</f>
        <v>Resource Data-6</v>
      </c>
      <c r="N34" s="6" t="str">
        <f ca="1">IFERROR(VLOOKUP(IDNMaps[[#This Row],[Primary]],INDIRECT(VLOOKUP(IDNMaps[[#This Row],[Type]],RecordCount[],2,0)),VLOOKUP(IDNMaps[[#This Row],[Type]],RecordCount[],7,0),0),"")</f>
        <v>Menu/MenuView</v>
      </c>
      <c r="O34" s="6" t="str">
        <f ca="1">IF(IDNMaps[[#This Row],[Name]]="","","("&amp;IDNMaps[[#This Row],[Type]]&amp;") "&amp;IDNMaps[[#This Row],[Name]])</f>
        <v>(Data) Menu/MenuView</v>
      </c>
      <c r="P34" s="6">
        <f ca="1">IFERROR(VLOOKUP(IDNMaps[[#This Row],[Primary]],INDIRECT(VLOOKUP(IDNMaps[[#This Row],[Type]],RecordCount[],2,0)),VLOOKUP(IDNMaps[[#This Row],[Type]],RecordCount[],8,0),0),"")</f>
        <v>327106</v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5" s="6">
        <f ca="1">IF(IDNMaps[[#This Row],[Type]]="","",COUNTIF($K$1:IDNMaps[[#This Row],[Type]],IDNMaps[[#This Row],[Type]]))</f>
        <v>7</v>
      </c>
      <c r="M35" s="6" t="str">
        <f ca="1">IFERROR(VLOOKUP(IDNMaps[[#This Row],[Type]],RecordCount[],6,0)&amp;"-"&amp;IDNMaps[[#This Row],[Type Count]],"")</f>
        <v>Resource Data-7</v>
      </c>
      <c r="N35" s="6" t="str">
        <f ca="1">IFERROR(VLOOKUP(IDNMaps[[#This Row],[Primary]],INDIRECT(VLOOKUP(IDNMaps[[#This Row],[Type]],RecordCount[],2,0)),VLOOKUP(IDNMaps[[#This Row],[Type]],RecordCount[],7,0),0),"")</f>
        <v>Printing/PrintView</v>
      </c>
      <c r="O35" s="6" t="str">
        <f ca="1">IF(IDNMaps[[#This Row],[Name]]="","","("&amp;IDNMaps[[#This Row],[Type]]&amp;") "&amp;IDNMaps[[#This Row],[Name]])</f>
        <v>(Data) Printing/PrintView</v>
      </c>
      <c r="P35" s="6">
        <f ca="1">IFERROR(VLOOKUP(IDNMaps[[#This Row],[Primary]],INDIRECT(VLOOKUP(IDNMaps[[#This Row],[Type]],RecordCount[],2,0)),VLOOKUP(IDNMaps[[#This Row],[Type]],RecordCount[],8,0),0),"")</f>
        <v>327107</v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</v>
      </c>
      <c r="M36" s="6" t="str">
        <f ca="1">IFERROR(VLOOKUP(IDNMaps[[#This Row],[Type]],RecordCount[],6,0)&amp;"-"&amp;IDNMaps[[#This Row],[Type Count]],"")</f>
        <v>Resource Relations-1</v>
      </c>
      <c r="N36" s="6" t="str">
        <f ca="1">IFERROR(VLOOKUP(IDNMaps[[#This Row],[Primary]],INDIRECT(VLOOKUP(IDNMaps[[#This Row],[Type]],RecordCount[],2,0)),VLOOKUP(IDNMaps[[#This Row],[Type]],RecordCount[],7,0),0),"")</f>
        <v>Pricelist/Items</v>
      </c>
      <c r="O36" s="6" t="str">
        <f ca="1">IF(IDNMaps[[#This Row],[Name]]="","","("&amp;IDNMaps[[#This Row],[Type]]&amp;") "&amp;IDNMaps[[#This Row],[Name]])</f>
        <v>(Relation) Pricelist/Items</v>
      </c>
      <c r="P36" s="6">
        <f ca="1">IFERROR(VLOOKUP(IDNMaps[[#This Row],[Primary]],INDIRECT(VLOOKUP(IDNMaps[[#This Row],[Type]],RecordCount[],2,0)),VLOOKUP(IDNMaps[[#This Row],[Type]],RecordCount[],8,0),0),"")</f>
        <v>308101</v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2</v>
      </c>
      <c r="M37" s="6" t="str">
        <f ca="1">IFERROR(VLOOKUP(IDNMaps[[#This Row],[Type]],RecordCount[],6,0)&amp;"-"&amp;IDNMaps[[#This Row],[Type Count]],"")</f>
        <v>Resource Relations-2</v>
      </c>
      <c r="N37" s="6" t="str">
        <f ca="1">IFERROR(VLOOKUP(IDNMaps[[#This Row],[Primary]],INDIRECT(VLOOKUP(IDNMaps[[#This Row],[Type]],RecordCount[],2,0)),VLOOKUP(IDNMaps[[#This Row],[Type]],RecordCount[],7,0),0),"")</f>
        <v>PricelistProduct/Pricelist</v>
      </c>
      <c r="O37" s="6" t="str">
        <f ca="1">IF(IDNMaps[[#This Row],[Name]]="","","("&amp;IDNMaps[[#This Row],[Type]]&amp;") "&amp;IDNMaps[[#This Row],[Name]])</f>
        <v>(Relation) PricelistProduct/Pricelist</v>
      </c>
      <c r="P37" s="6">
        <f ca="1">IFERROR(VLOOKUP(IDNMaps[[#This Row],[Primary]],INDIRECT(VLOOKUP(IDNMaps[[#This Row],[Type]],RecordCount[],2,0)),VLOOKUP(IDNMaps[[#This Row],[Type]],RecordCount[],8,0),0),"")</f>
        <v>308102</v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3</v>
      </c>
      <c r="M38" s="6" t="str">
        <f ca="1">IFERROR(VLOOKUP(IDNMaps[[#This Row],[Type]],RecordCount[],6,0)&amp;"-"&amp;IDNMaps[[#This Row],[Type Count]],"")</f>
        <v>Resource Relations-3</v>
      </c>
      <c r="N38" s="6" t="str">
        <f ca="1">IFERROR(VLOOKUP(IDNMaps[[#This Row],[Primary]],INDIRECT(VLOOKUP(IDNMaps[[#This Row],[Type]],RecordCount[],2,0)),VLOOKUP(IDNMaps[[#This Row],[Type]],RecordCount[],7,0),0),"")</f>
        <v>PricelistProduct/Product</v>
      </c>
      <c r="O38" s="6" t="str">
        <f ca="1">IF(IDNMaps[[#This Row],[Name]]="","","("&amp;IDNMaps[[#This Row],[Type]]&amp;") "&amp;IDNMaps[[#This Row],[Name]])</f>
        <v>(Relation) PricelistProduct/Product</v>
      </c>
      <c r="P38" s="6">
        <f ca="1">IFERROR(VLOOKUP(IDNMaps[[#This Row],[Primary]],INDIRECT(VLOOKUP(IDNMaps[[#This Row],[Type]],RecordCount[],2,0)),VLOOKUP(IDNMaps[[#This Row],[Type]],RecordCount[],8,0),0),"")</f>
        <v>308103</v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4</v>
      </c>
      <c r="M39" s="6" t="str">
        <f ca="1">IFERROR(VLOOKUP(IDNMaps[[#This Row],[Type]],RecordCount[],6,0)&amp;"-"&amp;IDNMaps[[#This Row],[Type Count]],"")</f>
        <v>Resource Relations-4</v>
      </c>
      <c r="N39" s="6" t="str">
        <f ca="1">IFERROR(VLOOKUP(IDNMaps[[#This Row],[Primary]],INDIRECT(VLOOKUP(IDNMaps[[#This Row],[Type]],RecordCount[],2,0)),VLOOKUP(IDNMaps[[#This Row],[Type]],RecordCount[],7,0),0),"")</f>
        <v>AreaUser/Area</v>
      </c>
      <c r="O39" s="6" t="str">
        <f ca="1">IF(IDNMaps[[#This Row],[Name]]="","","("&amp;IDNMaps[[#This Row],[Type]]&amp;") "&amp;IDNMaps[[#This Row],[Name]])</f>
        <v>(Relation) AreaUser/Area</v>
      </c>
      <c r="P39" s="6">
        <f ca="1">IFERROR(VLOOKUP(IDNMaps[[#This Row],[Primary]],INDIRECT(VLOOKUP(IDNMaps[[#This Row],[Type]],RecordCount[],2,0)),VLOOKUP(IDNMaps[[#This Row],[Type]],RecordCount[],8,0),0),"")</f>
        <v>308104</v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5</v>
      </c>
      <c r="M40" s="6" t="str">
        <f ca="1">IFERROR(VLOOKUP(IDNMaps[[#This Row],[Type]],RecordCount[],6,0)&amp;"-"&amp;IDNMaps[[#This Row],[Type Count]],"")</f>
        <v>Resource Relations-5</v>
      </c>
      <c r="N40" s="6" t="str">
        <f ca="1">IFERROR(VLOOKUP(IDNMaps[[#This Row],[Primary]],INDIRECT(VLOOKUP(IDNMaps[[#This Row],[Type]],RecordCount[],2,0)),VLOOKUP(IDNMaps[[#This Row],[Type]],RecordCount[],7,0),0),"")</f>
        <v>AreaUser/Customer</v>
      </c>
      <c r="O40" s="6" t="str">
        <f ca="1">IF(IDNMaps[[#This Row],[Name]]="","","("&amp;IDNMaps[[#This Row],[Type]]&amp;") "&amp;IDNMaps[[#This Row],[Name]])</f>
        <v>(Relation) AreaUser/Customer</v>
      </c>
      <c r="P40" s="6">
        <f ca="1">IFERROR(VLOOKUP(IDNMaps[[#This Row],[Primary]],INDIRECT(VLOOKUP(IDNMaps[[#This Row],[Type]],RecordCount[],2,0)),VLOOKUP(IDNMaps[[#This Row],[Type]],RecordCount[],8,0),0),"")</f>
        <v>308105</v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6</v>
      </c>
      <c r="M41" s="6" t="str">
        <f ca="1">IFERROR(VLOOKUP(IDNMaps[[#This Row],[Type]],RecordCount[],6,0)&amp;"-"&amp;IDNMaps[[#This Row],[Type Count]],"")</f>
        <v>Resource Relations-6</v>
      </c>
      <c r="N41" s="6" t="str">
        <f ca="1">IFERROR(VLOOKUP(IDNMaps[[#This Row],[Primary]],INDIRECT(VLOOKUP(IDNMaps[[#This Row],[Type]],RecordCount[],2,0)),VLOOKUP(IDNMaps[[#This Row],[Type]],RecordCount[],7,0),0),"")</f>
        <v>Area/User</v>
      </c>
      <c r="O41" s="6" t="str">
        <f ca="1">IF(IDNMaps[[#This Row],[Name]]="","","("&amp;IDNMaps[[#This Row],[Type]]&amp;") "&amp;IDNMaps[[#This Row],[Name]])</f>
        <v>(Relation) Area/User</v>
      </c>
      <c r="P41" s="6">
        <f ca="1">IFERROR(VLOOKUP(IDNMaps[[#This Row],[Primary]],INDIRECT(VLOOKUP(IDNMaps[[#This Row],[Type]],RecordCount[],2,0)),VLOOKUP(IDNMaps[[#This Row],[Type]],RecordCount[],8,0),0),"")</f>
        <v>308106</v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7</v>
      </c>
      <c r="M42" s="6" t="str">
        <f ca="1">IFERROR(VLOOKUP(IDNMaps[[#This Row],[Type]],RecordCount[],6,0)&amp;"-"&amp;IDNMaps[[#This Row],[Type Count]],"")</f>
        <v>Resource Relations-7</v>
      </c>
      <c r="N42" s="6" t="str">
        <f ca="1">IFERROR(VLOOKUP(IDNMaps[[#This Row],[Primary]],INDIRECT(VLOOKUP(IDNMaps[[#This Row],[Type]],RecordCount[],2,0)),VLOOKUP(IDNMaps[[#This Row],[Type]],RecordCount[],7,0),0),"")</f>
        <v>Setting/Users</v>
      </c>
      <c r="O42" s="6" t="str">
        <f ca="1">IF(IDNMaps[[#This Row],[Name]]="","","("&amp;IDNMaps[[#This Row],[Type]]&amp;") "&amp;IDNMaps[[#This Row],[Name]])</f>
        <v>(Relation) Setting/Users</v>
      </c>
      <c r="P42" s="6">
        <f ca="1">IFERROR(VLOOKUP(IDNMaps[[#This Row],[Primary]],INDIRECT(VLOOKUP(IDNMaps[[#This Row],[Type]],RecordCount[],2,0)),VLOOKUP(IDNMaps[[#This Row],[Type]],RecordCount[],8,0),0),"")</f>
        <v>308107</v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8</v>
      </c>
      <c r="M43" s="6" t="str">
        <f ca="1">IFERROR(VLOOKUP(IDNMaps[[#This Row],[Type]],RecordCount[],6,0)&amp;"-"&amp;IDNMaps[[#This Row],[Type Count]],"")</f>
        <v>Resource Relations-8</v>
      </c>
      <c r="N43" s="6" t="str">
        <f ca="1">IFERROR(VLOOKUP(IDNMaps[[#This Row],[Primary]],INDIRECT(VLOOKUP(IDNMaps[[#This Row],[Type]],RecordCount[],2,0)),VLOOKUP(IDNMaps[[#This Row],[Type]],RecordCount[],7,0),0),"")</f>
        <v>User/Area</v>
      </c>
      <c r="O43" s="6" t="str">
        <f ca="1">IF(IDNMaps[[#This Row],[Name]]="","","("&amp;IDNMaps[[#This Row],[Type]]&amp;") "&amp;IDNMaps[[#This Row],[Name]])</f>
        <v>(Relation) User/Area</v>
      </c>
      <c r="P43" s="6">
        <f ca="1">IFERROR(VLOOKUP(IDNMaps[[#This Row],[Primary]],INDIRECT(VLOOKUP(IDNMaps[[#This Row],[Type]],RecordCount[],2,0)),VLOOKUP(IDNMaps[[#This Row],[Type]],RecordCount[],8,0),0),"")</f>
        <v>308108</v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9</v>
      </c>
      <c r="M44" s="6" t="str">
        <f ca="1">IFERROR(VLOOKUP(IDNMaps[[#This Row],[Type]],RecordCount[],6,0)&amp;"-"&amp;IDNMaps[[#This Row],[Type Count]],"")</f>
        <v>Resource Relations-9</v>
      </c>
      <c r="N44" s="6" t="str">
        <f ca="1">IFERROR(VLOOKUP(IDNMaps[[#This Row],[Primary]],INDIRECT(VLOOKUP(IDNMaps[[#This Row],[Type]],RecordCount[],2,0)),VLOOKUP(IDNMaps[[#This Row],[Type]],RecordCount[],7,0),0),"")</f>
        <v>UserSetting/Settings</v>
      </c>
      <c r="O44" s="6" t="str">
        <f ca="1">IF(IDNMaps[[#This Row],[Name]]="","","("&amp;IDNMaps[[#This Row],[Type]]&amp;") "&amp;IDNMaps[[#This Row],[Name]])</f>
        <v>(Relation) UserSetting/Settings</v>
      </c>
      <c r="P44" s="6">
        <f ca="1">IFERROR(VLOOKUP(IDNMaps[[#This Row],[Primary]],INDIRECT(VLOOKUP(IDNMaps[[#This Row],[Type]],RecordCount[],2,0)),VLOOKUP(IDNMaps[[#This Row],[Type]],RecordCount[],8,0),0),"")</f>
        <v>308109</v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10</v>
      </c>
      <c r="M45" s="6" t="str">
        <f ca="1">IFERROR(VLOOKUP(IDNMaps[[#This Row],[Type]],RecordCount[],6,0)&amp;"-"&amp;IDNMaps[[#This Row],[Type Count]],"")</f>
        <v>Resource Relations-10</v>
      </c>
      <c r="N45" s="6" t="str">
        <f ca="1">IFERROR(VLOOKUP(IDNMaps[[#This Row],[Primary]],INDIRECT(VLOOKUP(IDNMaps[[#This Row],[Type]],RecordCount[],2,0)),VLOOKUP(IDNMaps[[#This Row],[Type]],RecordCount[],7,0),0),"")</f>
        <v>User/Settings</v>
      </c>
      <c r="O45" s="6" t="str">
        <f ca="1">IF(IDNMaps[[#This Row],[Name]]="","","("&amp;IDNMaps[[#This Row],[Type]]&amp;") "&amp;IDNMaps[[#This Row],[Name]])</f>
        <v>(Relation) User/Settings</v>
      </c>
      <c r="P45" s="6">
        <f ca="1">IFERROR(VLOOKUP(IDNMaps[[#This Row],[Primary]],INDIRECT(VLOOKUP(IDNMaps[[#This Row],[Type]],RecordCount[],2,0)),VLOOKUP(IDNMaps[[#This Row],[Type]],RecordCount[],8,0),0),"")</f>
        <v>308110</v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11</v>
      </c>
      <c r="M46" s="6" t="str">
        <f ca="1">IFERROR(VLOOKUP(IDNMaps[[#This Row],[Type]],RecordCount[],6,0)&amp;"-"&amp;IDNMaps[[#This Row],[Type Count]],"")</f>
        <v>Resource Relations-11</v>
      </c>
      <c r="N46" s="6" t="str">
        <f ca="1">IFERROR(VLOOKUP(IDNMaps[[#This Row],[Primary]],INDIRECT(VLOOKUP(IDNMaps[[#This Row],[Type]],RecordCount[],2,0)),VLOOKUP(IDNMaps[[#This Row],[Type]],RecordCount[],7,0),0),"")</f>
        <v>UserSetting/User</v>
      </c>
      <c r="O46" s="6" t="str">
        <f ca="1">IF(IDNMaps[[#This Row],[Name]]="","","("&amp;IDNMaps[[#This Row],[Type]]&amp;") "&amp;IDNMaps[[#This Row],[Name]])</f>
        <v>(Relation) UserSetting/User</v>
      </c>
      <c r="P46" s="6">
        <f ca="1">IFERROR(VLOOKUP(IDNMaps[[#This Row],[Primary]],INDIRECT(VLOOKUP(IDNMaps[[#This Row],[Type]],RecordCount[],2,0)),VLOOKUP(IDNMaps[[#This Row],[Type]],RecordCount[],8,0),0),"")</f>
        <v>308111</v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12</v>
      </c>
      <c r="M47" s="6" t="str">
        <f ca="1">IFERROR(VLOOKUP(IDNMaps[[#This Row],[Type]],RecordCount[],6,0)&amp;"-"&amp;IDNMaps[[#This Row],[Type Count]],"")</f>
        <v>Resource Relations-12</v>
      </c>
      <c r="N47" s="6" t="str">
        <f ca="1">IFERROR(VLOOKUP(IDNMaps[[#This Row],[Primary]],INDIRECT(VLOOKUP(IDNMaps[[#This Row],[Type]],RecordCount[],2,0)),VLOOKUP(IDNMaps[[#This Row],[Type]],RecordCount[],7,0),0),"")</f>
        <v>User/StoreAndArea</v>
      </c>
      <c r="O47" s="6" t="str">
        <f ca="1">IF(IDNMaps[[#This Row],[Name]]="","","("&amp;IDNMaps[[#This Row],[Type]]&amp;") "&amp;IDNMaps[[#This Row],[Name]])</f>
        <v>(Relation) User/StoreAndArea</v>
      </c>
      <c r="P47" s="6">
        <f ca="1">IFERROR(VLOOKUP(IDNMaps[[#This Row],[Primary]],INDIRECT(VLOOKUP(IDNMaps[[#This Row],[Type]],RecordCount[],2,0)),VLOOKUP(IDNMaps[[#This Row],[Type]],RecordCount[],8,0),0),"")</f>
        <v>308112</v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13</v>
      </c>
      <c r="M48" s="6" t="str">
        <f ca="1">IFERROR(VLOOKUP(IDNMaps[[#This Row],[Type]],RecordCount[],6,0)&amp;"-"&amp;IDNMaps[[#This Row],[Type Count]],"")</f>
        <v>Resource Relations-13</v>
      </c>
      <c r="N48" s="6" t="str">
        <f ca="1">IFERROR(VLOOKUP(IDNMaps[[#This Row],[Primary]],INDIRECT(VLOOKUP(IDNMaps[[#This Row],[Type]],RecordCount[],2,0)),VLOOKUP(IDNMaps[[#This Row],[Type]],RecordCount[],7,0),0),"")</f>
        <v>UserStoreArea/Area</v>
      </c>
      <c r="O48" s="6" t="str">
        <f ca="1">IF(IDNMaps[[#This Row],[Name]]="","","("&amp;IDNMaps[[#This Row],[Type]]&amp;") "&amp;IDNMaps[[#This Row],[Name]])</f>
        <v>(Relation) UserStoreArea/Area</v>
      </c>
      <c r="P48" s="6">
        <f ca="1">IFERROR(VLOOKUP(IDNMaps[[#This Row],[Primary]],INDIRECT(VLOOKUP(IDNMaps[[#This Row],[Type]],RecordCount[],2,0)),VLOOKUP(IDNMaps[[#This Row],[Type]],RecordCount[],8,0),0),"")</f>
        <v>308113</v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14</v>
      </c>
      <c r="M49" s="6" t="str">
        <f ca="1">IFERROR(VLOOKUP(IDNMaps[[#This Row],[Type]],RecordCount[],6,0)&amp;"-"&amp;IDNMaps[[#This Row],[Type Count]],"")</f>
        <v>Resource Relations-14</v>
      </c>
      <c r="N49" s="6" t="str">
        <f ca="1">IFERROR(VLOOKUP(IDNMaps[[#This Row],[Primary]],INDIRECT(VLOOKUP(IDNMaps[[#This Row],[Type]],RecordCount[],2,0)),VLOOKUP(IDNMaps[[#This Row],[Type]],RecordCount[],7,0),0),"")</f>
        <v>UserStoreArea/Store</v>
      </c>
      <c r="O49" s="6" t="str">
        <f ca="1">IF(IDNMaps[[#This Row],[Name]]="","","("&amp;IDNMaps[[#This Row],[Type]]&amp;") "&amp;IDNMaps[[#This Row],[Name]])</f>
        <v>(Relation) UserStoreArea/Store</v>
      </c>
      <c r="P49" s="6">
        <f ca="1">IFERROR(VLOOKUP(IDNMaps[[#This Row],[Primary]],INDIRECT(VLOOKUP(IDNMaps[[#This Row],[Type]],RecordCount[],2,0)),VLOOKUP(IDNMaps[[#This Row],[Type]],RecordCount[],8,0),0),"")</f>
        <v>308114</v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15</v>
      </c>
      <c r="M50" s="6" t="str">
        <f ca="1">IFERROR(VLOOKUP(IDNMaps[[#This Row],[Type]],RecordCount[],6,0)&amp;"-"&amp;IDNMaps[[#This Row],[Type Count]],"")</f>
        <v>Resource Relations-15</v>
      </c>
      <c r="N50" s="6" t="str">
        <f ca="1">IFERROR(VLOOKUP(IDNMaps[[#This Row],[Primary]],INDIRECT(VLOOKUP(IDNMaps[[#This Row],[Type]],RecordCount[],2,0)),VLOOKUP(IDNMaps[[#This Row],[Type]],RecordCount[],7,0),0),"")</f>
        <v>UserStoreArea/User</v>
      </c>
      <c r="O50" s="6" t="str">
        <f ca="1">IF(IDNMaps[[#This Row],[Name]]="","","("&amp;IDNMaps[[#This Row],[Type]]&amp;") "&amp;IDNMaps[[#This Row],[Name]])</f>
        <v>(Relation) UserStoreArea/User</v>
      </c>
      <c r="P50" s="6">
        <f ca="1">IFERROR(VLOOKUP(IDNMaps[[#This Row],[Primary]],INDIRECT(VLOOKUP(IDNMaps[[#This Row],[Type]],RecordCount[],2,0)),VLOOKUP(IDNMaps[[#This Row],[Type]],RecordCount[],8,0),0),"")</f>
        <v>308115</v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16</v>
      </c>
      <c r="M51" s="6" t="str">
        <f ca="1">IFERROR(VLOOKUP(IDNMaps[[#This Row],[Type]],RecordCount[],6,0)&amp;"-"&amp;IDNMaps[[#This Row],[Type Count]],"")</f>
        <v>Resource Relations-16</v>
      </c>
      <c r="N51" s="6" t="str">
        <f ca="1">IFERROR(VLOOKUP(IDNMaps[[#This Row],[Primary]],INDIRECT(VLOOKUP(IDNMaps[[#This Row],[Type]],RecordCount[],2,0)),VLOOKUP(IDNMaps[[#This Row],[Type]],RecordCount[],7,0),0),"")</f>
        <v>Store/Users</v>
      </c>
      <c r="O51" s="6" t="str">
        <f ca="1">IF(IDNMaps[[#This Row],[Name]]="","","("&amp;IDNMaps[[#This Row],[Type]]&amp;") "&amp;IDNMaps[[#This Row],[Name]])</f>
        <v>(Relation) Store/Users</v>
      </c>
      <c r="P51" s="6">
        <f ca="1">IFERROR(VLOOKUP(IDNMaps[[#This Row],[Primary]],INDIRECT(VLOOKUP(IDNMaps[[#This Row],[Type]],RecordCount[],2,0)),VLOOKUP(IDNMaps[[#This Row],[Type]],RecordCount[],8,0),0),"")</f>
        <v>308116</v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17</v>
      </c>
      <c r="M52" s="6" t="str">
        <f ca="1">IFERROR(VLOOKUP(IDNMaps[[#This Row],[Type]],RecordCount[],6,0)&amp;"-"&amp;IDNMaps[[#This Row],[Type Count]],"")</f>
        <v>Resource Relations-17</v>
      </c>
      <c r="N52" s="6" t="str">
        <f ca="1">IFERROR(VLOOKUP(IDNMaps[[#This Row],[Primary]],INDIRECT(VLOOKUP(IDNMaps[[#This Row],[Type]],RecordCount[],2,0)),VLOOKUP(IDNMaps[[#This Row],[Type]],RecordCount[],7,0),0),"")</f>
        <v>Area/StoreAndUser</v>
      </c>
      <c r="O52" s="6" t="str">
        <f ca="1">IF(IDNMaps[[#This Row],[Name]]="","","("&amp;IDNMaps[[#This Row],[Type]]&amp;") "&amp;IDNMaps[[#This Row],[Name]])</f>
        <v>(Relation) Area/StoreAndUser</v>
      </c>
      <c r="P52" s="6">
        <f ca="1">IFERROR(VLOOKUP(IDNMaps[[#This Row],[Primary]],INDIRECT(VLOOKUP(IDNMaps[[#This Row],[Type]],RecordCount[],2,0)),VLOOKUP(IDNMaps[[#This Row],[Type]],RecordCount[],8,0),0),"")</f>
        <v>308117</v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18</v>
      </c>
      <c r="M53" s="6" t="str">
        <f ca="1">IFERROR(VLOOKUP(IDNMaps[[#This Row],[Type]],RecordCount[],6,0)&amp;"-"&amp;IDNMaps[[#This Row],[Type Count]],"")</f>
        <v>Resource Relations-18</v>
      </c>
      <c r="N53" s="6" t="str">
        <f ca="1">IFERROR(VLOOKUP(IDNMaps[[#This Row],[Primary]],INDIRECT(VLOOKUP(IDNMaps[[#This Row],[Type]],RecordCount[],2,0)),VLOOKUP(IDNMaps[[#This Row],[Type]],RecordCount[],7,0),0),"")</f>
        <v>Transaction/Details</v>
      </c>
      <c r="O53" s="6" t="str">
        <f ca="1">IF(IDNMaps[[#This Row],[Name]]="","","("&amp;IDNMaps[[#This Row],[Type]]&amp;") "&amp;IDNMaps[[#This Row],[Name]])</f>
        <v>(Relation) Transaction/Details</v>
      </c>
      <c r="P53" s="6">
        <f ca="1">IFERROR(VLOOKUP(IDNMaps[[#This Row],[Primary]],INDIRECT(VLOOKUP(IDNMaps[[#This Row],[Type]],RecordCount[],2,0)),VLOOKUP(IDNMaps[[#This Row],[Type]],RecordCount[],8,0),0),"")</f>
        <v>308118</v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19</v>
      </c>
      <c r="M54" s="6" t="str">
        <f ca="1">IFERROR(VLOOKUP(IDNMaps[[#This Row],[Type]],RecordCount[],6,0)&amp;"-"&amp;IDNMaps[[#This Row],[Type Count]],"")</f>
        <v>Resource Relations-19</v>
      </c>
      <c r="N54" s="6" t="str">
        <f ca="1">IFERROR(VLOOKUP(IDNMaps[[#This Row],[Primary]],INDIRECT(VLOOKUP(IDNMaps[[#This Row],[Type]],RecordCount[],2,0)),VLOOKUP(IDNMaps[[#This Row],[Type]],RecordCount[],7,0),0),"")</f>
        <v>SalesOrder/Items</v>
      </c>
      <c r="O54" s="6" t="str">
        <f ca="1">IF(IDNMaps[[#This Row],[Name]]="","","("&amp;IDNMaps[[#This Row],[Type]]&amp;") "&amp;IDNMaps[[#This Row],[Name]])</f>
        <v>(Relation) SalesOrder/Items</v>
      </c>
      <c r="P54" s="6">
        <f ca="1">IFERROR(VLOOKUP(IDNMaps[[#This Row],[Primary]],INDIRECT(VLOOKUP(IDNMaps[[#This Row],[Type]],RecordCount[],2,0)),VLOOKUP(IDNMaps[[#This Row],[Type]],RecordCount[],8,0),0),"")</f>
        <v>308119</v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20</v>
      </c>
      <c r="M55" s="6" t="str">
        <f ca="1">IFERROR(VLOOKUP(IDNMaps[[#This Row],[Type]],RecordCount[],6,0)&amp;"-"&amp;IDNMaps[[#This Row],[Type Count]],"")</f>
        <v>Resource Relations-20</v>
      </c>
      <c r="N55" s="6" t="str">
        <f ca="1">IFERROR(VLOOKUP(IDNMaps[[#This Row],[Primary]],INDIRECT(VLOOKUP(IDNMaps[[#This Row],[Type]],RecordCount[],2,0)),VLOOKUP(IDNMaps[[#This Row],[Type]],RecordCount[],7,0),0),"")</f>
        <v>SalesOrderItem/Product</v>
      </c>
      <c r="O55" s="6" t="str">
        <f ca="1">IF(IDNMaps[[#This Row],[Name]]="","","("&amp;IDNMaps[[#This Row],[Type]]&amp;") "&amp;IDNMaps[[#This Row],[Name]])</f>
        <v>(Relation) SalesOrderItem/Product</v>
      </c>
      <c r="P55" s="6">
        <f ca="1">IFERROR(VLOOKUP(IDNMaps[[#This Row],[Primary]],INDIRECT(VLOOKUP(IDNMaps[[#This Row],[Type]],RecordCount[],2,0)),VLOOKUP(IDNMaps[[#This Row],[Type]],RecordCount[],8,0),0),"")</f>
        <v>308120</v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21</v>
      </c>
      <c r="M56" s="6" t="str">
        <f ca="1">IFERROR(VLOOKUP(IDNMaps[[#This Row],[Type]],RecordCount[],6,0)&amp;"-"&amp;IDNMaps[[#This Row],[Type Count]],"")</f>
        <v>Resource Relations-21</v>
      </c>
      <c r="N56" s="6" t="str">
        <f ca="1">IFERROR(VLOOKUP(IDNMaps[[#This Row],[Primary]],INDIRECT(VLOOKUP(IDNMaps[[#This Row],[Type]],RecordCount[],2,0)),VLOOKUP(IDNMaps[[#This Row],[Type]],RecordCount[],7,0),0),"")</f>
        <v>StockTransfer/IN</v>
      </c>
      <c r="O56" s="6" t="str">
        <f ca="1">IF(IDNMaps[[#This Row],[Name]]="","","("&amp;IDNMaps[[#This Row],[Type]]&amp;") "&amp;IDNMaps[[#This Row],[Name]])</f>
        <v>(Relation) StockTransfer/IN</v>
      </c>
      <c r="P56" s="6">
        <f ca="1">IFERROR(VLOOKUP(IDNMaps[[#This Row],[Primary]],INDIRECT(VLOOKUP(IDNMaps[[#This Row],[Type]],RecordCount[],2,0)),VLOOKUP(IDNMaps[[#This Row],[Type]],RecordCount[],8,0),0),"")</f>
        <v>308121</v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22</v>
      </c>
      <c r="M57" s="6" t="str">
        <f ca="1">IFERROR(VLOOKUP(IDNMaps[[#This Row],[Type]],RecordCount[],6,0)&amp;"-"&amp;IDNMaps[[#This Row],[Type Count]],"")</f>
        <v>Resource Relations-22</v>
      </c>
      <c r="N57" s="6" t="str">
        <f ca="1">IFERROR(VLOOKUP(IDNMaps[[#This Row],[Primary]],INDIRECT(VLOOKUP(IDNMaps[[#This Row],[Type]],RecordCount[],2,0)),VLOOKUP(IDNMaps[[#This Row],[Type]],RecordCount[],7,0),0),"")</f>
        <v>StockTransfer/OUT</v>
      </c>
      <c r="O57" s="6" t="str">
        <f ca="1">IF(IDNMaps[[#This Row],[Name]]="","","("&amp;IDNMaps[[#This Row],[Type]]&amp;") "&amp;IDNMaps[[#This Row],[Name]])</f>
        <v>(Relation) StockTransfer/OUT</v>
      </c>
      <c r="P57" s="6">
        <f ca="1">IFERROR(VLOOKUP(IDNMaps[[#This Row],[Primary]],INDIRECT(VLOOKUP(IDNMaps[[#This Row],[Type]],RecordCount[],2,0)),VLOOKUP(IDNMaps[[#This Row],[Type]],RecordCount[],8,0),0),"")</f>
        <v>308122</v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23</v>
      </c>
      <c r="M58" s="6" t="str">
        <f ca="1">IFERROR(VLOOKUP(IDNMaps[[#This Row],[Type]],RecordCount[],6,0)&amp;"-"&amp;IDNMaps[[#This Row],[Type Count]],"")</f>
        <v>Resource Relations-23</v>
      </c>
      <c r="N58" s="6" t="str">
        <f ca="1">IFERROR(VLOOKUP(IDNMaps[[#This Row],[Primary]],INDIRECT(VLOOKUP(IDNMaps[[#This Row],[Type]],RecordCount[],2,0)),VLOOKUP(IDNMaps[[#This Row],[Type]],RecordCount[],7,0),0),"")</f>
        <v>SalesOrder/Customer</v>
      </c>
      <c r="O58" s="6" t="str">
        <f ca="1">IF(IDNMaps[[#This Row],[Name]]="","","("&amp;IDNMaps[[#This Row],[Type]]&amp;") "&amp;IDNMaps[[#This Row],[Name]])</f>
        <v>(Relation) SalesOrder/Customer</v>
      </c>
      <c r="P58" s="6">
        <f ca="1">IFERROR(VLOOKUP(IDNMaps[[#This Row],[Primary]],INDIRECT(VLOOKUP(IDNMaps[[#This Row],[Type]],RecordCount[],2,0)),VLOOKUP(IDNMaps[[#This Row],[Type]],RecordCount[],8,0),0),"")</f>
        <v>308123</v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24</v>
      </c>
      <c r="M59" s="6" t="str">
        <f ca="1">IFERROR(VLOOKUP(IDNMaps[[#This Row],[Type]],RecordCount[],6,0)&amp;"-"&amp;IDNMaps[[#This Row],[Type Count]],"")</f>
        <v>Resource Relations-24</v>
      </c>
      <c r="N59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59" s="6" t="str">
        <f ca="1">IF(IDNMaps[[#This Row],[Name]]="","","("&amp;IDNMaps[[#This Row],[Type]]&amp;") "&amp;IDNMaps[[#This Row],[Name]])</f>
        <v>(Relation) UserStoreArea/AssignedAreas</v>
      </c>
      <c r="P59" s="6">
        <f ca="1">IFERROR(VLOOKUP(IDNMaps[[#This Row],[Primary]],INDIRECT(VLOOKUP(IDNMaps[[#This Row],[Type]],RecordCount[],2,0)),VLOOKUP(IDNMaps[[#This Row],[Type]],RecordCount[],8,0),0),"")</f>
        <v>308124</v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25</v>
      </c>
      <c r="M60" s="6" t="str">
        <f ca="1">IFERROR(VLOOKUP(IDNMaps[[#This Row],[Type]],RecordCount[],6,0)&amp;"-"&amp;IDNMaps[[#This Row],[Type Count]],"")</f>
        <v>Resource Relations-25</v>
      </c>
      <c r="N60" s="6" t="str">
        <f ca="1">IFERROR(VLOOKUP(IDNMaps[[#This Row],[Primary]],INDIRECT(VLOOKUP(IDNMaps[[#This Row],[Type]],RecordCount[],2,0)),VLOOKUP(IDNMaps[[#This Row],[Type]],RecordCount[],7,0),0),"")</f>
        <v>AreaUser/Users</v>
      </c>
      <c r="O60" s="6" t="str">
        <f ca="1">IF(IDNMaps[[#This Row],[Name]]="","","("&amp;IDNMaps[[#This Row],[Type]]&amp;") "&amp;IDNMaps[[#This Row],[Name]])</f>
        <v>(Relation) AreaUser/Users</v>
      </c>
      <c r="P60" s="6">
        <f ca="1">IFERROR(VLOOKUP(IDNMaps[[#This Row],[Primary]],INDIRECT(VLOOKUP(IDNMaps[[#This Row],[Type]],RecordCount[],2,0)),VLOOKUP(IDNMaps[[#This Row],[Type]],RecordCount[],8,0),0),"")</f>
        <v>308125</v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26</v>
      </c>
      <c r="M61" s="6" t="str">
        <f ca="1">IFERROR(VLOOKUP(IDNMaps[[#This Row],[Type]],RecordCount[],6,0)&amp;"-"&amp;IDNMaps[[#This Row],[Type Count]],"")</f>
        <v>Resource Relations-26</v>
      </c>
      <c r="N61" s="6" t="str">
        <f ca="1">IFERROR(VLOOKUP(IDNMaps[[#This Row],[Primary]],INDIRECT(VLOOKUP(IDNMaps[[#This Row],[Type]],RecordCount[],2,0)),VLOOKUP(IDNMaps[[#This Row],[Type]],RecordCount[],7,0),0),"")</f>
        <v>UserStoreArea/Customers</v>
      </c>
      <c r="O61" s="6" t="str">
        <f ca="1">IF(IDNMaps[[#This Row],[Name]]="","","("&amp;IDNMaps[[#This Row],[Type]]&amp;") "&amp;IDNMaps[[#This Row],[Name]])</f>
        <v>(Relation) UserStoreArea/Customers</v>
      </c>
      <c r="P61" s="6">
        <f ca="1">IFERROR(VLOOKUP(IDNMaps[[#This Row],[Primary]],INDIRECT(VLOOKUP(IDNMaps[[#This Row],[Type]],RecordCount[],2,0)),VLOOKUP(IDNMaps[[#This Row],[Type]],RecordCount[],8,0),0),"")</f>
        <v>308126</v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27</v>
      </c>
      <c r="M62" s="6" t="str">
        <f ca="1">IFERROR(VLOOKUP(IDNMaps[[#This Row],[Type]],RecordCount[],6,0)&amp;"-"&amp;IDNMaps[[#This Row],[Type Count]],"")</f>
        <v>Resource Relations-27</v>
      </c>
      <c r="N62" s="6" t="str">
        <f ca="1">IFERROR(VLOOKUP(IDNMaps[[#This Row],[Primary]],INDIRECT(VLOOKUP(IDNMaps[[#This Row],[Type]],RecordCount[],2,0)),VLOOKUP(IDNMaps[[#This Row],[Type]],RecordCount[],7,0),0),"")</f>
        <v>User/AreaCustomers</v>
      </c>
      <c r="O62" s="6" t="str">
        <f ca="1">IF(IDNMaps[[#This Row],[Name]]="","","("&amp;IDNMaps[[#This Row],[Type]]&amp;") "&amp;IDNMaps[[#This Row],[Name]])</f>
        <v>(Relation) User/AreaCustomers</v>
      </c>
      <c r="P62" s="6">
        <f ca="1">IFERROR(VLOOKUP(IDNMaps[[#This Row],[Primary]],INDIRECT(VLOOKUP(IDNMaps[[#This Row],[Type]],RecordCount[],2,0)),VLOOKUP(IDNMaps[[#This Row],[Type]],RecordCount[],8,0),0),"")</f>
        <v>308127</v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28</v>
      </c>
      <c r="M63" s="6" t="str">
        <f ca="1">IFERROR(VLOOKUP(IDNMaps[[#This Row],[Type]],RecordCount[],6,0)&amp;"-"&amp;IDNMaps[[#This Row],[Type Count]],"")</f>
        <v>Resource Relations-28</v>
      </c>
      <c r="N63" s="6" t="str">
        <f ca="1">IFERROR(VLOOKUP(IDNMaps[[#This Row],[Primary]],INDIRECT(VLOOKUP(IDNMaps[[#This Row],[Type]],RecordCount[],2,0)),VLOOKUP(IDNMaps[[#This Row],[Type]],RecordCount[],7,0),0),"")</f>
        <v>SalesOrderItem/SalesOrder</v>
      </c>
      <c r="O63" s="6" t="str">
        <f ca="1">IF(IDNMaps[[#This Row],[Name]]="","","("&amp;IDNMaps[[#This Row],[Type]]&amp;") "&amp;IDNMaps[[#This Row],[Name]])</f>
        <v>(Relation) SalesOrderItem/SalesOrder</v>
      </c>
      <c r="P63" s="6">
        <f ca="1">IFERROR(VLOOKUP(IDNMaps[[#This Row],[Primary]],INDIRECT(VLOOKUP(IDNMaps[[#This Row],[Type]],RecordCount[],2,0)),VLOOKUP(IDNMaps[[#This Row],[Type]],RecordCount[],8,0),0),"")</f>
        <v>308128</v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29</v>
      </c>
      <c r="M64" s="6" t="str">
        <f ca="1">IFERROR(VLOOKUP(IDNMaps[[#This Row],[Type]],RecordCount[],6,0)&amp;"-"&amp;IDNMaps[[#This Row],[Type Count]],"")</f>
        <v>Resource Relations-29</v>
      </c>
      <c r="N64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64" s="6" t="str">
        <f ca="1">IF(IDNMaps[[#This Row],[Name]]="","","("&amp;IDNMaps[[#This Row],[Type]]&amp;") "&amp;IDNMaps[[#This Row],[Name]])</f>
        <v>(Relation) TransactionDetail/Transaction</v>
      </c>
      <c r="P64" s="6">
        <f ca="1">IFERROR(VLOOKUP(IDNMaps[[#This Row],[Primary]],INDIRECT(VLOOKUP(IDNMaps[[#This Row],[Type]],RecordCount[],2,0)),VLOOKUP(IDNMaps[[#This Row],[Type]],RecordCount[],8,0),0),"")</f>
        <v>308129</v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30</v>
      </c>
      <c r="M65" s="6" t="str">
        <f ca="1">IFERROR(VLOOKUP(IDNMaps[[#This Row],[Type]],RecordCount[],6,0)&amp;"-"&amp;IDNMaps[[#This Row],[Type Count]],"")</f>
        <v>Resource Relations-30</v>
      </c>
      <c r="N65" s="6" t="str">
        <f ca="1">IFERROR(VLOOKUP(IDNMaps[[#This Row],[Primary]],INDIRECT(VLOOKUP(IDNMaps[[#This Row],[Type]],RecordCount[],2,0)),VLOOKUP(IDNMaps[[#This Row],[Type]],RecordCount[],7,0),0),"")</f>
        <v>Transaction/STOut</v>
      </c>
      <c r="O65" s="6" t="str">
        <f ca="1">IF(IDNMaps[[#This Row],[Name]]="","","("&amp;IDNMaps[[#This Row],[Type]]&amp;") "&amp;IDNMaps[[#This Row],[Name]])</f>
        <v>(Relation) Transaction/STOut</v>
      </c>
      <c r="P65" s="6">
        <f ca="1">IFERROR(VLOOKUP(IDNMaps[[#This Row],[Primary]],INDIRECT(VLOOKUP(IDNMaps[[#This Row],[Type]],RecordCount[],2,0)),VLOOKUP(IDNMaps[[#This Row],[Type]],RecordCount[],8,0),0),"")</f>
        <v>308130</v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31</v>
      </c>
      <c r="M66" s="6" t="str">
        <f ca="1">IFERROR(VLOOKUP(IDNMaps[[#This Row],[Type]],RecordCount[],6,0)&amp;"-"&amp;IDNMaps[[#This Row],[Type Count]],"")</f>
        <v>Resource Relations-31</v>
      </c>
      <c r="N66" s="6" t="str">
        <f ca="1">IFERROR(VLOOKUP(IDNMaps[[#This Row],[Primary]],INDIRECT(VLOOKUP(IDNMaps[[#This Row],[Type]],RecordCount[],2,0)),VLOOKUP(IDNMaps[[#This Row],[Type]],RecordCount[],7,0),0),"")</f>
        <v>Transaction/STIn</v>
      </c>
      <c r="O66" s="6" t="str">
        <f ca="1">IF(IDNMaps[[#This Row],[Name]]="","","("&amp;IDNMaps[[#This Row],[Type]]&amp;") "&amp;IDNMaps[[#This Row],[Name]])</f>
        <v>(Relation) Transaction/STIn</v>
      </c>
      <c r="P66" s="6">
        <f ca="1">IFERROR(VLOOKUP(IDNMaps[[#This Row],[Primary]],INDIRECT(VLOOKUP(IDNMaps[[#This Row],[Type]],RecordCount[],2,0)),VLOOKUP(IDNMaps[[#This Row],[Type]],RecordCount[],8,0),0),"")</f>
        <v>308131</v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32</v>
      </c>
      <c r="M67" s="6" t="str">
        <f ca="1">IFERROR(VLOOKUP(IDNMaps[[#This Row],[Type]],RecordCount[],6,0)&amp;"-"&amp;IDNMaps[[#This Row],[Type Count]],"")</f>
        <v>Resource Relations-32</v>
      </c>
      <c r="N67" s="6" t="str">
        <f ca="1">IFERROR(VLOOKUP(IDNMaps[[#This Row],[Primary]],INDIRECT(VLOOKUP(IDNMaps[[#This Row],[Type]],RecordCount[],2,0)),VLOOKUP(IDNMaps[[#This Row],[Type]],RecordCount[],7,0),0),"")</f>
        <v>Product/Images</v>
      </c>
      <c r="O67" s="6" t="str">
        <f ca="1">IF(IDNMaps[[#This Row],[Name]]="","","("&amp;IDNMaps[[#This Row],[Type]]&amp;") "&amp;IDNMaps[[#This Row],[Name]])</f>
        <v>(Relation) Product/Images</v>
      </c>
      <c r="P67" s="6">
        <f ca="1">IFERROR(VLOOKUP(IDNMaps[[#This Row],[Primary]],INDIRECT(VLOOKUP(IDNMaps[[#This Row],[Type]],RecordCount[],2,0)),VLOOKUP(IDNMaps[[#This Row],[Type]],RecordCount[],8,0),0),"")</f>
        <v>308132</v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33</v>
      </c>
      <c r="M68" s="6" t="str">
        <f ca="1">IFERROR(VLOOKUP(IDNMaps[[#This Row],[Type]],RecordCount[],6,0)&amp;"-"&amp;IDNMaps[[#This Row],[Type Count]],"")</f>
        <v>Resource Relations-33</v>
      </c>
      <c r="N68" s="6" t="str">
        <f ca="1">IFERROR(VLOOKUP(IDNMaps[[#This Row],[Primary]],INDIRECT(VLOOKUP(IDNMaps[[#This Row],[Type]],RecordCount[],2,0)),VLOOKUP(IDNMaps[[#This Row],[Type]],RecordCount[],7,0),0),"")</f>
        <v>ProductImage/Product</v>
      </c>
      <c r="O68" s="6" t="str">
        <f ca="1">IF(IDNMaps[[#This Row],[Name]]="","","("&amp;IDNMaps[[#This Row],[Type]]&amp;") "&amp;IDNMaps[[#This Row],[Name]])</f>
        <v>(Relation) ProductImage/Product</v>
      </c>
      <c r="P68" s="6">
        <f ca="1">IFERROR(VLOOKUP(IDNMaps[[#This Row],[Primary]],INDIRECT(VLOOKUP(IDNMaps[[#This Row],[Type]],RecordCount[],2,0)),VLOOKUP(IDNMaps[[#This Row],[Type]],RecordCount[],8,0),0),"")</f>
        <v>308133</v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34</v>
      </c>
      <c r="M69" s="6" t="str">
        <f ca="1">IFERROR(VLOOKUP(IDNMaps[[#This Row],[Type]],RecordCount[],6,0)&amp;"-"&amp;IDNMaps[[#This Row],[Type Count]],"")</f>
        <v>Resource Relations-34</v>
      </c>
      <c r="N69" s="6" t="str">
        <f ca="1">IFERROR(VLOOKUP(IDNMaps[[#This Row],[Primary]],INDIRECT(VLOOKUP(IDNMaps[[#This Row],[Type]],RecordCount[],2,0)),VLOOKUP(IDNMaps[[#This Row],[Type]],RecordCount[],7,0),0),"")</f>
        <v>FnReserve/User</v>
      </c>
      <c r="O69" s="6" t="str">
        <f ca="1">IF(IDNMaps[[#This Row],[Name]]="","","("&amp;IDNMaps[[#This Row],[Type]]&amp;") "&amp;IDNMaps[[#This Row],[Name]])</f>
        <v>(Relation) FnReserve/User</v>
      </c>
      <c r="P69" s="6">
        <f ca="1">IFERROR(VLOOKUP(IDNMaps[[#This Row],[Primary]],INDIRECT(VLOOKUP(IDNMaps[[#This Row],[Type]],RecordCount[],2,0)),VLOOKUP(IDNMaps[[#This Row],[Type]],RecordCount[],8,0),0),"")</f>
        <v>308134</v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35</v>
      </c>
      <c r="M70" s="6" t="str">
        <f ca="1">IFERROR(VLOOKUP(IDNMaps[[#This Row],[Type]],RecordCount[],6,0)&amp;"-"&amp;IDNMaps[[#This Row],[Type Count]],"")</f>
        <v>Resource Relations-35</v>
      </c>
      <c r="N70" s="6" t="str">
        <f ca="1">IFERROR(VLOOKUP(IDNMaps[[#This Row],[Primary]],INDIRECT(VLOOKUP(IDNMaps[[#This Row],[Type]],RecordCount[],2,0)),VLOOKUP(IDNMaps[[#This Row],[Type]],RecordCount[],7,0),0),"")</f>
        <v>FnReserve/Store</v>
      </c>
      <c r="O70" s="6" t="str">
        <f ca="1">IF(IDNMaps[[#This Row],[Name]]="","","("&amp;IDNMaps[[#This Row],[Type]]&amp;") "&amp;IDNMaps[[#This Row],[Name]])</f>
        <v>(Relation) FnReserve/Store</v>
      </c>
      <c r="P70" s="6">
        <f ca="1">IFERROR(VLOOKUP(IDNMaps[[#This Row],[Primary]],INDIRECT(VLOOKUP(IDNMaps[[#This Row],[Type]],RecordCount[],2,0)),VLOOKUP(IDNMaps[[#This Row],[Type]],RecordCount[],8,0),0),"")</f>
        <v>308135</v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36</v>
      </c>
      <c r="M71" s="6" t="str">
        <f ca="1">IFERROR(VLOOKUP(IDNMaps[[#This Row],[Type]],RecordCount[],6,0)&amp;"-"&amp;IDNMaps[[#This Row],[Type Count]],"")</f>
        <v>Resource Relations-36</v>
      </c>
      <c r="N71" s="6" t="str">
        <f ca="1">IFERROR(VLOOKUP(IDNMaps[[#This Row],[Primary]],INDIRECT(VLOOKUP(IDNMaps[[#This Row],[Type]],RecordCount[],2,0)),VLOOKUP(IDNMaps[[#This Row],[Type]],RecordCount[],7,0),0),"")</f>
        <v>TransactionDetail/Product</v>
      </c>
      <c r="O71" s="6" t="str">
        <f ca="1">IF(IDNMaps[[#This Row],[Name]]="","","("&amp;IDNMaps[[#This Row],[Type]]&amp;") "&amp;IDNMaps[[#This Row],[Name]])</f>
        <v>(Relation) TransactionDetail/Product</v>
      </c>
      <c r="P71" s="6">
        <f ca="1">IFERROR(VLOOKUP(IDNMaps[[#This Row],[Primary]],INDIRECT(VLOOKUP(IDNMaps[[#This Row],[Type]],RecordCount[],2,0)),VLOOKUP(IDNMaps[[#This Row],[Type]],RecordCount[],8,0),0),"")</f>
        <v>308136</v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37</v>
      </c>
      <c r="M72" s="6" t="str">
        <f ca="1">IFERROR(VLOOKUP(IDNMaps[[#This Row],[Type]],RecordCount[],6,0)&amp;"-"&amp;IDNMaps[[#This Row],[Type Count]],"")</f>
        <v>Resource Relations-37</v>
      </c>
      <c r="N72" s="6" t="str">
        <f ca="1">IFERROR(VLOOKUP(IDNMaps[[#This Row],[Primary]],INDIRECT(VLOOKUP(IDNMaps[[#This Row],[Type]],RecordCount[],2,0)),VLOOKUP(IDNMaps[[#This Row],[Type]],RecordCount[],7,0),0),"")</f>
        <v>TransactionDetail/Store</v>
      </c>
      <c r="O72" s="6" t="str">
        <f ca="1">IF(IDNMaps[[#This Row],[Name]]="","","("&amp;IDNMaps[[#This Row],[Type]]&amp;") "&amp;IDNMaps[[#This Row],[Name]])</f>
        <v>(Relation) TransactionDetail/Store</v>
      </c>
      <c r="P72" s="6">
        <f ca="1">IFERROR(VLOOKUP(IDNMaps[[#This Row],[Primary]],INDIRECT(VLOOKUP(IDNMaps[[#This Row],[Type]],RecordCount[],2,0)),VLOOKUP(IDNMaps[[#This Row],[Type]],RecordCount[],8,0),0),"")</f>
        <v>308137</v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38</v>
      </c>
      <c r="M73" s="6" t="str">
        <f ca="1">IFERROR(VLOOKUP(IDNMaps[[#This Row],[Type]],RecordCount[],6,0)&amp;"-"&amp;IDNMaps[[#This Row],[Type Count]],"")</f>
        <v>Resource Relations-38</v>
      </c>
      <c r="N73" s="6" t="str">
        <f ca="1">IFERROR(VLOOKUP(IDNMaps[[#This Row],[Primary]],INDIRECT(VLOOKUP(IDNMaps[[#This Row],[Type]],RecordCount[],2,0)),VLOOKUP(IDNMaps[[#This Row],[Type]],RecordCount[],7,0),0),"")</f>
        <v>SalesOrderItem/Store</v>
      </c>
      <c r="O73" s="6" t="str">
        <f ca="1">IF(IDNMaps[[#This Row],[Name]]="","","("&amp;IDNMaps[[#This Row],[Type]]&amp;") "&amp;IDNMaps[[#This Row],[Name]])</f>
        <v>(Relation) SalesOrderItem/Store</v>
      </c>
      <c r="P73" s="6">
        <f ca="1">IFERROR(VLOOKUP(IDNMaps[[#This Row],[Primary]],INDIRECT(VLOOKUP(IDNMaps[[#This Row],[Type]],RecordCount[],2,0)),VLOOKUP(IDNMaps[[#This Row],[Type]],RecordCount[],8,0),0),"")</f>
        <v>308138</v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39</v>
      </c>
      <c r="M74" s="6" t="str">
        <f ca="1">IFERROR(VLOOKUP(IDNMaps[[#This Row],[Type]],RecordCount[],6,0)&amp;"-"&amp;IDNMaps[[#This Row],[Type Count]],"")</f>
        <v>Resource Relations-39</v>
      </c>
      <c r="N74" s="6" t="str">
        <f ca="1">IFERROR(VLOOKUP(IDNMaps[[#This Row],[Primary]],INDIRECT(VLOOKUP(IDNMaps[[#This Row],[Type]],RecordCount[],2,0)),VLOOKUP(IDNMaps[[#This Row],[Type]],RecordCount[],7,0),0),"")</f>
        <v>SalesOrder/Store</v>
      </c>
      <c r="O74" s="6" t="str">
        <f ca="1">IF(IDNMaps[[#This Row],[Name]]="","","("&amp;IDNMaps[[#This Row],[Type]]&amp;") "&amp;IDNMaps[[#This Row],[Name]])</f>
        <v>(Relation) SalesOrder/Store</v>
      </c>
      <c r="P74" s="6">
        <f ca="1">IFERROR(VLOOKUP(IDNMaps[[#This Row],[Primary]],INDIRECT(VLOOKUP(IDNMaps[[#This Row],[Type]],RecordCount[],2,0)),VLOOKUP(IDNMaps[[#This Row],[Type]],RecordCount[],8,0),0),"")</f>
        <v>308139</v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40</v>
      </c>
      <c r="M75" s="6" t="str">
        <f ca="1">IFERROR(VLOOKUP(IDNMaps[[#This Row],[Type]],RecordCount[],6,0)&amp;"-"&amp;IDNMaps[[#This Row],[Type Count]],"")</f>
        <v>Resource Relations-40</v>
      </c>
      <c r="N75" s="6" t="str">
        <f ca="1">IFERROR(VLOOKUP(IDNMaps[[#This Row],[Primary]],INDIRECT(VLOOKUP(IDNMaps[[#This Row],[Type]],RecordCount[],2,0)),VLOOKUP(IDNMaps[[#This Row],[Type]],RecordCount[],7,0),0),"")</f>
        <v>UserExecutive/User</v>
      </c>
      <c r="O75" s="6" t="str">
        <f ca="1">IF(IDNMaps[[#This Row],[Name]]="","","("&amp;IDNMaps[[#This Row],[Type]]&amp;") "&amp;IDNMaps[[#This Row],[Name]])</f>
        <v>(Relation) UserExecutive/User</v>
      </c>
      <c r="P75" s="6">
        <f ca="1">IFERROR(VLOOKUP(IDNMaps[[#This Row],[Primary]],INDIRECT(VLOOKUP(IDNMaps[[#This Row],[Type]],RecordCount[],2,0)),VLOOKUP(IDNMaps[[#This Row],[Type]],RecordCount[],8,0),0),"")</f>
        <v>308140</v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41</v>
      </c>
      <c r="M76" s="6" t="str">
        <f ca="1">IFERROR(VLOOKUP(IDNMaps[[#This Row],[Type]],RecordCount[],6,0)&amp;"-"&amp;IDNMaps[[#This Row],[Type Count]],"")</f>
        <v>Resource Relations-41</v>
      </c>
      <c r="N76" s="6" t="str">
        <f ca="1">IFERROR(VLOOKUP(IDNMaps[[#This Row],[Primary]],INDIRECT(VLOOKUP(IDNMaps[[#This Row],[Type]],RecordCount[],2,0)),VLOOKUP(IDNMaps[[#This Row],[Type]],RecordCount[],7,0),0),"")</f>
        <v>UserExecutive/Executive</v>
      </c>
      <c r="O76" s="6" t="str">
        <f ca="1">IF(IDNMaps[[#This Row],[Name]]="","","("&amp;IDNMaps[[#This Row],[Type]]&amp;") "&amp;IDNMaps[[#This Row],[Name]])</f>
        <v>(Relation) UserExecutive/Executive</v>
      </c>
      <c r="P76" s="6">
        <f ca="1">IFERROR(VLOOKUP(IDNMaps[[#This Row],[Primary]],INDIRECT(VLOOKUP(IDNMaps[[#This Row],[Type]],RecordCount[],2,0)),VLOOKUP(IDNMaps[[#This Row],[Type]],RecordCount[],8,0),0),"")</f>
        <v>308141</v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7" s="6">
        <f ca="1">IF(IDNMaps[[#This Row],[Type]]="","",COUNTIF($K$1:IDNMaps[[#This Row],[Type]],IDNMaps[[#This Row],[Type]]))</f>
        <v>42</v>
      </c>
      <c r="M77" s="6" t="str">
        <f ca="1">IFERROR(VLOOKUP(IDNMaps[[#This Row],[Type]],RecordCount[],6,0)&amp;"-"&amp;IDNMaps[[#This Row],[Type Count]],"")</f>
        <v>Resource Relations-42</v>
      </c>
      <c r="N77" s="6" t="str">
        <f ca="1">IFERROR(VLOOKUP(IDNMaps[[#This Row],[Primary]],INDIRECT(VLOOKUP(IDNMaps[[#This Row],[Type]],RecordCount[],2,0)),VLOOKUP(IDNMaps[[#This Row],[Type]],RecordCount[],7,0),0),"")</f>
        <v>Shift/Transactions</v>
      </c>
      <c r="O77" s="6" t="str">
        <f ca="1">IF(IDNMaps[[#This Row],[Name]]="","","("&amp;IDNMaps[[#This Row],[Type]]&amp;") "&amp;IDNMaps[[#This Row],[Name]])</f>
        <v>(Relation) Shift/Transactions</v>
      </c>
      <c r="P77" s="6">
        <f ca="1">IFERROR(VLOOKUP(IDNMaps[[#This Row],[Primary]],INDIRECT(VLOOKUP(IDNMaps[[#This Row],[Type]],RecordCount[],2,0)),VLOOKUP(IDNMaps[[#This Row],[Type]],RecordCount[],8,0),0),"")</f>
        <v>308142</v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8" s="6">
        <f ca="1">IF(IDNMaps[[#This Row],[Type]]="","",COUNTIF($K$1:IDNMaps[[#This Row],[Type]],IDNMaps[[#This Row],[Type]]))</f>
        <v>43</v>
      </c>
      <c r="M78" s="6" t="str">
        <f ca="1">IFERROR(VLOOKUP(IDNMaps[[#This Row],[Type]],RecordCount[],6,0)&amp;"-"&amp;IDNMaps[[#This Row],[Type Count]],"")</f>
        <v>Resource Relations-43</v>
      </c>
      <c r="N78" s="6" t="str">
        <f ca="1">IFERROR(VLOOKUP(IDNMaps[[#This Row],[Primary]],INDIRECT(VLOOKUP(IDNMaps[[#This Row],[Type]],RecordCount[],2,0)),VLOOKUP(IDNMaps[[#This Row],[Type]],RecordCount[],7,0),0),"")</f>
        <v>ShiftTransaction/Shift</v>
      </c>
      <c r="O78" s="6" t="str">
        <f ca="1">IF(IDNMaps[[#This Row],[Name]]="","","("&amp;IDNMaps[[#This Row],[Type]]&amp;") "&amp;IDNMaps[[#This Row],[Name]])</f>
        <v>(Relation) ShiftTransaction/Shift</v>
      </c>
      <c r="P78" s="6">
        <f ca="1">IFERROR(VLOOKUP(IDNMaps[[#This Row],[Primary]],INDIRECT(VLOOKUP(IDNMaps[[#This Row],[Type]],RecordCount[],2,0)),VLOOKUP(IDNMaps[[#This Row],[Type]],RecordCount[],8,0),0),"")</f>
        <v>308143</v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9" s="6">
        <f ca="1">IF(IDNMaps[[#This Row],[Type]]="","",COUNTIF($K$1:IDNMaps[[#This Row],[Type]],IDNMaps[[#This Row],[Type]]))</f>
        <v>1</v>
      </c>
      <c r="M79" s="6" t="str">
        <f ca="1">IFERROR(VLOOKUP(IDNMaps[[#This Row],[Type]],RecordCount[],6,0)&amp;"-"&amp;IDNMaps[[#This Row],[Type Count]],"")</f>
        <v>Form Fields-1</v>
      </c>
      <c r="N79" s="6" t="str">
        <f ca="1">IFERROR(VLOOKUP(IDNMaps[[#This Row],[Primary]],INDIRECT(VLOOKUP(IDNMaps[[#This Row],[Type]],RecordCount[],2,0)),VLOOKUP(IDNMaps[[#This Row],[Type]],RecordCount[],7,0),0),"")</f>
        <v>Setting/AddNewSetting/name</v>
      </c>
      <c r="O79" s="6" t="str">
        <f ca="1">IF(IDNMaps[[#This Row],[Name]]="","","("&amp;IDNMaps[[#This Row],[Type]]&amp;") "&amp;IDNMaps[[#This Row],[Name]])</f>
        <v>(Fields) Setting/AddNewSetting/name</v>
      </c>
      <c r="P79" s="6">
        <f ca="1">IFERROR(VLOOKUP(IDNMaps[[#This Row],[Primary]],INDIRECT(VLOOKUP(IDNMaps[[#This Row],[Type]],RecordCount[],2,0)),VLOOKUP(IDNMaps[[#This Row],[Type]],RecordCount[],8,0),0),"")</f>
        <v>310101</v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0" s="6">
        <f ca="1">IF(IDNMaps[[#This Row],[Type]]="","",COUNTIF($K$1:IDNMaps[[#This Row],[Type]],IDNMaps[[#This Row],[Type]]))</f>
        <v>2</v>
      </c>
      <c r="M80" s="6" t="str">
        <f ca="1">IFERROR(VLOOKUP(IDNMaps[[#This Row],[Type]],RecordCount[],6,0)&amp;"-"&amp;IDNMaps[[#This Row],[Type Count]],"")</f>
        <v>Form Fields-2</v>
      </c>
      <c r="N80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80" s="6" t="str">
        <f ca="1">IF(IDNMaps[[#This Row],[Name]]="","","("&amp;IDNMaps[[#This Row],[Type]]&amp;") "&amp;IDNMaps[[#This Row],[Name]])</f>
        <v>(Fields) Setting/AddNewSetting/value</v>
      </c>
      <c r="P80" s="6">
        <f ca="1">IFERROR(VLOOKUP(IDNMaps[[#This Row],[Primary]],INDIRECT(VLOOKUP(IDNMaps[[#This Row],[Type]],RecordCount[],2,0)),VLOOKUP(IDNMaps[[#This Row],[Type]],RecordCount[],8,0),0),"")</f>
        <v>310102</v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1" s="6">
        <f ca="1">IF(IDNMaps[[#This Row],[Type]]="","",COUNTIF($K$1:IDNMaps[[#This Row],[Type]],IDNMaps[[#This Row],[Type]]))</f>
        <v>3</v>
      </c>
      <c r="M81" s="6" t="str">
        <f ca="1">IFERROR(VLOOKUP(IDNMaps[[#This Row],[Type]],RecordCount[],6,0)&amp;"-"&amp;IDNMaps[[#This Row],[Type Count]],"")</f>
        <v>Form Fields-3</v>
      </c>
      <c r="N81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81" s="6" t="str">
        <f ca="1">IF(IDNMaps[[#This Row],[Name]]="","","("&amp;IDNMaps[[#This Row],[Type]]&amp;") "&amp;IDNMaps[[#This Row],[Name]])</f>
        <v>(Fields) Setting/AddNewSetting/status</v>
      </c>
      <c r="P81" s="6">
        <f ca="1">IFERROR(VLOOKUP(IDNMaps[[#This Row],[Primary]],INDIRECT(VLOOKUP(IDNMaps[[#This Row],[Type]],RecordCount[],2,0)),VLOOKUP(IDNMaps[[#This Row],[Type]],RecordCount[],8,0),0),"")</f>
        <v>310103</v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2" s="6">
        <f ca="1">IF(IDNMaps[[#This Row],[Type]]="","",COUNTIF($K$1:IDNMaps[[#This Row],[Type]],IDNMaps[[#This Row],[Type]]))</f>
        <v>4</v>
      </c>
      <c r="M82" s="6" t="str">
        <f ca="1">IFERROR(VLOOKUP(IDNMaps[[#This Row],[Type]],RecordCount[],6,0)&amp;"-"&amp;IDNMaps[[#This Row],[Type Count]],"")</f>
        <v>Form Fields-4</v>
      </c>
      <c r="N82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82" s="6" t="str">
        <f ca="1">IF(IDNMaps[[#This Row],[Name]]="","","("&amp;IDNMaps[[#This Row],[Type]]&amp;") "&amp;IDNMaps[[#This Row],[Name]])</f>
        <v>(Fields) Setting/AddNewSetting/description</v>
      </c>
      <c r="P82" s="6">
        <f ca="1">IFERROR(VLOOKUP(IDNMaps[[#This Row],[Primary]],INDIRECT(VLOOKUP(IDNMaps[[#This Row],[Type]],RecordCount[],2,0)),VLOOKUP(IDNMaps[[#This Row],[Type]],RecordCount[],8,0),0),"")</f>
        <v>310104</v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3" s="6">
        <f ca="1">IF(IDNMaps[[#This Row],[Type]]="","",COUNTIF($K$1:IDNMaps[[#This Row],[Type]],IDNMaps[[#This Row],[Type]]))</f>
        <v>5</v>
      </c>
      <c r="M83" s="6" t="str">
        <f ca="1">IFERROR(VLOOKUP(IDNMaps[[#This Row],[Type]],RecordCount[],6,0)&amp;"-"&amp;IDNMaps[[#This Row],[Type Count]],"")</f>
        <v>Form Fields-5</v>
      </c>
      <c r="N83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83" s="6" t="str">
        <f ca="1">IF(IDNMaps[[#This Row],[Name]]="","","("&amp;IDNMaps[[#This Row],[Type]]&amp;") "&amp;IDNMaps[[#This Row],[Name]])</f>
        <v>(Fields) UserSetting/AddNewUserSetting/user</v>
      </c>
      <c r="P83" s="6">
        <f ca="1">IFERROR(VLOOKUP(IDNMaps[[#This Row],[Primary]],INDIRECT(VLOOKUP(IDNMaps[[#This Row],[Type]],RecordCount[],2,0)),VLOOKUP(IDNMaps[[#This Row],[Type]],RecordCount[],8,0),0),"")</f>
        <v>310105</v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4" s="6">
        <f ca="1">IF(IDNMaps[[#This Row],[Type]]="","",COUNTIF($K$1:IDNMaps[[#This Row],[Type]],IDNMaps[[#This Row],[Type]]))</f>
        <v>6</v>
      </c>
      <c r="M84" s="6" t="str">
        <f ca="1">IFERROR(VLOOKUP(IDNMaps[[#This Row],[Type]],RecordCount[],6,0)&amp;"-"&amp;IDNMaps[[#This Row],[Type Count]],"")</f>
        <v>Form Fields-6</v>
      </c>
      <c r="N84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84" s="6" t="str">
        <f ca="1">IF(IDNMaps[[#This Row],[Name]]="","","("&amp;IDNMaps[[#This Row],[Type]]&amp;") "&amp;IDNMaps[[#This Row],[Name]])</f>
        <v>(Fields) UserSetting/AddNewUserSetting/setting</v>
      </c>
      <c r="P84" s="6">
        <f ca="1">IFERROR(VLOOKUP(IDNMaps[[#This Row],[Primary]],INDIRECT(VLOOKUP(IDNMaps[[#This Row],[Type]],RecordCount[],2,0)),VLOOKUP(IDNMaps[[#This Row],[Type]],RecordCount[],8,0),0),"")</f>
        <v>310106</v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5" s="6">
        <f ca="1">IF(IDNMaps[[#This Row],[Type]]="","",COUNTIF($K$1:IDNMaps[[#This Row],[Type]],IDNMaps[[#This Row],[Type]]))</f>
        <v>7</v>
      </c>
      <c r="M85" s="6" t="str">
        <f ca="1">IFERROR(VLOOKUP(IDNMaps[[#This Row],[Type]],RecordCount[],6,0)&amp;"-"&amp;IDNMaps[[#This Row],[Type Count]],"")</f>
        <v>Form Fields-7</v>
      </c>
      <c r="N85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85" s="6" t="str">
        <f ca="1">IF(IDNMaps[[#This Row],[Name]]="","","("&amp;IDNMaps[[#This Row],[Type]]&amp;") "&amp;IDNMaps[[#This Row],[Name]])</f>
        <v>(Fields) UserSetting/AddNewUserSetting/value</v>
      </c>
      <c r="P85" s="6">
        <f ca="1">IFERROR(VLOOKUP(IDNMaps[[#This Row],[Primary]],INDIRECT(VLOOKUP(IDNMaps[[#This Row],[Type]],RecordCount[],2,0)),VLOOKUP(IDNMaps[[#This Row],[Type]],RecordCount[],8,0),0),"")</f>
        <v>310107</v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6" s="6">
        <f ca="1">IF(IDNMaps[[#This Row],[Type]]="","",COUNTIF($K$1:IDNMaps[[#This Row],[Type]],IDNMaps[[#This Row],[Type]]))</f>
        <v>8</v>
      </c>
      <c r="M86" s="6" t="str">
        <f ca="1">IFERROR(VLOOKUP(IDNMaps[[#This Row],[Type]],RecordCount[],6,0)&amp;"-"&amp;IDNMaps[[#This Row],[Type Count]],"")</f>
        <v>Form Fields-8</v>
      </c>
      <c r="N86" s="6" t="str">
        <f ca="1">IFERROR(VLOOKUP(IDNMaps[[#This Row],[Primary]],INDIRECT(VLOOKUP(IDNMaps[[#This Row],[Type]],RecordCount[],2,0)),VLOOKUP(IDNMaps[[#This Row],[Type]],RecordCount[],7,0),0),"")</f>
        <v>UserSetting/ChangeUserSettingStatus/value</v>
      </c>
      <c r="O86" s="6" t="str">
        <f ca="1">IF(IDNMaps[[#This Row],[Name]]="","","("&amp;IDNMaps[[#This Row],[Type]]&amp;") "&amp;IDNMaps[[#This Row],[Name]])</f>
        <v>(Fields) UserSetting/ChangeUserSettingStatus/value</v>
      </c>
      <c r="P86" s="6">
        <f ca="1">IFERROR(VLOOKUP(IDNMaps[[#This Row],[Primary]],INDIRECT(VLOOKUP(IDNMaps[[#This Row],[Type]],RecordCount[],2,0)),VLOOKUP(IDNMaps[[#This Row],[Type]],RecordCount[],8,0),0),"")</f>
        <v>310108</v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7" s="6">
        <f ca="1">IF(IDNMaps[[#This Row],[Type]]="","",COUNTIF($K$1:IDNMaps[[#This Row],[Type]],IDNMaps[[#This Row],[Type]]))</f>
        <v>9</v>
      </c>
      <c r="M87" s="6" t="str">
        <f ca="1">IFERROR(VLOOKUP(IDNMaps[[#This Row],[Type]],RecordCount[],6,0)&amp;"-"&amp;IDNMaps[[#This Row],[Type Count]],"")</f>
        <v>Form Fields-9</v>
      </c>
      <c r="N87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87" s="6" t="str">
        <f ca="1">IF(IDNMaps[[#This Row],[Name]]="","","("&amp;IDNMaps[[#This Row],[Type]]&amp;") "&amp;IDNMaps[[#This Row],[Name]])</f>
        <v>(Fields) UserSetting/ChangeUserSettingStatus/status</v>
      </c>
      <c r="P87" s="6">
        <f ca="1">IFERROR(VLOOKUP(IDNMaps[[#This Row],[Primary]],INDIRECT(VLOOKUP(IDNMaps[[#This Row],[Type]],RecordCount[],2,0)),VLOOKUP(IDNMaps[[#This Row],[Type]],RecordCount[],8,0),0),"")</f>
        <v>310109</v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8" s="6">
        <f ca="1">IF(IDNMaps[[#This Row],[Type]]="","",COUNTIF($K$1:IDNMaps[[#This Row],[Type]],IDNMaps[[#This Row],[Type]]))</f>
        <v>10</v>
      </c>
      <c r="M88" s="6" t="str">
        <f ca="1">IFERROR(VLOOKUP(IDNMaps[[#This Row],[Type]],RecordCount[],6,0)&amp;"-"&amp;IDNMaps[[#This Row],[Type Count]],"")</f>
        <v>Form Fields-10</v>
      </c>
      <c r="N88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88" s="6" t="str">
        <f ca="1">IF(IDNMaps[[#This Row],[Name]]="","","("&amp;IDNMaps[[#This Row],[Type]]&amp;") "&amp;IDNMaps[[#This Row],[Name]])</f>
        <v>(Fields) UserStoreArea/AddUserStoreAreaForm/user</v>
      </c>
      <c r="P88" s="6">
        <f ca="1">IFERROR(VLOOKUP(IDNMaps[[#This Row],[Primary]],INDIRECT(VLOOKUP(IDNMaps[[#This Row],[Type]],RecordCount[],2,0)),VLOOKUP(IDNMaps[[#This Row],[Type]],RecordCount[],8,0),0),"")</f>
        <v>310110</v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9" s="6">
        <f ca="1">IF(IDNMaps[[#This Row],[Type]]="","",COUNTIF($K$1:IDNMaps[[#This Row],[Type]],IDNMaps[[#This Row],[Type]]))</f>
        <v>11</v>
      </c>
      <c r="M89" s="6" t="str">
        <f ca="1">IFERROR(VLOOKUP(IDNMaps[[#This Row],[Type]],RecordCount[],6,0)&amp;"-"&amp;IDNMaps[[#This Row],[Type Count]],"")</f>
        <v>Form Fields-11</v>
      </c>
      <c r="N89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89" s="6" t="str">
        <f ca="1">IF(IDNMaps[[#This Row],[Name]]="","","("&amp;IDNMaps[[#This Row],[Type]]&amp;") "&amp;IDNMaps[[#This Row],[Name]])</f>
        <v>(Fields) UserStoreArea/AddUserStoreAreaForm/store</v>
      </c>
      <c r="P89" s="6">
        <f ca="1">IFERROR(VLOOKUP(IDNMaps[[#This Row],[Primary]],INDIRECT(VLOOKUP(IDNMaps[[#This Row],[Type]],RecordCount[],2,0)),VLOOKUP(IDNMaps[[#This Row],[Type]],RecordCount[],8,0),0),"")</f>
        <v>310111</v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0" s="6">
        <f ca="1">IF(IDNMaps[[#This Row],[Type]]="","",COUNTIF($K$1:IDNMaps[[#This Row],[Type]],IDNMaps[[#This Row],[Type]]))</f>
        <v>12</v>
      </c>
      <c r="M90" s="6" t="str">
        <f ca="1">IFERROR(VLOOKUP(IDNMaps[[#This Row],[Type]],RecordCount[],6,0)&amp;"-"&amp;IDNMaps[[#This Row],[Type Count]],"")</f>
        <v>Form Fields-12</v>
      </c>
      <c r="N90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90" s="6" t="str">
        <f ca="1">IF(IDNMaps[[#This Row],[Name]]="","","("&amp;IDNMaps[[#This Row],[Type]]&amp;") "&amp;IDNMaps[[#This Row],[Name]])</f>
        <v>(Fields) UserStoreArea/AddUserStoreAreaForm/area</v>
      </c>
      <c r="P90" s="6">
        <f ca="1">IFERROR(VLOOKUP(IDNMaps[[#This Row],[Primary]],INDIRECT(VLOOKUP(IDNMaps[[#This Row],[Type]],RecordCount[],2,0)),VLOOKUP(IDNMaps[[#This Row],[Type]],RecordCount[],8,0),0),"")</f>
        <v>310112</v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1" s="6">
        <f ca="1">IF(IDNMaps[[#This Row],[Type]]="","",COUNTIF($K$1:IDNMaps[[#This Row],[Type]],IDNMaps[[#This Row],[Type]]))</f>
        <v>13</v>
      </c>
      <c r="M91" s="6" t="str">
        <f ca="1">IFERROR(VLOOKUP(IDNMaps[[#This Row],[Type]],RecordCount[],6,0)&amp;"-"&amp;IDNMaps[[#This Row],[Type Count]],"")</f>
        <v>Form Fields-13</v>
      </c>
      <c r="N91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91" s="6" t="str">
        <f ca="1">IF(IDNMaps[[#This Row],[Name]]="","","("&amp;IDNMaps[[#This Row],[Type]]&amp;") "&amp;IDNMaps[[#This Row],[Name]])</f>
        <v>(Fields) UserStoreArea/AddUserStoreAreaForm/status</v>
      </c>
      <c r="P91" s="6">
        <f ca="1">IFERROR(VLOOKUP(IDNMaps[[#This Row],[Primary]],INDIRECT(VLOOKUP(IDNMaps[[#This Row],[Type]],RecordCount[],2,0)),VLOOKUP(IDNMaps[[#This Row],[Type]],RecordCount[],8,0),0),"")</f>
        <v>310113</v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2" s="6">
        <f ca="1">IF(IDNMaps[[#This Row],[Type]]="","",COUNTIF($K$1:IDNMaps[[#This Row],[Type]],IDNMaps[[#This Row],[Type]]))</f>
        <v>14</v>
      </c>
      <c r="M92" s="6" t="str">
        <f ca="1">IFERROR(VLOOKUP(IDNMaps[[#This Row],[Type]],RecordCount[],6,0)&amp;"-"&amp;IDNMaps[[#This Row],[Type Count]],"")</f>
        <v>Form Fields-14</v>
      </c>
      <c r="N92" s="6" t="str">
        <f ca="1">IFERROR(VLOOKUP(IDNMaps[[#This Row],[Primary]],INDIRECT(VLOOKUP(IDNMaps[[#This Row],[Type]],RecordCount[],2,0)),VLOOKUP(IDNMaps[[#This Row],[Type]],RecordCount[],7,0),0),"")</f>
        <v>ProductImage/AddProductImage/product</v>
      </c>
      <c r="O92" s="6" t="str">
        <f ca="1">IF(IDNMaps[[#This Row],[Name]]="","","("&amp;IDNMaps[[#This Row],[Type]]&amp;") "&amp;IDNMaps[[#This Row],[Name]])</f>
        <v>(Fields) ProductImage/AddProductImage/product</v>
      </c>
      <c r="P92" s="6">
        <f ca="1">IFERROR(VLOOKUP(IDNMaps[[#This Row],[Primary]],INDIRECT(VLOOKUP(IDNMaps[[#This Row],[Type]],RecordCount[],2,0)),VLOOKUP(IDNMaps[[#This Row],[Type]],RecordCount[],8,0),0),"")</f>
        <v>310114</v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3" s="6">
        <f ca="1">IF(IDNMaps[[#This Row],[Type]]="","",COUNTIF($K$1:IDNMaps[[#This Row],[Type]],IDNMaps[[#This Row],[Type]]))</f>
        <v>15</v>
      </c>
      <c r="M93" s="6" t="str">
        <f ca="1">IFERROR(VLOOKUP(IDNMaps[[#This Row],[Type]],RecordCount[],6,0)&amp;"-"&amp;IDNMaps[[#This Row],[Type Count]],"")</f>
        <v>Form Fields-15</v>
      </c>
      <c r="N93" s="6" t="str">
        <f ca="1">IFERROR(VLOOKUP(IDNMaps[[#This Row],[Primary]],INDIRECT(VLOOKUP(IDNMaps[[#This Row],[Type]],RecordCount[],2,0)),VLOOKUP(IDNMaps[[#This Row],[Type]],RecordCount[],7,0),0),"")</f>
        <v>ProductImage/AddProductImage/image01</v>
      </c>
      <c r="O93" s="6" t="str">
        <f ca="1">IF(IDNMaps[[#This Row],[Name]]="","","("&amp;IDNMaps[[#This Row],[Type]]&amp;") "&amp;IDNMaps[[#This Row],[Name]])</f>
        <v>(Fields) ProductImage/AddProductImage/image01</v>
      </c>
      <c r="P93" s="6">
        <f ca="1">IFERROR(VLOOKUP(IDNMaps[[#This Row],[Primary]],INDIRECT(VLOOKUP(IDNMaps[[#This Row],[Type]],RecordCount[],2,0)),VLOOKUP(IDNMaps[[#This Row],[Type]],RecordCount[],8,0),0),"")</f>
        <v>310115</v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4" s="6">
        <f ca="1">IF(IDNMaps[[#This Row],[Type]]="","",COUNTIF($K$1:IDNMaps[[#This Row],[Type]],IDNMaps[[#This Row],[Type]]))</f>
        <v>16</v>
      </c>
      <c r="M94" s="6" t="str">
        <f ca="1">IFERROR(VLOOKUP(IDNMaps[[#This Row],[Type]],RecordCount[],6,0)&amp;"-"&amp;IDNMaps[[#This Row],[Type Count]],"")</f>
        <v>Form Fields-16</v>
      </c>
      <c r="N94" s="6" t="str">
        <f ca="1">IFERROR(VLOOKUP(IDNMaps[[#This Row],[Primary]],INDIRECT(VLOOKUP(IDNMaps[[#This Row],[Type]],RecordCount[],2,0)),VLOOKUP(IDNMaps[[#This Row],[Type]],RecordCount[],7,0),0),"")</f>
        <v>ProductImage/AddProductImage/image02</v>
      </c>
      <c r="O94" s="6" t="str">
        <f ca="1">IF(IDNMaps[[#This Row],[Name]]="","","("&amp;IDNMaps[[#This Row],[Type]]&amp;") "&amp;IDNMaps[[#This Row],[Name]])</f>
        <v>(Fields) ProductImage/AddProductImage/image02</v>
      </c>
      <c r="P94" s="6">
        <f ca="1">IFERROR(VLOOKUP(IDNMaps[[#This Row],[Primary]],INDIRECT(VLOOKUP(IDNMaps[[#This Row],[Type]],RecordCount[],2,0)),VLOOKUP(IDNMaps[[#This Row],[Type]],RecordCount[],8,0),0),"")</f>
        <v>310116</v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5" s="6">
        <f ca="1">IF(IDNMaps[[#This Row],[Type]]="","",COUNTIF($K$1:IDNMaps[[#This Row],[Type]],IDNMaps[[#This Row],[Type]]))</f>
        <v>17</v>
      </c>
      <c r="M95" s="6" t="str">
        <f ca="1">IFERROR(VLOOKUP(IDNMaps[[#This Row],[Type]],RecordCount[],6,0)&amp;"-"&amp;IDNMaps[[#This Row],[Type Count]],"")</f>
        <v>Form Fields-17</v>
      </c>
      <c r="N95" s="6" t="str">
        <f ca="1">IFERROR(VLOOKUP(IDNMaps[[#This Row],[Primary]],INDIRECT(VLOOKUP(IDNMaps[[#This Row],[Type]],RecordCount[],2,0)),VLOOKUP(IDNMaps[[#This Row],[Type]],RecordCount[],7,0),0),"")</f>
        <v>ProductImage/AddProductImage/image03</v>
      </c>
      <c r="O95" s="6" t="str">
        <f ca="1">IF(IDNMaps[[#This Row],[Name]]="","","("&amp;IDNMaps[[#This Row],[Type]]&amp;") "&amp;IDNMaps[[#This Row],[Name]])</f>
        <v>(Fields) ProductImage/AddProductImage/image03</v>
      </c>
      <c r="P95" s="6">
        <f ca="1">IFERROR(VLOOKUP(IDNMaps[[#This Row],[Primary]],INDIRECT(VLOOKUP(IDNMaps[[#This Row],[Type]],RecordCount[],2,0)),VLOOKUP(IDNMaps[[#This Row],[Type]],RecordCount[],8,0),0),"")</f>
        <v>310117</v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6" s="6">
        <f ca="1">IF(IDNMaps[[#This Row],[Type]]="","",COUNTIF($K$1:IDNMaps[[#This Row],[Type]],IDNMaps[[#This Row],[Type]]))</f>
        <v>18</v>
      </c>
      <c r="M96" s="6" t="str">
        <f ca="1">IFERROR(VLOOKUP(IDNMaps[[#This Row],[Type]],RecordCount[],6,0)&amp;"-"&amp;IDNMaps[[#This Row],[Type Count]],"")</f>
        <v>Form Fields-18</v>
      </c>
      <c r="N96" s="6" t="str">
        <f ca="1">IFERROR(VLOOKUP(IDNMaps[[#This Row],[Primary]],INDIRECT(VLOOKUP(IDNMaps[[#This Row],[Type]],RecordCount[],2,0)),VLOOKUP(IDNMaps[[#This Row],[Type]],RecordCount[],7,0),0),"")</f>
        <v>ProductImage/AddProductImage/image04</v>
      </c>
      <c r="O96" s="6" t="str">
        <f ca="1">IF(IDNMaps[[#This Row],[Name]]="","","("&amp;IDNMaps[[#This Row],[Type]]&amp;") "&amp;IDNMaps[[#This Row],[Name]])</f>
        <v>(Fields) ProductImage/AddProductImage/image04</v>
      </c>
      <c r="P96" s="6">
        <f ca="1">IFERROR(VLOOKUP(IDNMaps[[#This Row],[Primary]],INDIRECT(VLOOKUP(IDNMaps[[#This Row],[Type]],RecordCount[],2,0)),VLOOKUP(IDNMaps[[#This Row],[Type]],RecordCount[],8,0),0),"")</f>
        <v>310118</v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7" s="6">
        <f ca="1">IF(IDNMaps[[#This Row],[Type]]="","",COUNTIF($K$1:IDNMaps[[#This Row],[Type]],IDNMaps[[#This Row],[Type]]))</f>
        <v>19</v>
      </c>
      <c r="M97" s="6" t="str">
        <f ca="1">IFERROR(VLOOKUP(IDNMaps[[#This Row],[Type]],RecordCount[],6,0)&amp;"-"&amp;IDNMaps[[#This Row],[Type Count]],"")</f>
        <v>Form Fields-19</v>
      </c>
      <c r="N97" s="6" t="str">
        <f ca="1">IFERROR(VLOOKUP(IDNMaps[[#This Row],[Primary]],INDIRECT(VLOOKUP(IDNMaps[[#This Row],[Type]],RecordCount[],2,0)),VLOOKUP(IDNMaps[[#This Row],[Type]],RecordCount[],7,0),0),"")</f>
        <v>ProductImage/AddProductImage/image05</v>
      </c>
      <c r="O97" s="6" t="str">
        <f ca="1">IF(IDNMaps[[#This Row],[Name]]="","","("&amp;IDNMaps[[#This Row],[Type]]&amp;") "&amp;IDNMaps[[#This Row],[Name]])</f>
        <v>(Fields) ProductImage/AddProductImage/image05</v>
      </c>
      <c r="P97" s="6">
        <f ca="1">IFERROR(VLOOKUP(IDNMaps[[#This Row],[Primary]],INDIRECT(VLOOKUP(IDNMaps[[#This Row],[Type]],RecordCount[],2,0)),VLOOKUP(IDNMaps[[#This Row],[Type]],RecordCount[],8,0),0),"")</f>
        <v>310119</v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8" s="6">
        <f ca="1">IF(IDNMaps[[#This Row],[Type]]="","",COUNTIF($K$1:IDNMaps[[#This Row],[Type]],IDNMaps[[#This Row],[Type]]))</f>
        <v>20</v>
      </c>
      <c r="M98" s="6" t="str">
        <f ca="1">IFERROR(VLOOKUP(IDNMaps[[#This Row],[Type]],RecordCount[],6,0)&amp;"-"&amp;IDNMaps[[#This Row],[Type Count]],"")</f>
        <v>Form Fields-20</v>
      </c>
      <c r="N98" s="6" t="str">
        <f ca="1">IFERROR(VLOOKUP(IDNMaps[[#This Row],[Primary]],INDIRECT(VLOOKUP(IDNMaps[[#This Row],[Type]],RecordCount[],2,0)),VLOOKUP(IDNMaps[[#This Row],[Type]],RecordCount[],7,0),0),"")</f>
        <v>ProductImage/AddProductImage/default</v>
      </c>
      <c r="O98" s="6" t="str">
        <f ca="1">IF(IDNMaps[[#This Row],[Name]]="","","("&amp;IDNMaps[[#This Row],[Type]]&amp;") "&amp;IDNMaps[[#This Row],[Name]])</f>
        <v>(Fields) ProductImage/AddProductImage/default</v>
      </c>
      <c r="P98" s="6">
        <f ca="1">IFERROR(VLOOKUP(IDNMaps[[#This Row],[Primary]],INDIRECT(VLOOKUP(IDNMaps[[#This Row],[Type]],RecordCount[],2,0)),VLOOKUP(IDNMaps[[#This Row],[Type]],RecordCount[],8,0),0),"")</f>
        <v>310120</v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9" s="6">
        <f ca="1">IF(IDNMaps[[#This Row],[Type]]="","",COUNTIF($K$1:IDNMaps[[#This Row],[Type]],IDNMaps[[#This Row],[Type]]))</f>
        <v>21</v>
      </c>
      <c r="M99" s="6" t="str">
        <f ca="1">IFERROR(VLOOKUP(IDNMaps[[#This Row],[Type]],RecordCount[],6,0)&amp;"-"&amp;IDNMaps[[#This Row],[Type Count]],"")</f>
        <v>Form Fields-21</v>
      </c>
      <c r="N99" s="6" t="str">
        <f ca="1">IFERROR(VLOOKUP(IDNMaps[[#This Row],[Primary]],INDIRECT(VLOOKUP(IDNMaps[[#This Row],[Type]],RecordCount[],2,0)),VLOOKUP(IDNMaps[[#This Row],[Type]],RecordCount[],7,0),0),"")</f>
        <v>FnReserve/AddFNReserves/fncode</v>
      </c>
      <c r="O99" s="6" t="str">
        <f ca="1">IF(IDNMaps[[#This Row],[Name]]="","","("&amp;IDNMaps[[#This Row],[Type]]&amp;") "&amp;IDNMaps[[#This Row],[Name]])</f>
        <v>(Fields) FnReserve/AddFNReserves/fncode</v>
      </c>
      <c r="P99" s="6">
        <f ca="1">IFERROR(VLOOKUP(IDNMaps[[#This Row],[Primary]],INDIRECT(VLOOKUP(IDNMaps[[#This Row],[Type]],RecordCount[],2,0)),VLOOKUP(IDNMaps[[#This Row],[Type]],RecordCount[],8,0),0),"")</f>
        <v>310121</v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0" s="6">
        <f ca="1">IF(IDNMaps[[#This Row],[Type]]="","",COUNTIF($K$1:IDNMaps[[#This Row],[Type]],IDNMaps[[#This Row],[Type]]))</f>
        <v>22</v>
      </c>
      <c r="M100" s="6" t="str">
        <f ca="1">IFERROR(VLOOKUP(IDNMaps[[#This Row],[Type]],RecordCount[],6,0)&amp;"-"&amp;IDNMaps[[#This Row],[Type Count]],"")</f>
        <v>Form Fields-22</v>
      </c>
      <c r="N100" s="6" t="str">
        <f ca="1">IFERROR(VLOOKUP(IDNMaps[[#This Row],[Primary]],INDIRECT(VLOOKUP(IDNMaps[[#This Row],[Type]],RecordCount[],2,0)),VLOOKUP(IDNMaps[[#This Row],[Type]],RecordCount[],7,0),0),"")</f>
        <v>FnReserve/AddFNReserves/store</v>
      </c>
      <c r="O100" s="6" t="str">
        <f ca="1">IF(IDNMaps[[#This Row],[Name]]="","","("&amp;IDNMaps[[#This Row],[Type]]&amp;") "&amp;IDNMaps[[#This Row],[Name]])</f>
        <v>(Fields) FnReserve/AddFNReserves/store</v>
      </c>
      <c r="P100" s="6">
        <f ca="1">IFERROR(VLOOKUP(IDNMaps[[#This Row],[Primary]],INDIRECT(VLOOKUP(IDNMaps[[#This Row],[Type]],RecordCount[],2,0)),VLOOKUP(IDNMaps[[#This Row],[Type]],RecordCount[],8,0),0),"")</f>
        <v>310122</v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1" s="6">
        <f ca="1">IF(IDNMaps[[#This Row],[Type]]="","",COUNTIF($K$1:IDNMaps[[#This Row],[Type]],IDNMaps[[#This Row],[Type]]))</f>
        <v>23</v>
      </c>
      <c r="M101" s="6" t="str">
        <f ca="1">IFERROR(VLOOKUP(IDNMaps[[#This Row],[Type]],RecordCount[],6,0)&amp;"-"&amp;IDNMaps[[#This Row],[Type Count]],"")</f>
        <v>Form Fields-23</v>
      </c>
      <c r="N101" s="6" t="str">
        <f ca="1">IFERROR(VLOOKUP(IDNMaps[[#This Row],[Primary]],INDIRECT(VLOOKUP(IDNMaps[[#This Row],[Type]],RecordCount[],2,0)),VLOOKUP(IDNMaps[[#This Row],[Type]],RecordCount[],7,0),0),"")</f>
        <v>FnReserve/AddFNReserves/start_num</v>
      </c>
      <c r="O101" s="6" t="str">
        <f ca="1">IF(IDNMaps[[#This Row],[Name]]="","","("&amp;IDNMaps[[#This Row],[Type]]&amp;") "&amp;IDNMaps[[#This Row],[Name]])</f>
        <v>(Fields) FnReserve/AddFNReserves/start_num</v>
      </c>
      <c r="P101" s="6">
        <f ca="1">IFERROR(VLOOKUP(IDNMaps[[#This Row],[Primary]],INDIRECT(VLOOKUP(IDNMaps[[#This Row],[Type]],RecordCount[],2,0)),VLOOKUP(IDNMaps[[#This Row],[Type]],RecordCount[],8,0),0),"")</f>
        <v>310123</v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2" s="6">
        <f ca="1">IF(IDNMaps[[#This Row],[Type]]="","",COUNTIF($K$1:IDNMaps[[#This Row],[Type]],IDNMaps[[#This Row],[Type]]))</f>
        <v>24</v>
      </c>
      <c r="M102" s="6" t="str">
        <f ca="1">IFERROR(VLOOKUP(IDNMaps[[#This Row],[Type]],RecordCount[],6,0)&amp;"-"&amp;IDNMaps[[#This Row],[Type Count]],"")</f>
        <v>Form Fields-24</v>
      </c>
      <c r="N102" s="6" t="str">
        <f ca="1">IFERROR(VLOOKUP(IDNMaps[[#This Row],[Primary]],INDIRECT(VLOOKUP(IDNMaps[[#This Row],[Type]],RecordCount[],2,0)),VLOOKUP(IDNMaps[[#This Row],[Type]],RecordCount[],7,0),0),"")</f>
        <v>FnReserve/AddFNReserves/end_num</v>
      </c>
      <c r="O102" s="6" t="str">
        <f ca="1">IF(IDNMaps[[#This Row],[Name]]="","","("&amp;IDNMaps[[#This Row],[Type]]&amp;") "&amp;IDNMaps[[#This Row],[Name]])</f>
        <v>(Fields) FnReserve/AddFNReserves/end_num</v>
      </c>
      <c r="P102" s="6">
        <f ca="1">IFERROR(VLOOKUP(IDNMaps[[#This Row],[Primary]],INDIRECT(VLOOKUP(IDNMaps[[#This Row],[Type]],RecordCount[],2,0)),VLOOKUP(IDNMaps[[#This Row],[Type]],RecordCount[],8,0),0),"")</f>
        <v>310124</v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3" s="6">
        <f ca="1">IF(IDNMaps[[#This Row],[Type]]="","",COUNTIF($K$1:IDNMaps[[#This Row],[Type]],IDNMaps[[#This Row],[Type]]))</f>
        <v>25</v>
      </c>
      <c r="M103" s="6" t="str">
        <f ca="1">IFERROR(VLOOKUP(IDNMaps[[#This Row],[Type]],RecordCount[],6,0)&amp;"-"&amp;IDNMaps[[#This Row],[Type Count]],"")</f>
        <v>Form Fields-25</v>
      </c>
      <c r="N103" s="6" t="str">
        <f ca="1">IFERROR(VLOOKUP(IDNMaps[[#This Row],[Primary]],INDIRECT(VLOOKUP(IDNMaps[[#This Row],[Type]],RecordCount[],2,0)),VLOOKUP(IDNMaps[[#This Row],[Type]],RecordCount[],7,0),0),"")</f>
        <v>FnReserve/UpdateReserves/start_num</v>
      </c>
      <c r="O103" s="6" t="str">
        <f ca="1">IF(IDNMaps[[#This Row],[Name]]="","","("&amp;IDNMaps[[#This Row],[Type]]&amp;") "&amp;IDNMaps[[#This Row],[Name]])</f>
        <v>(Fields) FnReserve/UpdateReserves/start_num</v>
      </c>
      <c r="P103" s="6">
        <f ca="1">IFERROR(VLOOKUP(IDNMaps[[#This Row],[Primary]],INDIRECT(VLOOKUP(IDNMaps[[#This Row],[Type]],RecordCount[],2,0)),VLOOKUP(IDNMaps[[#This Row],[Type]],RecordCount[],8,0),0),"")</f>
        <v>310125</v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4" s="6">
        <f ca="1">IF(IDNMaps[[#This Row],[Type]]="","",COUNTIF($K$1:IDNMaps[[#This Row],[Type]],IDNMaps[[#This Row],[Type]]))</f>
        <v>26</v>
      </c>
      <c r="M104" s="6" t="str">
        <f ca="1">IFERROR(VLOOKUP(IDNMaps[[#This Row],[Type]],RecordCount[],6,0)&amp;"-"&amp;IDNMaps[[#This Row],[Type Count]],"")</f>
        <v>Form Fields-26</v>
      </c>
      <c r="N104" s="6" t="str">
        <f ca="1">IFERROR(VLOOKUP(IDNMaps[[#This Row],[Primary]],INDIRECT(VLOOKUP(IDNMaps[[#This Row],[Type]],RecordCount[],2,0)),VLOOKUP(IDNMaps[[#This Row],[Type]],RecordCount[],7,0),0),"")</f>
        <v>FnReserve/UpdateReserves/end_num</v>
      </c>
      <c r="O104" s="6" t="str">
        <f ca="1">IF(IDNMaps[[#This Row],[Name]]="","","("&amp;IDNMaps[[#This Row],[Type]]&amp;") "&amp;IDNMaps[[#This Row],[Name]])</f>
        <v>(Fields) FnReserve/UpdateReserves/end_num</v>
      </c>
      <c r="P104" s="6">
        <f ca="1">IFERROR(VLOOKUP(IDNMaps[[#This Row],[Primary]],INDIRECT(VLOOKUP(IDNMaps[[#This Row],[Type]],RecordCount[],2,0)),VLOOKUP(IDNMaps[[#This Row],[Type]],RecordCount[],8,0),0),"")</f>
        <v>310126</v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5" s="6">
        <f ca="1">IF(IDNMaps[[#This Row],[Type]]="","",COUNTIF($K$1:IDNMaps[[#This Row],[Type]],IDNMaps[[#This Row],[Type]]))</f>
        <v>27</v>
      </c>
      <c r="M105" s="6" t="str">
        <f ca="1">IFERROR(VLOOKUP(IDNMaps[[#This Row],[Type]],RecordCount[],6,0)&amp;"-"&amp;IDNMaps[[#This Row],[Type Count]],"")</f>
        <v>Form Fields-27</v>
      </c>
      <c r="N105" s="6" t="str">
        <f ca="1">IFERROR(VLOOKUP(IDNMaps[[#This Row],[Primary]],INDIRECT(VLOOKUP(IDNMaps[[#This Row],[Type]],RecordCount[],2,0)),VLOOKUP(IDNMaps[[#This Row],[Type]],RecordCount[],7,0),0),"")</f>
        <v>FnReserve/UpdateReserves/current</v>
      </c>
      <c r="O105" s="6" t="str">
        <f ca="1">IF(IDNMaps[[#This Row],[Name]]="","","("&amp;IDNMaps[[#This Row],[Type]]&amp;") "&amp;IDNMaps[[#This Row],[Name]])</f>
        <v>(Fields) FnReserve/UpdateReserves/current</v>
      </c>
      <c r="P105" s="6">
        <f ca="1">IFERROR(VLOOKUP(IDNMaps[[#This Row],[Primary]],INDIRECT(VLOOKUP(IDNMaps[[#This Row],[Type]],RecordCount[],2,0)),VLOOKUP(IDNMaps[[#This Row],[Type]],RecordCount[],8,0),0),"")</f>
        <v>310127</v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6" s="6">
        <f ca="1">IF(IDNMaps[[#This Row],[Type]]="","",COUNTIF($K$1:IDNMaps[[#This Row],[Type]],IDNMaps[[#This Row],[Type]]))</f>
        <v>28</v>
      </c>
      <c r="M106" s="6" t="str">
        <f ca="1">IFERROR(VLOOKUP(IDNMaps[[#This Row],[Type]],RecordCount[],6,0)&amp;"-"&amp;IDNMaps[[#This Row],[Type Count]],"")</f>
        <v>Form Fields-28</v>
      </c>
      <c r="N106" s="6" t="str">
        <f ca="1">IFERROR(VLOOKUP(IDNMaps[[#This Row],[Primary]],INDIRECT(VLOOKUP(IDNMaps[[#This Row],[Type]],RecordCount[],2,0)),VLOOKUP(IDNMaps[[#This Row],[Type]],RecordCount[],7,0),0),"")</f>
        <v>FnReserve/UpdateReserves/progress</v>
      </c>
      <c r="O106" s="6" t="str">
        <f ca="1">IF(IDNMaps[[#This Row],[Name]]="","","("&amp;IDNMaps[[#This Row],[Type]]&amp;") "&amp;IDNMaps[[#This Row],[Name]])</f>
        <v>(Fields) FnReserve/UpdateReserves/progress</v>
      </c>
      <c r="P106" s="6">
        <f ca="1">IFERROR(VLOOKUP(IDNMaps[[#This Row],[Primary]],INDIRECT(VLOOKUP(IDNMaps[[#This Row],[Type]],RecordCount[],2,0)),VLOOKUP(IDNMaps[[#This Row],[Type]],RecordCount[],8,0),0),"")</f>
        <v>310128</v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7" s="6">
        <f ca="1">IF(IDNMaps[[#This Row],[Type]]="","",COUNTIF($K$1:IDNMaps[[#This Row],[Type]],IDNMaps[[#This Row],[Type]]))</f>
        <v>29</v>
      </c>
      <c r="M107" s="6" t="str">
        <f ca="1">IFERROR(VLOOKUP(IDNMaps[[#This Row],[Type]],RecordCount[],6,0)&amp;"-"&amp;IDNMaps[[#This Row],[Type Count]],"")</f>
        <v>Form Fields-29</v>
      </c>
      <c r="N107" s="6" t="str">
        <f ca="1">IFERROR(VLOOKUP(IDNMaps[[#This Row],[Primary]],INDIRECT(VLOOKUP(IDNMaps[[#This Row],[Type]],RecordCount[],2,0)),VLOOKUP(IDNMaps[[#This Row],[Type]],RecordCount[],7,0),0),"")</f>
        <v>FnReserve/UpdateReserves/status</v>
      </c>
      <c r="O107" s="6" t="str">
        <f ca="1">IF(IDNMaps[[#This Row],[Name]]="","","("&amp;IDNMaps[[#This Row],[Type]]&amp;") "&amp;IDNMaps[[#This Row],[Name]])</f>
        <v>(Fields) FnReserve/UpdateReserves/status</v>
      </c>
      <c r="P107" s="6">
        <f ca="1">IFERROR(VLOOKUP(IDNMaps[[#This Row],[Primary]],INDIRECT(VLOOKUP(IDNMaps[[#This Row],[Type]],RecordCount[],2,0)),VLOOKUP(IDNMaps[[#This Row],[Type]],RecordCount[],8,0),0),"")</f>
        <v>310129</v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8" s="6">
        <f ca="1">IF(IDNMaps[[#This Row],[Type]]="","",COUNTIF($K$1:IDNMaps[[#This Row],[Type]],IDNMaps[[#This Row],[Type]]))</f>
        <v>30</v>
      </c>
      <c r="M108" s="6" t="str">
        <f ca="1">IFERROR(VLOOKUP(IDNMaps[[#This Row],[Type]],RecordCount[],6,0)&amp;"-"&amp;IDNMaps[[#This Row],[Type Count]],"")</f>
        <v>Form Fields-30</v>
      </c>
      <c r="N108" s="6" t="str">
        <f ca="1">IFERROR(VLOOKUP(IDNMaps[[#This Row],[Primary]],INDIRECT(VLOOKUP(IDNMaps[[#This Row],[Type]],RecordCount[],2,0)),VLOOKUP(IDNMaps[[#This Row],[Type]],RecordCount[],7,0),0),"")</f>
        <v>Menu/UpdateMenu/name</v>
      </c>
      <c r="O108" s="6" t="str">
        <f ca="1">IF(IDNMaps[[#This Row],[Name]]="","","("&amp;IDNMaps[[#This Row],[Type]]&amp;") "&amp;IDNMaps[[#This Row],[Name]])</f>
        <v>(Fields) Menu/UpdateMenu/name</v>
      </c>
      <c r="P108" s="6">
        <f ca="1">IFERROR(VLOOKUP(IDNMaps[[#This Row],[Primary]],INDIRECT(VLOOKUP(IDNMaps[[#This Row],[Type]],RecordCount[],2,0)),VLOOKUP(IDNMaps[[#This Row],[Type]],RecordCount[],8,0),0),"")</f>
        <v>310130</v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9" s="6">
        <f ca="1">IF(IDNMaps[[#This Row],[Type]]="","",COUNTIF($K$1:IDNMaps[[#This Row],[Type]],IDNMaps[[#This Row],[Type]]))</f>
        <v>31</v>
      </c>
      <c r="M109" s="6" t="str">
        <f ca="1">IFERROR(VLOOKUP(IDNMaps[[#This Row],[Type]],RecordCount[],6,0)&amp;"-"&amp;IDNMaps[[#This Row],[Type Count]],"")</f>
        <v>Form Fields-31</v>
      </c>
      <c r="N109" s="6" t="str">
        <f ca="1">IFERROR(VLOOKUP(IDNMaps[[#This Row],[Primary]],INDIRECT(VLOOKUP(IDNMaps[[#This Row],[Type]],RecordCount[],2,0)),VLOOKUP(IDNMaps[[#This Row],[Type]],RecordCount[],7,0),0),"")</f>
        <v>Menu/UpdateMenu/icon</v>
      </c>
      <c r="O109" s="6" t="str">
        <f ca="1">IF(IDNMaps[[#This Row],[Name]]="","","("&amp;IDNMaps[[#This Row],[Type]]&amp;") "&amp;IDNMaps[[#This Row],[Name]])</f>
        <v>(Fields) Menu/UpdateMenu/icon</v>
      </c>
      <c r="P109" s="6">
        <f ca="1">IFERROR(VLOOKUP(IDNMaps[[#This Row],[Primary]],INDIRECT(VLOOKUP(IDNMaps[[#This Row],[Type]],RecordCount[],2,0)),VLOOKUP(IDNMaps[[#This Row],[Type]],RecordCount[],8,0),0),"")</f>
        <v>310131</v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0" s="6">
        <f ca="1">IF(IDNMaps[[#This Row],[Type]]="","",COUNTIF($K$1:IDNMaps[[#This Row],[Type]],IDNMaps[[#This Row],[Type]]))</f>
        <v>32</v>
      </c>
      <c r="M110" s="6" t="str">
        <f ca="1">IFERROR(VLOOKUP(IDNMaps[[#This Row],[Type]],RecordCount[],6,0)&amp;"-"&amp;IDNMaps[[#This Row],[Type Count]],"")</f>
        <v>Form Fields-32</v>
      </c>
      <c r="N110" s="6" t="str">
        <f ca="1">IFERROR(VLOOKUP(IDNMaps[[#This Row],[Primary]],INDIRECT(VLOOKUP(IDNMaps[[#This Row],[Type]],RecordCount[],2,0)),VLOOKUP(IDNMaps[[#This Row],[Type]],RecordCount[],7,0),0),"")</f>
        <v>Menu/UpdateMenu/home_display</v>
      </c>
      <c r="O110" s="6" t="str">
        <f ca="1">IF(IDNMaps[[#This Row],[Name]]="","","("&amp;IDNMaps[[#This Row],[Type]]&amp;") "&amp;IDNMaps[[#This Row],[Name]])</f>
        <v>(Fields) Menu/UpdateMenu/home_display</v>
      </c>
      <c r="P110" s="6">
        <f ca="1">IFERROR(VLOOKUP(IDNMaps[[#This Row],[Primary]],INDIRECT(VLOOKUP(IDNMaps[[#This Row],[Type]],RecordCount[],2,0)),VLOOKUP(IDNMaps[[#This Row],[Type]],RecordCount[],8,0),0),"")</f>
        <v>310132</v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1" s="6">
        <f ca="1">IF(IDNMaps[[#This Row],[Type]]="","",COUNTIF($K$1:IDNMaps[[#This Row],[Type]],IDNMaps[[#This Row],[Type]]))</f>
        <v>33</v>
      </c>
      <c r="M111" s="6" t="str">
        <f ca="1">IFERROR(VLOOKUP(IDNMaps[[#This Row],[Type]],RecordCount[],6,0)&amp;"-"&amp;IDNMaps[[#This Row],[Type Count]],"")</f>
        <v>Form Fields-33</v>
      </c>
      <c r="N111" s="6" t="str">
        <f ca="1">IFERROR(VLOOKUP(IDNMaps[[#This Row],[Primary]],INDIRECT(VLOOKUP(IDNMaps[[#This Row],[Type]],RecordCount[],2,0)),VLOOKUP(IDNMaps[[#This Row],[Type]],RecordCount[],7,0),0),"")</f>
        <v>Menu/UpdateMenu/drawer_display</v>
      </c>
      <c r="O111" s="6" t="str">
        <f ca="1">IF(IDNMaps[[#This Row],[Name]]="","","("&amp;IDNMaps[[#This Row],[Type]]&amp;") "&amp;IDNMaps[[#This Row],[Name]])</f>
        <v>(Fields) Menu/UpdateMenu/drawer_display</v>
      </c>
      <c r="P111" s="6">
        <f ca="1">IFERROR(VLOOKUP(IDNMaps[[#This Row],[Primary]],INDIRECT(VLOOKUP(IDNMaps[[#This Row],[Type]],RecordCount[],2,0)),VLOOKUP(IDNMaps[[#This Row],[Type]],RecordCount[],8,0),0),"")</f>
        <v>310133</v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2" s="6">
        <f ca="1">IF(IDNMaps[[#This Row],[Type]]="","",COUNTIF($K$1:IDNMaps[[#This Row],[Type]],IDNMaps[[#This Row],[Type]]))</f>
        <v>34</v>
      </c>
      <c r="M112" s="6" t="str">
        <f ca="1">IFERROR(VLOOKUP(IDNMaps[[#This Row],[Type]],RecordCount[],6,0)&amp;"-"&amp;IDNMaps[[#This Row],[Type Count]],"")</f>
        <v>Form Fields-34</v>
      </c>
      <c r="N112" s="6" t="str">
        <f ca="1">IFERROR(VLOOKUP(IDNMaps[[#This Row],[Primary]],INDIRECT(VLOOKUP(IDNMaps[[#This Row],[Type]],RecordCount[],2,0)),VLOOKUP(IDNMaps[[#This Row],[Type]],RecordCount[],7,0),0),"")</f>
        <v>Menu/UpdateMenu/order</v>
      </c>
      <c r="O112" s="6" t="str">
        <f ca="1">IF(IDNMaps[[#This Row],[Name]]="","","("&amp;IDNMaps[[#This Row],[Type]]&amp;") "&amp;IDNMaps[[#This Row],[Name]])</f>
        <v>(Fields) Menu/UpdateMenu/order</v>
      </c>
      <c r="P112" s="6">
        <f ca="1">IFERROR(VLOOKUP(IDNMaps[[#This Row],[Primary]],INDIRECT(VLOOKUP(IDNMaps[[#This Row],[Type]],RecordCount[],2,0)),VLOOKUP(IDNMaps[[#This Row],[Type]],RecordCount[],8,0),0),"")</f>
        <v>310134</v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3" s="6">
        <f ca="1">IF(IDNMaps[[#This Row],[Type]]="","",COUNTIF($K$1:IDNMaps[[#This Row],[Type]],IDNMaps[[#This Row],[Type]]))</f>
        <v>35</v>
      </c>
      <c r="M113" s="6" t="str">
        <f ca="1">IFERROR(VLOOKUP(IDNMaps[[#This Row],[Type]],RecordCount[],6,0)&amp;"-"&amp;IDNMaps[[#This Row],[Type Count]],"")</f>
        <v>Form Fields-35</v>
      </c>
      <c r="N113" s="6" t="str">
        <f ca="1">IFERROR(VLOOKUP(IDNMaps[[#This Row],[Primary]],INDIRECT(VLOOKUP(IDNMaps[[#This Row],[Type]],RecordCount[],2,0)),VLOOKUP(IDNMaps[[#This Row],[Type]],RecordCount[],7,0),0),"")</f>
        <v>Menu/UpdateMenu/status</v>
      </c>
      <c r="O113" s="6" t="str">
        <f ca="1">IF(IDNMaps[[#This Row],[Name]]="","","("&amp;IDNMaps[[#This Row],[Type]]&amp;") "&amp;IDNMaps[[#This Row],[Name]])</f>
        <v>(Fields) Menu/UpdateMenu/status</v>
      </c>
      <c r="P113" s="6">
        <f ca="1">IFERROR(VLOOKUP(IDNMaps[[#This Row],[Primary]],INDIRECT(VLOOKUP(IDNMaps[[#This Row],[Type]],RecordCount[],2,0)),VLOOKUP(IDNMaps[[#This Row],[Type]],RecordCount[],8,0),0),"")</f>
        <v>310135</v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4" s="6">
        <f ca="1">IF(IDNMaps[[#This Row],[Type]]="","",COUNTIF($K$1:IDNMaps[[#This Row],[Type]],IDNMaps[[#This Row],[Type]]))</f>
        <v>36</v>
      </c>
      <c r="M114" s="6" t="str">
        <f ca="1">IFERROR(VLOOKUP(IDNMaps[[#This Row],[Type]],RecordCount[],6,0)&amp;"-"&amp;IDNMaps[[#This Row],[Type Count]],"")</f>
        <v>Form Fields-36</v>
      </c>
      <c r="N114" s="6" t="str">
        <f ca="1">IFERROR(VLOOKUP(IDNMaps[[#This Row],[Primary]],INDIRECT(VLOOKUP(IDNMaps[[#This Row],[Type]],RecordCount[],2,0)),VLOOKUP(IDNMaps[[#This Row],[Type]],RecordCount[],7,0),0),"")</f>
        <v>UserExecutive/NewExecutiveLoginMap/login_user</v>
      </c>
      <c r="O114" s="6" t="str">
        <f ca="1">IF(IDNMaps[[#This Row],[Name]]="","","("&amp;IDNMaps[[#This Row],[Type]]&amp;") "&amp;IDNMaps[[#This Row],[Name]])</f>
        <v>(Fields) UserExecutive/NewExecutiveLoginMap/login_user</v>
      </c>
      <c r="P114" s="6">
        <f ca="1">IFERROR(VLOOKUP(IDNMaps[[#This Row],[Primary]],INDIRECT(VLOOKUP(IDNMaps[[#This Row],[Type]],RecordCount[],2,0)),VLOOKUP(IDNMaps[[#This Row],[Type]],RecordCount[],8,0),0),"")</f>
        <v>310136</v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5" s="6">
        <f ca="1">IF(IDNMaps[[#This Row],[Type]]="","",COUNTIF($K$1:IDNMaps[[#This Row],[Type]],IDNMaps[[#This Row],[Type]]))</f>
        <v>37</v>
      </c>
      <c r="M115" s="6" t="str">
        <f ca="1">IFERROR(VLOOKUP(IDNMaps[[#This Row],[Type]],RecordCount[],6,0)&amp;"-"&amp;IDNMaps[[#This Row],[Type Count]],"")</f>
        <v>Form Fields-37</v>
      </c>
      <c r="N115" s="6" t="str">
        <f ca="1">IFERROR(VLOOKUP(IDNMaps[[#This Row],[Primary]],INDIRECT(VLOOKUP(IDNMaps[[#This Row],[Type]],RecordCount[],2,0)),VLOOKUP(IDNMaps[[#This Row],[Type]],RecordCount[],7,0),0),"")</f>
        <v>UserExecutive/NewExecutiveLoginMap/executive_user</v>
      </c>
      <c r="O115" s="6" t="str">
        <f ca="1">IF(IDNMaps[[#This Row],[Name]]="","","("&amp;IDNMaps[[#This Row],[Type]]&amp;") "&amp;IDNMaps[[#This Row],[Name]])</f>
        <v>(Fields) UserExecutive/NewExecutiveLoginMap/executive_user</v>
      </c>
      <c r="P115" s="6">
        <f ca="1">IFERROR(VLOOKUP(IDNMaps[[#This Row],[Primary]],INDIRECT(VLOOKUP(IDNMaps[[#This Row],[Type]],RecordCount[],2,0)),VLOOKUP(IDNMaps[[#This Row],[Type]],RecordCount[],8,0),0),"")</f>
        <v>310137</v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6" s="6">
        <f ca="1">IF(IDNMaps[[#This Row],[Type]]="","",COUNTIF($K$1:IDNMaps[[#This Row],[Type]],IDNMaps[[#This Row],[Type]]))</f>
        <v>38</v>
      </c>
      <c r="M116" s="6" t="str">
        <f ca="1">IFERROR(VLOOKUP(IDNMaps[[#This Row],[Type]],RecordCount[],6,0)&amp;"-"&amp;IDNMaps[[#This Row],[Type Count]],"")</f>
        <v>Form Fields-38</v>
      </c>
      <c r="N116" s="6" t="str">
        <f ca="1">IFERROR(VLOOKUP(IDNMaps[[#This Row],[Primary]],INDIRECT(VLOOKUP(IDNMaps[[#This Row],[Type]],RecordCount[],2,0)),VLOOKUP(IDNMaps[[#This Row],[Type]],RecordCount[],7,0),0),"")</f>
        <v>Printing/NewPrintThroughForm/name</v>
      </c>
      <c r="O116" s="6" t="str">
        <f ca="1">IF(IDNMaps[[#This Row],[Name]]="","","("&amp;IDNMaps[[#This Row],[Type]]&amp;") "&amp;IDNMaps[[#This Row],[Name]])</f>
        <v>(Fields) Printing/NewPrintThroughForm/name</v>
      </c>
      <c r="P116" s="6">
        <f ca="1">IFERROR(VLOOKUP(IDNMaps[[#This Row],[Primary]],INDIRECT(VLOOKUP(IDNMaps[[#This Row],[Type]],RecordCount[],2,0)),VLOOKUP(IDNMaps[[#This Row],[Type]],RecordCount[],8,0),0),"")</f>
        <v>310138</v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7" s="6">
        <f ca="1">IF(IDNMaps[[#This Row],[Type]]="","",COUNTIF($K$1:IDNMaps[[#This Row],[Type]],IDNMaps[[#This Row],[Type]]))</f>
        <v>39</v>
      </c>
      <c r="M117" s="6" t="str">
        <f ca="1">IFERROR(VLOOKUP(IDNMaps[[#This Row],[Type]],RecordCount[],6,0)&amp;"-"&amp;IDNMaps[[#This Row],[Type Count]],"")</f>
        <v>Form Fields-39</v>
      </c>
      <c r="N117" s="6" t="str">
        <f ca="1">IFERROR(VLOOKUP(IDNMaps[[#This Row],[Primary]],INDIRECT(VLOOKUP(IDNMaps[[#This Row],[Type]],RecordCount[],2,0)),VLOOKUP(IDNMaps[[#This Row],[Type]],RecordCount[],7,0),0),"")</f>
        <v>Printing/NewPrintThroughForm/fncode</v>
      </c>
      <c r="O117" s="6" t="str">
        <f ca="1">IF(IDNMaps[[#This Row],[Name]]="","","("&amp;IDNMaps[[#This Row],[Type]]&amp;") "&amp;IDNMaps[[#This Row],[Name]])</f>
        <v>(Fields) Printing/NewPrintThroughForm/fncode</v>
      </c>
      <c r="P117" s="6">
        <f ca="1">IFERROR(VLOOKUP(IDNMaps[[#This Row],[Primary]],INDIRECT(VLOOKUP(IDNMaps[[#This Row],[Type]],RecordCount[],2,0)),VLOOKUP(IDNMaps[[#This Row],[Type]],RecordCount[],8,0),0),"")</f>
        <v>310139</v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8" s="6">
        <f ca="1">IF(IDNMaps[[#This Row],[Type]]="","",COUNTIF($K$1:IDNMaps[[#This Row],[Type]],IDNMaps[[#This Row],[Type]]))</f>
        <v>40</v>
      </c>
      <c r="M118" s="6" t="str">
        <f ca="1">IFERROR(VLOOKUP(IDNMaps[[#This Row],[Type]],RecordCount[],6,0)&amp;"-"&amp;IDNMaps[[#This Row],[Type Count]],"")</f>
        <v>Form Fields-40</v>
      </c>
      <c r="N118" s="6" t="str">
        <f ca="1">IFERROR(VLOOKUP(IDNMaps[[#This Row],[Primary]],INDIRECT(VLOOKUP(IDNMaps[[#This Row],[Type]],RecordCount[],2,0)),VLOOKUP(IDNMaps[[#This Row],[Type]],RecordCount[],7,0),0),"")</f>
        <v>Printing/NewPrintThroughForm/status</v>
      </c>
      <c r="O118" s="6" t="str">
        <f ca="1">IF(IDNMaps[[#This Row],[Name]]="","","("&amp;IDNMaps[[#This Row],[Type]]&amp;") "&amp;IDNMaps[[#This Row],[Name]])</f>
        <v>(Fields) Printing/NewPrintThroughForm/status</v>
      </c>
      <c r="P118" s="6">
        <f ca="1">IFERROR(VLOOKUP(IDNMaps[[#This Row],[Primary]],INDIRECT(VLOOKUP(IDNMaps[[#This Row],[Type]],RecordCount[],2,0)),VLOOKUP(IDNMaps[[#This Row],[Type]],RecordCount[],8,0),0),"")</f>
        <v>310140</v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9" s="6">
        <f ca="1">IF(IDNMaps[[#This Row],[Type]]="","",COUNTIF($K$1:IDNMaps[[#This Row],[Type]],IDNMaps[[#This Row],[Type]]))</f>
        <v>41</v>
      </c>
      <c r="M119" s="6" t="str">
        <f ca="1">IFERROR(VLOOKUP(IDNMaps[[#This Row],[Type]],RecordCount[],6,0)&amp;"-"&amp;IDNMaps[[#This Row],[Type Count]],"")</f>
        <v>Form Fields-41</v>
      </c>
      <c r="N119" s="6" t="str">
        <f ca="1">IFERROR(VLOOKUP(IDNMaps[[#This Row],[Primary]],INDIRECT(VLOOKUP(IDNMaps[[#This Row],[Type]],RecordCount[],2,0)),VLOOKUP(IDNMaps[[#This Row],[Type]],RecordCount[],7,0),0),"")</f>
        <v>Printing/NewPrintThroughForm/description</v>
      </c>
      <c r="O119" s="6" t="str">
        <f ca="1">IF(IDNMaps[[#This Row],[Name]]="","","("&amp;IDNMaps[[#This Row],[Type]]&amp;") "&amp;IDNMaps[[#This Row],[Name]])</f>
        <v>(Fields) Printing/NewPrintThroughForm/description</v>
      </c>
      <c r="P119" s="6">
        <f ca="1">IFERROR(VLOOKUP(IDNMaps[[#This Row],[Primary]],INDIRECT(VLOOKUP(IDNMaps[[#This Row],[Type]],RecordCount[],2,0)),VLOOKUP(IDNMaps[[#This Row],[Type]],RecordCount[],8,0),0),"")</f>
        <v>310141</v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0" s="6">
        <f ca="1">IF(IDNMaps[[#This Row],[Type]]="","",COUNTIF($K$1:IDNMaps[[#This Row],[Type]],IDNMaps[[#This Row],[Type]]))</f>
        <v>42</v>
      </c>
      <c r="M120" s="6" t="str">
        <f ca="1">IFERROR(VLOOKUP(IDNMaps[[#This Row],[Type]],RecordCount[],6,0)&amp;"-"&amp;IDNMaps[[#This Row],[Type Count]],"")</f>
        <v>Form Fields-42</v>
      </c>
      <c r="N120" s="6" t="str">
        <f ca="1">IFERROR(VLOOKUP(IDNMaps[[#This Row],[Primary]],INDIRECT(VLOOKUP(IDNMaps[[#This Row],[Type]],RecordCount[],2,0)),VLOOKUP(IDNMaps[[#This Row],[Type]],RecordCount[],7,0),0),"")</f>
        <v>Printing/NewPrintThroughForm/query1</v>
      </c>
      <c r="O120" s="6" t="str">
        <f ca="1">IF(IDNMaps[[#This Row],[Name]]="","","("&amp;IDNMaps[[#This Row],[Type]]&amp;") "&amp;IDNMaps[[#This Row],[Name]])</f>
        <v>(Fields) Printing/NewPrintThroughForm/query1</v>
      </c>
      <c r="P120" s="6">
        <f ca="1">IFERROR(VLOOKUP(IDNMaps[[#This Row],[Primary]],INDIRECT(VLOOKUP(IDNMaps[[#This Row],[Type]],RecordCount[],2,0)),VLOOKUP(IDNMaps[[#This Row],[Type]],RecordCount[],8,0),0),"")</f>
        <v>310142</v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1" s="6">
        <f ca="1">IF(IDNMaps[[#This Row],[Type]]="","",COUNTIF($K$1:IDNMaps[[#This Row],[Type]],IDNMaps[[#This Row],[Type]]))</f>
        <v>43</v>
      </c>
      <c r="M121" s="6" t="str">
        <f ca="1">IFERROR(VLOOKUP(IDNMaps[[#This Row],[Type]],RecordCount[],6,0)&amp;"-"&amp;IDNMaps[[#This Row],[Type Count]],"")</f>
        <v>Form Fields-43</v>
      </c>
      <c r="N121" s="6" t="str">
        <f ca="1">IFERROR(VLOOKUP(IDNMaps[[#This Row],[Primary]],INDIRECT(VLOOKUP(IDNMaps[[#This Row],[Type]],RecordCount[],2,0)),VLOOKUP(IDNMaps[[#This Row],[Type]],RecordCount[],7,0),0),"")</f>
        <v>Printing/NewPrintThroughForm/query1_props</v>
      </c>
      <c r="O121" s="6" t="str">
        <f ca="1">IF(IDNMaps[[#This Row],[Name]]="","","("&amp;IDNMaps[[#This Row],[Type]]&amp;") "&amp;IDNMaps[[#This Row],[Name]])</f>
        <v>(Fields) Printing/NewPrintThroughForm/query1_props</v>
      </c>
      <c r="P121" s="6">
        <f ca="1">IFERROR(VLOOKUP(IDNMaps[[#This Row],[Primary]],INDIRECT(VLOOKUP(IDNMaps[[#This Row],[Type]],RecordCount[],2,0)),VLOOKUP(IDNMaps[[#This Row],[Type]],RecordCount[],8,0),0),"")</f>
        <v>310143</v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2" s="6">
        <f ca="1">IF(IDNMaps[[#This Row],[Type]]="","",COUNTIF($K$1:IDNMaps[[#This Row],[Type]],IDNMaps[[#This Row],[Type]]))</f>
        <v>44</v>
      </c>
      <c r="M122" s="6" t="str">
        <f ca="1">IFERROR(VLOOKUP(IDNMaps[[#This Row],[Type]],RecordCount[],6,0)&amp;"-"&amp;IDNMaps[[#This Row],[Type Count]],"")</f>
        <v>Form Fields-44</v>
      </c>
      <c r="N122" s="6" t="str">
        <f ca="1">IFERROR(VLOOKUP(IDNMaps[[#This Row],[Primary]],INDIRECT(VLOOKUP(IDNMaps[[#This Row],[Type]],RecordCount[],2,0)),VLOOKUP(IDNMaps[[#This Row],[Type]],RecordCount[],7,0),0),"")</f>
        <v>Printing/NewPrintThroughForm/query2</v>
      </c>
      <c r="O122" s="6" t="str">
        <f ca="1">IF(IDNMaps[[#This Row],[Name]]="","","("&amp;IDNMaps[[#This Row],[Type]]&amp;") "&amp;IDNMaps[[#This Row],[Name]])</f>
        <v>(Fields) Printing/NewPrintThroughForm/query2</v>
      </c>
      <c r="P122" s="6">
        <f ca="1">IFERROR(VLOOKUP(IDNMaps[[#This Row],[Primary]],INDIRECT(VLOOKUP(IDNMaps[[#This Row],[Type]],RecordCount[],2,0)),VLOOKUP(IDNMaps[[#This Row],[Type]],RecordCount[],8,0),0),"")</f>
        <v>310144</v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3" s="6">
        <f ca="1">IF(IDNMaps[[#This Row],[Type]]="","",COUNTIF($K$1:IDNMaps[[#This Row],[Type]],IDNMaps[[#This Row],[Type]]))</f>
        <v>45</v>
      </c>
      <c r="M123" s="6" t="str">
        <f ca="1">IFERROR(VLOOKUP(IDNMaps[[#This Row],[Type]],RecordCount[],6,0)&amp;"-"&amp;IDNMaps[[#This Row],[Type Count]],"")</f>
        <v>Form Fields-45</v>
      </c>
      <c r="N123" s="6" t="str">
        <f ca="1">IFERROR(VLOOKUP(IDNMaps[[#This Row],[Primary]],INDIRECT(VLOOKUP(IDNMaps[[#This Row],[Type]],RecordCount[],2,0)),VLOOKUP(IDNMaps[[#This Row],[Type]],RecordCount[],7,0),0),"")</f>
        <v>Printing/NewPrintThroughForm/query3</v>
      </c>
      <c r="O123" s="6" t="str">
        <f ca="1">IF(IDNMaps[[#This Row],[Name]]="","","("&amp;IDNMaps[[#This Row],[Type]]&amp;") "&amp;IDNMaps[[#This Row],[Name]])</f>
        <v>(Fields) Printing/NewPrintThroughForm/query3</v>
      </c>
      <c r="P123" s="6">
        <f ca="1">IFERROR(VLOOKUP(IDNMaps[[#This Row],[Primary]],INDIRECT(VLOOKUP(IDNMaps[[#This Row],[Type]],RecordCount[],2,0)),VLOOKUP(IDNMaps[[#This Row],[Type]],RecordCount[],8,0),0),"")</f>
        <v>310145</v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4" s="6">
        <f ca="1">IF(IDNMaps[[#This Row],[Type]]="","",COUNTIF($K$1:IDNMaps[[#This Row],[Type]],IDNMaps[[#This Row],[Type]]))</f>
        <v>46</v>
      </c>
      <c r="M124" s="6" t="str">
        <f ca="1">IFERROR(VLOOKUP(IDNMaps[[#This Row],[Type]],RecordCount[],6,0)&amp;"-"&amp;IDNMaps[[#This Row],[Type Count]],"")</f>
        <v>Form Fields-46</v>
      </c>
      <c r="N124" s="6" t="str">
        <f ca="1">IFERROR(VLOOKUP(IDNMaps[[#This Row],[Primary]],INDIRECT(VLOOKUP(IDNMaps[[#This Row],[Type]],RecordCount[],2,0)),VLOOKUP(IDNMaps[[#This Row],[Type]],RecordCount[],7,0),0),"")</f>
        <v>Printing/NewPrintThroughForm/query2_props</v>
      </c>
      <c r="O124" s="6" t="str">
        <f ca="1">IF(IDNMaps[[#This Row],[Name]]="","","("&amp;IDNMaps[[#This Row],[Type]]&amp;") "&amp;IDNMaps[[#This Row],[Name]])</f>
        <v>(Fields) Printing/NewPrintThroughForm/query2_props</v>
      </c>
      <c r="P124" s="6">
        <f ca="1">IFERROR(VLOOKUP(IDNMaps[[#This Row],[Primary]],INDIRECT(VLOOKUP(IDNMaps[[#This Row],[Type]],RecordCount[],2,0)),VLOOKUP(IDNMaps[[#This Row],[Type]],RecordCount[],8,0),0),"")</f>
        <v>310146</v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5" s="6">
        <f ca="1">IF(IDNMaps[[#This Row],[Type]]="","",COUNTIF($K$1:IDNMaps[[#This Row],[Type]],IDNMaps[[#This Row],[Type]]))</f>
        <v>47</v>
      </c>
      <c r="M125" s="6" t="str">
        <f ca="1">IFERROR(VLOOKUP(IDNMaps[[#This Row],[Type]],RecordCount[],6,0)&amp;"-"&amp;IDNMaps[[#This Row],[Type Count]],"")</f>
        <v>Form Fields-47</v>
      </c>
      <c r="N125" s="6" t="str">
        <f ca="1">IFERROR(VLOOKUP(IDNMaps[[#This Row],[Primary]],INDIRECT(VLOOKUP(IDNMaps[[#This Row],[Type]],RecordCount[],2,0)),VLOOKUP(IDNMaps[[#This Row],[Type]],RecordCount[],7,0),0),"")</f>
        <v>Printing/NewPrintThroughForm/query3_props</v>
      </c>
      <c r="O125" s="6" t="str">
        <f ca="1">IF(IDNMaps[[#This Row],[Name]]="","","("&amp;IDNMaps[[#This Row],[Type]]&amp;") "&amp;IDNMaps[[#This Row],[Name]])</f>
        <v>(Fields) Printing/NewPrintThroughForm/query3_props</v>
      </c>
      <c r="P125" s="6">
        <f ca="1">IFERROR(VLOOKUP(IDNMaps[[#This Row],[Primary]],INDIRECT(VLOOKUP(IDNMaps[[#This Row],[Type]],RecordCount[],2,0)),VLOOKUP(IDNMaps[[#This Row],[Type]],RecordCount[],8,0),0),"")</f>
        <v>310147</v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6" s="6">
        <f ca="1">IF(IDNMaps[[#This Row],[Type]]="","",COUNTIF($K$1:IDNMaps[[#This Row],[Type]],IDNMaps[[#This Row],[Type]]))</f>
        <v>48</v>
      </c>
      <c r="M126" s="6" t="str">
        <f ca="1">IFERROR(VLOOKUP(IDNMaps[[#This Row],[Type]],RecordCount[],6,0)&amp;"-"&amp;IDNMaps[[#This Row],[Type Count]],"")</f>
        <v>Form Fields-48</v>
      </c>
      <c r="N126" s="6" t="str">
        <f ca="1">IFERROR(VLOOKUP(IDNMaps[[#This Row],[Primary]],INDIRECT(VLOOKUP(IDNMaps[[#This Row],[Type]],RecordCount[],2,0)),VLOOKUP(IDNMaps[[#This Row],[Type]],RecordCount[],7,0),0),"")</f>
        <v>Printing/NewPrintThroughForm/header1</v>
      </c>
      <c r="O126" s="6" t="str">
        <f ca="1">IF(IDNMaps[[#This Row],[Name]]="","","("&amp;IDNMaps[[#This Row],[Type]]&amp;") "&amp;IDNMaps[[#This Row],[Name]])</f>
        <v>(Fields) Printing/NewPrintThroughForm/header1</v>
      </c>
      <c r="P126" s="6">
        <f ca="1">IFERROR(VLOOKUP(IDNMaps[[#This Row],[Primary]],INDIRECT(VLOOKUP(IDNMaps[[#This Row],[Type]],RecordCount[],2,0)),VLOOKUP(IDNMaps[[#This Row],[Type]],RecordCount[],8,0),0),"")</f>
        <v>310148</v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7" s="6">
        <f ca="1">IF(IDNMaps[[#This Row],[Type]]="","",COUNTIF($K$1:IDNMaps[[#This Row],[Type]],IDNMaps[[#This Row],[Type]]))</f>
        <v>49</v>
      </c>
      <c r="M127" s="6" t="str">
        <f ca="1">IFERROR(VLOOKUP(IDNMaps[[#This Row],[Type]],RecordCount[],6,0)&amp;"-"&amp;IDNMaps[[#This Row],[Type Count]],"")</f>
        <v>Form Fields-49</v>
      </c>
      <c r="N127" s="6" t="str">
        <f ca="1">IFERROR(VLOOKUP(IDNMaps[[#This Row],[Primary]],INDIRECT(VLOOKUP(IDNMaps[[#This Row],[Type]],RecordCount[],2,0)),VLOOKUP(IDNMaps[[#This Row],[Type]],RecordCount[],7,0),0),"")</f>
        <v>Printing/NewPrintThroughForm/header2</v>
      </c>
      <c r="O127" s="6" t="str">
        <f ca="1">IF(IDNMaps[[#This Row],[Name]]="","","("&amp;IDNMaps[[#This Row],[Type]]&amp;") "&amp;IDNMaps[[#This Row],[Name]])</f>
        <v>(Fields) Printing/NewPrintThroughForm/header2</v>
      </c>
      <c r="P127" s="6">
        <f ca="1">IFERROR(VLOOKUP(IDNMaps[[#This Row],[Primary]],INDIRECT(VLOOKUP(IDNMaps[[#This Row],[Type]],RecordCount[],2,0)),VLOOKUP(IDNMaps[[#This Row],[Type]],RecordCount[],8,0),0),"")</f>
        <v>310149</v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8" s="6">
        <f ca="1">IF(IDNMaps[[#This Row],[Type]]="","",COUNTIF($K$1:IDNMaps[[#This Row],[Type]],IDNMaps[[#This Row],[Type]]))</f>
        <v>50</v>
      </c>
      <c r="M128" s="6" t="str">
        <f ca="1">IFERROR(VLOOKUP(IDNMaps[[#This Row],[Type]],RecordCount[],6,0)&amp;"-"&amp;IDNMaps[[#This Row],[Type Count]],"")</f>
        <v>Form Fields-50</v>
      </c>
      <c r="N128" s="6" t="str">
        <f ca="1">IFERROR(VLOOKUP(IDNMaps[[#This Row],[Primary]],INDIRECT(VLOOKUP(IDNMaps[[#This Row],[Type]],RecordCount[],2,0)),VLOOKUP(IDNMaps[[#This Row],[Type]],RecordCount[],7,0),0),"")</f>
        <v>Printing/NewPrintThroughForm/header3</v>
      </c>
      <c r="O128" s="6" t="str">
        <f ca="1">IF(IDNMaps[[#This Row],[Name]]="","","("&amp;IDNMaps[[#This Row],[Type]]&amp;") "&amp;IDNMaps[[#This Row],[Name]])</f>
        <v>(Fields) Printing/NewPrintThroughForm/header3</v>
      </c>
      <c r="P128" s="6">
        <f ca="1">IFERROR(VLOOKUP(IDNMaps[[#This Row],[Primary]],INDIRECT(VLOOKUP(IDNMaps[[#This Row],[Type]],RecordCount[],2,0)),VLOOKUP(IDNMaps[[#This Row],[Type]],RecordCount[],8,0),0),"")</f>
        <v>310150</v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9" s="6">
        <f ca="1">IF(IDNMaps[[#This Row],[Type]]="","",COUNTIF($K$1:IDNMaps[[#This Row],[Type]],IDNMaps[[#This Row],[Type]]))</f>
        <v>51</v>
      </c>
      <c r="M129" s="6" t="str">
        <f ca="1">IFERROR(VLOOKUP(IDNMaps[[#This Row],[Type]],RecordCount[],6,0)&amp;"-"&amp;IDNMaps[[#This Row],[Type Count]],"")</f>
        <v>Form Fields-51</v>
      </c>
      <c r="N129" s="6" t="str">
        <f ca="1">IFERROR(VLOOKUP(IDNMaps[[#This Row],[Primary]],INDIRECT(VLOOKUP(IDNMaps[[#This Row],[Type]],RecordCount[],2,0)),VLOOKUP(IDNMaps[[#This Row],[Type]],RecordCount[],7,0),0),"")</f>
        <v>Printing/NewPrintThroughForm/footer1</v>
      </c>
      <c r="O129" s="6" t="str">
        <f ca="1">IF(IDNMaps[[#This Row],[Name]]="","","("&amp;IDNMaps[[#This Row],[Type]]&amp;") "&amp;IDNMaps[[#This Row],[Name]])</f>
        <v>(Fields) Printing/NewPrintThroughForm/footer1</v>
      </c>
      <c r="P129" s="6">
        <f ca="1">IFERROR(VLOOKUP(IDNMaps[[#This Row],[Primary]],INDIRECT(VLOOKUP(IDNMaps[[#This Row],[Type]],RecordCount[],2,0)),VLOOKUP(IDNMaps[[#This Row],[Type]],RecordCount[],8,0),0),"")</f>
        <v>310151</v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0" s="6">
        <f ca="1">IF(IDNMaps[[#This Row],[Type]]="","",COUNTIF($K$1:IDNMaps[[#This Row],[Type]],IDNMaps[[#This Row],[Type]]))</f>
        <v>52</v>
      </c>
      <c r="M130" s="6" t="str">
        <f ca="1">IFERROR(VLOOKUP(IDNMaps[[#This Row],[Type]],RecordCount[],6,0)&amp;"-"&amp;IDNMaps[[#This Row],[Type Count]],"")</f>
        <v>Form Fields-52</v>
      </c>
      <c r="N130" s="6" t="str">
        <f ca="1">IFERROR(VLOOKUP(IDNMaps[[#This Row],[Primary]],INDIRECT(VLOOKUP(IDNMaps[[#This Row],[Type]],RecordCount[],2,0)),VLOOKUP(IDNMaps[[#This Row],[Type]],RecordCount[],7,0),0),"")</f>
        <v>Printing/NewPrintThroughForm/footer2</v>
      </c>
      <c r="O130" s="6" t="str">
        <f ca="1">IF(IDNMaps[[#This Row],[Name]]="","","("&amp;IDNMaps[[#This Row],[Type]]&amp;") "&amp;IDNMaps[[#This Row],[Name]])</f>
        <v>(Fields) Printing/NewPrintThroughForm/footer2</v>
      </c>
      <c r="P130" s="6">
        <f ca="1">IFERROR(VLOOKUP(IDNMaps[[#This Row],[Primary]],INDIRECT(VLOOKUP(IDNMaps[[#This Row],[Type]],RecordCount[],2,0)),VLOOKUP(IDNMaps[[#This Row],[Type]],RecordCount[],8,0),0),"")</f>
        <v>310152</v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1" s="6">
        <f ca="1">IF(IDNMaps[[#This Row],[Type]]="","",COUNTIF($K$1:IDNMaps[[#This Row],[Type]],IDNMaps[[#This Row],[Type]]))</f>
        <v>53</v>
      </c>
      <c r="M131" s="6" t="str">
        <f ca="1">IFERROR(VLOOKUP(IDNMaps[[#This Row],[Type]],RecordCount[],6,0)&amp;"-"&amp;IDNMaps[[#This Row],[Type Count]],"")</f>
        <v>Form Fields-53</v>
      </c>
      <c r="N131" s="6" t="str">
        <f ca="1">IFERROR(VLOOKUP(IDNMaps[[#This Row],[Primary]],INDIRECT(VLOOKUP(IDNMaps[[#This Row],[Type]],RecordCount[],2,0)),VLOOKUP(IDNMaps[[#This Row],[Type]],RecordCount[],7,0),0),"")</f>
        <v>Printing/NewPrintThroughForm/footer3</v>
      </c>
      <c r="O131" s="6" t="str">
        <f ca="1">IF(IDNMaps[[#This Row],[Name]]="","","("&amp;IDNMaps[[#This Row],[Type]]&amp;") "&amp;IDNMaps[[#This Row],[Name]])</f>
        <v>(Fields) Printing/NewPrintThroughForm/footer3</v>
      </c>
      <c r="P131" s="6">
        <f ca="1">IFERROR(VLOOKUP(IDNMaps[[#This Row],[Primary]],INDIRECT(VLOOKUP(IDNMaps[[#This Row],[Type]],RecordCount[],2,0)),VLOOKUP(IDNMaps[[#This Row],[Type]],RecordCount[],8,0),0),"")</f>
        <v>310153</v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2" s="6">
        <f ca="1">IF(IDNMaps[[#This Row],[Type]]="","",COUNTIF($K$1:IDNMaps[[#This Row],[Type]],IDNMaps[[#This Row],[Type]]))</f>
        <v>54</v>
      </c>
      <c r="M132" s="6" t="str">
        <f ca="1">IFERROR(VLOOKUP(IDNMaps[[#This Row],[Type]],RecordCount[],6,0)&amp;"-"&amp;IDNMaps[[#This Row],[Type Count]],"")</f>
        <v>Form Fields-54</v>
      </c>
      <c r="N132" s="6" t="str">
        <f ca="1">IFERROR(VLOOKUP(IDNMaps[[#This Row],[Primary]],INDIRECT(VLOOKUP(IDNMaps[[#This Row],[Type]],RecordCount[],2,0)),VLOOKUP(IDNMaps[[#This Row],[Type]],RecordCount[],7,0),0),"")</f>
        <v>Printing/NewPrintThroughForm/template</v>
      </c>
      <c r="O132" s="6" t="str">
        <f ca="1">IF(IDNMaps[[#This Row],[Name]]="","","("&amp;IDNMaps[[#This Row],[Type]]&amp;") "&amp;IDNMaps[[#This Row],[Name]])</f>
        <v>(Fields) Printing/NewPrintThroughForm/template</v>
      </c>
      <c r="P132" s="6">
        <f ca="1">IFERROR(VLOOKUP(IDNMaps[[#This Row],[Primary]],INDIRECT(VLOOKUP(IDNMaps[[#This Row],[Type]],RecordCount[],2,0)),VLOOKUP(IDNMaps[[#This Row],[Type]],RecordCount[],8,0),0),"")</f>
        <v>310154</v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3" s="6">
        <f ca="1">IF(IDNMaps[[#This Row],[Type]]="","",COUNTIF($K$1:IDNMaps[[#This Row],[Type]],IDNMaps[[#This Row],[Type]]))</f>
        <v>55</v>
      </c>
      <c r="M133" s="6" t="str">
        <f ca="1">IFERROR(VLOOKUP(IDNMaps[[#This Row],[Type]],RecordCount[],6,0)&amp;"-"&amp;IDNMaps[[#This Row],[Type Count]],"")</f>
        <v>Form Fields-55</v>
      </c>
      <c r="N133" s="6" t="str">
        <f ca="1">IFERROR(VLOOKUP(IDNMaps[[#This Row],[Primary]],INDIRECT(VLOOKUP(IDNMaps[[#This Row],[Type]],RecordCount[],2,0)),VLOOKUP(IDNMaps[[#This Row],[Type]],RecordCount[],7,0),0),"")</f>
        <v>Printing/NewPrintThroughForm/object</v>
      </c>
      <c r="O133" s="6" t="str">
        <f ca="1">IF(IDNMaps[[#This Row],[Name]]="","","("&amp;IDNMaps[[#This Row],[Type]]&amp;") "&amp;IDNMaps[[#This Row],[Name]])</f>
        <v>(Fields) Printing/NewPrintThroughForm/object</v>
      </c>
      <c r="P133" s="6">
        <f ca="1">IFERROR(VLOOKUP(IDNMaps[[#This Row],[Primary]],INDIRECT(VLOOKUP(IDNMaps[[#This Row],[Type]],RecordCount[],2,0)),VLOOKUP(IDNMaps[[#This Row],[Type]],RecordCount[],8,0),0),"")</f>
        <v>310155</v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4" s="6">
        <f ca="1">IF(IDNMaps[[#This Row],[Type]]="","",COUNTIF($K$1:IDNMaps[[#This Row],[Type]],IDNMaps[[#This Row],[Type]]))</f>
        <v>56</v>
      </c>
      <c r="M134" s="6" t="str">
        <f ca="1">IFERROR(VLOOKUP(IDNMaps[[#This Row],[Type]],RecordCount[],6,0)&amp;"-"&amp;IDNMaps[[#This Row],[Type Count]],"")</f>
        <v>Form Fields-56</v>
      </c>
      <c r="N134" s="6" t="str">
        <f ca="1">IFERROR(VLOOKUP(IDNMaps[[#This Row],[Primary]],INDIRECT(VLOOKUP(IDNMaps[[#This Row],[Type]],RecordCount[],2,0)),VLOOKUP(IDNMaps[[#This Row],[Type]],RecordCount[],7,0),0),"")</f>
        <v>Printing/NewPrintThroughUpload/name</v>
      </c>
      <c r="O134" s="6" t="str">
        <f ca="1">IF(IDNMaps[[#This Row],[Name]]="","","("&amp;IDNMaps[[#This Row],[Type]]&amp;") "&amp;IDNMaps[[#This Row],[Name]])</f>
        <v>(Fields) Printing/NewPrintThroughUpload/name</v>
      </c>
      <c r="P134" s="6">
        <f ca="1">IFERROR(VLOOKUP(IDNMaps[[#This Row],[Primary]],INDIRECT(VLOOKUP(IDNMaps[[#This Row],[Type]],RecordCount[],2,0)),VLOOKUP(IDNMaps[[#This Row],[Type]],RecordCount[],8,0),0),"")</f>
        <v>310156</v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5" s="6">
        <f ca="1">IF(IDNMaps[[#This Row],[Type]]="","",COUNTIF($K$1:IDNMaps[[#This Row],[Type]],IDNMaps[[#This Row],[Type]]))</f>
        <v>57</v>
      </c>
      <c r="M135" s="6" t="str">
        <f ca="1">IFERROR(VLOOKUP(IDNMaps[[#This Row],[Type]],RecordCount[],6,0)&amp;"-"&amp;IDNMaps[[#This Row],[Type Count]],"")</f>
        <v>Form Fields-57</v>
      </c>
      <c r="N135" s="6" t="str">
        <f ca="1">IFERROR(VLOOKUP(IDNMaps[[#This Row],[Primary]],INDIRECT(VLOOKUP(IDNMaps[[#This Row],[Type]],RecordCount[],2,0)),VLOOKUP(IDNMaps[[#This Row],[Type]],RecordCount[],7,0),0),"")</f>
        <v>Printing/NewPrintThroughUpload/status</v>
      </c>
      <c r="O135" s="6" t="str">
        <f ca="1">IF(IDNMaps[[#This Row],[Name]]="","","("&amp;IDNMaps[[#This Row],[Type]]&amp;") "&amp;IDNMaps[[#This Row],[Name]])</f>
        <v>(Fields) Printing/NewPrintThroughUpload/status</v>
      </c>
      <c r="P135" s="6">
        <f ca="1">IFERROR(VLOOKUP(IDNMaps[[#This Row],[Primary]],INDIRECT(VLOOKUP(IDNMaps[[#This Row],[Type]],RecordCount[],2,0)),VLOOKUP(IDNMaps[[#This Row],[Type]],RecordCount[],8,0),0),"")</f>
        <v>310157</v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6" s="6">
        <f ca="1">IF(IDNMaps[[#This Row],[Type]]="","",COUNTIF($K$1:IDNMaps[[#This Row],[Type]],IDNMaps[[#This Row],[Type]]))</f>
        <v>58</v>
      </c>
      <c r="M136" s="6" t="str">
        <f ca="1">IFERROR(VLOOKUP(IDNMaps[[#This Row],[Type]],RecordCount[],6,0)&amp;"-"&amp;IDNMaps[[#This Row],[Type Count]],"")</f>
        <v>Form Fields-58</v>
      </c>
      <c r="N136" s="6" t="str">
        <f ca="1">IFERROR(VLOOKUP(IDNMaps[[#This Row],[Primary]],INDIRECT(VLOOKUP(IDNMaps[[#This Row],[Type]],RecordCount[],2,0)),VLOOKUP(IDNMaps[[#This Row],[Type]],RecordCount[],7,0),0),"")</f>
        <v>Printing/NewPrintThroughUpload/description</v>
      </c>
      <c r="O136" s="6" t="str">
        <f ca="1">IF(IDNMaps[[#This Row],[Name]]="","","("&amp;IDNMaps[[#This Row],[Type]]&amp;") "&amp;IDNMaps[[#This Row],[Name]])</f>
        <v>(Fields) Printing/NewPrintThroughUpload/description</v>
      </c>
      <c r="P136" s="6">
        <f ca="1">IFERROR(VLOOKUP(IDNMaps[[#This Row],[Primary]],INDIRECT(VLOOKUP(IDNMaps[[#This Row],[Type]],RecordCount[],2,0)),VLOOKUP(IDNMaps[[#This Row],[Type]],RecordCount[],8,0),0),"")</f>
        <v>310158</v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7" s="6">
        <f ca="1">IF(IDNMaps[[#This Row],[Type]]="","",COUNTIF($K$1:IDNMaps[[#This Row],[Type]],IDNMaps[[#This Row],[Type]]))</f>
        <v>59</v>
      </c>
      <c r="M137" s="6" t="str">
        <f ca="1">IFERROR(VLOOKUP(IDNMaps[[#This Row],[Type]],RecordCount[],6,0)&amp;"-"&amp;IDNMaps[[#This Row],[Type Count]],"")</f>
        <v>Form Fields-59</v>
      </c>
      <c r="N137" s="6" t="str">
        <f ca="1">IFERROR(VLOOKUP(IDNMaps[[#This Row],[Primary]],INDIRECT(VLOOKUP(IDNMaps[[#This Row],[Type]],RecordCount[],2,0)),VLOOKUP(IDNMaps[[#This Row],[Type]],RecordCount[],7,0),0),"")</f>
        <v>Printing/NewPrintThroughUpload/file</v>
      </c>
      <c r="O137" s="6" t="str">
        <f ca="1">IF(IDNMaps[[#This Row],[Name]]="","","("&amp;IDNMaps[[#This Row],[Type]]&amp;") "&amp;IDNMaps[[#This Row],[Name]])</f>
        <v>(Fields) Printing/NewPrintThroughUpload/file</v>
      </c>
      <c r="P137" s="6">
        <f ca="1">IFERROR(VLOOKUP(IDNMaps[[#This Row],[Primary]],INDIRECT(VLOOKUP(IDNMaps[[#This Row],[Type]],RecordCount[],2,0)),VLOOKUP(IDNMaps[[#This Row],[Type]],RecordCount[],8,0),0),"")</f>
        <v>310159</v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8"/>
  <sheetViews>
    <sheetView topLeftCell="A202" workbookViewId="0">
      <selection activeCell="C206" sqref="C206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877</v>
      </c>
    </row>
    <row r="2" spans="1:10" x14ac:dyDescent="0.25">
      <c r="A2" s="1" t="s">
        <v>21</v>
      </c>
      <c r="B2" s="1" t="s">
        <v>864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30</v>
      </c>
    </row>
    <row r="3" spans="1:10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30</v>
      </c>
    </row>
    <row r="5" spans="1:10" x14ac:dyDescent="0.25">
      <c r="A5" s="4" t="s">
        <v>768</v>
      </c>
      <c r="B5" s="4" t="s">
        <v>769</v>
      </c>
      <c r="C5" s="4" t="s">
        <v>768</v>
      </c>
      <c r="D5" s="4">
        <v>15</v>
      </c>
      <c r="E5" s="4" t="s">
        <v>771</v>
      </c>
      <c r="F5" s="4" t="s">
        <v>770</v>
      </c>
      <c r="G5" s="4"/>
      <c r="H5" s="4"/>
      <c r="I5" s="4"/>
      <c r="J5" s="32">
        <f>COUNTIF(TableFields[Field],Columns[[#This Row],[Column]])</f>
        <v>6</v>
      </c>
    </row>
    <row r="6" spans="1:10" x14ac:dyDescent="0.25">
      <c r="A6" s="4" t="s">
        <v>790</v>
      </c>
      <c r="B6" s="4" t="s">
        <v>769</v>
      </c>
      <c r="C6" s="4" t="s">
        <v>790</v>
      </c>
      <c r="D6" s="4">
        <v>15</v>
      </c>
      <c r="E6" s="4" t="s">
        <v>771</v>
      </c>
      <c r="F6" s="4" t="s">
        <v>770</v>
      </c>
      <c r="G6" s="4"/>
      <c r="H6" s="4"/>
      <c r="I6" s="4"/>
      <c r="J6" s="32">
        <f>COUNTIF(TableFields[Field],Columns[[#This Row],[Column]])</f>
        <v>1</v>
      </c>
    </row>
    <row r="7" spans="1:10" x14ac:dyDescent="0.25">
      <c r="A7" s="4" t="s">
        <v>810</v>
      </c>
      <c r="B7" s="4" t="s">
        <v>769</v>
      </c>
      <c r="C7" s="4" t="s">
        <v>768</v>
      </c>
      <c r="D7" s="4">
        <v>30</v>
      </c>
      <c r="E7" s="4" t="s">
        <v>771</v>
      </c>
      <c r="F7" s="4" t="s">
        <v>770</v>
      </c>
      <c r="G7" s="4"/>
      <c r="H7" s="4"/>
      <c r="I7" s="4"/>
      <c r="J7" s="32">
        <f>COUNTIF(TableFields[Field],Columns[[#This Row],[Column]])</f>
        <v>1</v>
      </c>
    </row>
    <row r="8" spans="1:10" x14ac:dyDescent="0.25">
      <c r="A8" s="4" t="s">
        <v>884</v>
      </c>
      <c r="B8" s="4" t="s">
        <v>769</v>
      </c>
      <c r="C8" s="4" t="s">
        <v>768</v>
      </c>
      <c r="D8" s="4">
        <v>15</v>
      </c>
      <c r="E8" s="4" t="s">
        <v>885</v>
      </c>
      <c r="F8" s="4"/>
      <c r="G8" s="4"/>
      <c r="H8" s="4"/>
      <c r="I8" s="4"/>
      <c r="J8" s="32">
        <f>COUNTIF(TableFields[Field],Columns[[#This Row],[Column]])</f>
        <v>0</v>
      </c>
    </row>
    <row r="9" spans="1:10" x14ac:dyDescent="0.25">
      <c r="A9" s="4" t="s">
        <v>23</v>
      </c>
      <c r="B9" s="4" t="s">
        <v>797</v>
      </c>
      <c r="C9" s="4" t="s">
        <v>23</v>
      </c>
      <c r="D9" s="4">
        <v>64</v>
      </c>
      <c r="E9" s="4" t="s">
        <v>771</v>
      </c>
      <c r="F9" s="4" t="s">
        <v>770</v>
      </c>
      <c r="G9" s="4"/>
      <c r="H9" s="4"/>
      <c r="I9" s="4"/>
      <c r="J9" s="32">
        <f>COUNTIF(TableFields[Field],Columns[[#This Row],[Column]])</f>
        <v>10</v>
      </c>
    </row>
    <row r="10" spans="1:10" x14ac:dyDescent="0.25">
      <c r="A10" s="4" t="s">
        <v>24</v>
      </c>
      <c r="B10" s="4" t="s">
        <v>797</v>
      </c>
      <c r="C10" s="4" t="s">
        <v>24</v>
      </c>
      <c r="D10" s="4">
        <v>1024</v>
      </c>
      <c r="E10" s="4" t="s">
        <v>771</v>
      </c>
      <c r="F10" s="4"/>
      <c r="G10" s="4"/>
      <c r="H10" s="4"/>
      <c r="I10" s="4"/>
      <c r="J10" s="32">
        <f>COUNTIF(TableFields[Field],Columns[[#This Row],[Column]])</f>
        <v>2</v>
      </c>
    </row>
    <row r="11" spans="1:10" x14ac:dyDescent="0.25">
      <c r="A11" s="4" t="s">
        <v>772</v>
      </c>
      <c r="B11" s="4" t="s">
        <v>773</v>
      </c>
      <c r="C11" s="4" t="s">
        <v>35</v>
      </c>
      <c r="D11" s="4" t="s">
        <v>774</v>
      </c>
      <c r="E11" s="4" t="s">
        <v>771</v>
      </c>
      <c r="F11" s="4" t="s">
        <v>778</v>
      </c>
      <c r="G11" s="4"/>
      <c r="H11" s="4"/>
      <c r="I11" s="4"/>
      <c r="J11" s="32">
        <f>COUNTIF(TableFields[Field],Columns[[#This Row],[Column]])</f>
        <v>3</v>
      </c>
    </row>
    <row r="12" spans="1:10" x14ac:dyDescent="0.25">
      <c r="A12" s="4" t="s">
        <v>44</v>
      </c>
      <c r="B12" s="4" t="s">
        <v>797</v>
      </c>
      <c r="C12" s="4" t="s">
        <v>44</v>
      </c>
      <c r="D12" s="4">
        <v>256</v>
      </c>
      <c r="E12" s="4" t="s">
        <v>771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 x14ac:dyDescent="0.25">
      <c r="A13" s="4" t="s">
        <v>775</v>
      </c>
      <c r="B13" s="4" t="s">
        <v>773</v>
      </c>
      <c r="C13" s="4" t="s">
        <v>776</v>
      </c>
      <c r="D13" s="4" t="s">
        <v>777</v>
      </c>
      <c r="E13" s="4" t="s">
        <v>771</v>
      </c>
      <c r="F13" s="4" t="s">
        <v>779</v>
      </c>
      <c r="G13" s="4"/>
      <c r="H13" s="4"/>
      <c r="I13" s="4"/>
      <c r="J13" s="32">
        <f>COUNTIF(TableFields[Field],Columns[[#This Row],[Column]])</f>
        <v>14</v>
      </c>
    </row>
    <row r="14" spans="1:10" x14ac:dyDescent="0.25">
      <c r="A14" s="4" t="s">
        <v>1876</v>
      </c>
      <c r="B14" s="4" t="s">
        <v>773</v>
      </c>
      <c r="C14" s="4" t="s">
        <v>1877</v>
      </c>
      <c r="D14" s="4" t="s">
        <v>1878</v>
      </c>
      <c r="E14" s="4" t="s">
        <v>771</v>
      </c>
      <c r="F14" s="4" t="s">
        <v>1879</v>
      </c>
      <c r="G14" s="4"/>
      <c r="H14" s="4"/>
      <c r="I14" s="4"/>
      <c r="J14" s="32">
        <f>COUNTIF(TableFields[Field],Columns[[#This Row],[Column]])</f>
        <v>1</v>
      </c>
    </row>
    <row r="15" spans="1:10" x14ac:dyDescent="0.25">
      <c r="A15" s="2" t="s">
        <v>1855</v>
      </c>
      <c r="B15" s="2" t="s">
        <v>797</v>
      </c>
      <c r="C15" s="2" t="s">
        <v>1855</v>
      </c>
      <c r="D15" s="2">
        <v>256</v>
      </c>
      <c r="E15" s="4" t="s">
        <v>771</v>
      </c>
      <c r="F15" s="2"/>
      <c r="G15" s="2"/>
      <c r="H15" s="2"/>
      <c r="I15" s="2"/>
      <c r="J15" s="3">
        <f>COUNTIF(TableFields[Field],Columns[[#This Row],[Column]])</f>
        <v>1</v>
      </c>
    </row>
    <row r="16" spans="1:10" x14ac:dyDescent="0.25">
      <c r="A16" s="2" t="s">
        <v>1826</v>
      </c>
      <c r="B16" s="2" t="s">
        <v>797</v>
      </c>
      <c r="C16" s="2" t="s">
        <v>1826</v>
      </c>
      <c r="D16" s="2">
        <v>128</v>
      </c>
      <c r="E16" s="4" t="s">
        <v>771</v>
      </c>
      <c r="F16" s="2"/>
      <c r="G16" s="2"/>
      <c r="H16" s="2"/>
      <c r="I16" s="2"/>
      <c r="J16" s="3">
        <f>COUNTIF(TableFields[Field],Columns[[#This Row],[Column]])</f>
        <v>1</v>
      </c>
    </row>
    <row r="17" spans="1:10" x14ac:dyDescent="0.25">
      <c r="A17" s="4" t="s">
        <v>1871</v>
      </c>
      <c r="B17" s="2" t="s">
        <v>797</v>
      </c>
      <c r="C17" s="4" t="s">
        <v>1872</v>
      </c>
      <c r="D17" s="2">
        <v>128</v>
      </c>
      <c r="E17" s="4" t="s">
        <v>771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 x14ac:dyDescent="0.25">
      <c r="A18" s="2" t="s">
        <v>1827</v>
      </c>
      <c r="B18" s="2" t="s">
        <v>797</v>
      </c>
      <c r="C18" s="2" t="s">
        <v>1828</v>
      </c>
      <c r="D18" s="2">
        <v>128</v>
      </c>
      <c r="E18" s="4" t="s">
        <v>771</v>
      </c>
      <c r="F18" s="2"/>
      <c r="G18" s="2"/>
      <c r="H18" s="2"/>
      <c r="I18" s="2"/>
      <c r="J18" s="3">
        <f>COUNTIF(TableFields[Field],Columns[[#This Row],[Column]])</f>
        <v>1</v>
      </c>
    </row>
    <row r="19" spans="1:10" x14ac:dyDescent="0.25">
      <c r="A19" s="2" t="s">
        <v>1829</v>
      </c>
      <c r="B19" s="2" t="s">
        <v>1856</v>
      </c>
      <c r="C19" s="2" t="s">
        <v>1830</v>
      </c>
      <c r="D19" s="2"/>
      <c r="E19" s="4" t="s">
        <v>771</v>
      </c>
      <c r="F19" s="2" t="s">
        <v>1655</v>
      </c>
      <c r="G19" s="2"/>
      <c r="H19" s="2"/>
      <c r="I19" s="2"/>
      <c r="J19" s="3">
        <f>COUNTIF(TableFields[Field],Columns[[#This Row],[Column]])</f>
        <v>1</v>
      </c>
    </row>
    <row r="20" spans="1:10" x14ac:dyDescent="0.25">
      <c r="A20" s="4" t="s">
        <v>780</v>
      </c>
      <c r="B20" s="4" t="s">
        <v>781</v>
      </c>
      <c r="C20" s="4" t="s">
        <v>754</v>
      </c>
      <c r="D20" s="4" t="s">
        <v>758</v>
      </c>
      <c r="E20" s="4"/>
      <c r="F20" s="4"/>
      <c r="G20" s="4"/>
      <c r="H20" s="4"/>
      <c r="I20" s="4"/>
      <c r="J20" s="32">
        <f>COUNTIF(TableFields[Field],Columns[[#This Row],[Column]])</f>
        <v>2</v>
      </c>
    </row>
    <row r="21" spans="1:10" x14ac:dyDescent="0.25">
      <c r="A21" s="4" t="s">
        <v>783</v>
      </c>
      <c r="B21" s="4" t="s">
        <v>782</v>
      </c>
      <c r="C21" s="4" t="s">
        <v>64</v>
      </c>
      <c r="D21" s="4"/>
      <c r="E21" s="4"/>
      <c r="F21" s="4"/>
      <c r="G21" s="4"/>
      <c r="H21" s="4"/>
      <c r="I21" s="4"/>
      <c r="J21" s="32">
        <f>COUNTIF(TableFields[Field],Columns[[#This Row],[Column]])</f>
        <v>1</v>
      </c>
    </row>
    <row r="22" spans="1:10" x14ac:dyDescent="0.25">
      <c r="A22" s="4" t="s">
        <v>792</v>
      </c>
      <c r="B22" s="4" t="s">
        <v>784</v>
      </c>
      <c r="C22" s="4" t="s">
        <v>64</v>
      </c>
      <c r="D22" s="5"/>
      <c r="E22" s="4" t="s">
        <v>787</v>
      </c>
      <c r="F22" s="4" t="s">
        <v>789</v>
      </c>
      <c r="G22" s="4" t="s">
        <v>785</v>
      </c>
      <c r="H22" s="4" t="s">
        <v>786</v>
      </c>
      <c r="I22" s="4"/>
      <c r="J22" s="32">
        <f>COUNTIF(TableFields[Field],Columns[[#This Row],[Column]])</f>
        <v>1</v>
      </c>
    </row>
    <row r="23" spans="1:10" x14ac:dyDescent="0.25">
      <c r="A23" s="4" t="s">
        <v>865</v>
      </c>
      <c r="B23" s="4" t="s">
        <v>782</v>
      </c>
      <c r="C23" s="4" t="s">
        <v>64</v>
      </c>
      <c r="D23" s="4"/>
      <c r="E23" s="4" t="s">
        <v>771</v>
      </c>
      <c r="F23" s="4"/>
      <c r="G23" s="4"/>
      <c r="H23" s="4"/>
      <c r="I23" s="4"/>
      <c r="J23" s="32">
        <f>COUNTIF(TableFields[Field],Columns[[#This Row],[Column]])</f>
        <v>0</v>
      </c>
    </row>
    <row r="24" spans="1:10" x14ac:dyDescent="0.25">
      <c r="A24" s="4" t="s">
        <v>866</v>
      </c>
      <c r="B24" s="4" t="s">
        <v>784</v>
      </c>
      <c r="C24" s="4" t="s">
        <v>64</v>
      </c>
      <c r="D24" s="5"/>
      <c r="E24" s="4" t="s">
        <v>787</v>
      </c>
      <c r="F24" s="4" t="s">
        <v>789</v>
      </c>
      <c r="G24" s="4" t="s">
        <v>785</v>
      </c>
      <c r="H24" s="4" t="s">
        <v>788</v>
      </c>
      <c r="I24" s="4"/>
      <c r="J24" s="32">
        <f>COUNTIF(TableFields[Field],Columns[[#This Row],[Column]])</f>
        <v>0</v>
      </c>
    </row>
    <row r="25" spans="1:10" x14ac:dyDescent="0.25">
      <c r="A25" s="4" t="s">
        <v>791</v>
      </c>
      <c r="B25" s="4" t="s">
        <v>781</v>
      </c>
      <c r="C25" s="4" t="s">
        <v>756</v>
      </c>
      <c r="D25" s="4" t="s">
        <v>757</v>
      </c>
      <c r="E25" s="4"/>
      <c r="F25" s="4"/>
      <c r="G25" s="4"/>
      <c r="H25" s="4"/>
      <c r="I25" s="4"/>
      <c r="J25" s="32">
        <f>COUNTIF(TableFields[Field],Columns[[#This Row],[Column]])</f>
        <v>1</v>
      </c>
    </row>
    <row r="26" spans="1:10" x14ac:dyDescent="0.25">
      <c r="A26" s="4" t="s">
        <v>820</v>
      </c>
      <c r="B26" s="4" t="s">
        <v>793</v>
      </c>
      <c r="C26" s="4" t="s">
        <v>756</v>
      </c>
      <c r="D26" s="4" t="s">
        <v>757</v>
      </c>
      <c r="E26" s="4"/>
      <c r="F26" s="4"/>
      <c r="G26" s="4"/>
      <c r="H26" s="4"/>
      <c r="I26" s="4"/>
      <c r="J26" s="32">
        <f>COUNTIF(TableFields[Field],Columns[[#This Row],[Column]])</f>
        <v>6</v>
      </c>
    </row>
    <row r="27" spans="1:10" x14ac:dyDescent="0.25">
      <c r="A27" s="4" t="s">
        <v>880</v>
      </c>
      <c r="B27" s="4" t="s">
        <v>769</v>
      </c>
      <c r="C27" s="4" t="s">
        <v>881</v>
      </c>
      <c r="D27" s="4">
        <v>31</v>
      </c>
      <c r="E27" s="4" t="s">
        <v>771</v>
      </c>
      <c r="F27" s="4" t="s">
        <v>770</v>
      </c>
      <c r="G27" s="4"/>
      <c r="H27" s="4"/>
      <c r="I27" s="4"/>
      <c r="J27" s="32">
        <f>COUNTIF(TableFields[Field],Columns[[#This Row],[Column]])</f>
        <v>0</v>
      </c>
    </row>
    <row r="28" spans="1:10" x14ac:dyDescent="0.25">
      <c r="A28" s="4" t="s">
        <v>878</v>
      </c>
      <c r="B28" s="4" t="s">
        <v>793</v>
      </c>
      <c r="C28" s="4" t="s">
        <v>879</v>
      </c>
      <c r="D28" s="4" t="s">
        <v>761</v>
      </c>
      <c r="E28" s="4"/>
      <c r="F28" s="4"/>
      <c r="G28" s="4"/>
      <c r="H28" s="4"/>
      <c r="I28" s="4"/>
      <c r="J28" s="32">
        <f>COUNTIF(TableFields[Field],Columns[[#This Row],[Column]])</f>
        <v>0</v>
      </c>
    </row>
    <row r="29" spans="1:10" x14ac:dyDescent="0.25">
      <c r="A29" s="4" t="s">
        <v>795</v>
      </c>
      <c r="B29" s="4" t="s">
        <v>793</v>
      </c>
      <c r="C29" s="4" t="s">
        <v>794</v>
      </c>
      <c r="D29" s="4" t="s">
        <v>761</v>
      </c>
      <c r="E29" s="4"/>
      <c r="F29" s="4"/>
      <c r="G29" s="4"/>
      <c r="H29" s="4"/>
      <c r="I29" s="4"/>
      <c r="J29" s="32">
        <f>COUNTIF(TableFields[Field],Columns[[#This Row],[Column]])</f>
        <v>0</v>
      </c>
    </row>
    <row r="30" spans="1:10" x14ac:dyDescent="0.25">
      <c r="A30" s="4" t="s">
        <v>796</v>
      </c>
      <c r="B30" s="4" t="s">
        <v>797</v>
      </c>
      <c r="C30" s="4" t="s">
        <v>796</v>
      </c>
      <c r="D30" s="4">
        <v>1024</v>
      </c>
      <c r="E30" s="4" t="s">
        <v>771</v>
      </c>
      <c r="F30" s="4"/>
      <c r="G30" s="4"/>
      <c r="H30" s="4"/>
      <c r="I30" s="4"/>
      <c r="J30" s="32">
        <f>COUNTIF(TableFields[Field],Columns[[#This Row],[Column]])</f>
        <v>1</v>
      </c>
    </row>
    <row r="31" spans="1:10" x14ac:dyDescent="0.25">
      <c r="A31" s="4" t="s">
        <v>798</v>
      </c>
      <c r="B31" s="4" t="s">
        <v>797</v>
      </c>
      <c r="C31" s="4" t="s">
        <v>798</v>
      </c>
      <c r="D31" s="4">
        <v>1024</v>
      </c>
      <c r="E31" s="4" t="s">
        <v>771</v>
      </c>
      <c r="F31" s="4"/>
      <c r="G31" s="4"/>
      <c r="H31" s="4"/>
      <c r="I31" s="4"/>
      <c r="J31" s="32">
        <f>COUNTIF(TableFields[Field],Columns[[#This Row],[Column]])</f>
        <v>1</v>
      </c>
    </row>
    <row r="32" spans="1:10" x14ac:dyDescent="0.25">
      <c r="A32" s="4" t="s">
        <v>799</v>
      </c>
      <c r="B32" s="4" t="s">
        <v>797</v>
      </c>
      <c r="C32" s="4" t="s">
        <v>799</v>
      </c>
      <c r="D32" s="4">
        <v>1024</v>
      </c>
      <c r="E32" s="4" t="s">
        <v>771</v>
      </c>
      <c r="F32" s="5"/>
      <c r="G32" s="5"/>
      <c r="H32" s="5"/>
      <c r="I32" s="5"/>
      <c r="J32" s="32">
        <f>COUNTIF(TableFields[Field],Columns[[#This Row],[Column]])</f>
        <v>0</v>
      </c>
    </row>
    <row r="33" spans="1:10" x14ac:dyDescent="0.25">
      <c r="A33" s="4" t="s">
        <v>800</v>
      </c>
      <c r="B33" s="4" t="s">
        <v>797</v>
      </c>
      <c r="C33" s="4" t="s">
        <v>800</v>
      </c>
      <c r="D33" s="4">
        <v>1024</v>
      </c>
      <c r="E33" s="4" t="s">
        <v>771</v>
      </c>
      <c r="F33" s="5"/>
      <c r="G33" s="5"/>
      <c r="H33" s="5"/>
      <c r="I33" s="5"/>
      <c r="J33" s="32">
        <f>COUNTIF(TableFields[Field],Columns[[#This Row],[Column]])</f>
        <v>0</v>
      </c>
    </row>
    <row r="34" spans="1:10" x14ac:dyDescent="0.25">
      <c r="A34" s="4" t="s">
        <v>801</v>
      </c>
      <c r="B34" s="4" t="s">
        <v>797</v>
      </c>
      <c r="C34" s="4" t="s">
        <v>801</v>
      </c>
      <c r="D34" s="4">
        <v>1024</v>
      </c>
      <c r="E34" s="4" t="s">
        <v>771</v>
      </c>
      <c r="F34" s="5"/>
      <c r="G34" s="5"/>
      <c r="H34" s="5"/>
      <c r="I34" s="5"/>
      <c r="J34" s="32">
        <f>COUNTIF(TableFields[Field],Columns[[#This Row],[Column]])</f>
        <v>0</v>
      </c>
    </row>
    <row r="35" spans="1:10" x14ac:dyDescent="0.25">
      <c r="A35" s="4" t="s">
        <v>802</v>
      </c>
      <c r="B35" s="4" t="s">
        <v>797</v>
      </c>
      <c r="C35" s="4" t="s">
        <v>802</v>
      </c>
      <c r="D35" s="4">
        <v>1024</v>
      </c>
      <c r="E35" s="4" t="s">
        <v>771</v>
      </c>
      <c r="F35" s="5"/>
      <c r="G35" s="5"/>
      <c r="H35" s="5"/>
      <c r="I35" s="5"/>
      <c r="J35" s="32">
        <f>COUNTIF(TableFields[Field],Columns[[#This Row],[Column]])</f>
        <v>0</v>
      </c>
    </row>
    <row r="36" spans="1:10" x14ac:dyDescent="0.25">
      <c r="A36" s="4" t="s">
        <v>803</v>
      </c>
      <c r="B36" s="4" t="s">
        <v>797</v>
      </c>
      <c r="C36" s="4" t="s">
        <v>803</v>
      </c>
      <c r="D36" s="4">
        <v>1024</v>
      </c>
      <c r="E36" s="4" t="s">
        <v>771</v>
      </c>
      <c r="F36" s="5"/>
      <c r="G36" s="5"/>
      <c r="H36" s="5"/>
      <c r="I36" s="5"/>
      <c r="J36" s="32">
        <f>COUNTIF(TableFields[Field],Columns[[#This Row],[Column]])</f>
        <v>0</v>
      </c>
    </row>
    <row r="37" spans="1:10" x14ac:dyDescent="0.25">
      <c r="A37" s="4" t="s">
        <v>804</v>
      </c>
      <c r="B37" s="4" t="s">
        <v>797</v>
      </c>
      <c r="C37" s="4" t="s">
        <v>804</v>
      </c>
      <c r="D37" s="4">
        <v>1024</v>
      </c>
      <c r="E37" s="4" t="s">
        <v>771</v>
      </c>
      <c r="F37" s="5"/>
      <c r="G37" s="5"/>
      <c r="H37" s="5"/>
      <c r="I37" s="5"/>
      <c r="J37" s="32">
        <f>COUNTIF(TableFields[Field],Columns[[#This Row],[Column]])</f>
        <v>0</v>
      </c>
    </row>
    <row r="38" spans="1:10" x14ac:dyDescent="0.25">
      <c r="A38" s="4" t="s">
        <v>805</v>
      </c>
      <c r="B38" s="4" t="s">
        <v>797</v>
      </c>
      <c r="C38" s="4" t="s">
        <v>805</v>
      </c>
      <c r="D38" s="4">
        <v>1024</v>
      </c>
      <c r="E38" s="4" t="s">
        <v>771</v>
      </c>
      <c r="F38" s="5"/>
      <c r="G38" s="5"/>
      <c r="H38" s="5"/>
      <c r="I38" s="5"/>
      <c r="J38" s="32">
        <f>COUNTIF(TableFields[Field],Columns[[#This Row],[Column]])</f>
        <v>0</v>
      </c>
    </row>
    <row r="39" spans="1:10" x14ac:dyDescent="0.25">
      <c r="A39" s="4" t="s">
        <v>806</v>
      </c>
      <c r="B39" s="4" t="s">
        <v>797</v>
      </c>
      <c r="C39" s="4" t="s">
        <v>806</v>
      </c>
      <c r="D39" s="4">
        <v>1024</v>
      </c>
      <c r="E39" s="4" t="s">
        <v>771</v>
      </c>
      <c r="F39" s="5"/>
      <c r="G39" s="5"/>
      <c r="H39" s="5"/>
      <c r="I39" s="5"/>
      <c r="J39" s="32">
        <f>COUNTIF(TableFields[Field],Columns[[#This Row],[Column]])</f>
        <v>0</v>
      </c>
    </row>
    <row r="40" spans="1:10" x14ac:dyDescent="0.25">
      <c r="A40" s="4" t="s">
        <v>807</v>
      </c>
      <c r="B40" s="4" t="s">
        <v>769</v>
      </c>
      <c r="C40" s="4" t="s">
        <v>807</v>
      </c>
      <c r="D40" s="4">
        <v>15</v>
      </c>
      <c r="E40" s="4" t="s">
        <v>771</v>
      </c>
      <c r="F40" s="5"/>
      <c r="G40" s="5"/>
      <c r="H40" s="5"/>
      <c r="I40" s="5"/>
      <c r="J40" s="32">
        <f>COUNTIF(TableFields[Field],Columns[[#This Row],[Column]])</f>
        <v>1</v>
      </c>
    </row>
    <row r="41" spans="1:10" x14ac:dyDescent="0.25">
      <c r="A41" s="4" t="s">
        <v>808</v>
      </c>
      <c r="B41" s="4" t="s">
        <v>769</v>
      </c>
      <c r="C41" s="4" t="s">
        <v>808</v>
      </c>
      <c r="D41" s="4">
        <v>30</v>
      </c>
      <c r="E41" s="4" t="s">
        <v>771</v>
      </c>
      <c r="F41" s="5"/>
      <c r="G41" s="5"/>
      <c r="H41" s="5"/>
      <c r="I41" s="5"/>
      <c r="J41" s="32">
        <f>COUNTIF(TableFields[Field],Columns[[#This Row],[Column]])</f>
        <v>1</v>
      </c>
    </row>
    <row r="42" spans="1:10" x14ac:dyDescent="0.25">
      <c r="A42" s="4" t="s">
        <v>809</v>
      </c>
      <c r="B42" s="4" t="s">
        <v>797</v>
      </c>
      <c r="C42" s="4" t="s">
        <v>809</v>
      </c>
      <c r="D42" s="4">
        <v>128</v>
      </c>
      <c r="E42" s="4" t="s">
        <v>771</v>
      </c>
      <c r="F42" s="5"/>
      <c r="G42" s="5"/>
      <c r="H42" s="5"/>
      <c r="I42" s="5"/>
      <c r="J42" s="32">
        <f>COUNTIF(TableFields[Field],Columns[[#This Row],[Column]])</f>
        <v>1</v>
      </c>
    </row>
    <row r="43" spans="1:10" x14ac:dyDescent="0.25">
      <c r="A43" s="4" t="s">
        <v>1679</v>
      </c>
      <c r="B43" s="4" t="s">
        <v>793</v>
      </c>
      <c r="C43" s="4" t="s">
        <v>1679</v>
      </c>
      <c r="D43" s="4" t="s">
        <v>1677</v>
      </c>
      <c r="E43" s="4"/>
      <c r="F43" s="4"/>
      <c r="G43" s="4"/>
      <c r="H43" s="4"/>
      <c r="I43" s="4"/>
      <c r="J43" s="32">
        <f>COUNTIF(TableFields[Field],Columns[[#This Row],[Column]])</f>
        <v>1</v>
      </c>
    </row>
    <row r="44" spans="1:10" x14ac:dyDescent="0.25">
      <c r="A44" s="4" t="s">
        <v>1680</v>
      </c>
      <c r="B44" s="4" t="s">
        <v>793</v>
      </c>
      <c r="C44" s="4" t="s">
        <v>1680</v>
      </c>
      <c r="D44" s="4" t="s">
        <v>1677</v>
      </c>
      <c r="E44" s="4"/>
      <c r="F44" s="4"/>
      <c r="G44" s="4"/>
      <c r="H44" s="4"/>
      <c r="I44" s="4"/>
      <c r="J44" s="32">
        <f>COUNTIF(TableFields[Field],Columns[[#This Row],[Column]])</f>
        <v>1</v>
      </c>
    </row>
    <row r="45" spans="1:10" x14ac:dyDescent="0.25">
      <c r="A45" s="4" t="s">
        <v>1681</v>
      </c>
      <c r="B45" s="4" t="s">
        <v>793</v>
      </c>
      <c r="C45" s="5" t="s">
        <v>1681</v>
      </c>
      <c r="D45" s="4" t="s">
        <v>1677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 x14ac:dyDescent="0.25">
      <c r="A46" s="4" t="s">
        <v>1682</v>
      </c>
      <c r="B46" s="4" t="s">
        <v>793</v>
      </c>
      <c r="C46" s="5" t="s">
        <v>1682</v>
      </c>
      <c r="D46" s="4" t="s">
        <v>1677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 x14ac:dyDescent="0.25">
      <c r="A47" s="4" t="s">
        <v>1683</v>
      </c>
      <c r="B47" s="4" t="s">
        <v>793</v>
      </c>
      <c r="C47" s="5" t="s">
        <v>1683</v>
      </c>
      <c r="D47" s="4" t="s">
        <v>1677</v>
      </c>
      <c r="E47" s="5"/>
      <c r="F47" s="5"/>
      <c r="G47" s="5"/>
      <c r="H47" s="5"/>
      <c r="I47" s="5"/>
      <c r="J47" s="32">
        <f>COUNTIF(TableFields[Field],Columns[[#This Row],[Column]])</f>
        <v>1</v>
      </c>
    </row>
    <row r="48" spans="1:10" x14ac:dyDescent="0.25">
      <c r="A48" s="4" t="s">
        <v>1684</v>
      </c>
      <c r="B48" s="4" t="s">
        <v>793</v>
      </c>
      <c r="C48" s="5" t="s">
        <v>1684</v>
      </c>
      <c r="D48" s="4" t="s">
        <v>1677</v>
      </c>
      <c r="E48" s="5"/>
      <c r="F48" s="5"/>
      <c r="G48" s="5"/>
      <c r="H48" s="5"/>
      <c r="I48" s="5"/>
      <c r="J48" s="32">
        <f>COUNTIF(TableFields[Field],Columns[[#This Row],[Column]])</f>
        <v>1</v>
      </c>
    </row>
    <row r="49" spans="1:10" x14ac:dyDescent="0.25">
      <c r="A49" s="4" t="s">
        <v>1685</v>
      </c>
      <c r="B49" s="4" t="s">
        <v>793</v>
      </c>
      <c r="C49" s="5" t="s">
        <v>1685</v>
      </c>
      <c r="D49" s="4" t="s">
        <v>1677</v>
      </c>
      <c r="E49" s="5"/>
      <c r="F49" s="5"/>
      <c r="G49" s="5"/>
      <c r="H49" s="5"/>
      <c r="I49" s="5"/>
      <c r="J49" s="32">
        <f>COUNTIF(TableFields[Field],Columns[[#This Row],[Column]])</f>
        <v>1</v>
      </c>
    </row>
    <row r="50" spans="1:10" x14ac:dyDescent="0.25">
      <c r="A50" s="4" t="s">
        <v>1686</v>
      </c>
      <c r="B50" s="4" t="s">
        <v>793</v>
      </c>
      <c r="C50" s="5" t="s">
        <v>1686</v>
      </c>
      <c r="D50" s="4" t="s">
        <v>1677</v>
      </c>
      <c r="E50" s="5"/>
      <c r="F50" s="5"/>
      <c r="G50" s="5"/>
      <c r="H50" s="5"/>
      <c r="I50" s="5"/>
      <c r="J50" s="32">
        <f>COUNTIF(TableFields[Field],Columns[[#This Row],[Column]])</f>
        <v>1</v>
      </c>
    </row>
    <row r="51" spans="1:10" x14ac:dyDescent="0.25">
      <c r="A51" s="4" t="s">
        <v>1687</v>
      </c>
      <c r="B51" s="4" t="s">
        <v>793</v>
      </c>
      <c r="C51" s="5" t="s">
        <v>1687</v>
      </c>
      <c r="D51" s="4" t="s">
        <v>1677</v>
      </c>
      <c r="E51" s="5"/>
      <c r="F51" s="5"/>
      <c r="G51" s="5"/>
      <c r="H51" s="5"/>
      <c r="I51" s="5"/>
      <c r="J51" s="32">
        <f>COUNTIF(TableFields[Field],Columns[[#This Row],[Column]])</f>
        <v>1</v>
      </c>
    </row>
    <row r="52" spans="1:10" x14ac:dyDescent="0.25">
      <c r="A52" s="4" t="s">
        <v>1688</v>
      </c>
      <c r="B52" s="4" t="s">
        <v>793</v>
      </c>
      <c r="C52" s="5" t="s">
        <v>1688</v>
      </c>
      <c r="D52" s="4" t="s">
        <v>1677</v>
      </c>
      <c r="E52" s="5"/>
      <c r="F52" s="5"/>
      <c r="G52" s="5"/>
      <c r="H52" s="5"/>
      <c r="I52" s="5"/>
      <c r="J52" s="32">
        <f>COUNTIF(TableFields[Field],Columns[[#This Row],[Column]])</f>
        <v>1</v>
      </c>
    </row>
    <row r="53" spans="1:10" x14ac:dyDescent="0.25">
      <c r="A53" s="4" t="s">
        <v>1695</v>
      </c>
      <c r="B53" s="4" t="s">
        <v>817</v>
      </c>
      <c r="C53" s="5" t="s">
        <v>1695</v>
      </c>
      <c r="D53" s="4" t="s">
        <v>818</v>
      </c>
      <c r="E53" s="5" t="s">
        <v>1254</v>
      </c>
      <c r="F53" s="5"/>
      <c r="G53" s="5"/>
      <c r="H53" s="5"/>
      <c r="I53" s="5"/>
      <c r="J53" s="32">
        <f>COUNTIF(TableFields[Field],Columns[[#This Row],[Column]])</f>
        <v>1</v>
      </c>
    </row>
    <row r="54" spans="1:10" x14ac:dyDescent="0.25">
      <c r="A54" s="4" t="s">
        <v>1696</v>
      </c>
      <c r="B54" s="4" t="s">
        <v>817</v>
      </c>
      <c r="C54" s="5" t="s">
        <v>1696</v>
      </c>
      <c r="D54" s="4" t="s">
        <v>818</v>
      </c>
      <c r="E54" s="5" t="s">
        <v>1254</v>
      </c>
      <c r="F54" s="5"/>
      <c r="G54" s="5"/>
      <c r="H54" s="5"/>
      <c r="I54" s="5"/>
      <c r="J54" s="32">
        <f>COUNTIF(TableFields[Field],Columns[[#This Row],[Column]])</f>
        <v>1</v>
      </c>
    </row>
    <row r="55" spans="1:10" x14ac:dyDescent="0.25">
      <c r="A55" s="4" t="s">
        <v>1673</v>
      </c>
      <c r="B55" s="4" t="s">
        <v>817</v>
      </c>
      <c r="C55" s="5" t="s">
        <v>1673</v>
      </c>
      <c r="D55" s="4" t="s">
        <v>818</v>
      </c>
      <c r="E55" s="5" t="s">
        <v>1254</v>
      </c>
      <c r="F55" s="5"/>
      <c r="G55" s="5"/>
      <c r="H55" s="5"/>
      <c r="I55" s="5"/>
      <c r="J55" s="32">
        <f>COUNTIF(TableFields[Field],Columns[[#This Row],[Column]])</f>
        <v>1</v>
      </c>
    </row>
    <row r="56" spans="1:10" x14ac:dyDescent="0.25">
      <c r="A56" s="4" t="s">
        <v>1674</v>
      </c>
      <c r="B56" s="4" t="s">
        <v>817</v>
      </c>
      <c r="C56" s="5" t="s">
        <v>1674</v>
      </c>
      <c r="D56" s="4" t="s">
        <v>818</v>
      </c>
      <c r="E56" s="5" t="s">
        <v>1254</v>
      </c>
      <c r="F56" s="5"/>
      <c r="G56" s="5"/>
      <c r="H56" s="5"/>
      <c r="I56" s="5"/>
      <c r="J56" s="32">
        <f>COUNTIF(TableFields[Field],Columns[[#This Row],[Column]])</f>
        <v>1</v>
      </c>
    </row>
    <row r="57" spans="1:10" x14ac:dyDescent="0.25">
      <c r="A57" s="4" t="s">
        <v>811</v>
      </c>
      <c r="B57" s="4" t="s">
        <v>781</v>
      </c>
      <c r="C57" s="4" t="s">
        <v>762</v>
      </c>
      <c r="D57" s="4" t="s">
        <v>762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 x14ac:dyDescent="0.25">
      <c r="A58" s="4" t="s">
        <v>1825</v>
      </c>
      <c r="B58" s="4" t="s">
        <v>793</v>
      </c>
      <c r="C58" s="4" t="s">
        <v>762</v>
      </c>
      <c r="D58" s="4" t="s">
        <v>762</v>
      </c>
      <c r="E58" s="4"/>
      <c r="F58" s="4"/>
      <c r="G58" s="4"/>
      <c r="H58" s="4"/>
      <c r="I58" s="4"/>
      <c r="J58" s="32">
        <f>COUNTIF(TableFields[Field],Columns[[#This Row],[Column]])</f>
        <v>1</v>
      </c>
    </row>
    <row r="59" spans="1:10" x14ac:dyDescent="0.25">
      <c r="A59" s="4" t="s">
        <v>812</v>
      </c>
      <c r="B59" s="4" t="s">
        <v>781</v>
      </c>
      <c r="C59" s="4" t="s">
        <v>813</v>
      </c>
      <c r="D59" s="4" t="s">
        <v>760</v>
      </c>
      <c r="E59" s="4"/>
      <c r="F59" s="4"/>
      <c r="G59" s="4"/>
      <c r="H59" s="4"/>
      <c r="I59" s="4"/>
      <c r="J59" s="32">
        <f>COUNTIF(TableFields[Field],Columns[[#This Row],[Column]])</f>
        <v>2</v>
      </c>
    </row>
    <row r="60" spans="1:10" x14ac:dyDescent="0.25">
      <c r="A60" s="4" t="s">
        <v>821</v>
      </c>
      <c r="B60" s="4" t="s">
        <v>793</v>
      </c>
      <c r="C60" s="4" t="s">
        <v>813</v>
      </c>
      <c r="D60" s="4" t="s">
        <v>760</v>
      </c>
      <c r="E60" s="4"/>
      <c r="F60" s="4"/>
      <c r="G60" s="4"/>
      <c r="H60" s="4"/>
      <c r="I60" s="4"/>
      <c r="J60" s="32">
        <f>COUNTIF(TableFields[Field],Columns[[#This Row],[Column]])</f>
        <v>3</v>
      </c>
    </row>
    <row r="61" spans="1:10" x14ac:dyDescent="0.25">
      <c r="A61" s="4" t="s">
        <v>814</v>
      </c>
      <c r="B61" s="4" t="s">
        <v>817</v>
      </c>
      <c r="C61" s="4" t="s">
        <v>814</v>
      </c>
      <c r="D61" s="4" t="s">
        <v>818</v>
      </c>
      <c r="E61" s="4" t="s">
        <v>819</v>
      </c>
      <c r="F61" s="4"/>
      <c r="G61" s="4"/>
      <c r="H61" s="4"/>
      <c r="I61" s="4"/>
      <c r="J61" s="32">
        <f>COUNTIF(TableFields[Field],Columns[[#This Row],[Column]])</f>
        <v>1</v>
      </c>
    </row>
    <row r="62" spans="1:10" x14ac:dyDescent="0.25">
      <c r="A62" s="4" t="s">
        <v>815</v>
      </c>
      <c r="B62" s="4" t="s">
        <v>817</v>
      </c>
      <c r="C62" s="4" t="s">
        <v>815</v>
      </c>
      <c r="D62" s="4" t="s">
        <v>818</v>
      </c>
      <c r="E62" s="4" t="s">
        <v>819</v>
      </c>
      <c r="F62" s="4"/>
      <c r="G62" s="4"/>
      <c r="H62" s="4"/>
      <c r="I62" s="4"/>
      <c r="J62" s="32">
        <f>COUNTIF(TableFields[Field],Columns[[#This Row],[Column]])</f>
        <v>1</v>
      </c>
    </row>
    <row r="63" spans="1:10" x14ac:dyDescent="0.25">
      <c r="A63" s="4" t="s">
        <v>816</v>
      </c>
      <c r="B63" s="4" t="s">
        <v>817</v>
      </c>
      <c r="C63" s="4" t="s">
        <v>816</v>
      </c>
      <c r="D63" s="4" t="s">
        <v>818</v>
      </c>
      <c r="E63" s="4" t="s">
        <v>819</v>
      </c>
      <c r="F63" s="4"/>
      <c r="G63" s="4"/>
      <c r="H63" s="4"/>
      <c r="I63" s="4"/>
      <c r="J63" s="32">
        <f>COUNTIF(TableFields[Field],Columns[[#This Row],[Column]])</f>
        <v>1</v>
      </c>
    </row>
    <row r="64" spans="1:10" x14ac:dyDescent="0.25">
      <c r="A64" s="4" t="s">
        <v>822</v>
      </c>
      <c r="B64" s="4" t="s">
        <v>773</v>
      </c>
      <c r="C64" s="4" t="s">
        <v>823</v>
      </c>
      <c r="D64" s="4" t="s">
        <v>825</v>
      </c>
      <c r="E64" s="4" t="s">
        <v>824</v>
      </c>
      <c r="F64" s="4"/>
      <c r="G64" s="4"/>
      <c r="H64" s="4"/>
      <c r="I64" s="4"/>
      <c r="J64" s="32">
        <f>COUNTIF(TableFields[Field],Columns[[#This Row],[Column]])</f>
        <v>2</v>
      </c>
    </row>
    <row r="65" spans="1:10" x14ac:dyDescent="0.25">
      <c r="A65" s="4" t="s">
        <v>826</v>
      </c>
      <c r="B65" s="4" t="s">
        <v>817</v>
      </c>
      <c r="C65" s="4" t="s">
        <v>826</v>
      </c>
      <c r="D65" s="4" t="s">
        <v>818</v>
      </c>
      <c r="E65" s="4" t="s">
        <v>827</v>
      </c>
      <c r="F65" s="4"/>
      <c r="G65" s="4"/>
      <c r="H65" s="4"/>
      <c r="I65" s="4"/>
      <c r="J65" s="32">
        <f>COUNTIF(TableFields[Field],Columns[[#This Row],[Column]])</f>
        <v>3</v>
      </c>
    </row>
    <row r="66" spans="1:10" x14ac:dyDescent="0.25">
      <c r="A66" s="4" t="s">
        <v>829</v>
      </c>
      <c r="B66" s="4" t="s">
        <v>793</v>
      </c>
      <c r="C66" s="4" t="s">
        <v>830</v>
      </c>
      <c r="D66" s="4" t="s">
        <v>828</v>
      </c>
      <c r="E66" s="4"/>
      <c r="F66" s="4"/>
      <c r="G66" s="4"/>
      <c r="H66" s="4"/>
      <c r="I66" s="4"/>
      <c r="J66" s="32">
        <f>COUNTIF(TableFields[Field],Columns[[#This Row],[Column]])</f>
        <v>0</v>
      </c>
    </row>
    <row r="67" spans="1:10" x14ac:dyDescent="0.25">
      <c r="A67" s="4" t="s">
        <v>831</v>
      </c>
      <c r="B67" s="4" t="s">
        <v>832</v>
      </c>
      <c r="C67" s="4" t="s">
        <v>833</v>
      </c>
      <c r="D67" s="4"/>
      <c r="E67" s="4" t="s">
        <v>834</v>
      </c>
      <c r="F67" s="4"/>
      <c r="G67" s="4"/>
      <c r="H67" s="4"/>
      <c r="I67" s="4"/>
      <c r="J67" s="32">
        <f>COUNTIF(TableFields[Field],Columns[[#This Row],[Column]])</f>
        <v>3</v>
      </c>
    </row>
    <row r="68" spans="1:10" x14ac:dyDescent="0.25">
      <c r="A68" s="4" t="s">
        <v>836</v>
      </c>
      <c r="B68" s="4" t="s">
        <v>793</v>
      </c>
      <c r="C68" s="4" t="s">
        <v>35</v>
      </c>
      <c r="D68" s="4" t="s">
        <v>835</v>
      </c>
      <c r="E68" s="4"/>
      <c r="F68" s="4"/>
      <c r="G68" s="4"/>
      <c r="H68" s="4"/>
      <c r="I68" s="4"/>
      <c r="J68" s="32">
        <f>COUNTIF(TableFields[Field],Columns[[#This Row],[Column]])</f>
        <v>0</v>
      </c>
    </row>
    <row r="69" spans="1:10" x14ac:dyDescent="0.25">
      <c r="A69" s="4" t="s">
        <v>837</v>
      </c>
      <c r="B69" s="4" t="s">
        <v>769</v>
      </c>
      <c r="C69" s="4" t="s">
        <v>837</v>
      </c>
      <c r="D69" s="4">
        <v>20</v>
      </c>
      <c r="E69" s="4" t="s">
        <v>771</v>
      </c>
      <c r="F69" s="4" t="s">
        <v>770</v>
      </c>
      <c r="G69" s="4"/>
      <c r="H69" s="4"/>
      <c r="I69" s="4"/>
      <c r="J69" s="32">
        <f>COUNTIF(TableFields[Field],Columns[[#This Row],[Column]])</f>
        <v>5</v>
      </c>
    </row>
    <row r="70" spans="1:10" x14ac:dyDescent="0.25">
      <c r="A70" s="4" t="s">
        <v>838</v>
      </c>
      <c r="B70" s="4" t="s">
        <v>782</v>
      </c>
      <c r="C70" s="4" t="s">
        <v>838</v>
      </c>
      <c r="D70" s="4"/>
      <c r="E70" s="4" t="s">
        <v>771</v>
      </c>
      <c r="F70" s="4" t="s">
        <v>770</v>
      </c>
      <c r="G70" s="4"/>
      <c r="H70" s="4"/>
      <c r="I70" s="4"/>
      <c r="J70" s="32">
        <f>COUNTIF(TableFields[Field],Columns[[#This Row],[Column]])</f>
        <v>0</v>
      </c>
    </row>
    <row r="71" spans="1:10" x14ac:dyDescent="0.25">
      <c r="A71" s="4" t="s">
        <v>846</v>
      </c>
      <c r="B71" s="4" t="s">
        <v>784</v>
      </c>
      <c r="C71" s="4" t="s">
        <v>838</v>
      </c>
      <c r="D71" s="4"/>
      <c r="E71" s="4" t="s">
        <v>787</v>
      </c>
      <c r="F71" s="4" t="s">
        <v>789</v>
      </c>
      <c r="G71" s="4" t="s">
        <v>785</v>
      </c>
      <c r="H71" s="4" t="s">
        <v>788</v>
      </c>
      <c r="I71" s="4"/>
      <c r="J71" s="32">
        <f>COUNTIF(TableFields[Field],Columns[[#This Row],[Column]])</f>
        <v>0</v>
      </c>
    </row>
    <row r="72" spans="1:10" x14ac:dyDescent="0.25">
      <c r="A72" s="4" t="s">
        <v>839</v>
      </c>
      <c r="B72" s="4" t="s">
        <v>782</v>
      </c>
      <c r="C72" s="4" t="s">
        <v>839</v>
      </c>
      <c r="D72" s="4"/>
      <c r="E72" s="4" t="s">
        <v>771</v>
      </c>
      <c r="F72" s="4" t="s">
        <v>770</v>
      </c>
      <c r="G72" s="4"/>
      <c r="H72" s="4"/>
      <c r="I72" s="4"/>
      <c r="J72" s="32">
        <f>COUNTIF(TableFields[Field],Columns[[#This Row],[Column]])</f>
        <v>0</v>
      </c>
    </row>
    <row r="73" spans="1:10" x14ac:dyDescent="0.25">
      <c r="A73" s="4" t="s">
        <v>847</v>
      </c>
      <c r="B73" s="4" t="s">
        <v>784</v>
      </c>
      <c r="C73" s="4" t="s">
        <v>839</v>
      </c>
      <c r="D73" s="4"/>
      <c r="E73" s="4" t="s">
        <v>787</v>
      </c>
      <c r="F73" s="4" t="s">
        <v>789</v>
      </c>
      <c r="G73" s="4" t="s">
        <v>785</v>
      </c>
      <c r="H73" s="4" t="s">
        <v>788</v>
      </c>
      <c r="I73" s="4"/>
      <c r="J73" s="32">
        <f>COUNTIF(TableFields[Field],Columns[[#This Row],[Column]])</f>
        <v>0</v>
      </c>
    </row>
    <row r="74" spans="1:10" x14ac:dyDescent="0.25">
      <c r="A74" s="4" t="s">
        <v>840</v>
      </c>
      <c r="B74" s="4" t="s">
        <v>781</v>
      </c>
      <c r="C74" s="4" t="s">
        <v>765</v>
      </c>
      <c r="D74" s="4" t="s">
        <v>765</v>
      </c>
      <c r="E74" s="4"/>
      <c r="F74" s="4"/>
      <c r="G74" s="4"/>
      <c r="H74" s="4"/>
      <c r="I74" s="4"/>
      <c r="J74" s="32">
        <f>COUNTIF(TableFields[Field],Columns[[#This Row],[Column]])</f>
        <v>0</v>
      </c>
    </row>
    <row r="75" spans="1:10" x14ac:dyDescent="0.25">
      <c r="A75" s="4" t="s">
        <v>841</v>
      </c>
      <c r="B75" s="4" t="s">
        <v>781</v>
      </c>
      <c r="C75" s="4" t="s">
        <v>841</v>
      </c>
      <c r="D75" s="4" t="s">
        <v>764</v>
      </c>
      <c r="E75" s="4"/>
      <c r="F75" s="4"/>
      <c r="G75" s="4"/>
      <c r="H75" s="4"/>
      <c r="I75" s="4"/>
      <c r="J75" s="32">
        <f>COUNTIF(TableFields[Field],Columns[[#This Row],[Column]])</f>
        <v>0</v>
      </c>
    </row>
    <row r="76" spans="1:10" x14ac:dyDescent="0.25">
      <c r="A76" s="4" t="s">
        <v>842</v>
      </c>
      <c r="B76" s="4" t="s">
        <v>781</v>
      </c>
      <c r="C76" s="4" t="s">
        <v>766</v>
      </c>
      <c r="D76" s="4" t="s">
        <v>766</v>
      </c>
      <c r="E76" s="4"/>
      <c r="F76" s="4"/>
      <c r="G76" s="4"/>
      <c r="H76" s="4"/>
      <c r="I76" s="4"/>
      <c r="J76" s="32">
        <f>COUNTIF(TableFields[Field],Columns[[#This Row],[Column]])</f>
        <v>0</v>
      </c>
    </row>
    <row r="77" spans="1:10" x14ac:dyDescent="0.25">
      <c r="A77" s="4" t="s">
        <v>843</v>
      </c>
      <c r="B77" s="4" t="s">
        <v>773</v>
      </c>
      <c r="C77" s="4" t="s">
        <v>843</v>
      </c>
      <c r="D77" s="4" t="s">
        <v>844</v>
      </c>
      <c r="E77" s="4" t="s">
        <v>819</v>
      </c>
      <c r="F77" s="4" t="s">
        <v>770</v>
      </c>
      <c r="G77" s="4"/>
      <c r="H77" s="4"/>
      <c r="I77" s="4"/>
      <c r="J77" s="32">
        <f>COUNTIF(TableFields[Field],Columns[[#This Row],[Column]])</f>
        <v>0</v>
      </c>
    </row>
    <row r="78" spans="1:10" x14ac:dyDescent="0.25">
      <c r="A78" s="4" t="s">
        <v>845</v>
      </c>
      <c r="B78" s="4" t="s">
        <v>782</v>
      </c>
      <c r="C78" s="4" t="s">
        <v>845</v>
      </c>
      <c r="D78" s="4"/>
      <c r="E78" s="4" t="s">
        <v>771</v>
      </c>
      <c r="F78" s="4"/>
      <c r="G78" s="4"/>
      <c r="H78" s="4"/>
      <c r="I78" s="4"/>
      <c r="J78" s="32">
        <f>COUNTIF(TableFields[Field],Columns[[#This Row],[Column]])</f>
        <v>0</v>
      </c>
    </row>
    <row r="79" spans="1:10" x14ac:dyDescent="0.25">
      <c r="A79" s="4" t="s">
        <v>848</v>
      </c>
      <c r="B79" s="4" t="s">
        <v>784</v>
      </c>
      <c r="C79" s="4" t="s">
        <v>845</v>
      </c>
      <c r="D79" s="4"/>
      <c r="E79" s="4" t="s">
        <v>787</v>
      </c>
      <c r="F79" s="4" t="s">
        <v>789</v>
      </c>
      <c r="G79" s="4" t="s">
        <v>785</v>
      </c>
      <c r="H79" s="4" t="s">
        <v>788</v>
      </c>
      <c r="I79" s="4"/>
      <c r="J79" s="32">
        <f>COUNTIF(TableFields[Field],Columns[[#This Row],[Column]])</f>
        <v>0</v>
      </c>
    </row>
    <row r="80" spans="1:10" x14ac:dyDescent="0.25">
      <c r="A80" s="4" t="s">
        <v>849</v>
      </c>
      <c r="B80" s="4" t="s">
        <v>781</v>
      </c>
      <c r="C80" s="4" t="s">
        <v>767</v>
      </c>
      <c r="D80" s="4" t="s">
        <v>767</v>
      </c>
      <c r="E80" s="4"/>
      <c r="F80" s="4"/>
      <c r="G80" s="4"/>
      <c r="H80" s="4"/>
      <c r="I80" s="4"/>
      <c r="J80" s="32">
        <f>COUNTIF(TableFields[Field],Columns[[#This Row],[Column]])</f>
        <v>0</v>
      </c>
    </row>
    <row r="81" spans="1:10" x14ac:dyDescent="0.25">
      <c r="A81" s="4" t="s">
        <v>851</v>
      </c>
      <c r="B81" s="4" t="s">
        <v>797</v>
      </c>
      <c r="C81" s="4" t="s">
        <v>852</v>
      </c>
      <c r="D81" s="4">
        <v>30</v>
      </c>
      <c r="E81" s="4" t="s">
        <v>771</v>
      </c>
      <c r="F81" s="4" t="s">
        <v>853</v>
      </c>
      <c r="G81" s="4"/>
      <c r="H81" s="4"/>
      <c r="I81" s="4"/>
      <c r="J81" s="32">
        <f>COUNTIF(TableFields[Field],Columns[[#This Row],[Column]])</f>
        <v>1</v>
      </c>
    </row>
    <row r="82" spans="1:10" x14ac:dyDescent="0.25">
      <c r="A82" s="4" t="s">
        <v>854</v>
      </c>
      <c r="B82" s="4" t="s">
        <v>817</v>
      </c>
      <c r="C82" s="4" t="s">
        <v>854</v>
      </c>
      <c r="D82" s="4" t="s">
        <v>855</v>
      </c>
      <c r="E82" s="4" t="s">
        <v>856</v>
      </c>
      <c r="F82" s="4"/>
      <c r="G82" s="4"/>
      <c r="H82" s="4"/>
      <c r="I82" s="4"/>
      <c r="J82" s="32">
        <f>COUNTIF(TableFields[Field],Columns[[#This Row],[Column]])</f>
        <v>1</v>
      </c>
    </row>
    <row r="83" spans="1:10" x14ac:dyDescent="0.25">
      <c r="A83" s="4" t="s">
        <v>857</v>
      </c>
      <c r="B83" s="4" t="s">
        <v>769</v>
      </c>
      <c r="C83" s="4" t="s">
        <v>858</v>
      </c>
      <c r="D83" s="4">
        <v>15</v>
      </c>
      <c r="E83" s="4" t="s">
        <v>771</v>
      </c>
      <c r="F83" s="4" t="s">
        <v>770</v>
      </c>
      <c r="G83" s="4"/>
      <c r="H83" s="4"/>
      <c r="I83" s="4"/>
      <c r="J83" s="32">
        <f>COUNTIF(TableFields[Field],Columns[[#This Row],[Column]])</f>
        <v>0</v>
      </c>
    </row>
    <row r="84" spans="1:10" x14ac:dyDescent="0.25">
      <c r="A84" s="4" t="s">
        <v>859</v>
      </c>
      <c r="B84" s="4" t="s">
        <v>784</v>
      </c>
      <c r="C84" s="4" t="s">
        <v>858</v>
      </c>
      <c r="D84" s="4"/>
      <c r="E84" s="4" t="s">
        <v>860</v>
      </c>
      <c r="F84" s="4" t="s">
        <v>861</v>
      </c>
      <c r="G84" s="4" t="s">
        <v>785</v>
      </c>
      <c r="H84" s="4" t="s">
        <v>788</v>
      </c>
      <c r="I84" s="4"/>
      <c r="J84" s="32">
        <f>COUNTIF(TableFields[Field],Columns[[#This Row],[Column]])</f>
        <v>0</v>
      </c>
    </row>
    <row r="85" spans="1:10" x14ac:dyDescent="0.25">
      <c r="A85" s="4" t="s">
        <v>862</v>
      </c>
      <c r="B85" s="4" t="s">
        <v>867</v>
      </c>
      <c r="C85" s="4" t="s">
        <v>863</v>
      </c>
      <c r="D85" s="4"/>
      <c r="E85" s="4" t="s">
        <v>819</v>
      </c>
      <c r="F85" s="4"/>
      <c r="G85" s="4"/>
      <c r="H85" s="4"/>
      <c r="I85" s="4"/>
      <c r="J85" s="32">
        <f>COUNTIF(TableFields[Field],Columns[[#This Row],[Column]])</f>
        <v>0</v>
      </c>
    </row>
    <row r="86" spans="1:10" x14ac:dyDescent="0.25">
      <c r="A86" s="4" t="s">
        <v>868</v>
      </c>
      <c r="B86" s="4" t="s">
        <v>773</v>
      </c>
      <c r="C86" s="4" t="s">
        <v>868</v>
      </c>
      <c r="D86" s="4" t="s">
        <v>871</v>
      </c>
      <c r="E86" s="4" t="s">
        <v>872</v>
      </c>
      <c r="F86" s="4"/>
      <c r="G86" s="4"/>
      <c r="H86" s="4"/>
      <c r="I86" s="4"/>
      <c r="J86" s="32">
        <f>COUNTIF(TableFields[Field],Columns[[#This Row],[Column]])</f>
        <v>1</v>
      </c>
    </row>
    <row r="87" spans="1:10" x14ac:dyDescent="0.25">
      <c r="A87" s="4" t="s">
        <v>873</v>
      </c>
      <c r="B87" s="4" t="s">
        <v>817</v>
      </c>
      <c r="C87" s="4" t="s">
        <v>873</v>
      </c>
      <c r="D87" s="4" t="s">
        <v>870</v>
      </c>
      <c r="E87" s="4" t="s">
        <v>819</v>
      </c>
      <c r="F87" s="4"/>
      <c r="G87" s="4"/>
      <c r="H87" s="4"/>
      <c r="I87" s="4"/>
      <c r="J87" s="32">
        <f>COUNTIF(TableFields[Field],Columns[[#This Row],[Column]])</f>
        <v>1</v>
      </c>
    </row>
    <row r="88" spans="1:10" x14ac:dyDescent="0.25">
      <c r="A88" s="4" t="s">
        <v>869</v>
      </c>
      <c r="B88" s="5" t="s">
        <v>773</v>
      </c>
      <c r="C88" s="4" t="s">
        <v>869</v>
      </c>
      <c r="D88" s="4" t="s">
        <v>871</v>
      </c>
      <c r="E88" s="4" t="s">
        <v>872</v>
      </c>
      <c r="F88" s="5"/>
      <c r="G88" s="5"/>
      <c r="H88" s="5"/>
      <c r="I88" s="5"/>
      <c r="J88" s="32">
        <f>COUNTIF(TableFields[Field],Columns[[#This Row],[Column]])</f>
        <v>1</v>
      </c>
    </row>
    <row r="89" spans="1:10" x14ac:dyDescent="0.25">
      <c r="A89" s="4" t="s">
        <v>874</v>
      </c>
      <c r="B89" s="4" t="s">
        <v>817</v>
      </c>
      <c r="C89" s="4" t="s">
        <v>874</v>
      </c>
      <c r="D89" s="4" t="s">
        <v>870</v>
      </c>
      <c r="E89" s="4" t="s">
        <v>819</v>
      </c>
      <c r="F89" s="4"/>
      <c r="G89" s="4"/>
      <c r="H89" s="4"/>
      <c r="I89" s="4"/>
      <c r="J89" s="32">
        <f>COUNTIF(TableFields[Field],Columns[[#This Row],[Column]])</f>
        <v>1</v>
      </c>
    </row>
    <row r="90" spans="1:10" x14ac:dyDescent="0.25">
      <c r="A90" s="4" t="s">
        <v>875</v>
      </c>
      <c r="B90" s="4" t="s">
        <v>769</v>
      </c>
      <c r="C90" s="4" t="s">
        <v>875</v>
      </c>
      <c r="D90" s="4">
        <v>5</v>
      </c>
      <c r="E90" s="4" t="s">
        <v>771</v>
      </c>
      <c r="F90" s="4" t="s">
        <v>770</v>
      </c>
      <c r="G90" s="4"/>
      <c r="H90" s="4"/>
      <c r="I90" s="4"/>
      <c r="J90" s="32">
        <f>COUNTIF(TableFields[Field],Columns[[#This Row],[Column]])</f>
        <v>3</v>
      </c>
    </row>
    <row r="91" spans="1:10" x14ac:dyDescent="0.25">
      <c r="A91" s="4" t="s">
        <v>876</v>
      </c>
      <c r="B91" s="4" t="s">
        <v>769</v>
      </c>
      <c r="C91" s="4" t="s">
        <v>876</v>
      </c>
      <c r="D91" s="4">
        <v>6</v>
      </c>
      <c r="E91" s="4" t="s">
        <v>771</v>
      </c>
      <c r="F91" s="4" t="s">
        <v>770</v>
      </c>
      <c r="G91" s="4"/>
      <c r="H91" s="4"/>
      <c r="I91" s="4"/>
      <c r="J91" s="32">
        <f>COUNTIF(TableFields[Field],Columns[[#This Row],[Column]])</f>
        <v>2</v>
      </c>
    </row>
    <row r="92" spans="1:10" x14ac:dyDescent="0.25">
      <c r="A92" s="4" t="s">
        <v>883</v>
      </c>
      <c r="B92" s="4" t="s">
        <v>867</v>
      </c>
      <c r="C92" s="4" t="s">
        <v>883</v>
      </c>
      <c r="D92" s="4"/>
      <c r="E92" s="4" t="s">
        <v>827</v>
      </c>
      <c r="F92" s="4"/>
      <c r="G92" s="4"/>
      <c r="H92" s="4"/>
      <c r="I92" s="4"/>
      <c r="J92" s="58">
        <f>COUNTIF(TableFields[Field],Columns[[#This Row],[Column]])</f>
        <v>1</v>
      </c>
    </row>
    <row r="93" spans="1:10" x14ac:dyDescent="0.25">
      <c r="A93" s="4" t="s">
        <v>886</v>
      </c>
      <c r="B93" s="4" t="s">
        <v>773</v>
      </c>
      <c r="C93" s="4" t="s">
        <v>35</v>
      </c>
      <c r="D93" s="4" t="s">
        <v>887</v>
      </c>
      <c r="E93" s="4" t="s">
        <v>888</v>
      </c>
      <c r="F93" s="4"/>
      <c r="G93" s="4"/>
      <c r="H93" s="4"/>
      <c r="I93" s="4"/>
      <c r="J93" s="58">
        <f>COUNTIF(TableFields[Field],Columns[[#This Row],[Column]])</f>
        <v>0</v>
      </c>
    </row>
    <row r="94" spans="1:10" x14ac:dyDescent="0.25">
      <c r="A94" s="4" t="s">
        <v>889</v>
      </c>
      <c r="B94" s="4" t="s">
        <v>781</v>
      </c>
      <c r="C94" s="4" t="s">
        <v>64</v>
      </c>
      <c r="D94" s="4" t="s">
        <v>75</v>
      </c>
      <c r="E94" s="4"/>
      <c r="F94" s="4"/>
      <c r="G94" s="4"/>
      <c r="H94" s="4"/>
      <c r="I94" s="4"/>
      <c r="J94" s="58">
        <f>COUNTIF(TableFields[Field],Columns[[#This Row],[Column]])</f>
        <v>2</v>
      </c>
    </row>
    <row r="95" spans="1:10" x14ac:dyDescent="0.25">
      <c r="A95" s="4" t="s">
        <v>898</v>
      </c>
      <c r="B95" s="4" t="s">
        <v>793</v>
      </c>
      <c r="C95" s="4" t="s">
        <v>64</v>
      </c>
      <c r="D95" s="4" t="s">
        <v>75</v>
      </c>
      <c r="E95" s="4"/>
      <c r="F95" s="4"/>
      <c r="G95" s="4"/>
      <c r="H95" s="4"/>
      <c r="I95" s="4"/>
      <c r="J95" s="58">
        <f>COUNTIF(TableFields[Field],Columns[[#This Row],[Column]])</f>
        <v>5</v>
      </c>
    </row>
    <row r="96" spans="1:10" x14ac:dyDescent="0.25">
      <c r="A96" s="4" t="s">
        <v>2093</v>
      </c>
      <c r="B96" s="4" t="s">
        <v>831</v>
      </c>
      <c r="C96" s="4" t="s">
        <v>891</v>
      </c>
      <c r="D96" s="4"/>
      <c r="E96" s="4" t="s">
        <v>771</v>
      </c>
      <c r="F96" s="4"/>
      <c r="G96" s="4"/>
      <c r="H96" s="4"/>
      <c r="I96" s="4"/>
      <c r="J96" s="58">
        <f>COUNTIF(TableFields[Field],Columns[[#This Row],[Column]])</f>
        <v>2</v>
      </c>
    </row>
    <row r="97" spans="1:10" x14ac:dyDescent="0.25">
      <c r="A97" s="4" t="s">
        <v>2094</v>
      </c>
      <c r="B97" s="4" t="s">
        <v>831</v>
      </c>
      <c r="C97" s="4" t="s">
        <v>892</v>
      </c>
      <c r="D97" s="4"/>
      <c r="E97" s="4" t="s">
        <v>771</v>
      </c>
      <c r="F97" s="4"/>
      <c r="G97" s="4"/>
      <c r="H97" s="4"/>
      <c r="I97" s="4"/>
      <c r="J97" s="58">
        <f>COUNTIF(TableFields[Field],Columns[[#This Row],[Column]])</f>
        <v>2</v>
      </c>
    </row>
    <row r="98" spans="1:10" x14ac:dyDescent="0.25">
      <c r="A98" s="4" t="s">
        <v>893</v>
      </c>
      <c r="B98" s="4" t="s">
        <v>773</v>
      </c>
      <c r="C98" s="4" t="s">
        <v>776</v>
      </c>
      <c r="D98" s="4" t="s">
        <v>894</v>
      </c>
      <c r="E98" s="4" t="s">
        <v>895</v>
      </c>
      <c r="F98" s="4" t="s">
        <v>771</v>
      </c>
      <c r="G98" s="4"/>
      <c r="H98" s="4"/>
      <c r="I98" s="4"/>
      <c r="J98" s="58">
        <f>COUNTIF(TableFields[Field],Columns[[#This Row],[Column]])</f>
        <v>1</v>
      </c>
    </row>
    <row r="99" spans="1:10" x14ac:dyDescent="0.25">
      <c r="A99" s="4" t="s">
        <v>899</v>
      </c>
      <c r="B99" s="4" t="s">
        <v>781</v>
      </c>
      <c r="C99" s="4" t="s">
        <v>900</v>
      </c>
      <c r="D99" s="4" t="s">
        <v>896</v>
      </c>
      <c r="E99" s="4"/>
      <c r="F99" s="4"/>
      <c r="G99" s="4"/>
      <c r="H99" s="4"/>
      <c r="I99" s="4"/>
      <c r="J99" s="58">
        <f>COUNTIF(TableFields[Field],Columns[[#This Row],[Column]])</f>
        <v>1</v>
      </c>
    </row>
    <row r="100" spans="1:10" x14ac:dyDescent="0.25">
      <c r="A100" s="4" t="s">
        <v>901</v>
      </c>
      <c r="B100" s="4" t="s">
        <v>817</v>
      </c>
      <c r="C100" s="4" t="s">
        <v>901</v>
      </c>
      <c r="D100" s="4" t="s">
        <v>818</v>
      </c>
      <c r="E100" s="4" t="s">
        <v>819</v>
      </c>
      <c r="F100" s="4"/>
      <c r="G100" s="4"/>
      <c r="H100" s="4"/>
      <c r="I100" s="4"/>
      <c r="J100" s="58">
        <f>COUNTIF(TableFields[Field],Columns[[#This Row],[Column]])</f>
        <v>2</v>
      </c>
    </row>
    <row r="101" spans="1:10" x14ac:dyDescent="0.25">
      <c r="A101" s="4" t="s">
        <v>902</v>
      </c>
      <c r="B101" s="4" t="s">
        <v>817</v>
      </c>
      <c r="C101" s="4" t="s">
        <v>902</v>
      </c>
      <c r="D101" s="4" t="s">
        <v>818</v>
      </c>
      <c r="E101" s="4" t="s">
        <v>819</v>
      </c>
      <c r="F101" s="4"/>
      <c r="G101" s="4"/>
      <c r="H101" s="4"/>
      <c r="I101" s="4"/>
      <c r="J101" s="58">
        <f>COUNTIF(TableFields[Field],Columns[[#This Row],[Column]])</f>
        <v>0</v>
      </c>
    </row>
    <row r="102" spans="1:10" x14ac:dyDescent="0.25">
      <c r="A102" s="4" t="s">
        <v>934</v>
      </c>
      <c r="B102" s="4" t="s">
        <v>817</v>
      </c>
      <c r="C102" s="4" t="s">
        <v>934</v>
      </c>
      <c r="D102" s="4" t="s">
        <v>818</v>
      </c>
      <c r="E102" s="4" t="s">
        <v>819</v>
      </c>
      <c r="F102" s="4"/>
      <c r="G102" s="4"/>
      <c r="H102" s="4"/>
      <c r="I102" s="4"/>
      <c r="J102" s="58">
        <f>COUNTIF(TableFields[Field],Columns[[#This Row],[Column]])</f>
        <v>2</v>
      </c>
    </row>
    <row r="103" spans="1:10" x14ac:dyDescent="0.25">
      <c r="A103" s="4" t="s">
        <v>933</v>
      </c>
      <c r="B103" s="4" t="s">
        <v>817</v>
      </c>
      <c r="C103" s="4" t="s">
        <v>933</v>
      </c>
      <c r="D103" s="4" t="s">
        <v>818</v>
      </c>
      <c r="E103" s="4" t="s">
        <v>819</v>
      </c>
      <c r="F103" s="4"/>
      <c r="G103" s="4"/>
      <c r="H103" s="4"/>
      <c r="I103" s="4"/>
      <c r="J103" s="58">
        <f>COUNTIF(TableFields[Field],Columns[[#This Row],[Column]])</f>
        <v>2</v>
      </c>
    </row>
    <row r="104" spans="1:10" x14ac:dyDescent="0.25">
      <c r="A104" s="4" t="s">
        <v>965</v>
      </c>
      <c r="B104" s="4" t="s">
        <v>817</v>
      </c>
      <c r="C104" s="4" t="s">
        <v>965</v>
      </c>
      <c r="D104" s="4" t="s">
        <v>818</v>
      </c>
      <c r="E104" s="4" t="s">
        <v>819</v>
      </c>
      <c r="F104" s="4"/>
      <c r="G104" s="4"/>
      <c r="H104" s="4"/>
      <c r="I104" s="4"/>
      <c r="J104" s="58">
        <f>COUNTIF(TableFields[Field],Columns[[#This Row],[Column]])</f>
        <v>1</v>
      </c>
    </row>
    <row r="105" spans="1:10" x14ac:dyDescent="0.25">
      <c r="A105" s="4" t="s">
        <v>903</v>
      </c>
      <c r="B105" s="4" t="s">
        <v>769</v>
      </c>
      <c r="C105" s="4" t="s">
        <v>903</v>
      </c>
      <c r="D105" s="4">
        <v>5</v>
      </c>
      <c r="E105" s="4" t="s">
        <v>771</v>
      </c>
      <c r="F105" s="4" t="s">
        <v>770</v>
      </c>
      <c r="G105" s="4"/>
      <c r="H105" s="4"/>
      <c r="I105" s="4"/>
      <c r="J105" s="58">
        <f>COUNTIF(TableFields[Field],Columns[[#This Row],[Column]])</f>
        <v>5</v>
      </c>
    </row>
    <row r="106" spans="1:10" x14ac:dyDescent="0.25">
      <c r="A106" s="4" t="s">
        <v>858</v>
      </c>
      <c r="B106" s="4" t="s">
        <v>769</v>
      </c>
      <c r="C106" s="4" t="s">
        <v>858</v>
      </c>
      <c r="D106" s="4">
        <v>15</v>
      </c>
      <c r="E106" s="4" t="s">
        <v>771</v>
      </c>
      <c r="F106" s="4" t="s">
        <v>770</v>
      </c>
      <c r="G106" s="4"/>
      <c r="H106" s="4"/>
      <c r="I106" s="4"/>
      <c r="J106" s="58">
        <f>COUNTIF(TableFields[Field],Columns[[#This Row],[Column]])</f>
        <v>9</v>
      </c>
    </row>
    <row r="107" spans="1:10" x14ac:dyDescent="0.25">
      <c r="A107" s="4" t="s">
        <v>905</v>
      </c>
      <c r="B107" s="4" t="s">
        <v>793</v>
      </c>
      <c r="C107" s="4" t="s">
        <v>906</v>
      </c>
      <c r="D107" s="4" t="s">
        <v>896</v>
      </c>
      <c r="E107" s="4"/>
      <c r="F107" s="4"/>
      <c r="G107" s="4"/>
      <c r="H107" s="4"/>
      <c r="I107" s="4"/>
      <c r="J107" s="58">
        <f>COUNTIF(TableFields[Field],Columns[[#This Row],[Column]])</f>
        <v>1</v>
      </c>
    </row>
    <row r="108" spans="1:10" x14ac:dyDescent="0.25">
      <c r="A108" s="4" t="s">
        <v>907</v>
      </c>
      <c r="B108" s="4" t="s">
        <v>793</v>
      </c>
      <c r="C108" s="4" t="s">
        <v>908</v>
      </c>
      <c r="D108" s="4" t="s">
        <v>896</v>
      </c>
      <c r="E108" s="4"/>
      <c r="F108" s="4"/>
      <c r="G108" s="4"/>
      <c r="H108" s="4"/>
      <c r="I108" s="4"/>
      <c r="J108" s="58">
        <f>COUNTIF(TableFields[Field],Columns[[#This Row],[Column]])</f>
        <v>1</v>
      </c>
    </row>
    <row r="109" spans="1:10" x14ac:dyDescent="0.25">
      <c r="A109" s="4" t="s">
        <v>909</v>
      </c>
      <c r="B109" s="4" t="s">
        <v>793</v>
      </c>
      <c r="C109" s="4" t="s">
        <v>911</v>
      </c>
      <c r="D109" s="4" t="s">
        <v>75</v>
      </c>
      <c r="E109" s="4"/>
      <c r="F109" s="4"/>
      <c r="G109" s="4"/>
      <c r="H109" s="4"/>
      <c r="I109" s="4"/>
      <c r="J109" s="58">
        <f>COUNTIF(TableFields[Field],Columns[[#This Row],[Column]])</f>
        <v>1</v>
      </c>
    </row>
    <row r="110" spans="1:10" x14ac:dyDescent="0.25">
      <c r="A110" s="4" t="s">
        <v>910</v>
      </c>
      <c r="B110" s="4" t="s">
        <v>832</v>
      </c>
      <c r="C110" s="4" t="s">
        <v>912</v>
      </c>
      <c r="D110" s="4"/>
      <c r="E110" s="4" t="s">
        <v>771</v>
      </c>
      <c r="F110" s="4"/>
      <c r="G110" s="4"/>
      <c r="H110" s="4"/>
      <c r="I110" s="4"/>
      <c r="J110" s="58">
        <f>COUNTIF(TableFields[Field],Columns[[#This Row],[Column]])</f>
        <v>1</v>
      </c>
    </row>
    <row r="111" spans="1:10" x14ac:dyDescent="0.25">
      <c r="A111" s="4" t="s">
        <v>913</v>
      </c>
      <c r="B111" s="4" t="s">
        <v>817</v>
      </c>
      <c r="C111" s="4" t="s">
        <v>913</v>
      </c>
      <c r="D111" s="4" t="s">
        <v>818</v>
      </c>
      <c r="E111" s="4" t="s">
        <v>819</v>
      </c>
      <c r="F111" s="4"/>
      <c r="G111" s="4"/>
      <c r="H111" s="4"/>
      <c r="I111" s="4"/>
      <c r="J111" s="58">
        <f>COUNTIF(TableFields[Field],Columns[[#This Row],[Column]])</f>
        <v>0</v>
      </c>
    </row>
    <row r="112" spans="1:10" x14ac:dyDescent="0.25">
      <c r="A112" s="4" t="s">
        <v>1697</v>
      </c>
      <c r="B112" s="4" t="s">
        <v>769</v>
      </c>
      <c r="C112" s="4" t="s">
        <v>1697</v>
      </c>
      <c r="D112" s="4">
        <v>15</v>
      </c>
      <c r="E112" s="4" t="s">
        <v>771</v>
      </c>
      <c r="F112" s="4" t="s">
        <v>770</v>
      </c>
      <c r="G112" s="4"/>
      <c r="H112" s="4"/>
      <c r="I112" s="4"/>
      <c r="J112" s="58">
        <f>COUNTIF(TableFields[Field],Columns[[#This Row],[Column]])</f>
        <v>1</v>
      </c>
    </row>
    <row r="113" spans="1:10" x14ac:dyDescent="0.25">
      <c r="A113" s="4" t="s">
        <v>1694</v>
      </c>
      <c r="B113" s="4" t="s">
        <v>769</v>
      </c>
      <c r="C113" s="4" t="s">
        <v>1694</v>
      </c>
      <c r="D113" s="4">
        <v>15</v>
      </c>
      <c r="E113" s="4" t="s">
        <v>771</v>
      </c>
      <c r="F113" s="4" t="s">
        <v>770</v>
      </c>
      <c r="G113" s="4"/>
      <c r="H113" s="4"/>
      <c r="I113" s="4"/>
      <c r="J113" s="58">
        <f>COUNTIF(TableFields[Field],Columns[[#This Row],[Column]])</f>
        <v>1</v>
      </c>
    </row>
    <row r="114" spans="1:10" x14ac:dyDescent="0.25">
      <c r="A114" s="4" t="s">
        <v>915</v>
      </c>
      <c r="B114" s="4" t="s">
        <v>817</v>
      </c>
      <c r="C114" s="4" t="s">
        <v>915</v>
      </c>
      <c r="D114" s="4" t="s">
        <v>870</v>
      </c>
      <c r="E114" s="4" t="s">
        <v>819</v>
      </c>
      <c r="F114" s="4"/>
      <c r="G114" s="4"/>
      <c r="H114" s="4"/>
      <c r="I114" s="4"/>
      <c r="J114" s="58">
        <f>COUNTIF(TableFields[Field],Columns[[#This Row],[Column]])</f>
        <v>0</v>
      </c>
    </row>
    <row r="115" spans="1:10" x14ac:dyDescent="0.25">
      <c r="A115" s="4" t="s">
        <v>1824</v>
      </c>
      <c r="B115" s="4" t="s">
        <v>797</v>
      </c>
      <c r="C115" s="4" t="s">
        <v>1824</v>
      </c>
      <c r="D115" s="4">
        <v>128</v>
      </c>
      <c r="E115" s="4" t="s">
        <v>771</v>
      </c>
      <c r="F115" s="4"/>
      <c r="G115" s="4"/>
      <c r="H115" s="4"/>
      <c r="I115" s="4"/>
      <c r="J115" s="58">
        <f>COUNTIF(TableFields[Field],Columns[[#This Row],[Column]])</f>
        <v>2</v>
      </c>
    </row>
    <row r="116" spans="1:10" x14ac:dyDescent="0.25">
      <c r="A116" s="4" t="s">
        <v>916</v>
      </c>
      <c r="B116" s="4" t="s">
        <v>769</v>
      </c>
      <c r="C116" s="4" t="s">
        <v>917</v>
      </c>
      <c r="D116" s="4">
        <v>15</v>
      </c>
      <c r="E116" s="4" t="s">
        <v>771</v>
      </c>
      <c r="F116" s="4"/>
      <c r="G116" s="4"/>
      <c r="H116" s="4"/>
      <c r="I116" s="4"/>
      <c r="J116" s="58">
        <f>COUNTIF(TableFields[Field],Columns[[#This Row],[Column]])</f>
        <v>1</v>
      </c>
    </row>
    <row r="117" spans="1:10" x14ac:dyDescent="0.25">
      <c r="A117" s="4" t="s">
        <v>918</v>
      </c>
      <c r="B117" s="4" t="s">
        <v>773</v>
      </c>
      <c r="C117" s="4" t="s">
        <v>901</v>
      </c>
      <c r="D117" s="4" t="s">
        <v>941</v>
      </c>
      <c r="E117" s="4" t="s">
        <v>771</v>
      </c>
      <c r="F117" s="4" t="s">
        <v>945</v>
      </c>
      <c r="G117" s="4"/>
      <c r="H117" s="4"/>
      <c r="I117" s="4"/>
      <c r="J117" s="58">
        <f>COUNTIF(TableFields[Field],Columns[[#This Row],[Column]])</f>
        <v>1</v>
      </c>
    </row>
    <row r="118" spans="1:10" x14ac:dyDescent="0.25">
      <c r="A118" s="4" t="s">
        <v>919</v>
      </c>
      <c r="B118" s="4" t="s">
        <v>773</v>
      </c>
      <c r="C118" s="4" t="s">
        <v>943</v>
      </c>
      <c r="D118" s="4" t="s">
        <v>942</v>
      </c>
      <c r="E118" s="4" t="s">
        <v>771</v>
      </c>
      <c r="F118" s="4" t="s">
        <v>946</v>
      </c>
      <c r="G118" s="4"/>
      <c r="H118" s="4"/>
      <c r="I118" s="4"/>
      <c r="J118" s="58">
        <f>COUNTIF(TableFields[Field],Columns[[#This Row],[Column]])</f>
        <v>1</v>
      </c>
    </row>
    <row r="119" spans="1:10" x14ac:dyDescent="0.25">
      <c r="A119" s="4" t="s">
        <v>921</v>
      </c>
      <c r="B119" s="4" t="s">
        <v>773</v>
      </c>
      <c r="C119" s="4" t="s">
        <v>920</v>
      </c>
      <c r="D119" s="4" t="s">
        <v>941</v>
      </c>
      <c r="E119" s="4" t="s">
        <v>771</v>
      </c>
      <c r="F119" s="4" t="s">
        <v>945</v>
      </c>
      <c r="G119" s="4"/>
      <c r="H119" s="4"/>
      <c r="I119" s="4"/>
      <c r="J119" s="58">
        <f>COUNTIF(TableFields[Field],Columns[[#This Row],[Column]])</f>
        <v>1</v>
      </c>
    </row>
    <row r="120" spans="1:10" x14ac:dyDescent="0.25">
      <c r="A120" s="4" t="s">
        <v>922</v>
      </c>
      <c r="B120" s="4" t="s">
        <v>793</v>
      </c>
      <c r="C120" s="4" t="s">
        <v>914</v>
      </c>
      <c r="D120" s="4" t="s">
        <v>901</v>
      </c>
      <c r="E120" s="4"/>
      <c r="F120" s="4"/>
      <c r="G120" s="4"/>
      <c r="H120" s="4"/>
      <c r="I120" s="4"/>
      <c r="J120" s="58">
        <f>COUNTIF(TableFields[Field],Columns[[#This Row],[Column]])</f>
        <v>0</v>
      </c>
    </row>
    <row r="121" spans="1:10" x14ac:dyDescent="0.25">
      <c r="A121" s="4" t="s">
        <v>923</v>
      </c>
      <c r="B121" s="4" t="s">
        <v>773</v>
      </c>
      <c r="C121" s="4" t="s">
        <v>944</v>
      </c>
      <c r="D121" s="4" t="s">
        <v>941</v>
      </c>
      <c r="E121" s="4" t="s">
        <v>771</v>
      </c>
      <c r="F121" s="4" t="s">
        <v>945</v>
      </c>
      <c r="G121" s="4"/>
      <c r="H121" s="4"/>
      <c r="I121" s="4"/>
      <c r="J121" s="58">
        <f>COUNTIF(TableFields[Field],Columns[[#This Row],[Column]])</f>
        <v>1</v>
      </c>
    </row>
    <row r="122" spans="1:10" x14ac:dyDescent="0.25">
      <c r="A122" s="4" t="s">
        <v>924</v>
      </c>
      <c r="B122" s="4" t="s">
        <v>773</v>
      </c>
      <c r="C122" s="4" t="s">
        <v>934</v>
      </c>
      <c r="D122" s="4" t="s">
        <v>935</v>
      </c>
      <c r="E122" s="4" t="s">
        <v>771</v>
      </c>
      <c r="F122" s="4" t="s">
        <v>938</v>
      </c>
      <c r="G122" s="4"/>
      <c r="H122" s="4"/>
      <c r="I122" s="4"/>
      <c r="J122" s="58">
        <f>COUNTIF(TableFields[Field],Columns[[#This Row],[Column]])</f>
        <v>1</v>
      </c>
    </row>
    <row r="123" spans="1:10" x14ac:dyDescent="0.25">
      <c r="A123" s="4" t="s">
        <v>925</v>
      </c>
      <c r="B123" s="4" t="s">
        <v>773</v>
      </c>
      <c r="C123" s="4" t="s">
        <v>933</v>
      </c>
      <c r="D123" s="4" t="s">
        <v>935</v>
      </c>
      <c r="E123" s="4" t="s">
        <v>771</v>
      </c>
      <c r="F123" s="4" t="s">
        <v>938</v>
      </c>
      <c r="G123" s="4"/>
      <c r="H123" s="4"/>
      <c r="I123" s="4"/>
      <c r="J123" s="58">
        <f>COUNTIF(TableFields[Field],Columns[[#This Row],[Column]])</f>
        <v>1</v>
      </c>
    </row>
    <row r="124" spans="1:10" x14ac:dyDescent="0.25">
      <c r="A124" s="4" t="s">
        <v>926</v>
      </c>
      <c r="B124" s="4" t="s">
        <v>773</v>
      </c>
      <c r="C124" s="4" t="s">
        <v>932</v>
      </c>
      <c r="D124" s="4" t="s">
        <v>936</v>
      </c>
      <c r="E124" s="4" t="s">
        <v>771</v>
      </c>
      <c r="F124" s="4" t="s">
        <v>940</v>
      </c>
      <c r="G124" s="4"/>
      <c r="H124" s="4"/>
      <c r="I124" s="4"/>
      <c r="J124" s="58">
        <f>COUNTIF(TableFields[Field],Columns[[#This Row],[Column]])</f>
        <v>1</v>
      </c>
    </row>
    <row r="125" spans="1:10" x14ac:dyDescent="0.25">
      <c r="A125" s="4" t="s">
        <v>927</v>
      </c>
      <c r="B125" s="4" t="s">
        <v>773</v>
      </c>
      <c r="C125" s="4" t="s">
        <v>931</v>
      </c>
      <c r="D125" s="4" t="s">
        <v>935</v>
      </c>
      <c r="E125" s="4" t="s">
        <v>771</v>
      </c>
      <c r="F125" s="4" t="s">
        <v>938</v>
      </c>
      <c r="G125" s="4"/>
      <c r="H125" s="4"/>
      <c r="I125" s="4"/>
      <c r="J125" s="58">
        <f>COUNTIF(TableFields[Field],Columns[[#This Row],[Column]])</f>
        <v>1</v>
      </c>
    </row>
    <row r="126" spans="1:10" x14ac:dyDescent="0.25">
      <c r="A126" s="4" t="s">
        <v>928</v>
      </c>
      <c r="B126" s="4" t="s">
        <v>773</v>
      </c>
      <c r="C126" s="4" t="s">
        <v>930</v>
      </c>
      <c r="D126" s="4" t="s">
        <v>937</v>
      </c>
      <c r="E126" s="4" t="s">
        <v>771</v>
      </c>
      <c r="F126" s="4" t="s">
        <v>939</v>
      </c>
      <c r="G126" s="4"/>
      <c r="H126" s="4"/>
      <c r="I126" s="4"/>
      <c r="J126" s="58">
        <f>COUNTIF(TableFields[Field],Columns[[#This Row],[Column]])</f>
        <v>1</v>
      </c>
    </row>
    <row r="127" spans="1:10" x14ac:dyDescent="0.25">
      <c r="A127" s="4" t="s">
        <v>929</v>
      </c>
      <c r="B127" s="4" t="s">
        <v>769</v>
      </c>
      <c r="C127" s="4" t="s">
        <v>913</v>
      </c>
      <c r="D127" s="4">
        <v>15</v>
      </c>
      <c r="E127" s="4" t="s">
        <v>771</v>
      </c>
      <c r="F127" s="4"/>
      <c r="G127" s="4"/>
      <c r="H127" s="4"/>
      <c r="I127" s="4"/>
      <c r="J127" s="58">
        <f>COUNTIF(TableFields[Field],Columns[[#This Row],[Column]])</f>
        <v>1</v>
      </c>
    </row>
    <row r="128" spans="1:10" x14ac:dyDescent="0.25">
      <c r="A128" s="4" t="s">
        <v>1689</v>
      </c>
      <c r="B128" s="4" t="s">
        <v>769</v>
      </c>
      <c r="C128" s="4" t="s">
        <v>1678</v>
      </c>
      <c r="D128" s="4">
        <v>15</v>
      </c>
      <c r="E128" s="4" t="s">
        <v>771</v>
      </c>
      <c r="F128" s="4" t="s">
        <v>1690</v>
      </c>
      <c r="G128" s="4"/>
      <c r="H128" s="4"/>
      <c r="I128" s="4"/>
      <c r="J128" s="58">
        <f>COUNTIF(TableFields[Field],Columns[[#This Row],[Column]])</f>
        <v>1</v>
      </c>
    </row>
    <row r="129" spans="1:10" x14ac:dyDescent="0.25">
      <c r="A129" s="4" t="s">
        <v>949</v>
      </c>
      <c r="B129" s="4" t="s">
        <v>793</v>
      </c>
      <c r="C129" s="4" t="s">
        <v>838</v>
      </c>
      <c r="D129" s="4" t="s">
        <v>75</v>
      </c>
      <c r="E129" s="4"/>
      <c r="F129" s="4"/>
      <c r="G129" s="4"/>
      <c r="H129" s="4"/>
      <c r="I129" s="4"/>
      <c r="J129" s="58">
        <f>COUNTIF(TableFields[Field],Columns[[#This Row],[Column]])</f>
        <v>3</v>
      </c>
    </row>
    <row r="130" spans="1:10" x14ac:dyDescent="0.25">
      <c r="A130" s="4" t="s">
        <v>951</v>
      </c>
      <c r="B130" s="4" t="s">
        <v>773</v>
      </c>
      <c r="C130" s="4" t="s">
        <v>950</v>
      </c>
      <c r="D130" s="4" t="s">
        <v>952</v>
      </c>
      <c r="E130" s="4" t="s">
        <v>771</v>
      </c>
      <c r="F130" s="4" t="s">
        <v>953</v>
      </c>
      <c r="G130" s="4"/>
      <c r="H130" s="4"/>
      <c r="I130" s="4"/>
      <c r="J130" s="58">
        <f>COUNTIF(TableFields[Field],Columns[[#This Row],[Column]])</f>
        <v>1</v>
      </c>
    </row>
    <row r="131" spans="1:10" x14ac:dyDescent="0.25">
      <c r="A131" s="4" t="s">
        <v>954</v>
      </c>
      <c r="B131" s="4" t="s">
        <v>793</v>
      </c>
      <c r="C131" s="4" t="s">
        <v>955</v>
      </c>
      <c r="D131" s="4" t="s">
        <v>947</v>
      </c>
      <c r="E131" s="4"/>
      <c r="F131" s="4"/>
      <c r="G131" s="4"/>
      <c r="H131" s="4"/>
      <c r="I131" s="4"/>
      <c r="J131" s="58">
        <f>COUNTIF(TableFields[Field],Columns[[#This Row],[Column]])</f>
        <v>1</v>
      </c>
    </row>
    <row r="132" spans="1:10" x14ac:dyDescent="0.25">
      <c r="A132" s="4" t="s">
        <v>956</v>
      </c>
      <c r="B132" s="4" t="s">
        <v>817</v>
      </c>
      <c r="C132" s="4" t="s">
        <v>956</v>
      </c>
      <c r="D132" s="4" t="s">
        <v>818</v>
      </c>
      <c r="E132" s="4" t="s">
        <v>819</v>
      </c>
      <c r="F132" s="4"/>
      <c r="G132" s="4"/>
      <c r="H132" s="4"/>
      <c r="I132" s="4"/>
      <c r="J132" s="58">
        <f>COUNTIF(TableFields[Field],Columns[[#This Row],[Column]])</f>
        <v>2</v>
      </c>
    </row>
    <row r="133" spans="1:10" x14ac:dyDescent="0.25">
      <c r="A133" s="4" t="s">
        <v>957</v>
      </c>
      <c r="B133" s="4" t="s">
        <v>781</v>
      </c>
      <c r="C133" s="4" t="s">
        <v>901</v>
      </c>
      <c r="D133" s="4" t="s">
        <v>901</v>
      </c>
      <c r="E133" s="4"/>
      <c r="F133" s="4"/>
      <c r="G133" s="4"/>
      <c r="H133" s="4"/>
      <c r="I133" s="4"/>
      <c r="J133" s="58">
        <f>COUNTIF(TableFields[Field],Columns[[#This Row],[Column]])</f>
        <v>0</v>
      </c>
    </row>
    <row r="134" spans="1:10" x14ac:dyDescent="0.25">
      <c r="A134" s="2" t="s">
        <v>1257</v>
      </c>
      <c r="B134" s="2" t="s">
        <v>797</v>
      </c>
      <c r="C134" s="2" t="s">
        <v>1257</v>
      </c>
      <c r="D134" s="2">
        <v>200</v>
      </c>
      <c r="E134" s="2" t="s">
        <v>771</v>
      </c>
      <c r="F134" s="2"/>
      <c r="G134" s="2"/>
      <c r="H134" s="2"/>
      <c r="I134" s="2"/>
      <c r="J134" s="59">
        <f>COUNTIF(TableFields[Field],Columns[[#This Row],[Column]])</f>
        <v>0</v>
      </c>
    </row>
    <row r="135" spans="1:10" x14ac:dyDescent="0.25">
      <c r="A135" s="4" t="s">
        <v>958</v>
      </c>
      <c r="B135" s="4" t="s">
        <v>773</v>
      </c>
      <c r="C135" s="2" t="s">
        <v>1266</v>
      </c>
      <c r="D135" s="4" t="s">
        <v>959</v>
      </c>
      <c r="E135" s="5" t="s">
        <v>771</v>
      </c>
      <c r="F135" s="4" t="s">
        <v>960</v>
      </c>
      <c r="G135" s="4"/>
      <c r="H135" s="4"/>
      <c r="I135" s="4"/>
      <c r="J135" s="58">
        <f>COUNTIF(TableFields[Field],Columns[[#This Row],[Column]])</f>
        <v>0</v>
      </c>
    </row>
    <row r="136" spans="1:10" x14ac:dyDescent="0.25">
      <c r="A136" s="4" t="s">
        <v>961</v>
      </c>
      <c r="B136" s="4" t="s">
        <v>773</v>
      </c>
      <c r="C136" s="2" t="s">
        <v>1267</v>
      </c>
      <c r="D136" s="4" t="s">
        <v>962</v>
      </c>
      <c r="E136" s="4" t="s">
        <v>771</v>
      </c>
      <c r="F136" s="4" t="s">
        <v>963</v>
      </c>
      <c r="G136" s="4"/>
      <c r="H136" s="4"/>
      <c r="I136" s="4"/>
      <c r="J136" s="58">
        <f>COUNTIF(TableFields[Field],Columns[[#This Row],[Column]])</f>
        <v>0</v>
      </c>
    </row>
    <row r="137" spans="1:10" x14ac:dyDescent="0.25">
      <c r="A137" s="4" t="s">
        <v>964</v>
      </c>
      <c r="B137" s="4" t="s">
        <v>817</v>
      </c>
      <c r="C137" s="4" t="s">
        <v>965</v>
      </c>
      <c r="D137" s="4" t="s">
        <v>818</v>
      </c>
      <c r="E137" s="2" t="s">
        <v>819</v>
      </c>
      <c r="F137" s="4"/>
      <c r="G137" s="4"/>
      <c r="H137" s="4"/>
      <c r="I137" s="4"/>
      <c r="J137" s="58">
        <f>COUNTIF(TableFields[Field],Columns[[#This Row],[Column]])</f>
        <v>0</v>
      </c>
    </row>
    <row r="138" spans="1:10" x14ac:dyDescent="0.25">
      <c r="A138" s="2" t="s">
        <v>1258</v>
      </c>
      <c r="B138" s="2" t="s">
        <v>769</v>
      </c>
      <c r="C138" s="2" t="s">
        <v>1262</v>
      </c>
      <c r="D138" s="2">
        <v>15</v>
      </c>
      <c r="E138" s="2" t="s">
        <v>771</v>
      </c>
      <c r="F138" s="2"/>
      <c r="G138" s="2"/>
      <c r="H138" s="2"/>
      <c r="I138" s="2"/>
      <c r="J138" s="59">
        <f>COUNTIF(TableFields[Field],Columns[[#This Row],[Column]])</f>
        <v>0</v>
      </c>
    </row>
    <row r="139" spans="1:10" x14ac:dyDescent="0.25">
      <c r="A139" s="2" t="s">
        <v>1259</v>
      </c>
      <c r="B139" s="2" t="s">
        <v>769</v>
      </c>
      <c r="C139" s="2" t="s">
        <v>1263</v>
      </c>
      <c r="D139" s="2">
        <v>15</v>
      </c>
      <c r="E139" s="2" t="s">
        <v>771</v>
      </c>
      <c r="F139" s="2"/>
      <c r="G139" s="2"/>
      <c r="H139" s="2"/>
      <c r="I139" s="2"/>
      <c r="J139" s="59">
        <f>COUNTIF(TableFields[Field],Columns[[#This Row],[Column]])</f>
        <v>0</v>
      </c>
    </row>
    <row r="140" spans="1:10" x14ac:dyDescent="0.25">
      <c r="A140" s="2" t="s">
        <v>1260</v>
      </c>
      <c r="B140" s="2" t="s">
        <v>769</v>
      </c>
      <c r="C140" s="2" t="s">
        <v>1264</v>
      </c>
      <c r="D140" s="2">
        <v>15</v>
      </c>
      <c r="E140" s="2" t="s">
        <v>771</v>
      </c>
      <c r="F140" s="2"/>
      <c r="G140" s="2"/>
      <c r="H140" s="2"/>
      <c r="I140" s="2"/>
      <c r="J140" s="59">
        <f>COUNTIF(TableFields[Field],Columns[[#This Row],[Column]])</f>
        <v>0</v>
      </c>
    </row>
    <row r="141" spans="1:10" x14ac:dyDescent="0.25">
      <c r="A141" s="2" t="s">
        <v>1261</v>
      </c>
      <c r="B141" s="2" t="s">
        <v>867</v>
      </c>
      <c r="C141" s="2" t="s">
        <v>1265</v>
      </c>
      <c r="D141" s="2"/>
      <c r="E141" s="2" t="s">
        <v>827</v>
      </c>
      <c r="F141" s="2"/>
      <c r="G141" s="2"/>
      <c r="H141" s="2"/>
      <c r="I141" s="2"/>
      <c r="J141" s="59">
        <f>COUNTIF(TableFields[Field],Columns[[#This Row],[Column]])</f>
        <v>0</v>
      </c>
    </row>
    <row r="142" spans="1:10" x14ac:dyDescent="0.25">
      <c r="A142" s="4" t="s">
        <v>966</v>
      </c>
      <c r="B142" s="4" t="s">
        <v>793</v>
      </c>
      <c r="C142" s="4" t="s">
        <v>968</v>
      </c>
      <c r="D142" s="4" t="s">
        <v>901</v>
      </c>
      <c r="E142" s="4"/>
      <c r="F142" s="4"/>
      <c r="G142" s="4"/>
      <c r="H142" s="4"/>
      <c r="I142" s="4"/>
      <c r="J142" s="58">
        <f>COUNTIF(TableFields[Field],Columns[[#This Row],[Column]])</f>
        <v>0</v>
      </c>
    </row>
    <row r="143" spans="1:10" x14ac:dyDescent="0.25">
      <c r="A143" s="4" t="s">
        <v>967</v>
      </c>
      <c r="B143" s="4" t="s">
        <v>793</v>
      </c>
      <c r="C143" s="4" t="s">
        <v>969</v>
      </c>
      <c r="D143" s="4" t="s">
        <v>901</v>
      </c>
      <c r="E143" s="4"/>
      <c r="F143" s="4"/>
      <c r="G143" s="4"/>
      <c r="H143" s="4"/>
      <c r="I143" s="4"/>
      <c r="J143" s="58">
        <f>COUNTIF(TableFields[Field],Columns[[#This Row],[Column]])</f>
        <v>0</v>
      </c>
    </row>
    <row r="144" spans="1:10" x14ac:dyDescent="0.25">
      <c r="A144" s="2" t="s">
        <v>1870</v>
      </c>
      <c r="B144" s="4" t="s">
        <v>793</v>
      </c>
      <c r="C144" s="2" t="s">
        <v>1832</v>
      </c>
      <c r="D144" s="2" t="s">
        <v>948</v>
      </c>
      <c r="E144" s="4"/>
      <c r="F144" s="2"/>
      <c r="G144" s="2"/>
      <c r="H144" s="2"/>
      <c r="I144" s="2"/>
      <c r="J144" s="59">
        <f>COUNTIF(TableFields[Field],Columns[[#This Row],[Column]])</f>
        <v>1</v>
      </c>
    </row>
    <row r="145" spans="1:10" x14ac:dyDescent="0.25">
      <c r="A145" s="4" t="s">
        <v>1627</v>
      </c>
      <c r="B145" s="4" t="s">
        <v>797</v>
      </c>
      <c r="C145" s="4" t="s">
        <v>1627</v>
      </c>
      <c r="D145" s="4">
        <v>15</v>
      </c>
      <c r="E145" s="4" t="s">
        <v>771</v>
      </c>
      <c r="F145" s="4"/>
      <c r="G145" s="4"/>
      <c r="H145" s="4"/>
      <c r="I145" s="4"/>
      <c r="J145" s="58">
        <f>COUNTIF(TableFields[Field],Columns[[#This Row],[Column]])</f>
        <v>2</v>
      </c>
    </row>
    <row r="146" spans="1:10" x14ac:dyDescent="0.25">
      <c r="A146" s="4" t="s">
        <v>1628</v>
      </c>
      <c r="B146" s="4" t="s">
        <v>797</v>
      </c>
      <c r="C146" s="4" t="s">
        <v>1628</v>
      </c>
      <c r="D146" s="4">
        <v>15</v>
      </c>
      <c r="E146" s="4" t="s">
        <v>771</v>
      </c>
      <c r="F146" s="4"/>
      <c r="G146" s="4"/>
      <c r="H146" s="4"/>
      <c r="I146" s="4"/>
      <c r="J146" s="58">
        <f>COUNTIF(TableFields[Field],Columns[[#This Row],[Column]])</f>
        <v>1</v>
      </c>
    </row>
    <row r="147" spans="1:10" x14ac:dyDescent="0.25">
      <c r="A147" s="4" t="s">
        <v>1629</v>
      </c>
      <c r="B147" s="4" t="s">
        <v>797</v>
      </c>
      <c r="C147" s="4" t="s">
        <v>1629</v>
      </c>
      <c r="D147" s="4">
        <v>15</v>
      </c>
      <c r="E147" s="4" t="s">
        <v>771</v>
      </c>
      <c r="F147" s="4"/>
      <c r="G147" s="4"/>
      <c r="H147" s="4"/>
      <c r="I147" s="4"/>
      <c r="J147" s="58">
        <f>COUNTIF(TableFields[Field],Columns[[#This Row],[Column]])</f>
        <v>1</v>
      </c>
    </row>
    <row r="148" spans="1:10" x14ac:dyDescent="0.25">
      <c r="A148" s="4" t="s">
        <v>1584</v>
      </c>
      <c r="B148" s="4" t="s">
        <v>769</v>
      </c>
      <c r="C148" s="4" t="s">
        <v>1584</v>
      </c>
      <c r="D148" s="4">
        <v>30</v>
      </c>
      <c r="E148" s="4" t="s">
        <v>771</v>
      </c>
      <c r="F148" s="4" t="s">
        <v>770</v>
      </c>
      <c r="G148" s="4"/>
      <c r="H148" s="4"/>
      <c r="I148" s="4"/>
      <c r="J148" s="58">
        <f>COUNTIF(TableFields[Field],Columns[[#This Row],[Column]])</f>
        <v>5</v>
      </c>
    </row>
    <row r="149" spans="1:10" x14ac:dyDescent="0.25">
      <c r="A149" s="4" t="s">
        <v>1608</v>
      </c>
      <c r="B149" s="4" t="s">
        <v>769</v>
      </c>
      <c r="C149" s="4" t="s">
        <v>1608</v>
      </c>
      <c r="D149" s="4">
        <v>30</v>
      </c>
      <c r="E149" s="4" t="s">
        <v>771</v>
      </c>
      <c r="F149" s="4" t="s">
        <v>770</v>
      </c>
      <c r="G149" s="4"/>
      <c r="H149" s="4"/>
      <c r="I149" s="4"/>
      <c r="J149" s="58">
        <f>COUNTIF(TableFields[Field],Columns[[#This Row],[Column]])</f>
        <v>0</v>
      </c>
    </row>
    <row r="150" spans="1:10" x14ac:dyDescent="0.25">
      <c r="A150" s="4" t="s">
        <v>1609</v>
      </c>
      <c r="B150" s="4" t="s">
        <v>769</v>
      </c>
      <c r="C150" s="4" t="s">
        <v>1609</v>
      </c>
      <c r="D150" s="4">
        <v>30</v>
      </c>
      <c r="E150" s="4" t="s">
        <v>771</v>
      </c>
      <c r="F150" s="4" t="s">
        <v>770</v>
      </c>
      <c r="G150" s="4"/>
      <c r="H150" s="4"/>
      <c r="I150" s="4"/>
      <c r="J150" s="58">
        <f>COUNTIF(TableFields[Field],Columns[[#This Row],[Column]])</f>
        <v>0</v>
      </c>
    </row>
    <row r="151" spans="1:10" x14ac:dyDescent="0.25">
      <c r="A151" s="4" t="s">
        <v>1612</v>
      </c>
      <c r="B151" s="4" t="s">
        <v>773</v>
      </c>
      <c r="C151" s="4" t="s">
        <v>1611</v>
      </c>
      <c r="D151" s="4" t="s">
        <v>1613</v>
      </c>
      <c r="E151" s="4" t="s">
        <v>771</v>
      </c>
      <c r="F151" s="4" t="s">
        <v>1614</v>
      </c>
      <c r="G151" s="4"/>
      <c r="H151" s="4"/>
      <c r="I151" s="4"/>
      <c r="J151" s="58">
        <f>COUNTIF(TableFields[Field],Columns[[#This Row],[Column]])</f>
        <v>1</v>
      </c>
    </row>
    <row r="152" spans="1:10" x14ac:dyDescent="0.25">
      <c r="A152" s="4" t="s">
        <v>1630</v>
      </c>
      <c r="B152" s="4" t="s">
        <v>773</v>
      </c>
      <c r="C152" s="4" t="s">
        <v>1630</v>
      </c>
      <c r="D152" s="4" t="s">
        <v>1631</v>
      </c>
      <c r="E152" s="4" t="s">
        <v>771</v>
      </c>
      <c r="F152" s="4" t="s">
        <v>1614</v>
      </c>
      <c r="G152" s="4"/>
      <c r="H152" s="4"/>
      <c r="I152" s="4"/>
      <c r="J152" s="58">
        <f>COUNTIF(TableFields[Field],Columns[[#This Row],[Column]])</f>
        <v>2</v>
      </c>
    </row>
    <row r="153" spans="1:10" x14ac:dyDescent="0.25">
      <c r="A153" s="4" t="s">
        <v>1615</v>
      </c>
      <c r="B153" s="4" t="s">
        <v>797</v>
      </c>
      <c r="C153" s="4" t="s">
        <v>1615</v>
      </c>
      <c r="D153" s="4">
        <v>60</v>
      </c>
      <c r="E153" s="4" t="s">
        <v>771</v>
      </c>
      <c r="F153" s="4"/>
      <c r="G153" s="4"/>
      <c r="H153" s="4"/>
      <c r="I153" s="4"/>
      <c r="J153" s="58">
        <f>COUNTIF(TableFields[Field],Columns[[#This Row],[Column]])</f>
        <v>1</v>
      </c>
    </row>
    <row r="154" spans="1:10" x14ac:dyDescent="0.25">
      <c r="A154" s="4" t="s">
        <v>1616</v>
      </c>
      <c r="B154" s="4" t="s">
        <v>797</v>
      </c>
      <c r="C154" s="4" t="s">
        <v>1616</v>
      </c>
      <c r="D154" s="4">
        <v>60</v>
      </c>
      <c r="E154" s="4" t="s">
        <v>771</v>
      </c>
      <c r="F154" s="4"/>
      <c r="G154" s="4"/>
      <c r="H154" s="4"/>
      <c r="I154" s="4"/>
      <c r="J154" s="58">
        <f>COUNTIF(TableFields[Field],Columns[[#This Row],[Column]])</f>
        <v>1</v>
      </c>
    </row>
    <row r="155" spans="1:10" x14ac:dyDescent="0.25">
      <c r="A155" s="4" t="s">
        <v>1617</v>
      </c>
      <c r="B155" s="4" t="s">
        <v>831</v>
      </c>
      <c r="C155" s="4" t="s">
        <v>1617</v>
      </c>
      <c r="D155" s="4"/>
      <c r="E155" s="4" t="s">
        <v>771</v>
      </c>
      <c r="F155" s="4"/>
      <c r="G155" s="4"/>
      <c r="H155" s="4"/>
      <c r="I155" s="4"/>
      <c r="J155" s="58">
        <f>COUNTIF(TableFields[Field],Columns[[#This Row],[Column]])</f>
        <v>1</v>
      </c>
    </row>
    <row r="156" spans="1:10" x14ac:dyDescent="0.25">
      <c r="A156" s="4" t="s">
        <v>1621</v>
      </c>
      <c r="B156" s="4" t="s">
        <v>1623</v>
      </c>
      <c r="C156" s="4" t="s">
        <v>1621</v>
      </c>
      <c r="D156" s="4"/>
      <c r="E156" s="4" t="s">
        <v>771</v>
      </c>
      <c r="F156" s="4"/>
      <c r="G156" s="4"/>
      <c r="H156" s="4"/>
      <c r="I156" s="4"/>
      <c r="J156" s="58">
        <f>COUNTIF(TableFields[Field],Columns[[#This Row],[Column]])</f>
        <v>1</v>
      </c>
    </row>
    <row r="157" spans="1:10" x14ac:dyDescent="0.25">
      <c r="A157" s="4" t="s">
        <v>1622</v>
      </c>
      <c r="B157" s="4" t="s">
        <v>1623</v>
      </c>
      <c r="C157" s="4" t="s">
        <v>1622</v>
      </c>
      <c r="D157" s="4"/>
      <c r="E157" s="4" t="s">
        <v>771</v>
      </c>
      <c r="F157" s="4"/>
      <c r="G157" s="4"/>
      <c r="H157" s="4"/>
      <c r="I157" s="4"/>
      <c r="J157" s="58">
        <f>COUNTIF(TableFields[Field],Columns[[#This Row],[Column]])</f>
        <v>1</v>
      </c>
    </row>
    <row r="158" spans="1:10" x14ac:dyDescent="0.25">
      <c r="A158" s="4" t="s">
        <v>1638</v>
      </c>
      <c r="B158" s="4" t="s">
        <v>1623</v>
      </c>
      <c r="C158" s="4" t="s">
        <v>1639</v>
      </c>
      <c r="D158" s="4"/>
      <c r="E158" s="4" t="s">
        <v>771</v>
      </c>
      <c r="F158" s="4" t="s">
        <v>819</v>
      </c>
      <c r="G158" s="4"/>
      <c r="H158" s="4"/>
      <c r="I158" s="4"/>
      <c r="J158" s="58">
        <f>COUNTIF(TableFields[Field],Columns[[#This Row],[Column]])</f>
        <v>1</v>
      </c>
    </row>
    <row r="159" spans="1:10" x14ac:dyDescent="0.25">
      <c r="A159" s="4" t="s">
        <v>1624</v>
      </c>
      <c r="B159" s="4" t="s">
        <v>773</v>
      </c>
      <c r="C159" s="4" t="s">
        <v>950</v>
      </c>
      <c r="D159" s="4" t="s">
        <v>1625</v>
      </c>
      <c r="E159" s="4" t="s">
        <v>771</v>
      </c>
      <c r="F159" s="4" t="s">
        <v>1626</v>
      </c>
      <c r="G159" s="4"/>
      <c r="H159" s="4"/>
      <c r="I159" s="4"/>
      <c r="J159" s="58">
        <f>COUNTIF(TableFields[Field],Columns[[#This Row],[Column]])</f>
        <v>1</v>
      </c>
    </row>
    <row r="160" spans="1:10" x14ac:dyDescent="0.25">
      <c r="A160" s="4" t="s">
        <v>1640</v>
      </c>
      <c r="B160" s="4" t="s">
        <v>793</v>
      </c>
      <c r="C160" s="4" t="s">
        <v>900</v>
      </c>
      <c r="D160" s="4" t="s">
        <v>896</v>
      </c>
      <c r="E160" s="4"/>
      <c r="F160" s="4"/>
      <c r="G160" s="4"/>
      <c r="H160" s="4"/>
      <c r="I160" s="4"/>
      <c r="J160" s="58">
        <f>COUNTIF(TableFields[Field],Columns[[#This Row],[Column]])</f>
        <v>0</v>
      </c>
    </row>
    <row r="161" spans="1:10" x14ac:dyDescent="0.25">
      <c r="A161" s="4" t="s">
        <v>1641</v>
      </c>
      <c r="B161" s="4" t="s">
        <v>817</v>
      </c>
      <c r="C161" s="4" t="s">
        <v>1642</v>
      </c>
      <c r="D161" s="4" t="s">
        <v>818</v>
      </c>
      <c r="E161" s="4" t="s">
        <v>819</v>
      </c>
      <c r="F161" s="4"/>
      <c r="G161" s="4"/>
      <c r="H161" s="4"/>
      <c r="I161" s="4"/>
      <c r="J161" s="58">
        <f>COUNTIF(TableFields[Field],Columns[[#This Row],[Column]])</f>
        <v>0</v>
      </c>
    </row>
    <row r="162" spans="1:10" x14ac:dyDescent="0.25">
      <c r="A162" s="4" t="s">
        <v>1646</v>
      </c>
      <c r="B162" s="4" t="s">
        <v>769</v>
      </c>
      <c r="C162" s="4" t="s">
        <v>1645</v>
      </c>
      <c r="D162" s="4">
        <v>15</v>
      </c>
      <c r="E162" s="4" t="s">
        <v>771</v>
      </c>
      <c r="F162" s="4" t="s">
        <v>770</v>
      </c>
      <c r="G162" s="4"/>
      <c r="H162" s="4"/>
      <c r="I162" s="4"/>
      <c r="J162" s="58">
        <f>COUNTIF(TableFields[Field],Columns[[#This Row],[Column]])</f>
        <v>1</v>
      </c>
    </row>
    <row r="163" spans="1:10" x14ac:dyDescent="0.25">
      <c r="A163" s="4" t="s">
        <v>1647</v>
      </c>
      <c r="B163" s="4" t="s">
        <v>797</v>
      </c>
      <c r="C163" s="4" t="s">
        <v>1648</v>
      </c>
      <c r="D163" s="4">
        <v>30</v>
      </c>
      <c r="E163" s="4" t="s">
        <v>771</v>
      </c>
      <c r="F163" s="4" t="s">
        <v>770</v>
      </c>
      <c r="G163" s="4"/>
      <c r="H163" s="4"/>
      <c r="I163" s="4"/>
      <c r="J163" s="58">
        <f>COUNTIF(TableFields[Field],Columns[[#This Row],[Column]])</f>
        <v>1</v>
      </c>
    </row>
    <row r="164" spans="1:10" x14ac:dyDescent="0.25">
      <c r="A164" s="4" t="s">
        <v>1672</v>
      </c>
      <c r="B164" s="4" t="s">
        <v>797</v>
      </c>
      <c r="C164" s="4" t="s">
        <v>1672</v>
      </c>
      <c r="D164" s="4">
        <v>15</v>
      </c>
      <c r="E164" s="4" t="s">
        <v>771</v>
      </c>
      <c r="F164" s="4"/>
      <c r="G164" s="4"/>
      <c r="H164" s="4"/>
      <c r="I164" s="4"/>
      <c r="J164" s="58">
        <f>COUNTIF(TableFields[Field],Columns[[#This Row],[Column]])</f>
        <v>1</v>
      </c>
    </row>
    <row r="165" spans="1:10" x14ac:dyDescent="0.25">
      <c r="A165" s="4" t="s">
        <v>1678</v>
      </c>
      <c r="B165" s="5" t="s">
        <v>769</v>
      </c>
      <c r="C165" s="4" t="s">
        <v>1678</v>
      </c>
      <c r="D165" s="4">
        <v>15</v>
      </c>
      <c r="E165" s="4" t="s">
        <v>771</v>
      </c>
      <c r="F165" s="4" t="s">
        <v>770</v>
      </c>
      <c r="G165" s="4"/>
      <c r="H165" s="4"/>
      <c r="I165" s="4"/>
      <c r="J165" s="58">
        <f>COUNTIF(TableFields[Field],Columns[[#This Row],[Column]])</f>
        <v>1</v>
      </c>
    </row>
    <row r="166" spans="1:10" x14ac:dyDescent="0.25">
      <c r="A166" s="4" t="s">
        <v>914</v>
      </c>
      <c r="B166" s="5" t="s">
        <v>769</v>
      </c>
      <c r="C166" s="4" t="s">
        <v>914</v>
      </c>
      <c r="D166" s="4">
        <v>15</v>
      </c>
      <c r="E166" s="4" t="s">
        <v>771</v>
      </c>
      <c r="F166" s="4"/>
      <c r="G166" s="4"/>
      <c r="H166" s="4"/>
      <c r="I166" s="4"/>
      <c r="J166" s="58">
        <f>COUNTIF(TableFields[Field],Columns[[#This Row],[Column]])</f>
        <v>2</v>
      </c>
    </row>
    <row r="167" spans="1:10" x14ac:dyDescent="0.25">
      <c r="A167" s="4" t="s">
        <v>1699</v>
      </c>
      <c r="B167" s="5" t="s">
        <v>797</v>
      </c>
      <c r="C167" s="4" t="s">
        <v>1699</v>
      </c>
      <c r="D167" s="4">
        <v>1024</v>
      </c>
      <c r="E167" s="4" t="s">
        <v>771</v>
      </c>
      <c r="F167" s="4"/>
      <c r="G167" s="4"/>
      <c r="H167" s="4"/>
      <c r="I167" s="4"/>
      <c r="J167" s="58">
        <f>COUNTIF(TableFields[Field],Columns[[#This Row],[Column]])</f>
        <v>1</v>
      </c>
    </row>
    <row r="168" spans="1:10" x14ac:dyDescent="0.25">
      <c r="A168" s="4" t="s">
        <v>1700</v>
      </c>
      <c r="B168" s="5" t="s">
        <v>797</v>
      </c>
      <c r="C168" s="4" t="s">
        <v>1700</v>
      </c>
      <c r="D168" s="4">
        <v>1024</v>
      </c>
      <c r="E168" s="4" t="s">
        <v>771</v>
      </c>
      <c r="F168" s="4"/>
      <c r="G168" s="4"/>
      <c r="H168" s="4"/>
      <c r="I168" s="4"/>
      <c r="J168" s="58">
        <f>COUNTIF(TableFields[Field],Columns[[#This Row],[Column]])</f>
        <v>1</v>
      </c>
    </row>
    <row r="169" spans="1:10" x14ac:dyDescent="0.25">
      <c r="A169" s="4" t="s">
        <v>1701</v>
      </c>
      <c r="B169" s="5" t="s">
        <v>797</v>
      </c>
      <c r="C169" s="4" t="s">
        <v>1701</v>
      </c>
      <c r="D169" s="4">
        <v>1024</v>
      </c>
      <c r="E169" s="4" t="s">
        <v>771</v>
      </c>
      <c r="F169" s="4"/>
      <c r="G169" s="4"/>
      <c r="H169" s="4"/>
      <c r="I169" s="4"/>
      <c r="J169" s="58">
        <f>COUNTIF(TableFields[Field],Columns[[#This Row],[Column]])</f>
        <v>1</v>
      </c>
    </row>
    <row r="170" spans="1:10" x14ac:dyDescent="0.25">
      <c r="A170" s="4" t="s">
        <v>1702</v>
      </c>
      <c r="B170" s="5" t="s">
        <v>797</v>
      </c>
      <c r="C170" s="4" t="s">
        <v>1702</v>
      </c>
      <c r="D170" s="4">
        <v>1024</v>
      </c>
      <c r="E170" s="4" t="s">
        <v>771</v>
      </c>
      <c r="F170" s="4"/>
      <c r="G170" s="4"/>
      <c r="H170" s="4"/>
      <c r="I170" s="4"/>
      <c r="J170" s="58">
        <f>COUNTIF(TableFields[Field],Columns[[#This Row],[Column]])</f>
        <v>1</v>
      </c>
    </row>
    <row r="171" spans="1:10" x14ac:dyDescent="0.25">
      <c r="A171" s="4" t="s">
        <v>1703</v>
      </c>
      <c r="B171" s="5" t="s">
        <v>797</v>
      </c>
      <c r="C171" s="4" t="s">
        <v>1703</v>
      </c>
      <c r="D171" s="4">
        <v>1024</v>
      </c>
      <c r="E171" s="4" t="s">
        <v>771</v>
      </c>
      <c r="F171" s="4"/>
      <c r="G171" s="4"/>
      <c r="H171" s="4"/>
      <c r="I171" s="4"/>
      <c r="J171" s="58">
        <f>COUNTIF(TableFields[Field],Columns[[#This Row],[Column]])</f>
        <v>1</v>
      </c>
    </row>
    <row r="172" spans="1:10" x14ac:dyDescent="0.25">
      <c r="A172" s="4" t="s">
        <v>1704</v>
      </c>
      <c r="B172" s="5" t="s">
        <v>773</v>
      </c>
      <c r="C172" s="4" t="s">
        <v>1705</v>
      </c>
      <c r="D172" s="4" t="s">
        <v>1706</v>
      </c>
      <c r="E172" s="4" t="s">
        <v>771</v>
      </c>
      <c r="F172" s="4" t="s">
        <v>1707</v>
      </c>
      <c r="G172" s="4"/>
      <c r="H172" s="4"/>
      <c r="I172" s="4"/>
      <c r="J172" s="58">
        <f>COUNTIF(TableFields[Field],Columns[[#This Row],[Column]])</f>
        <v>1</v>
      </c>
    </row>
    <row r="173" spans="1:10" x14ac:dyDescent="0.25">
      <c r="A173" s="4" t="s">
        <v>1941</v>
      </c>
      <c r="B173" s="4" t="s">
        <v>793</v>
      </c>
      <c r="C173" s="4" t="s">
        <v>1941</v>
      </c>
      <c r="D173" s="4" t="s">
        <v>75</v>
      </c>
      <c r="E173" s="4"/>
      <c r="F173" s="4"/>
      <c r="G173" s="4"/>
      <c r="H173" s="4"/>
      <c r="I173" s="4"/>
      <c r="J173" s="58">
        <f>COUNTIF(TableFields[Field],Columns[[#This Row],[Column]])</f>
        <v>1</v>
      </c>
    </row>
    <row r="174" spans="1:10" x14ac:dyDescent="0.25">
      <c r="A174" s="4" t="s">
        <v>1942</v>
      </c>
      <c r="B174" s="4" t="s">
        <v>793</v>
      </c>
      <c r="C174" s="4" t="s">
        <v>1942</v>
      </c>
      <c r="D174" s="4" t="s">
        <v>75</v>
      </c>
      <c r="E174" s="4"/>
      <c r="F174" s="4"/>
      <c r="G174" s="4"/>
      <c r="H174" s="4"/>
      <c r="I174" s="4"/>
      <c r="J174" s="58">
        <f>COUNTIF(TableFields[Field],Columns[[#This Row],[Column]])</f>
        <v>1</v>
      </c>
    </row>
    <row r="175" spans="1:10" x14ac:dyDescent="0.25">
      <c r="A175" s="4" t="s">
        <v>1986</v>
      </c>
      <c r="B175" s="4" t="s">
        <v>797</v>
      </c>
      <c r="C175" s="4" t="s">
        <v>1986</v>
      </c>
      <c r="D175" s="4">
        <v>2048</v>
      </c>
      <c r="E175" s="4" t="s">
        <v>771</v>
      </c>
      <c r="F175" s="4"/>
      <c r="G175" s="4"/>
      <c r="H175" s="4"/>
      <c r="I175" s="4"/>
      <c r="J175" s="58">
        <f>COUNTIF(TableFields[Field],Columns[[#This Row],[Column]])</f>
        <v>1</v>
      </c>
    </row>
    <row r="176" spans="1:10" x14ac:dyDescent="0.25">
      <c r="A176" s="4" t="s">
        <v>1987</v>
      </c>
      <c r="B176" s="4" t="s">
        <v>797</v>
      </c>
      <c r="C176" s="4" t="s">
        <v>1987</v>
      </c>
      <c r="D176" s="4">
        <v>2048</v>
      </c>
      <c r="E176" s="4" t="s">
        <v>771</v>
      </c>
      <c r="F176" s="4"/>
      <c r="G176" s="4"/>
      <c r="H176" s="4"/>
      <c r="I176" s="4"/>
      <c r="J176" s="58">
        <f>COUNTIF(TableFields[Field],Columns[[#This Row],[Column]])</f>
        <v>1</v>
      </c>
    </row>
    <row r="177" spans="1:10" x14ac:dyDescent="0.25">
      <c r="A177" s="4" t="s">
        <v>1988</v>
      </c>
      <c r="B177" s="4" t="s">
        <v>797</v>
      </c>
      <c r="C177" s="4" t="s">
        <v>1988</v>
      </c>
      <c r="D177" s="4">
        <v>2048</v>
      </c>
      <c r="E177" s="4" t="s">
        <v>771</v>
      </c>
      <c r="F177" s="4"/>
      <c r="G177" s="4"/>
      <c r="H177" s="4"/>
      <c r="I177" s="4"/>
      <c r="J177" s="58">
        <f>COUNTIF(TableFields[Field],Columns[[#This Row],[Column]])</f>
        <v>1</v>
      </c>
    </row>
    <row r="178" spans="1:10" x14ac:dyDescent="0.25">
      <c r="A178" s="4" t="s">
        <v>1992</v>
      </c>
      <c r="B178" s="4" t="s">
        <v>797</v>
      </c>
      <c r="C178" s="4" t="s">
        <v>1992</v>
      </c>
      <c r="D178" s="4">
        <v>512</v>
      </c>
      <c r="E178" s="4" t="s">
        <v>771</v>
      </c>
      <c r="F178" s="4"/>
      <c r="G178" s="4"/>
      <c r="H178" s="4"/>
      <c r="I178" s="4"/>
      <c r="J178" s="58">
        <f>COUNTIF(TableFields[Field],Columns[[#This Row],[Column]])</f>
        <v>1</v>
      </c>
    </row>
    <row r="179" spans="1:10" x14ac:dyDescent="0.25">
      <c r="A179" s="4" t="s">
        <v>1993</v>
      </c>
      <c r="B179" s="4" t="s">
        <v>797</v>
      </c>
      <c r="C179" s="4" t="s">
        <v>1993</v>
      </c>
      <c r="D179" s="4">
        <v>512</v>
      </c>
      <c r="E179" s="4" t="s">
        <v>771</v>
      </c>
      <c r="F179" s="4"/>
      <c r="G179" s="4"/>
      <c r="H179" s="4"/>
      <c r="I179" s="4"/>
      <c r="J179" s="58">
        <f>COUNTIF(TableFields[Field],Columns[[#This Row],[Column]])</f>
        <v>1</v>
      </c>
    </row>
    <row r="180" spans="1:10" x14ac:dyDescent="0.25">
      <c r="A180" s="4" t="s">
        <v>1994</v>
      </c>
      <c r="B180" s="4" t="s">
        <v>797</v>
      </c>
      <c r="C180" s="4" t="s">
        <v>1994</v>
      </c>
      <c r="D180" s="4">
        <v>512</v>
      </c>
      <c r="E180" s="4" t="s">
        <v>771</v>
      </c>
      <c r="F180" s="4"/>
      <c r="G180" s="4"/>
      <c r="H180" s="4"/>
      <c r="I180" s="4"/>
      <c r="J180" s="58">
        <f>COUNTIF(TableFields[Field],Columns[[#This Row],[Column]])</f>
        <v>1</v>
      </c>
    </row>
    <row r="181" spans="1:10" x14ac:dyDescent="0.25">
      <c r="A181" s="4" t="s">
        <v>1989</v>
      </c>
      <c r="B181" s="4" t="s">
        <v>797</v>
      </c>
      <c r="C181" s="4" t="s">
        <v>1989</v>
      </c>
      <c r="D181" s="4">
        <v>512</v>
      </c>
      <c r="E181" s="4" t="s">
        <v>771</v>
      </c>
      <c r="F181" s="4"/>
      <c r="G181" s="4"/>
      <c r="H181" s="4"/>
      <c r="I181" s="4"/>
      <c r="J181" s="58">
        <f>COUNTIF(TableFields[Field],Columns[[#This Row],[Column]])</f>
        <v>1</v>
      </c>
    </row>
    <row r="182" spans="1:10" x14ac:dyDescent="0.25">
      <c r="A182" s="4" t="s">
        <v>1990</v>
      </c>
      <c r="B182" s="4" t="s">
        <v>797</v>
      </c>
      <c r="C182" s="4" t="s">
        <v>1990</v>
      </c>
      <c r="D182" s="4">
        <v>512</v>
      </c>
      <c r="E182" s="4" t="s">
        <v>771</v>
      </c>
      <c r="F182" s="4"/>
      <c r="G182" s="4"/>
      <c r="H182" s="4"/>
      <c r="I182" s="4"/>
      <c r="J182" s="58">
        <f>COUNTIF(TableFields[Field],Columns[[#This Row],[Column]])</f>
        <v>1</v>
      </c>
    </row>
    <row r="183" spans="1:10" x14ac:dyDescent="0.25">
      <c r="A183" s="4" t="s">
        <v>1991</v>
      </c>
      <c r="B183" s="4" t="s">
        <v>797</v>
      </c>
      <c r="C183" s="4" t="s">
        <v>1991</v>
      </c>
      <c r="D183" s="4">
        <v>512</v>
      </c>
      <c r="E183" s="4" t="s">
        <v>771</v>
      </c>
      <c r="F183" s="4"/>
      <c r="G183" s="4"/>
      <c r="H183" s="4"/>
      <c r="I183" s="4"/>
      <c r="J183" s="58">
        <f>COUNTIF(TableFields[Field],Columns[[#This Row],[Column]])</f>
        <v>1</v>
      </c>
    </row>
    <row r="184" spans="1:10" x14ac:dyDescent="0.25">
      <c r="A184" s="4" t="s">
        <v>1995</v>
      </c>
      <c r="B184" s="4" t="s">
        <v>797</v>
      </c>
      <c r="C184" s="4" t="s">
        <v>1995</v>
      </c>
      <c r="D184" s="4">
        <v>512</v>
      </c>
      <c r="E184" s="4" t="s">
        <v>771</v>
      </c>
      <c r="F184" s="4"/>
      <c r="G184" s="4"/>
      <c r="H184" s="4"/>
      <c r="I184" s="4"/>
      <c r="J184" s="58">
        <f>COUNTIF(TableFields[Field],Columns[[#This Row],[Column]])</f>
        <v>1</v>
      </c>
    </row>
    <row r="185" spans="1:10" x14ac:dyDescent="0.25">
      <c r="A185" s="4" t="s">
        <v>1996</v>
      </c>
      <c r="B185" s="4" t="s">
        <v>797</v>
      </c>
      <c r="C185" s="4" t="s">
        <v>1996</v>
      </c>
      <c r="D185" s="4">
        <v>512</v>
      </c>
      <c r="E185" s="4" t="s">
        <v>771</v>
      </c>
      <c r="F185" s="4"/>
      <c r="G185" s="4"/>
      <c r="H185" s="4"/>
      <c r="I185" s="4"/>
      <c r="J185" s="58">
        <f>COUNTIF(TableFields[Field],Columns[[#This Row],[Column]])</f>
        <v>1</v>
      </c>
    </row>
    <row r="186" spans="1:10" x14ac:dyDescent="0.25">
      <c r="A186" s="4" t="s">
        <v>1997</v>
      </c>
      <c r="B186" s="4" t="s">
        <v>797</v>
      </c>
      <c r="C186" s="4" t="s">
        <v>1997</v>
      </c>
      <c r="D186" s="4">
        <v>512</v>
      </c>
      <c r="E186" s="4" t="s">
        <v>771</v>
      </c>
      <c r="F186" s="4"/>
      <c r="G186" s="4"/>
      <c r="H186" s="4"/>
      <c r="I186" s="4"/>
      <c r="J186" s="58">
        <f>COUNTIF(TableFields[Field],Columns[[#This Row],[Column]])</f>
        <v>1</v>
      </c>
    </row>
    <row r="187" spans="1:10" x14ac:dyDescent="0.25">
      <c r="A187" s="4" t="s">
        <v>2005</v>
      </c>
      <c r="B187" s="4" t="s">
        <v>1370</v>
      </c>
      <c r="C187" s="4" t="s">
        <v>2005</v>
      </c>
      <c r="D187" s="4"/>
      <c r="E187" s="4" t="s">
        <v>771</v>
      </c>
      <c r="F187" s="4"/>
      <c r="G187" s="4"/>
      <c r="H187" s="4"/>
      <c r="I187" s="4"/>
      <c r="J187" s="58">
        <f>COUNTIF(TableFields[Field],Columns[[#This Row],[Column]])</f>
        <v>1</v>
      </c>
    </row>
    <row r="188" spans="1:10" x14ac:dyDescent="0.25">
      <c r="A188" s="4" t="s">
        <v>1998</v>
      </c>
      <c r="B188" s="4" t="s">
        <v>1370</v>
      </c>
      <c r="C188" s="4" t="s">
        <v>1998</v>
      </c>
      <c r="D188" s="4"/>
      <c r="E188" s="4" t="s">
        <v>771</v>
      </c>
      <c r="F188" s="4"/>
      <c r="G188" s="4"/>
      <c r="H188" s="4"/>
      <c r="I188" s="4"/>
      <c r="J188" s="58">
        <f>COUNTIF(TableFields[Field],Columns[[#This Row],[Column]])</f>
        <v>1</v>
      </c>
    </row>
    <row r="189" spans="1:10" x14ac:dyDescent="0.25">
      <c r="A189" s="4" t="s">
        <v>2025</v>
      </c>
      <c r="B189" s="4" t="s">
        <v>782</v>
      </c>
      <c r="C189" s="4" t="s">
        <v>1720</v>
      </c>
      <c r="D189" s="4"/>
      <c r="E189" s="4" t="s">
        <v>771</v>
      </c>
      <c r="F189" s="4"/>
      <c r="G189" s="4"/>
      <c r="H189" s="4"/>
      <c r="I189" s="4"/>
      <c r="J189" s="58">
        <f>COUNTIF(TableFields[Field],Columns[[#This Row],[Column]])</f>
        <v>1</v>
      </c>
    </row>
    <row r="190" spans="1:10" x14ac:dyDescent="0.25">
      <c r="A190" s="4" t="s">
        <v>2085</v>
      </c>
      <c r="B190" s="4" t="s">
        <v>817</v>
      </c>
      <c r="C190" s="4" t="s">
        <v>2085</v>
      </c>
      <c r="D190" s="4" t="s">
        <v>818</v>
      </c>
      <c r="E190" s="4" t="s">
        <v>819</v>
      </c>
      <c r="F190" s="4"/>
      <c r="G190" s="4"/>
      <c r="H190" s="4"/>
      <c r="I190" s="4"/>
      <c r="J190" s="58">
        <f>COUNTIF(TableFields[Field],Columns[[#This Row],[Column]])</f>
        <v>1</v>
      </c>
    </row>
    <row r="191" spans="1:10" x14ac:dyDescent="0.25">
      <c r="A191" s="4" t="s">
        <v>2086</v>
      </c>
      <c r="B191" s="4" t="s">
        <v>817</v>
      </c>
      <c r="C191" s="4" t="s">
        <v>2086</v>
      </c>
      <c r="D191" s="4" t="s">
        <v>818</v>
      </c>
      <c r="E191" s="4" t="s">
        <v>819</v>
      </c>
      <c r="F191" s="4"/>
      <c r="G191" s="4"/>
      <c r="H191" s="4"/>
      <c r="I191" s="4"/>
      <c r="J191" s="58">
        <f>COUNTIF(TableFields[Field],Columns[[#This Row],[Column]])</f>
        <v>1</v>
      </c>
    </row>
    <row r="192" spans="1:10" x14ac:dyDescent="0.25">
      <c r="A192" s="4" t="s">
        <v>2087</v>
      </c>
      <c r="B192" s="4" t="s">
        <v>817</v>
      </c>
      <c r="C192" s="4" t="s">
        <v>2087</v>
      </c>
      <c r="D192" s="4" t="s">
        <v>818</v>
      </c>
      <c r="E192" s="4" t="s">
        <v>819</v>
      </c>
      <c r="F192" s="4"/>
      <c r="G192" s="4"/>
      <c r="H192" s="4"/>
      <c r="I192" s="4"/>
      <c r="J192" s="58">
        <f>COUNTIF(TableFields[Field],Columns[[#This Row],[Column]])</f>
        <v>1</v>
      </c>
    </row>
    <row r="193" spans="1:10" x14ac:dyDescent="0.25">
      <c r="A193" s="4" t="s">
        <v>2088</v>
      </c>
      <c r="B193" s="4" t="s">
        <v>773</v>
      </c>
      <c r="C193" s="4" t="s">
        <v>776</v>
      </c>
      <c r="D193" s="4" t="s">
        <v>2089</v>
      </c>
      <c r="E193" s="4" t="s">
        <v>2090</v>
      </c>
      <c r="F193" s="4"/>
      <c r="G193" s="4"/>
      <c r="H193" s="4"/>
      <c r="I193" s="4"/>
      <c r="J193" s="58">
        <f>COUNTIF(TableFields[Field],Columns[[#This Row],[Column]])</f>
        <v>1</v>
      </c>
    </row>
    <row r="194" spans="1:10" x14ac:dyDescent="0.25">
      <c r="A194" s="4" t="s">
        <v>2091</v>
      </c>
      <c r="B194" s="4" t="s">
        <v>773</v>
      </c>
      <c r="C194" s="4" t="s">
        <v>2091</v>
      </c>
      <c r="D194" s="4" t="s">
        <v>2092</v>
      </c>
      <c r="E194" s="4" t="s">
        <v>945</v>
      </c>
      <c r="F194" s="4"/>
      <c r="G194" s="4"/>
      <c r="H194" s="4"/>
      <c r="I194" s="4"/>
      <c r="J194" s="58">
        <f>COUNTIF(TableFields[Field],Columns[[#This Row],[Column]])</f>
        <v>2</v>
      </c>
    </row>
    <row r="195" spans="1:10" x14ac:dyDescent="0.25">
      <c r="A195" s="4" t="s">
        <v>2098</v>
      </c>
      <c r="B195" s="4" t="s">
        <v>773</v>
      </c>
      <c r="C195" s="4" t="s">
        <v>2095</v>
      </c>
      <c r="D195" s="4" t="s">
        <v>941</v>
      </c>
      <c r="E195" s="4" t="s">
        <v>1152</v>
      </c>
      <c r="F195" s="4"/>
      <c r="G195" s="4"/>
      <c r="H195" s="4"/>
      <c r="I195" s="4"/>
      <c r="J195" s="58">
        <f>COUNTIF(TableFields[Field],Columns[[#This Row],[Column]])</f>
        <v>1</v>
      </c>
    </row>
    <row r="196" spans="1:10" x14ac:dyDescent="0.25">
      <c r="A196" s="4" t="s">
        <v>2096</v>
      </c>
      <c r="B196" s="4" t="s">
        <v>773</v>
      </c>
      <c r="C196" s="4" t="s">
        <v>2097</v>
      </c>
      <c r="D196" s="4" t="s">
        <v>2092</v>
      </c>
      <c r="E196" s="4" t="s">
        <v>945</v>
      </c>
      <c r="F196" s="4"/>
      <c r="G196" s="4"/>
      <c r="H196" s="4"/>
      <c r="I196" s="4"/>
      <c r="J196" s="58">
        <f>COUNTIF(TableFields[Field],Columns[[#This Row],[Column]])</f>
        <v>1</v>
      </c>
    </row>
    <row r="197" spans="1:10" x14ac:dyDescent="0.25">
      <c r="A197" s="4" t="s">
        <v>2099</v>
      </c>
      <c r="B197" s="4" t="s">
        <v>773</v>
      </c>
      <c r="C197" s="4" t="s">
        <v>2099</v>
      </c>
      <c r="D197" s="4" t="s">
        <v>2092</v>
      </c>
      <c r="E197" s="4" t="s">
        <v>945</v>
      </c>
      <c r="F197" s="4"/>
      <c r="G197" s="4"/>
      <c r="H197" s="4"/>
      <c r="I197" s="4"/>
      <c r="J197" s="58">
        <f>COUNTIF(TableFields[Field],Columns[[#This Row],[Column]])</f>
        <v>2</v>
      </c>
    </row>
    <row r="198" spans="1:10" x14ac:dyDescent="0.25">
      <c r="A198" s="4" t="s">
        <v>2101</v>
      </c>
      <c r="B198" s="4" t="s">
        <v>781</v>
      </c>
      <c r="C198" s="4" t="s">
        <v>2084</v>
      </c>
      <c r="D198" s="4" t="s">
        <v>2084</v>
      </c>
      <c r="E198" s="4"/>
      <c r="F198" s="4"/>
      <c r="G198" s="4"/>
      <c r="H198" s="4"/>
      <c r="I198" s="4"/>
      <c r="J198" s="58">
        <f>COUNTIF(TableFields[Field],Columns[[#This Row],[Column]])</f>
        <v>1</v>
      </c>
    </row>
    <row r="199" spans="1:10" x14ac:dyDescent="0.25">
      <c r="A199" s="4" t="s">
        <v>2112</v>
      </c>
      <c r="B199" s="4" t="s">
        <v>793</v>
      </c>
      <c r="C199" s="4" t="s">
        <v>2084</v>
      </c>
      <c r="D199" s="4" t="s">
        <v>2084</v>
      </c>
      <c r="E199" s="4"/>
      <c r="F199" s="4"/>
      <c r="G199" s="4"/>
      <c r="H199" s="4"/>
      <c r="I199" s="4"/>
      <c r="J199" s="58">
        <f>COUNTIF(TableFields[Field],Columns[[#This Row],[Column]])</f>
        <v>0</v>
      </c>
    </row>
    <row r="200" spans="1:10" x14ac:dyDescent="0.25">
      <c r="A200" s="4" t="s">
        <v>2103</v>
      </c>
      <c r="B200" s="4" t="s">
        <v>817</v>
      </c>
      <c r="C200" s="4" t="s">
        <v>2102</v>
      </c>
      <c r="D200" s="4" t="s">
        <v>818</v>
      </c>
      <c r="E200" s="4" t="s">
        <v>819</v>
      </c>
      <c r="F200" s="4"/>
      <c r="G200" s="4"/>
      <c r="H200" s="4"/>
      <c r="I200" s="4"/>
      <c r="J200" s="58">
        <f>COUNTIF(TableFields[Field],Columns[[#This Row],[Column]])</f>
        <v>1</v>
      </c>
    </row>
    <row r="201" spans="1:10" x14ac:dyDescent="0.25">
      <c r="A201" s="4" t="s">
        <v>2104</v>
      </c>
      <c r="B201" s="4" t="s">
        <v>817</v>
      </c>
      <c r="C201" s="4" t="s">
        <v>2108</v>
      </c>
      <c r="D201" s="4" t="s">
        <v>818</v>
      </c>
      <c r="E201" s="4" t="s">
        <v>819</v>
      </c>
      <c r="F201" s="4"/>
      <c r="G201" s="4"/>
      <c r="H201" s="4"/>
      <c r="I201" s="4"/>
      <c r="J201" s="58">
        <f>COUNTIF(TableFields[Field],Columns[[#This Row],[Column]])</f>
        <v>1</v>
      </c>
    </row>
    <row r="202" spans="1:10" x14ac:dyDescent="0.25">
      <c r="A202" s="4" t="s">
        <v>2105</v>
      </c>
      <c r="B202" s="4" t="s">
        <v>817</v>
      </c>
      <c r="C202" s="4" t="s">
        <v>2109</v>
      </c>
      <c r="D202" s="4" t="s">
        <v>818</v>
      </c>
      <c r="E202" s="4" t="s">
        <v>819</v>
      </c>
      <c r="F202" s="4"/>
      <c r="G202" s="4"/>
      <c r="H202" s="4"/>
      <c r="I202" s="4"/>
      <c r="J202" s="58">
        <f>COUNTIF(TableFields[Field],Columns[[#This Row],[Column]])</f>
        <v>1</v>
      </c>
    </row>
    <row r="203" spans="1:10" x14ac:dyDescent="0.25">
      <c r="A203" s="4" t="s">
        <v>2106</v>
      </c>
      <c r="B203" s="4" t="s">
        <v>817</v>
      </c>
      <c r="C203" s="4" t="s">
        <v>1616</v>
      </c>
      <c r="D203" s="4" t="s">
        <v>818</v>
      </c>
      <c r="E203" s="4" t="s">
        <v>819</v>
      </c>
      <c r="F203" s="4"/>
      <c r="G203" s="4"/>
      <c r="H203" s="4"/>
      <c r="I203" s="4"/>
      <c r="J203" s="58">
        <f>COUNTIF(TableFields[Field],Columns[[#This Row],[Column]])</f>
        <v>1</v>
      </c>
    </row>
    <row r="204" spans="1:10" x14ac:dyDescent="0.25">
      <c r="A204" s="4" t="s">
        <v>2107</v>
      </c>
      <c r="B204" s="4" t="s">
        <v>817</v>
      </c>
      <c r="C204" s="4" t="s">
        <v>2110</v>
      </c>
      <c r="D204" s="4" t="s">
        <v>818</v>
      </c>
      <c r="E204" s="4" t="s">
        <v>819</v>
      </c>
      <c r="F204" s="4"/>
      <c r="G204" s="4"/>
      <c r="H204" s="4"/>
      <c r="I204" s="4"/>
      <c r="J204" s="58">
        <f>COUNTIF(TableFields[Field],Columns[[#This Row],[Column]])</f>
        <v>1</v>
      </c>
    </row>
    <row r="205" spans="1:10" x14ac:dyDescent="0.25">
      <c r="A205" s="4" t="s">
        <v>2111</v>
      </c>
      <c r="B205" s="4" t="s">
        <v>773</v>
      </c>
      <c r="C205" s="4" t="s">
        <v>2111</v>
      </c>
      <c r="D205" s="4" t="s">
        <v>2092</v>
      </c>
      <c r="E205" s="4" t="s">
        <v>945</v>
      </c>
      <c r="F205" s="4"/>
      <c r="G205" s="4"/>
      <c r="H205" s="4"/>
      <c r="I205" s="4"/>
      <c r="J205" s="58">
        <f>COUNTIF(TableFields[Field],Columns[[#This Row],[Column]])</f>
        <v>1</v>
      </c>
    </row>
    <row r="206" spans="1:10" x14ac:dyDescent="0.25">
      <c r="A206" s="4" t="s">
        <v>2113</v>
      </c>
      <c r="B206" s="4" t="s">
        <v>769</v>
      </c>
      <c r="C206" s="4" t="s">
        <v>2113</v>
      </c>
      <c r="D206" s="4">
        <v>20</v>
      </c>
      <c r="E206" s="4" t="s">
        <v>771</v>
      </c>
      <c r="F206" s="4" t="s">
        <v>770</v>
      </c>
      <c r="G206" s="4"/>
      <c r="H206" s="4"/>
      <c r="I206" s="4"/>
      <c r="J206" s="58">
        <f>COUNTIF(TableFields[Field],Columns[[#This Row],[Column]])</f>
        <v>2</v>
      </c>
    </row>
    <row r="207" spans="1:10" x14ac:dyDescent="0.25">
      <c r="A207" s="5" t="s">
        <v>970</v>
      </c>
      <c r="B207" s="5" t="s">
        <v>769</v>
      </c>
      <c r="C207" s="5" t="s">
        <v>971</v>
      </c>
      <c r="D207" s="5">
        <v>5</v>
      </c>
      <c r="E207" s="5" t="s">
        <v>771</v>
      </c>
      <c r="F207" s="5"/>
      <c r="G207" s="5"/>
      <c r="H207" s="5"/>
      <c r="I207" s="5"/>
      <c r="J207" s="32">
        <f>COUNTIF(TableFields[Field],Columns[[#This Row],[Column]])</f>
        <v>1</v>
      </c>
    </row>
    <row r="208" spans="1:10" x14ac:dyDescent="0.25">
      <c r="A208" s="5" t="s">
        <v>972</v>
      </c>
      <c r="B208" s="5" t="s">
        <v>769</v>
      </c>
      <c r="C208" s="5" t="s">
        <v>973</v>
      </c>
      <c r="D208" s="5">
        <v>5</v>
      </c>
      <c r="E208" s="5" t="s">
        <v>771</v>
      </c>
      <c r="F208" s="5"/>
      <c r="G208" s="5"/>
      <c r="H208" s="5"/>
      <c r="I208" s="5"/>
      <c r="J208" s="32">
        <f>COUNTIF(TableFields[Field],Columns[[#This Row],[Column]])</f>
        <v>1</v>
      </c>
    </row>
    <row r="209" spans="1:10" x14ac:dyDescent="0.25">
      <c r="A209" s="5" t="s">
        <v>974</v>
      </c>
      <c r="B209" s="5" t="s">
        <v>769</v>
      </c>
      <c r="C209" s="5" t="s">
        <v>975</v>
      </c>
      <c r="D209" s="5">
        <v>5</v>
      </c>
      <c r="E209" s="5" t="s">
        <v>771</v>
      </c>
      <c r="F209" s="5"/>
      <c r="G209" s="5"/>
      <c r="H209" s="5"/>
      <c r="I209" s="5"/>
      <c r="J209" s="32">
        <f>COUNTIF(TableFields[Field],Columns[[#This Row],[Column]])</f>
        <v>1</v>
      </c>
    </row>
    <row r="210" spans="1:10" x14ac:dyDescent="0.25">
      <c r="A210" s="5" t="s">
        <v>976</v>
      </c>
      <c r="B210" s="5" t="s">
        <v>769</v>
      </c>
      <c r="C210" s="5" t="s">
        <v>977</v>
      </c>
      <c r="D210" s="5">
        <v>5</v>
      </c>
      <c r="E210" s="5" t="s">
        <v>771</v>
      </c>
      <c r="F210" s="5"/>
      <c r="G210" s="5"/>
      <c r="H210" s="5"/>
      <c r="I210" s="5"/>
      <c r="J210" s="32">
        <f>COUNTIF(TableFields[Field],Columns[[#This Row],[Column]])</f>
        <v>1</v>
      </c>
    </row>
    <row r="211" spans="1:10" x14ac:dyDescent="0.25">
      <c r="A211" s="5" t="s">
        <v>978</v>
      </c>
      <c r="B211" s="5" t="s">
        <v>769</v>
      </c>
      <c r="C211" s="5" t="s">
        <v>979</v>
      </c>
      <c r="D211" s="5">
        <v>20</v>
      </c>
      <c r="E211" s="5" t="s">
        <v>771</v>
      </c>
      <c r="F211" s="5"/>
      <c r="G211" s="5"/>
      <c r="H211" s="5"/>
      <c r="I211" s="5"/>
      <c r="J211" s="32">
        <f>COUNTIF(TableFields[Field],Columns[[#This Row],[Column]])</f>
        <v>1</v>
      </c>
    </row>
    <row r="212" spans="1:10" x14ac:dyDescent="0.25">
      <c r="A212" s="5" t="s">
        <v>980</v>
      </c>
      <c r="B212" s="5" t="s">
        <v>817</v>
      </c>
      <c r="C212" s="5" t="s">
        <v>981</v>
      </c>
      <c r="D212" s="5" t="s">
        <v>1016</v>
      </c>
      <c r="E212" s="5" t="s">
        <v>771</v>
      </c>
      <c r="F212" s="5"/>
      <c r="G212" s="5"/>
      <c r="H212" s="5"/>
      <c r="I212" s="5"/>
      <c r="J212" s="32">
        <f>COUNTIF(TableFields[Field],Columns[[#This Row],[Column]])</f>
        <v>1</v>
      </c>
    </row>
    <row r="213" spans="1:10" x14ac:dyDescent="0.25">
      <c r="A213" s="5" t="s">
        <v>982</v>
      </c>
      <c r="B213" s="5" t="s">
        <v>817</v>
      </c>
      <c r="C213" s="5" t="s">
        <v>983</v>
      </c>
      <c r="D213" s="5" t="s">
        <v>1016</v>
      </c>
      <c r="E213" s="5" t="s">
        <v>771</v>
      </c>
      <c r="F213" s="5"/>
      <c r="G213" s="5"/>
      <c r="H213" s="5"/>
      <c r="I213" s="5"/>
      <c r="J213" s="32">
        <f>COUNTIF(TableFields[Field],Columns[[#This Row],[Column]])</f>
        <v>0</v>
      </c>
    </row>
    <row r="214" spans="1:10" x14ac:dyDescent="0.25">
      <c r="A214" s="5" t="s">
        <v>984</v>
      </c>
      <c r="B214" s="5" t="s">
        <v>831</v>
      </c>
      <c r="C214" s="5" t="s">
        <v>985</v>
      </c>
      <c r="D214" s="5"/>
      <c r="E214" s="5" t="s">
        <v>771</v>
      </c>
      <c r="F214" s="5"/>
      <c r="G214" s="5"/>
      <c r="H214" s="5"/>
      <c r="I214" s="5"/>
      <c r="J214" s="32">
        <f>COUNTIF(TableFields[Field],Columns[[#This Row],[Column]])</f>
        <v>1</v>
      </c>
    </row>
    <row r="215" spans="1:10" x14ac:dyDescent="0.25">
      <c r="A215" s="5" t="s">
        <v>986</v>
      </c>
      <c r="B215" s="5" t="s">
        <v>769</v>
      </c>
      <c r="C215" s="5" t="s">
        <v>987</v>
      </c>
      <c r="D215" s="5">
        <v>5</v>
      </c>
      <c r="E215" s="5" t="s">
        <v>771</v>
      </c>
      <c r="F215" s="5"/>
      <c r="G215" s="5"/>
      <c r="H215" s="5"/>
      <c r="I215" s="5"/>
      <c r="J215" s="32">
        <f>COUNTIF(TableFields[Field],Columns[[#This Row],[Column]])</f>
        <v>1</v>
      </c>
    </row>
    <row r="216" spans="1:10" x14ac:dyDescent="0.25">
      <c r="A216" s="5" t="s">
        <v>988</v>
      </c>
      <c r="B216" s="5" t="s">
        <v>769</v>
      </c>
      <c r="C216" s="5" t="s">
        <v>989</v>
      </c>
      <c r="D216" s="5">
        <v>5</v>
      </c>
      <c r="E216" s="5" t="s">
        <v>771</v>
      </c>
      <c r="F216" s="5"/>
      <c r="G216" s="5"/>
      <c r="H216" s="5"/>
      <c r="I216" s="5"/>
      <c r="J216" s="32">
        <f>COUNTIF(TableFields[Field],Columns[[#This Row],[Column]])</f>
        <v>1</v>
      </c>
    </row>
    <row r="217" spans="1:10" x14ac:dyDescent="0.25">
      <c r="A217" s="5" t="s">
        <v>990</v>
      </c>
      <c r="B217" s="5" t="s">
        <v>769</v>
      </c>
      <c r="C217" s="5" t="s">
        <v>991</v>
      </c>
      <c r="D217" s="5">
        <v>15</v>
      </c>
      <c r="E217" s="5" t="s">
        <v>771</v>
      </c>
      <c r="F217" s="5"/>
      <c r="G217" s="5"/>
      <c r="H217" s="5"/>
      <c r="I217" s="5"/>
      <c r="J217" s="32">
        <f>COUNTIF(TableFields[Field],Columns[[#This Row],[Column]])</f>
        <v>1</v>
      </c>
    </row>
    <row r="218" spans="1:10" x14ac:dyDescent="0.25">
      <c r="A218" s="5" t="s">
        <v>992</v>
      </c>
      <c r="B218" s="5" t="s">
        <v>797</v>
      </c>
      <c r="C218" s="5" t="s">
        <v>1015</v>
      </c>
      <c r="D218" s="5">
        <v>60</v>
      </c>
      <c r="E218" s="5" t="s">
        <v>771</v>
      </c>
      <c r="F218" s="5"/>
      <c r="G218" s="5"/>
      <c r="H218" s="5"/>
      <c r="I218" s="5"/>
      <c r="J218" s="32">
        <f>COUNTIF(TableFields[Field],Columns[[#This Row],[Column]])</f>
        <v>0</v>
      </c>
    </row>
    <row r="219" spans="1:10" x14ac:dyDescent="0.25">
      <c r="A219" s="5" t="s">
        <v>993</v>
      </c>
      <c r="B219" s="5" t="s">
        <v>831</v>
      </c>
      <c r="C219" s="5" t="s">
        <v>994</v>
      </c>
      <c r="D219" s="5"/>
      <c r="E219" s="5" t="s">
        <v>771</v>
      </c>
      <c r="F219" s="5"/>
      <c r="G219" s="5"/>
      <c r="H219" s="5"/>
      <c r="I219" s="5"/>
      <c r="J219" s="32">
        <f>COUNTIF(TableFields[Field],Columns[[#This Row],[Column]])</f>
        <v>0</v>
      </c>
    </row>
    <row r="220" spans="1:10" x14ac:dyDescent="0.25">
      <c r="A220" s="5" t="s">
        <v>995</v>
      </c>
      <c r="B220" s="5" t="s">
        <v>831</v>
      </c>
      <c r="C220" s="5" t="s">
        <v>996</v>
      </c>
      <c r="D220" s="5"/>
      <c r="E220" s="5" t="s">
        <v>771</v>
      </c>
      <c r="F220" s="5"/>
      <c r="G220" s="5"/>
      <c r="H220" s="5"/>
      <c r="I220" s="5"/>
      <c r="J220" s="32">
        <f>COUNTIF(TableFields[Field],Columns[[#This Row],[Column]])</f>
        <v>0</v>
      </c>
    </row>
    <row r="221" spans="1:10" x14ac:dyDescent="0.25">
      <c r="A221" s="5" t="s">
        <v>997</v>
      </c>
      <c r="B221" s="5" t="s">
        <v>817</v>
      </c>
      <c r="C221" s="5" t="s">
        <v>998</v>
      </c>
      <c r="D221" s="5" t="s">
        <v>818</v>
      </c>
      <c r="E221" s="5" t="s">
        <v>819</v>
      </c>
      <c r="F221" s="5"/>
      <c r="G221" s="5"/>
      <c r="H221" s="5"/>
      <c r="I221" s="5"/>
      <c r="J221" s="32">
        <f>COUNTIF(TableFields[Field],Columns[[#This Row],[Column]])</f>
        <v>1</v>
      </c>
    </row>
    <row r="222" spans="1:10" x14ac:dyDescent="0.25">
      <c r="A222" s="5" t="s">
        <v>999</v>
      </c>
      <c r="B222" s="5" t="s">
        <v>817</v>
      </c>
      <c r="C222" s="5" t="s">
        <v>1000</v>
      </c>
      <c r="D222" s="5" t="s">
        <v>855</v>
      </c>
      <c r="E222" s="5" t="s">
        <v>827</v>
      </c>
      <c r="F222" s="5"/>
      <c r="G222" s="5"/>
      <c r="H222" s="5"/>
      <c r="I222" s="5"/>
      <c r="J222" s="32">
        <f>COUNTIF(TableFields[Field],Columns[[#This Row],[Column]])</f>
        <v>1</v>
      </c>
    </row>
    <row r="223" spans="1:10" x14ac:dyDescent="0.25">
      <c r="A223" s="5" t="s">
        <v>1001</v>
      </c>
      <c r="B223" s="5" t="s">
        <v>773</v>
      </c>
      <c r="C223" s="5" t="s">
        <v>1002</v>
      </c>
      <c r="D223" s="5" t="s">
        <v>1017</v>
      </c>
      <c r="E223" s="5" t="s">
        <v>1018</v>
      </c>
      <c r="F223" s="5"/>
      <c r="G223" s="5"/>
      <c r="H223" s="5"/>
      <c r="I223" s="5"/>
      <c r="J223" s="32">
        <f>COUNTIF(TableFields[Field],Columns[[#This Row],[Column]])</f>
        <v>0</v>
      </c>
    </row>
    <row r="224" spans="1:10" x14ac:dyDescent="0.25">
      <c r="A224" s="5" t="s">
        <v>1003</v>
      </c>
      <c r="B224" s="5" t="s">
        <v>773</v>
      </c>
      <c r="C224" s="5" t="s">
        <v>1004</v>
      </c>
      <c r="D224" s="5" t="s">
        <v>1019</v>
      </c>
      <c r="E224" s="5" t="s">
        <v>1020</v>
      </c>
      <c r="F224" s="5"/>
      <c r="G224" s="5"/>
      <c r="H224" s="5"/>
      <c r="I224" s="5"/>
      <c r="J224" s="32">
        <f>COUNTIF(TableFields[Field],Columns[[#This Row],[Column]])</f>
        <v>1</v>
      </c>
    </row>
    <row r="225" spans="1:10" x14ac:dyDescent="0.25">
      <c r="A225" s="5" t="s">
        <v>1013</v>
      </c>
      <c r="B225" s="5" t="s">
        <v>817</v>
      </c>
      <c r="C225" s="5" t="s">
        <v>1014</v>
      </c>
      <c r="D225" s="5" t="s">
        <v>1016</v>
      </c>
      <c r="E225" s="5" t="s">
        <v>827</v>
      </c>
      <c r="F225" s="5"/>
      <c r="G225" s="5"/>
      <c r="H225" s="5"/>
      <c r="I225" s="5"/>
      <c r="J225" s="32">
        <f>COUNTIF(TableFields[Field],Columns[[#This Row],[Column]])</f>
        <v>1</v>
      </c>
    </row>
    <row r="226" spans="1:10" x14ac:dyDescent="0.25">
      <c r="A226" s="5" t="s">
        <v>1021</v>
      </c>
      <c r="B226" s="5" t="s">
        <v>769</v>
      </c>
      <c r="C226" s="5" t="s">
        <v>1022</v>
      </c>
      <c r="D226" s="5">
        <v>15</v>
      </c>
      <c r="E226" s="5" t="s">
        <v>771</v>
      </c>
      <c r="F226" s="5"/>
      <c r="G226" s="5"/>
      <c r="H226" s="5"/>
      <c r="I226" s="5"/>
      <c r="J226" s="32">
        <f>COUNTIF(TableFields[Field],Columns[[#This Row],[Column]])</f>
        <v>0</v>
      </c>
    </row>
    <row r="227" spans="1:10" x14ac:dyDescent="0.25">
      <c r="A227" s="5" t="s">
        <v>1023</v>
      </c>
      <c r="B227" s="5" t="s">
        <v>769</v>
      </c>
      <c r="C227" s="5" t="s">
        <v>1024</v>
      </c>
      <c r="D227" s="5">
        <v>15</v>
      </c>
      <c r="E227" s="5" t="s">
        <v>771</v>
      </c>
      <c r="F227" s="5"/>
      <c r="G227" s="5"/>
      <c r="H227" s="5"/>
      <c r="I227" s="5"/>
      <c r="J227" s="32">
        <f>COUNTIF(TableFields[Field],Columns[[#This Row],[Column]])</f>
        <v>0</v>
      </c>
    </row>
    <row r="228" spans="1:10" x14ac:dyDescent="0.25">
      <c r="A228" s="5" t="s">
        <v>1025</v>
      </c>
      <c r="B228" s="5" t="s">
        <v>797</v>
      </c>
      <c r="C228" s="5" t="s">
        <v>1026</v>
      </c>
      <c r="D228" s="5">
        <v>60</v>
      </c>
      <c r="E228" s="5" t="s">
        <v>771</v>
      </c>
      <c r="F228" s="5"/>
      <c r="G228" s="5"/>
      <c r="H228" s="5"/>
      <c r="I228" s="5"/>
      <c r="J228" s="32">
        <f>COUNTIF(TableFields[Field],Columns[[#This Row],[Column]])</f>
        <v>0</v>
      </c>
    </row>
    <row r="229" spans="1:10" x14ac:dyDescent="0.25">
      <c r="A229" s="5" t="s">
        <v>1027</v>
      </c>
      <c r="B229" s="5" t="s">
        <v>831</v>
      </c>
      <c r="C229" s="5" t="s">
        <v>1028</v>
      </c>
      <c r="D229" s="5"/>
      <c r="E229" s="5" t="s">
        <v>771</v>
      </c>
      <c r="F229" s="5"/>
      <c r="G229" s="5"/>
      <c r="H229" s="5"/>
      <c r="I229" s="5"/>
      <c r="J229" s="32">
        <f>COUNTIF(TableFields[Field],Columns[[#This Row],[Column]])</f>
        <v>0</v>
      </c>
    </row>
    <row r="230" spans="1:10" x14ac:dyDescent="0.25">
      <c r="A230" s="5" t="s">
        <v>1029</v>
      </c>
      <c r="B230" s="5" t="s">
        <v>831</v>
      </c>
      <c r="C230" s="5" t="s">
        <v>1030</v>
      </c>
      <c r="D230" s="5"/>
      <c r="E230" s="5" t="s">
        <v>771</v>
      </c>
      <c r="F230" s="5"/>
      <c r="G230" s="5"/>
      <c r="H230" s="5"/>
      <c r="I230" s="5"/>
      <c r="J230" s="32">
        <f>COUNTIF(TableFields[Field],Columns[[#This Row],[Column]])</f>
        <v>0</v>
      </c>
    </row>
    <row r="231" spans="1:10" x14ac:dyDescent="0.25">
      <c r="A231" s="5" t="s">
        <v>1031</v>
      </c>
      <c r="B231" s="5" t="s">
        <v>831</v>
      </c>
      <c r="C231" s="5" t="s">
        <v>1032</v>
      </c>
      <c r="D231" s="5"/>
      <c r="E231" s="5" t="s">
        <v>771</v>
      </c>
      <c r="F231" s="5"/>
      <c r="G231" s="5"/>
      <c r="H231" s="5"/>
      <c r="I231" s="5"/>
      <c r="J231" s="32">
        <f>COUNTIF(TableFields[Field],Columns[[#This Row],[Column]])</f>
        <v>0</v>
      </c>
    </row>
    <row r="232" spans="1:10" x14ac:dyDescent="0.25">
      <c r="A232" s="5" t="s">
        <v>1033</v>
      </c>
      <c r="B232" s="5" t="s">
        <v>773</v>
      </c>
      <c r="C232" s="5" t="s">
        <v>1034</v>
      </c>
      <c r="D232" s="5" t="s">
        <v>1049</v>
      </c>
      <c r="E232" s="5" t="s">
        <v>1050</v>
      </c>
      <c r="F232" s="5"/>
      <c r="G232" s="5"/>
      <c r="H232" s="5"/>
      <c r="I232" s="5"/>
      <c r="J232" s="32">
        <f>COUNTIF(TableFields[Field],Columns[[#This Row],[Column]])</f>
        <v>0</v>
      </c>
    </row>
    <row r="233" spans="1:10" x14ac:dyDescent="0.25">
      <c r="A233" s="5" t="s">
        <v>1011</v>
      </c>
      <c r="B233" s="5" t="s">
        <v>773</v>
      </c>
      <c r="C233" s="5" t="s">
        <v>1012</v>
      </c>
      <c r="D233" s="5" t="s">
        <v>941</v>
      </c>
      <c r="E233" s="5" t="s">
        <v>945</v>
      </c>
      <c r="F233" s="5"/>
      <c r="G233" s="5"/>
      <c r="H233" s="5"/>
      <c r="I233" s="5"/>
      <c r="J233" s="32">
        <f>COUNTIF(TableFields[Field],Columns[[#This Row],[Column]])</f>
        <v>1</v>
      </c>
    </row>
    <row r="234" spans="1:10" x14ac:dyDescent="0.25">
      <c r="A234" s="5" t="s">
        <v>1035</v>
      </c>
      <c r="B234" s="5" t="s">
        <v>773</v>
      </c>
      <c r="C234" s="5" t="s">
        <v>1036</v>
      </c>
      <c r="D234" s="5" t="s">
        <v>1051</v>
      </c>
      <c r="E234" s="5" t="s">
        <v>1053</v>
      </c>
      <c r="F234" s="5"/>
      <c r="G234" s="5"/>
      <c r="H234" s="5"/>
      <c r="I234" s="5"/>
      <c r="J234" s="32">
        <f>COUNTIF(TableFields[Field],Columns[[#This Row],[Column]])</f>
        <v>0</v>
      </c>
    </row>
    <row r="235" spans="1:10" x14ac:dyDescent="0.25">
      <c r="A235" s="5" t="s">
        <v>1037</v>
      </c>
      <c r="B235" s="5" t="s">
        <v>831</v>
      </c>
      <c r="C235" s="5" t="s">
        <v>1038</v>
      </c>
      <c r="D235" s="5"/>
      <c r="E235" s="5" t="s">
        <v>771</v>
      </c>
      <c r="F235" s="5"/>
      <c r="G235" s="5"/>
      <c r="H235" s="5"/>
      <c r="I235" s="5"/>
      <c r="J235" s="32">
        <f>COUNTIF(TableFields[Field],Columns[[#This Row],[Column]])</f>
        <v>0</v>
      </c>
    </row>
    <row r="236" spans="1:10" x14ac:dyDescent="0.25">
      <c r="A236" s="5" t="s">
        <v>1039</v>
      </c>
      <c r="B236" s="5" t="s">
        <v>769</v>
      </c>
      <c r="C236" s="5" t="s">
        <v>1040</v>
      </c>
      <c r="D236" s="5">
        <v>5</v>
      </c>
      <c r="E236" s="5" t="s">
        <v>771</v>
      </c>
      <c r="F236" s="5"/>
      <c r="G236" s="5"/>
      <c r="H236" s="5"/>
      <c r="I236" s="5"/>
      <c r="J236" s="32">
        <f>COUNTIF(TableFields[Field],Columns[[#This Row],[Column]])</f>
        <v>1</v>
      </c>
    </row>
    <row r="237" spans="1:10" x14ac:dyDescent="0.25">
      <c r="A237" s="5" t="s">
        <v>1041</v>
      </c>
      <c r="B237" s="5" t="s">
        <v>769</v>
      </c>
      <c r="C237" s="5" t="s">
        <v>1042</v>
      </c>
      <c r="D237" s="5">
        <v>5</v>
      </c>
      <c r="E237" s="5" t="s">
        <v>771</v>
      </c>
      <c r="F237" s="5"/>
      <c r="G237" s="5"/>
      <c r="H237" s="5"/>
      <c r="I237" s="5"/>
      <c r="J237" s="32">
        <f>COUNTIF(TableFields[Field],Columns[[#This Row],[Column]])</f>
        <v>1</v>
      </c>
    </row>
    <row r="238" spans="1:10" x14ac:dyDescent="0.25">
      <c r="A238" s="5" t="s">
        <v>1043</v>
      </c>
      <c r="B238" s="5" t="s">
        <v>769</v>
      </c>
      <c r="C238" s="5" t="s">
        <v>1044</v>
      </c>
      <c r="D238" s="5">
        <v>5</v>
      </c>
      <c r="E238" s="5" t="s">
        <v>771</v>
      </c>
      <c r="F238" s="5"/>
      <c r="G238" s="5"/>
      <c r="H238" s="5"/>
      <c r="I238" s="5"/>
      <c r="J238" s="32">
        <f>COUNTIF(TableFields[Field],Columns[[#This Row],[Column]])</f>
        <v>1</v>
      </c>
    </row>
    <row r="239" spans="1:10" x14ac:dyDescent="0.25">
      <c r="A239" s="5" t="s">
        <v>1045</v>
      </c>
      <c r="B239" s="5" t="s">
        <v>769</v>
      </c>
      <c r="C239" s="5" t="s">
        <v>1046</v>
      </c>
      <c r="D239" s="5">
        <v>5</v>
      </c>
      <c r="E239" s="5" t="s">
        <v>771</v>
      </c>
      <c r="F239" s="5"/>
      <c r="G239" s="5"/>
      <c r="H239" s="5"/>
      <c r="I239" s="5"/>
      <c r="J239" s="32">
        <f>COUNTIF(TableFields[Field],Columns[[#This Row],[Column]])</f>
        <v>1</v>
      </c>
    </row>
    <row r="240" spans="1:10" x14ac:dyDescent="0.25">
      <c r="A240" s="5" t="s">
        <v>1047</v>
      </c>
      <c r="B240" s="5" t="s">
        <v>769</v>
      </c>
      <c r="C240" s="5" t="s">
        <v>1048</v>
      </c>
      <c r="D240" s="5">
        <v>20</v>
      </c>
      <c r="E240" s="5" t="s">
        <v>771</v>
      </c>
      <c r="F240" s="5"/>
      <c r="G240" s="5"/>
      <c r="H240" s="5"/>
      <c r="I240" s="5"/>
      <c r="J240" s="32">
        <f>COUNTIF(TableFields[Field],Columns[[#This Row],[Column]])</f>
        <v>1</v>
      </c>
    </row>
    <row r="241" spans="1:10" x14ac:dyDescent="0.25">
      <c r="A241" s="5" t="s">
        <v>1055</v>
      </c>
      <c r="B241" s="5" t="s">
        <v>817</v>
      </c>
      <c r="C241" s="5" t="s">
        <v>1056</v>
      </c>
      <c r="D241" s="5" t="s">
        <v>1054</v>
      </c>
      <c r="E241" s="5" t="s">
        <v>771</v>
      </c>
      <c r="F241" s="5"/>
      <c r="G241" s="5"/>
      <c r="H241" s="5"/>
      <c r="I241" s="5"/>
      <c r="J241" s="32">
        <f>COUNTIF(TableFields[Field],Columns[[#This Row],[Column]])</f>
        <v>1</v>
      </c>
    </row>
    <row r="242" spans="1:10" x14ac:dyDescent="0.25">
      <c r="A242" s="5" t="s">
        <v>1057</v>
      </c>
      <c r="B242" s="5" t="s">
        <v>797</v>
      </c>
      <c r="C242" s="5" t="s">
        <v>1058</v>
      </c>
      <c r="D242" s="5">
        <v>60</v>
      </c>
      <c r="E242" s="5" t="s">
        <v>771</v>
      </c>
      <c r="F242" s="5"/>
      <c r="G242" s="5"/>
      <c r="H242" s="5"/>
      <c r="I242" s="5"/>
      <c r="J242" s="32">
        <f>COUNTIF(TableFields[Field],Columns[[#This Row],[Column]])</f>
        <v>1</v>
      </c>
    </row>
    <row r="243" spans="1:10" x14ac:dyDescent="0.25">
      <c r="A243" s="5" t="s">
        <v>1059</v>
      </c>
      <c r="B243" s="5" t="s">
        <v>831</v>
      </c>
      <c r="C243" s="5" t="s">
        <v>1060</v>
      </c>
      <c r="D243" s="5"/>
      <c r="E243" s="5" t="s">
        <v>771</v>
      </c>
      <c r="F243" s="5"/>
      <c r="G243" s="5"/>
      <c r="H243" s="5"/>
      <c r="I243" s="5"/>
      <c r="J243" s="32">
        <f>COUNTIF(TableFields[Field],Columns[[#This Row],[Column]])</f>
        <v>1</v>
      </c>
    </row>
    <row r="244" spans="1:10" x14ac:dyDescent="0.25">
      <c r="A244" s="5" t="s">
        <v>1061</v>
      </c>
      <c r="B244" s="5" t="s">
        <v>797</v>
      </c>
      <c r="C244" s="5" t="s">
        <v>1062</v>
      </c>
      <c r="D244" s="5">
        <v>255</v>
      </c>
      <c r="E244" s="5" t="s">
        <v>771</v>
      </c>
      <c r="F244" s="5"/>
      <c r="G244" s="5"/>
      <c r="H244" s="5"/>
      <c r="I244" s="5"/>
      <c r="J244" s="32">
        <f>COUNTIF(TableFields[Field],Columns[[#This Row],[Column]])</f>
        <v>1</v>
      </c>
    </row>
    <row r="245" spans="1:10" x14ac:dyDescent="0.25">
      <c r="A245" s="5" t="s">
        <v>1063</v>
      </c>
      <c r="B245" s="5" t="s">
        <v>797</v>
      </c>
      <c r="C245" s="5" t="s">
        <v>1064</v>
      </c>
      <c r="D245" s="5">
        <v>255</v>
      </c>
      <c r="E245" s="5" t="s">
        <v>771</v>
      </c>
      <c r="F245" s="5"/>
      <c r="G245" s="5"/>
      <c r="H245" s="5"/>
      <c r="I245" s="5"/>
      <c r="J245" s="32">
        <f>COUNTIF(TableFields[Field],Columns[[#This Row],[Column]])</f>
        <v>1</v>
      </c>
    </row>
    <row r="246" spans="1:10" x14ac:dyDescent="0.25">
      <c r="A246" s="5" t="s">
        <v>1065</v>
      </c>
      <c r="B246" s="5" t="s">
        <v>817</v>
      </c>
      <c r="C246" s="5" t="s">
        <v>1066</v>
      </c>
      <c r="D246" s="5" t="s">
        <v>1054</v>
      </c>
      <c r="E246" s="5" t="s">
        <v>771</v>
      </c>
      <c r="F246" s="5"/>
      <c r="G246" s="5"/>
      <c r="H246" s="5"/>
      <c r="I246" s="5"/>
      <c r="J246" s="32">
        <f>COUNTIF(TableFields[Field],Columns[[#This Row],[Column]])</f>
        <v>1</v>
      </c>
    </row>
    <row r="247" spans="1:10" x14ac:dyDescent="0.25">
      <c r="A247" s="5" t="s">
        <v>1005</v>
      </c>
      <c r="B247" s="5" t="s">
        <v>773</v>
      </c>
      <c r="C247" s="5" t="s">
        <v>1006</v>
      </c>
      <c r="D247" s="5" t="s">
        <v>1049</v>
      </c>
      <c r="E247" s="5" t="s">
        <v>771</v>
      </c>
      <c r="F247" s="5" t="s">
        <v>1050</v>
      </c>
      <c r="G247" s="5"/>
      <c r="H247" s="5"/>
      <c r="I247" s="5"/>
      <c r="J247" s="32">
        <f>COUNTIF(TableFields[Field],Columns[[#This Row],[Column]])</f>
        <v>1</v>
      </c>
    </row>
    <row r="248" spans="1:10" x14ac:dyDescent="0.25">
      <c r="A248" s="5" t="s">
        <v>1007</v>
      </c>
      <c r="B248" s="5" t="s">
        <v>773</v>
      </c>
      <c r="C248" s="5" t="s">
        <v>1008</v>
      </c>
      <c r="D248" s="5" t="s">
        <v>1067</v>
      </c>
      <c r="E248" s="5" t="s">
        <v>771</v>
      </c>
      <c r="F248" s="5" t="s">
        <v>1069</v>
      </c>
      <c r="G248" s="5"/>
      <c r="H248" s="5"/>
      <c r="I248" s="5"/>
      <c r="J248" s="32">
        <f>COUNTIF(TableFields[Field],Columns[[#This Row],[Column]])</f>
        <v>1</v>
      </c>
    </row>
    <row r="249" spans="1:10" x14ac:dyDescent="0.25">
      <c r="A249" s="5" t="s">
        <v>1009</v>
      </c>
      <c r="B249" s="5" t="s">
        <v>773</v>
      </c>
      <c r="C249" s="5" t="s">
        <v>1010</v>
      </c>
      <c r="D249" s="5" t="s">
        <v>1068</v>
      </c>
      <c r="E249" s="5" t="s">
        <v>771</v>
      </c>
      <c r="F249" s="5" t="s">
        <v>1070</v>
      </c>
      <c r="G249" s="5"/>
      <c r="H249" s="5"/>
      <c r="I249" s="5"/>
      <c r="J249" s="32">
        <f>COUNTIF(TableFields[Field],Columns[[#This Row],[Column]])</f>
        <v>1</v>
      </c>
    </row>
    <row r="250" spans="1:10" x14ac:dyDescent="0.25">
      <c r="A250" s="5" t="s">
        <v>1072</v>
      </c>
      <c r="B250" s="5" t="s">
        <v>769</v>
      </c>
      <c r="C250" s="5" t="s">
        <v>1073</v>
      </c>
      <c r="D250" s="5">
        <v>15</v>
      </c>
      <c r="E250" s="5" t="s">
        <v>771</v>
      </c>
      <c r="F250" s="5"/>
      <c r="G250" s="5"/>
      <c r="H250" s="5"/>
      <c r="I250" s="5"/>
      <c r="J250" s="32">
        <f>COUNTIF(TableFields[Field],Columns[[#This Row],[Column]])</f>
        <v>1</v>
      </c>
    </row>
    <row r="251" spans="1:10" x14ac:dyDescent="0.25">
      <c r="A251" s="5" t="s">
        <v>1074</v>
      </c>
      <c r="B251" s="5" t="s">
        <v>773</v>
      </c>
      <c r="C251" s="5" t="s">
        <v>1075</v>
      </c>
      <c r="D251" s="5" t="s">
        <v>1076</v>
      </c>
      <c r="E251" s="5" t="s">
        <v>771</v>
      </c>
      <c r="F251" s="5" t="s">
        <v>1020</v>
      </c>
      <c r="G251" s="5"/>
      <c r="H251" s="5"/>
      <c r="I251" s="5"/>
      <c r="J251" s="32">
        <f>COUNTIF(TableFields[Field],Columns[[#This Row],[Column]])</f>
        <v>1</v>
      </c>
    </row>
    <row r="252" spans="1:10" x14ac:dyDescent="0.25">
      <c r="A252" s="5" t="s">
        <v>1077</v>
      </c>
      <c r="B252" s="5" t="s">
        <v>817</v>
      </c>
      <c r="C252" s="5" t="s">
        <v>1078</v>
      </c>
      <c r="D252" s="5" t="s">
        <v>1016</v>
      </c>
      <c r="E252" s="5" t="s">
        <v>771</v>
      </c>
      <c r="F252" s="5" t="s">
        <v>1254</v>
      </c>
      <c r="G252" s="5"/>
      <c r="H252" s="5"/>
      <c r="I252" s="5"/>
      <c r="J252" s="32">
        <f>COUNTIF(TableFields[Field],Columns[[#This Row],[Column]])</f>
        <v>1</v>
      </c>
    </row>
    <row r="253" spans="1:10" x14ac:dyDescent="0.25">
      <c r="A253" s="5" t="s">
        <v>1079</v>
      </c>
      <c r="B253" s="5" t="s">
        <v>817</v>
      </c>
      <c r="C253" s="5" t="s">
        <v>1080</v>
      </c>
      <c r="D253" s="5" t="s">
        <v>1016</v>
      </c>
      <c r="E253" s="5" t="s">
        <v>771</v>
      </c>
      <c r="F253" s="5" t="s">
        <v>1255</v>
      </c>
      <c r="G253" s="5"/>
      <c r="H253" s="5"/>
      <c r="I253" s="5"/>
      <c r="J253" s="32">
        <f>COUNTIF(TableFields[Field],Columns[[#This Row],[Column]])</f>
        <v>1</v>
      </c>
    </row>
    <row r="254" spans="1:10" x14ac:dyDescent="0.25">
      <c r="A254" s="5" t="s">
        <v>1081</v>
      </c>
      <c r="B254" s="5" t="s">
        <v>817</v>
      </c>
      <c r="C254" s="5" t="s">
        <v>1082</v>
      </c>
      <c r="D254" s="5" t="s">
        <v>1016</v>
      </c>
      <c r="E254" s="5" t="s">
        <v>771</v>
      </c>
      <c r="F254" s="5" t="s">
        <v>1255</v>
      </c>
      <c r="G254" s="5"/>
      <c r="H254" s="5"/>
      <c r="I254" s="5"/>
      <c r="J254" s="32">
        <f>COUNTIF(TableFields[Field],Columns[[#This Row],[Column]])</f>
        <v>1</v>
      </c>
    </row>
    <row r="255" spans="1:10" x14ac:dyDescent="0.25">
      <c r="A255" s="5" t="s">
        <v>1083</v>
      </c>
      <c r="B255" s="5" t="s">
        <v>817</v>
      </c>
      <c r="C255" s="5" t="s">
        <v>1084</v>
      </c>
      <c r="D255" s="5" t="s">
        <v>1016</v>
      </c>
      <c r="E255" s="5" t="s">
        <v>771</v>
      </c>
      <c r="F255" s="5" t="s">
        <v>1256</v>
      </c>
      <c r="G255" s="5"/>
      <c r="H255" s="5"/>
      <c r="I255" s="5"/>
      <c r="J255" s="32">
        <f>COUNTIF(TableFields[Field],Columns[[#This Row],[Column]])</f>
        <v>1</v>
      </c>
    </row>
    <row r="256" spans="1:10" x14ac:dyDescent="0.25">
      <c r="A256" s="5" t="s">
        <v>1085</v>
      </c>
      <c r="B256" s="5" t="s">
        <v>773</v>
      </c>
      <c r="C256" s="5" t="s">
        <v>1086</v>
      </c>
      <c r="D256" s="5" t="s">
        <v>941</v>
      </c>
      <c r="E256" s="5" t="s">
        <v>771</v>
      </c>
      <c r="F256" s="5"/>
      <c r="G256" s="5"/>
      <c r="H256" s="5"/>
      <c r="I256" s="5"/>
      <c r="J256" s="32">
        <f>COUNTIF(TableFields[Field],Columns[[#This Row],[Column]])</f>
        <v>1</v>
      </c>
    </row>
    <row r="257" spans="1:10" x14ac:dyDescent="0.25">
      <c r="A257" s="5" t="s">
        <v>1087</v>
      </c>
      <c r="B257" s="5" t="s">
        <v>773</v>
      </c>
      <c r="C257" s="5" t="s">
        <v>1088</v>
      </c>
      <c r="D257" s="5" t="s">
        <v>941</v>
      </c>
      <c r="E257" s="5" t="s">
        <v>771</v>
      </c>
      <c r="F257" s="5"/>
      <c r="G257" s="5"/>
      <c r="H257" s="5"/>
      <c r="I257" s="5"/>
      <c r="J257" s="32">
        <f>COUNTIF(TableFields[Field],Columns[[#This Row],[Column]])</f>
        <v>1</v>
      </c>
    </row>
    <row r="258" spans="1:10" x14ac:dyDescent="0.25">
      <c r="A258" s="5" t="s">
        <v>1089</v>
      </c>
      <c r="B258" s="5" t="s">
        <v>773</v>
      </c>
      <c r="C258" s="5" t="s">
        <v>1090</v>
      </c>
      <c r="D258" s="5" t="s">
        <v>941</v>
      </c>
      <c r="E258" s="5" t="s">
        <v>771</v>
      </c>
      <c r="F258" s="5"/>
      <c r="G258" s="5"/>
      <c r="H258" s="5"/>
      <c r="I258" s="5"/>
      <c r="J258" s="32">
        <f>COUNTIF(TableFields[Field],Columns[[#This Row],[Column]])</f>
        <v>1</v>
      </c>
    </row>
    <row r="259" spans="1:10" x14ac:dyDescent="0.25">
      <c r="A259" s="5" t="s">
        <v>1091</v>
      </c>
      <c r="B259" s="5" t="s">
        <v>773</v>
      </c>
      <c r="C259" s="5" t="s">
        <v>1092</v>
      </c>
      <c r="D259" s="5" t="s">
        <v>941</v>
      </c>
      <c r="E259" s="5" t="s">
        <v>771</v>
      </c>
      <c r="F259" s="5"/>
      <c r="G259" s="5"/>
      <c r="H259" s="5"/>
      <c r="I259" s="5"/>
      <c r="J259" s="32">
        <f>COUNTIF(TableFields[Field],Columns[[#This Row],[Column]])</f>
        <v>1</v>
      </c>
    </row>
    <row r="260" spans="1:10" x14ac:dyDescent="0.25">
      <c r="A260" s="5" t="s">
        <v>1093</v>
      </c>
      <c r="B260" s="5" t="s">
        <v>797</v>
      </c>
      <c r="C260" s="5" t="s">
        <v>1094</v>
      </c>
      <c r="D260" s="5">
        <v>30</v>
      </c>
      <c r="E260" s="5" t="s">
        <v>771</v>
      </c>
      <c r="F260" s="5" t="s">
        <v>1095</v>
      </c>
      <c r="G260" s="5"/>
      <c r="H260" s="5"/>
      <c r="I260" s="5"/>
      <c r="J260" s="32">
        <f>COUNTIF(TableFields[Field],Columns[[#This Row],[Column]])</f>
        <v>1</v>
      </c>
    </row>
    <row r="261" spans="1:10" x14ac:dyDescent="0.25">
      <c r="A261" s="5" t="s">
        <v>1096</v>
      </c>
      <c r="B261" s="5" t="s">
        <v>797</v>
      </c>
      <c r="C261" s="5" t="s">
        <v>1097</v>
      </c>
      <c r="D261" s="5">
        <v>30</v>
      </c>
      <c r="E261" s="5" t="s">
        <v>771</v>
      </c>
      <c r="F261" s="5" t="s">
        <v>1095</v>
      </c>
      <c r="G261" s="5"/>
      <c r="H261" s="5"/>
      <c r="I261" s="5"/>
      <c r="J261" s="32">
        <f>COUNTIF(TableFields[Field],Columns[[#This Row],[Column]])</f>
        <v>1</v>
      </c>
    </row>
    <row r="262" spans="1:10" x14ac:dyDescent="0.25">
      <c r="A262" s="5" t="s">
        <v>1098</v>
      </c>
      <c r="B262" s="5" t="s">
        <v>797</v>
      </c>
      <c r="C262" s="5" t="s">
        <v>1099</v>
      </c>
      <c r="D262" s="5">
        <v>30</v>
      </c>
      <c r="E262" s="5" t="s">
        <v>771</v>
      </c>
      <c r="F262" s="5" t="s">
        <v>1095</v>
      </c>
      <c r="G262" s="5"/>
      <c r="H262" s="5"/>
      <c r="I262" s="5"/>
      <c r="J262" s="32">
        <f>COUNTIF(TableFields[Field],Columns[[#This Row],[Column]])</f>
        <v>1</v>
      </c>
    </row>
    <row r="263" spans="1:10" x14ac:dyDescent="0.25">
      <c r="A263" s="5" t="s">
        <v>1100</v>
      </c>
      <c r="B263" s="5" t="s">
        <v>797</v>
      </c>
      <c r="C263" s="5" t="s">
        <v>1101</v>
      </c>
      <c r="D263" s="5">
        <v>30</v>
      </c>
      <c r="E263" s="5" t="s">
        <v>771</v>
      </c>
      <c r="F263" s="5" t="s">
        <v>1095</v>
      </c>
      <c r="G263" s="5"/>
      <c r="H263" s="5"/>
      <c r="I263" s="5"/>
      <c r="J263" s="32">
        <f>COUNTIF(TableFields[Field],Columns[[#This Row],[Column]])</f>
        <v>1</v>
      </c>
    </row>
    <row r="264" spans="1:10" x14ac:dyDescent="0.25">
      <c r="A264" s="5" t="s">
        <v>1102</v>
      </c>
      <c r="B264" s="5" t="s">
        <v>797</v>
      </c>
      <c r="C264" s="5" t="s">
        <v>1103</v>
      </c>
      <c r="D264" s="5">
        <v>200</v>
      </c>
      <c r="E264" s="5" t="s">
        <v>771</v>
      </c>
      <c r="F264" s="5"/>
      <c r="G264" s="5"/>
      <c r="H264" s="5"/>
      <c r="I264" s="5"/>
      <c r="J264" s="32">
        <f>COUNTIF(TableFields[Field],Columns[[#This Row],[Column]])</f>
        <v>1</v>
      </c>
    </row>
    <row r="265" spans="1:10" x14ac:dyDescent="0.25">
      <c r="A265" s="5" t="s">
        <v>1104</v>
      </c>
      <c r="B265" s="5" t="s">
        <v>773</v>
      </c>
      <c r="C265" s="5" t="s">
        <v>1105</v>
      </c>
      <c r="D265" s="5" t="s">
        <v>941</v>
      </c>
      <c r="E265" s="5" t="s">
        <v>771</v>
      </c>
      <c r="F265" s="5" t="s">
        <v>945</v>
      </c>
      <c r="G265" s="5"/>
      <c r="H265" s="5"/>
      <c r="I265" s="5"/>
      <c r="J265" s="32">
        <f>COUNTIF(TableFields[Field],Columns[[#This Row],[Column]])</f>
        <v>1</v>
      </c>
    </row>
    <row r="266" spans="1:10" x14ac:dyDescent="0.25">
      <c r="A266" s="5" t="s">
        <v>1106</v>
      </c>
      <c r="B266" s="5" t="s">
        <v>773</v>
      </c>
      <c r="C266" s="5" t="s">
        <v>1107</v>
      </c>
      <c r="D266" s="5" t="s">
        <v>941</v>
      </c>
      <c r="E266" s="5" t="s">
        <v>771</v>
      </c>
      <c r="F266" s="5" t="s">
        <v>945</v>
      </c>
      <c r="G266" s="5"/>
      <c r="H266" s="5"/>
      <c r="I266" s="5"/>
      <c r="J266" s="32">
        <f>COUNTIF(TableFields[Field],Columns[[#This Row],[Column]])</f>
        <v>1</v>
      </c>
    </row>
    <row r="267" spans="1:10" x14ac:dyDescent="0.25">
      <c r="A267" s="5" t="s">
        <v>1108</v>
      </c>
      <c r="B267" s="5" t="s">
        <v>773</v>
      </c>
      <c r="C267" s="5" t="s">
        <v>1109</v>
      </c>
      <c r="D267" s="5" t="s">
        <v>941</v>
      </c>
      <c r="E267" s="5" t="s">
        <v>771</v>
      </c>
      <c r="F267" s="5" t="s">
        <v>945</v>
      </c>
      <c r="G267" s="5"/>
      <c r="H267" s="5"/>
      <c r="I267" s="5"/>
      <c r="J267" s="32">
        <f>COUNTIF(TableFields[Field],Columns[[#This Row],[Column]])</f>
        <v>1</v>
      </c>
    </row>
    <row r="268" spans="1:10" x14ac:dyDescent="0.25">
      <c r="A268" s="5" t="s">
        <v>1110</v>
      </c>
      <c r="B268" s="5" t="s">
        <v>773</v>
      </c>
      <c r="C268" s="5" t="s">
        <v>1111</v>
      </c>
      <c r="D268" s="5" t="s">
        <v>941</v>
      </c>
      <c r="E268" s="5" t="s">
        <v>771</v>
      </c>
      <c r="F268" s="5" t="s">
        <v>945</v>
      </c>
      <c r="G268" s="5"/>
      <c r="H268" s="5"/>
      <c r="I268" s="5"/>
      <c r="J268" s="32">
        <f>COUNTIF(TableFields[Field],Columns[[#This Row],[Column]])</f>
        <v>1</v>
      </c>
    </row>
    <row r="269" spans="1:10" x14ac:dyDescent="0.25">
      <c r="A269" s="5" t="s">
        <v>1112</v>
      </c>
      <c r="B269" s="5" t="s">
        <v>773</v>
      </c>
      <c r="C269" s="5" t="s">
        <v>1113</v>
      </c>
      <c r="D269" s="5" t="s">
        <v>941</v>
      </c>
      <c r="E269" s="5" t="s">
        <v>771</v>
      </c>
      <c r="F269" s="5" t="s">
        <v>945</v>
      </c>
      <c r="G269" s="5"/>
      <c r="H269" s="5"/>
      <c r="I269" s="5"/>
      <c r="J269" s="32">
        <f>COUNTIF(TableFields[Field],Columns[[#This Row],[Column]])</f>
        <v>1</v>
      </c>
    </row>
    <row r="270" spans="1:10" x14ac:dyDescent="0.25">
      <c r="A270" s="5" t="s">
        <v>1114</v>
      </c>
      <c r="B270" s="5" t="s">
        <v>773</v>
      </c>
      <c r="C270" s="5" t="s">
        <v>1115</v>
      </c>
      <c r="D270" s="5" t="s">
        <v>941</v>
      </c>
      <c r="E270" s="5" t="s">
        <v>771</v>
      </c>
      <c r="F270" s="5" t="s">
        <v>945</v>
      </c>
      <c r="G270" s="5"/>
      <c r="H270" s="5"/>
      <c r="I270" s="5"/>
      <c r="J270" s="32">
        <f>COUNTIF(TableFields[Field],Columns[[#This Row],[Column]])</f>
        <v>1</v>
      </c>
    </row>
    <row r="271" spans="1:10" x14ac:dyDescent="0.25">
      <c r="A271" s="5" t="s">
        <v>1116</v>
      </c>
      <c r="B271" s="5" t="s">
        <v>773</v>
      </c>
      <c r="C271" s="5" t="s">
        <v>1117</v>
      </c>
      <c r="D271" s="5" t="s">
        <v>941</v>
      </c>
      <c r="E271" s="5" t="s">
        <v>771</v>
      </c>
      <c r="F271" s="5" t="s">
        <v>945</v>
      </c>
      <c r="G271" s="5"/>
      <c r="H271" s="5"/>
      <c r="I271" s="5"/>
      <c r="J271" s="32">
        <f>COUNTIF(TableFields[Field],Columns[[#This Row],[Column]])</f>
        <v>1</v>
      </c>
    </row>
    <row r="272" spans="1:10" x14ac:dyDescent="0.25">
      <c r="A272" s="5" t="s">
        <v>1118</v>
      </c>
      <c r="B272" s="5" t="s">
        <v>797</v>
      </c>
      <c r="C272" s="5" t="s">
        <v>1119</v>
      </c>
      <c r="D272" s="5">
        <v>60</v>
      </c>
      <c r="E272" s="5" t="s">
        <v>771</v>
      </c>
      <c r="F272" s="5"/>
      <c r="G272" s="5"/>
      <c r="H272" s="5"/>
      <c r="I272" s="5"/>
      <c r="J272" s="32">
        <f>COUNTIF(TableFields[Field],Columns[[#This Row],[Column]])</f>
        <v>1</v>
      </c>
    </row>
    <row r="273" spans="1:10" x14ac:dyDescent="0.25">
      <c r="A273" s="5" t="s">
        <v>1120</v>
      </c>
      <c r="B273" s="5" t="s">
        <v>773</v>
      </c>
      <c r="C273" s="5" t="s">
        <v>1121</v>
      </c>
      <c r="D273" s="5" t="s">
        <v>1122</v>
      </c>
      <c r="E273" s="5" t="s">
        <v>771</v>
      </c>
      <c r="F273" s="5" t="s">
        <v>1123</v>
      </c>
      <c r="G273" s="5"/>
      <c r="H273" s="5"/>
      <c r="I273" s="5"/>
      <c r="J273" s="32">
        <f>COUNTIF(TableFields[Field],Columns[[#This Row],[Column]])</f>
        <v>1</v>
      </c>
    </row>
    <row r="274" spans="1:10" x14ac:dyDescent="0.25">
      <c r="A274" s="5" t="s">
        <v>1124</v>
      </c>
      <c r="B274" s="5" t="s">
        <v>773</v>
      </c>
      <c r="C274" s="5" t="s">
        <v>1125</v>
      </c>
      <c r="D274" s="5" t="s">
        <v>941</v>
      </c>
      <c r="E274" s="5" t="s">
        <v>771</v>
      </c>
      <c r="F274" s="5" t="s">
        <v>945</v>
      </c>
      <c r="G274" s="5"/>
      <c r="H274" s="5"/>
      <c r="I274" s="5"/>
      <c r="J274" s="32">
        <f>COUNTIF(TableFields[Field],Columns[[#This Row],[Column]])</f>
        <v>1</v>
      </c>
    </row>
    <row r="275" spans="1:10" x14ac:dyDescent="0.25">
      <c r="A275" s="5" t="s">
        <v>1126</v>
      </c>
      <c r="B275" s="5" t="s">
        <v>773</v>
      </c>
      <c r="C275" s="5" t="s">
        <v>1127</v>
      </c>
      <c r="D275" s="5" t="s">
        <v>1128</v>
      </c>
      <c r="E275" s="5" t="s">
        <v>771</v>
      </c>
      <c r="F275" s="5" t="s">
        <v>1129</v>
      </c>
      <c r="G275" s="5"/>
      <c r="H275" s="5"/>
      <c r="I275" s="5"/>
      <c r="J275" s="32">
        <f>COUNTIF(TableFields[Field],Columns[[#This Row],[Column]])</f>
        <v>1</v>
      </c>
    </row>
    <row r="276" spans="1:10" x14ac:dyDescent="0.25">
      <c r="A276" s="5" t="s">
        <v>1130</v>
      </c>
      <c r="B276" s="5" t="s">
        <v>797</v>
      </c>
      <c r="C276" s="5" t="s">
        <v>1131</v>
      </c>
      <c r="D276" s="5">
        <v>200</v>
      </c>
      <c r="E276" s="5" t="s">
        <v>771</v>
      </c>
      <c r="F276" s="5"/>
      <c r="G276" s="5"/>
      <c r="H276" s="5"/>
      <c r="I276" s="5"/>
      <c r="J276" s="32">
        <f>COUNTIF(TableFields[Field],Columns[[#This Row],[Column]])</f>
        <v>1</v>
      </c>
    </row>
    <row r="277" spans="1:10" x14ac:dyDescent="0.25">
      <c r="A277" s="5" t="s">
        <v>1132</v>
      </c>
      <c r="B277" s="5" t="s">
        <v>797</v>
      </c>
      <c r="C277" s="5" t="s">
        <v>1133</v>
      </c>
      <c r="D277" s="5">
        <v>200</v>
      </c>
      <c r="E277" s="5" t="s">
        <v>771</v>
      </c>
      <c r="F277" s="5"/>
      <c r="G277" s="5"/>
      <c r="H277" s="5"/>
      <c r="I277" s="5"/>
      <c r="J277" s="32">
        <f>COUNTIF(TableFields[Field],Columns[[#This Row],[Column]])</f>
        <v>1</v>
      </c>
    </row>
    <row r="278" spans="1:10" x14ac:dyDescent="0.25">
      <c r="A278" s="5" t="s">
        <v>1134</v>
      </c>
      <c r="B278" s="5" t="s">
        <v>773</v>
      </c>
      <c r="C278" s="5" t="s">
        <v>1135</v>
      </c>
      <c r="D278" s="5" t="s">
        <v>1136</v>
      </c>
      <c r="E278" s="5" t="s">
        <v>771</v>
      </c>
      <c r="F278" s="5" t="s">
        <v>939</v>
      </c>
      <c r="G278" s="5"/>
      <c r="H278" s="5"/>
      <c r="I278" s="5"/>
      <c r="J278" s="32">
        <f>COUNTIF(TableFields[Field],Columns[[#This Row],[Column]])</f>
        <v>1</v>
      </c>
    </row>
    <row r="279" spans="1:10" x14ac:dyDescent="0.25">
      <c r="A279" s="5" t="s">
        <v>1137</v>
      </c>
      <c r="B279" s="5" t="s">
        <v>773</v>
      </c>
      <c r="C279" s="5" t="s">
        <v>1138</v>
      </c>
      <c r="D279" s="5" t="s">
        <v>1139</v>
      </c>
      <c r="E279" s="5" t="s">
        <v>771</v>
      </c>
      <c r="F279" s="5" t="s">
        <v>939</v>
      </c>
      <c r="G279" s="5"/>
      <c r="H279" s="5"/>
      <c r="I279" s="5"/>
      <c r="J279" s="32">
        <f>COUNTIF(TableFields[Field],Columns[[#This Row],[Column]])</f>
        <v>1</v>
      </c>
    </row>
    <row r="280" spans="1:10" x14ac:dyDescent="0.25">
      <c r="A280" s="5" t="s">
        <v>1140</v>
      </c>
      <c r="B280" s="5" t="s">
        <v>773</v>
      </c>
      <c r="C280" s="5" t="s">
        <v>1141</v>
      </c>
      <c r="D280" s="5" t="s">
        <v>1142</v>
      </c>
      <c r="E280" s="5" t="s">
        <v>771</v>
      </c>
      <c r="F280" s="5" t="s">
        <v>1143</v>
      </c>
      <c r="G280" s="5"/>
      <c r="H280" s="5"/>
      <c r="I280" s="5"/>
      <c r="J280" s="32">
        <f>COUNTIF(TableFields[Field],Columns[[#This Row],[Column]])</f>
        <v>1</v>
      </c>
    </row>
    <row r="281" spans="1:10" x14ac:dyDescent="0.25">
      <c r="A281" s="5" t="s">
        <v>1144</v>
      </c>
      <c r="B281" s="5" t="s">
        <v>769</v>
      </c>
      <c r="C281" s="5" t="s">
        <v>1145</v>
      </c>
      <c r="D281" s="5">
        <v>15</v>
      </c>
      <c r="E281" s="5" t="s">
        <v>771</v>
      </c>
      <c r="F281" s="5" t="s">
        <v>1146</v>
      </c>
      <c r="G281" s="5"/>
      <c r="H281" s="5"/>
      <c r="I281" s="5"/>
      <c r="J281" s="32">
        <f>COUNTIF(TableFields[Field],Columns[[#This Row],[Column]])</f>
        <v>1</v>
      </c>
    </row>
    <row r="282" spans="1:10" x14ac:dyDescent="0.25">
      <c r="A282" s="5" t="s">
        <v>1147</v>
      </c>
      <c r="B282" s="5" t="s">
        <v>769</v>
      </c>
      <c r="C282" s="5" t="s">
        <v>1148</v>
      </c>
      <c r="D282" s="5">
        <v>15</v>
      </c>
      <c r="E282" s="5" t="s">
        <v>771</v>
      </c>
      <c r="F282" s="5" t="s">
        <v>1149</v>
      </c>
      <c r="G282" s="5"/>
      <c r="H282" s="5"/>
      <c r="I282" s="5"/>
      <c r="J282" s="32">
        <f>COUNTIF(TableFields[Field],Columns[[#This Row],[Column]])</f>
        <v>1</v>
      </c>
    </row>
    <row r="283" spans="1:10" x14ac:dyDescent="0.25">
      <c r="A283" s="5" t="s">
        <v>1150</v>
      </c>
      <c r="B283" s="5" t="s">
        <v>773</v>
      </c>
      <c r="C283" s="5" t="s">
        <v>1151</v>
      </c>
      <c r="D283" s="5" t="s">
        <v>941</v>
      </c>
      <c r="E283" s="5" t="s">
        <v>771</v>
      </c>
      <c r="F283" s="5" t="s">
        <v>1152</v>
      </c>
      <c r="G283" s="5"/>
      <c r="H283" s="5"/>
      <c r="I283" s="5"/>
      <c r="J283" s="32">
        <f>COUNTIF(TableFields[Field],Columns[[#This Row],[Column]])</f>
        <v>1</v>
      </c>
    </row>
    <row r="284" spans="1:10" x14ac:dyDescent="0.25">
      <c r="A284" s="5" t="s">
        <v>1153</v>
      </c>
      <c r="B284" s="5" t="s">
        <v>773</v>
      </c>
      <c r="C284" s="5" t="s">
        <v>1154</v>
      </c>
      <c r="D284" s="5" t="s">
        <v>941</v>
      </c>
      <c r="E284" s="5" t="s">
        <v>771</v>
      </c>
      <c r="F284" s="5" t="s">
        <v>945</v>
      </c>
      <c r="G284" s="5"/>
      <c r="H284" s="5"/>
      <c r="I284" s="5"/>
      <c r="J284" s="32">
        <f>COUNTIF(TableFields[Field],Columns[[#This Row],[Column]])</f>
        <v>1</v>
      </c>
    </row>
    <row r="285" spans="1:10" x14ac:dyDescent="0.25">
      <c r="A285" s="5" t="s">
        <v>1155</v>
      </c>
      <c r="B285" s="5" t="s">
        <v>773</v>
      </c>
      <c r="C285" s="5" t="s">
        <v>1156</v>
      </c>
      <c r="D285" s="5" t="s">
        <v>1157</v>
      </c>
      <c r="E285" s="5" t="s">
        <v>771</v>
      </c>
      <c r="F285" s="5" t="s">
        <v>1158</v>
      </c>
      <c r="G285" s="5"/>
      <c r="H285" s="5"/>
      <c r="I285" s="5"/>
      <c r="J285" s="32">
        <f>COUNTIF(TableFields[Field],Columns[[#This Row],[Column]])</f>
        <v>1</v>
      </c>
    </row>
    <row r="286" spans="1:10" x14ac:dyDescent="0.25">
      <c r="A286" s="5" t="s">
        <v>1159</v>
      </c>
      <c r="B286" s="5" t="s">
        <v>773</v>
      </c>
      <c r="C286" s="5" t="s">
        <v>1160</v>
      </c>
      <c r="D286" s="5" t="s">
        <v>941</v>
      </c>
      <c r="E286" s="5" t="s">
        <v>771</v>
      </c>
      <c r="F286" s="5" t="s">
        <v>945</v>
      </c>
      <c r="G286" s="5"/>
      <c r="H286" s="5"/>
      <c r="I286" s="5"/>
      <c r="J286" s="32">
        <f>COUNTIF(TableFields[Field],Columns[[#This Row],[Column]])</f>
        <v>1</v>
      </c>
    </row>
    <row r="287" spans="1:10" x14ac:dyDescent="0.25">
      <c r="A287" s="5" t="s">
        <v>1161</v>
      </c>
      <c r="B287" s="5" t="s">
        <v>797</v>
      </c>
      <c r="C287" s="5" t="s">
        <v>1162</v>
      </c>
      <c r="D287" s="5">
        <v>30</v>
      </c>
      <c r="E287" s="5" t="s">
        <v>771</v>
      </c>
      <c r="F287" s="1" t="s">
        <v>1643</v>
      </c>
      <c r="G287" s="5"/>
      <c r="H287" s="5"/>
      <c r="I287" s="5"/>
      <c r="J287" s="32">
        <f>COUNTIF(TableFields[Field],Columns[[#This Row],[Column]])</f>
        <v>1</v>
      </c>
    </row>
    <row r="288" spans="1:10" x14ac:dyDescent="0.25">
      <c r="A288" s="5" t="s">
        <v>1163</v>
      </c>
      <c r="B288" s="5" t="s">
        <v>773</v>
      </c>
      <c r="C288" s="5" t="s">
        <v>1164</v>
      </c>
      <c r="D288" s="5" t="s">
        <v>1165</v>
      </c>
      <c r="E288" s="5" t="s">
        <v>771</v>
      </c>
      <c r="F288" s="5" t="s">
        <v>1166</v>
      </c>
      <c r="G288" s="5"/>
      <c r="H288" s="5"/>
      <c r="I288" s="5"/>
      <c r="J288" s="32">
        <f>COUNTIF(TableFields[Field],Columns[[#This Row],[Column]])</f>
        <v>1</v>
      </c>
    </row>
    <row r="289" spans="1:10" x14ac:dyDescent="0.25">
      <c r="A289" s="5" t="s">
        <v>1167</v>
      </c>
      <c r="B289" s="5" t="s">
        <v>773</v>
      </c>
      <c r="C289" s="5" t="s">
        <v>1168</v>
      </c>
      <c r="D289" s="5" t="s">
        <v>1169</v>
      </c>
      <c r="E289" s="5" t="s">
        <v>771</v>
      </c>
      <c r="F289" s="5" t="s">
        <v>1170</v>
      </c>
      <c r="G289" s="5"/>
      <c r="H289" s="5"/>
      <c r="I289" s="5"/>
      <c r="J289" s="32">
        <f>COUNTIF(TableFields[Field],Columns[[#This Row],[Column]])</f>
        <v>1</v>
      </c>
    </row>
    <row r="290" spans="1:10" x14ac:dyDescent="0.25">
      <c r="A290" s="5" t="s">
        <v>1171</v>
      </c>
      <c r="B290" s="5" t="s">
        <v>773</v>
      </c>
      <c r="C290" s="5" t="s">
        <v>1172</v>
      </c>
      <c r="D290" s="5" t="s">
        <v>1173</v>
      </c>
      <c r="E290" s="5" t="s">
        <v>771</v>
      </c>
      <c r="F290" s="5" t="s">
        <v>1174</v>
      </c>
      <c r="G290" s="5"/>
      <c r="H290" s="5"/>
      <c r="I290" s="5"/>
      <c r="J290" s="32">
        <f>COUNTIF(TableFields[Field],Columns[[#This Row],[Column]])</f>
        <v>1</v>
      </c>
    </row>
    <row r="291" spans="1:10" x14ac:dyDescent="0.25">
      <c r="A291" s="5" t="s">
        <v>1175</v>
      </c>
      <c r="B291" s="5" t="s">
        <v>773</v>
      </c>
      <c r="C291" s="5" t="s">
        <v>1176</v>
      </c>
      <c r="D291" s="5" t="s">
        <v>1177</v>
      </c>
      <c r="E291" s="5" t="s">
        <v>771</v>
      </c>
      <c r="F291" s="5" t="s">
        <v>1178</v>
      </c>
      <c r="G291" s="5"/>
      <c r="H291" s="5"/>
      <c r="I291" s="5"/>
      <c r="J291" s="32">
        <f>COUNTIF(TableFields[Field],Columns[[#This Row],[Column]])</f>
        <v>1</v>
      </c>
    </row>
    <row r="292" spans="1:10" x14ac:dyDescent="0.25">
      <c r="A292" s="5" t="s">
        <v>1179</v>
      </c>
      <c r="B292" s="5" t="s">
        <v>773</v>
      </c>
      <c r="C292" s="5" t="s">
        <v>1180</v>
      </c>
      <c r="D292" s="5" t="s">
        <v>1181</v>
      </c>
      <c r="E292" s="5" t="s">
        <v>771</v>
      </c>
      <c r="F292" s="5" t="s">
        <v>1182</v>
      </c>
      <c r="G292" s="5"/>
      <c r="H292" s="5"/>
      <c r="I292" s="5"/>
      <c r="J292" s="32">
        <f>COUNTIF(TableFields[Field],Columns[[#This Row],[Column]])</f>
        <v>1</v>
      </c>
    </row>
    <row r="293" spans="1:10" x14ac:dyDescent="0.25">
      <c r="A293" s="5" t="s">
        <v>1252</v>
      </c>
      <c r="B293" s="5" t="s">
        <v>831</v>
      </c>
      <c r="C293" s="5" t="s">
        <v>1253</v>
      </c>
      <c r="D293" s="5"/>
      <c r="E293" s="5" t="s">
        <v>771</v>
      </c>
      <c r="F293" s="5"/>
      <c r="G293" s="5"/>
      <c r="H293" s="5"/>
      <c r="I293" s="5"/>
      <c r="J293" s="32">
        <f>COUNTIF(TableFields[Field],Columns[[#This Row],[Column]])</f>
        <v>1</v>
      </c>
    </row>
    <row r="294" spans="1:10" x14ac:dyDescent="0.25">
      <c r="A294" s="5" t="s">
        <v>1183</v>
      </c>
      <c r="B294" s="5" t="s">
        <v>773</v>
      </c>
      <c r="C294" s="5" t="s">
        <v>1184</v>
      </c>
      <c r="D294" s="5" t="s">
        <v>1185</v>
      </c>
      <c r="E294" s="5" t="s">
        <v>771</v>
      </c>
      <c r="F294" s="5" t="s">
        <v>1186</v>
      </c>
      <c r="G294" s="5"/>
      <c r="H294" s="5"/>
      <c r="I294" s="5"/>
      <c r="J294" s="32">
        <f>COUNTIF(TableFields[Field],Columns[[#This Row],[Column]])</f>
        <v>1</v>
      </c>
    </row>
    <row r="295" spans="1:10" x14ac:dyDescent="0.25">
      <c r="A295" s="5" t="s">
        <v>1187</v>
      </c>
      <c r="B295" s="5" t="s">
        <v>773</v>
      </c>
      <c r="C295" s="5" t="s">
        <v>1188</v>
      </c>
      <c r="D295" s="5" t="s">
        <v>1169</v>
      </c>
      <c r="E295" s="5" t="s">
        <v>771</v>
      </c>
      <c r="F295" s="5" t="s">
        <v>939</v>
      </c>
      <c r="G295" s="5"/>
      <c r="H295" s="5"/>
      <c r="I295" s="5"/>
      <c r="J295" s="32">
        <f>COUNTIF(TableFields[Field],Columns[[#This Row],[Column]])</f>
        <v>1</v>
      </c>
    </row>
    <row r="296" spans="1:10" x14ac:dyDescent="0.25">
      <c r="A296" s="5" t="s">
        <v>1189</v>
      </c>
      <c r="B296" s="5" t="s">
        <v>773</v>
      </c>
      <c r="C296" s="5" t="s">
        <v>1190</v>
      </c>
      <c r="D296" s="5" t="s">
        <v>1169</v>
      </c>
      <c r="E296" s="5" t="s">
        <v>771</v>
      </c>
      <c r="F296" s="5" t="s">
        <v>939</v>
      </c>
      <c r="G296" s="5"/>
      <c r="H296" s="5"/>
      <c r="I296" s="5"/>
      <c r="J296" s="32">
        <f>COUNTIF(TableFields[Field],Columns[[#This Row],[Column]])</f>
        <v>1</v>
      </c>
    </row>
    <row r="297" spans="1:10" x14ac:dyDescent="0.25">
      <c r="A297" s="5" t="s">
        <v>1191</v>
      </c>
      <c r="B297" s="5" t="s">
        <v>773</v>
      </c>
      <c r="C297" s="5" t="s">
        <v>1192</v>
      </c>
      <c r="D297" s="5" t="s">
        <v>1169</v>
      </c>
      <c r="E297" s="5" t="s">
        <v>771</v>
      </c>
      <c r="F297" s="5" t="s">
        <v>939</v>
      </c>
      <c r="G297" s="5"/>
      <c r="H297" s="5"/>
      <c r="I297" s="5"/>
      <c r="J297" s="32">
        <f>COUNTIF(TableFields[Field],Columns[[#This Row],[Column]])</f>
        <v>1</v>
      </c>
    </row>
    <row r="298" spans="1:10" x14ac:dyDescent="0.25">
      <c r="A298" s="5" t="s">
        <v>1193</v>
      </c>
      <c r="B298" s="5" t="s">
        <v>797</v>
      </c>
      <c r="C298" s="5" t="s">
        <v>1194</v>
      </c>
      <c r="D298" s="5">
        <v>30</v>
      </c>
      <c r="E298" s="5" t="s">
        <v>771</v>
      </c>
      <c r="F298" s="5" t="s">
        <v>1195</v>
      </c>
      <c r="G298" s="5"/>
      <c r="H298" s="5"/>
      <c r="I298" s="5"/>
      <c r="J298" s="32">
        <f>COUNTIF(TableFields[Field],Columns[[#This Row],[Column]])</f>
        <v>1</v>
      </c>
    </row>
    <row r="299" spans="1:10" x14ac:dyDescent="0.25">
      <c r="A299" s="5" t="s">
        <v>1196</v>
      </c>
      <c r="B299" s="5" t="s">
        <v>797</v>
      </c>
      <c r="C299" s="5" t="s">
        <v>1197</v>
      </c>
      <c r="D299" s="5">
        <v>30</v>
      </c>
      <c r="E299" s="5" t="s">
        <v>771</v>
      </c>
      <c r="F299" s="5" t="s">
        <v>1195</v>
      </c>
      <c r="G299" s="5"/>
      <c r="H299" s="5"/>
      <c r="I299" s="5"/>
      <c r="J299" s="32">
        <f>COUNTIF(TableFields[Field],Columns[[#This Row],[Column]])</f>
        <v>1</v>
      </c>
    </row>
    <row r="300" spans="1:10" x14ac:dyDescent="0.25">
      <c r="A300" s="5" t="s">
        <v>1198</v>
      </c>
      <c r="B300" s="1" t="s">
        <v>1268</v>
      </c>
      <c r="C300" s="5" t="s">
        <v>1199</v>
      </c>
      <c r="D300" s="5"/>
      <c r="E300" s="5" t="s">
        <v>1255</v>
      </c>
      <c r="F300" s="1"/>
      <c r="G300" s="5"/>
      <c r="H300" s="5"/>
      <c r="I300" s="5"/>
      <c r="J300" s="32">
        <f>COUNTIF(TableFields[Field],Columns[[#This Row],[Column]])</f>
        <v>1</v>
      </c>
    </row>
    <row r="301" spans="1:10" x14ac:dyDescent="0.25">
      <c r="A301" s="5" t="s">
        <v>1200</v>
      </c>
      <c r="B301" s="5" t="s">
        <v>773</v>
      </c>
      <c r="C301" s="5" t="s">
        <v>1201</v>
      </c>
      <c r="D301" s="5" t="s">
        <v>1202</v>
      </c>
      <c r="E301" s="5" t="s">
        <v>771</v>
      </c>
      <c r="F301" s="5" t="s">
        <v>1203</v>
      </c>
      <c r="G301" s="5"/>
      <c r="H301" s="5"/>
      <c r="I301" s="5"/>
      <c r="J301" s="32">
        <f>COUNTIF(TableFields[Field],Columns[[#This Row],[Column]])</f>
        <v>1</v>
      </c>
    </row>
    <row r="302" spans="1:10" x14ac:dyDescent="0.25">
      <c r="A302" s="5" t="s">
        <v>1204</v>
      </c>
      <c r="B302" s="5" t="s">
        <v>773</v>
      </c>
      <c r="C302" s="5" t="s">
        <v>1205</v>
      </c>
      <c r="D302" s="5" t="s">
        <v>941</v>
      </c>
      <c r="E302" s="5" t="s">
        <v>771</v>
      </c>
      <c r="F302" s="5" t="s">
        <v>945</v>
      </c>
      <c r="G302" s="5"/>
      <c r="H302" s="5"/>
      <c r="I302" s="5"/>
      <c r="J302" s="32">
        <f>COUNTIF(TableFields[Field],Columns[[#This Row],[Column]])</f>
        <v>1</v>
      </c>
    </row>
    <row r="303" spans="1:10" x14ac:dyDescent="0.25">
      <c r="A303" s="5" t="s">
        <v>1206</v>
      </c>
      <c r="B303" s="5" t="s">
        <v>797</v>
      </c>
      <c r="C303" s="5" t="s">
        <v>1207</v>
      </c>
      <c r="D303" s="5">
        <v>30</v>
      </c>
      <c r="E303" s="5" t="s">
        <v>1208</v>
      </c>
      <c r="F303" s="5"/>
      <c r="G303" s="5"/>
      <c r="H303" s="5"/>
      <c r="I303" s="5"/>
      <c r="J303" s="32">
        <f>COUNTIF(TableFields[Field],Columns[[#This Row],[Column]])</f>
        <v>1</v>
      </c>
    </row>
    <row r="304" spans="1:10" x14ac:dyDescent="0.25">
      <c r="A304" s="5" t="s">
        <v>1209</v>
      </c>
      <c r="B304" s="5" t="s">
        <v>773</v>
      </c>
      <c r="C304" s="5" t="s">
        <v>1210</v>
      </c>
      <c r="D304" s="5" t="s">
        <v>941</v>
      </c>
      <c r="E304" s="5" t="s">
        <v>771</v>
      </c>
      <c r="F304" s="5" t="s">
        <v>945</v>
      </c>
      <c r="G304" s="5"/>
      <c r="H304" s="5"/>
      <c r="I304" s="5"/>
      <c r="J304" s="32">
        <f>COUNTIF(TableFields[Field],Columns[[#This Row],[Column]])</f>
        <v>1</v>
      </c>
    </row>
    <row r="305" spans="1:10" x14ac:dyDescent="0.25">
      <c r="A305" s="5" t="s">
        <v>1211</v>
      </c>
      <c r="B305" s="5" t="s">
        <v>797</v>
      </c>
      <c r="C305" s="5" t="s">
        <v>1212</v>
      </c>
      <c r="D305" s="5">
        <v>30</v>
      </c>
      <c r="E305" s="5" t="s">
        <v>1213</v>
      </c>
      <c r="F305" s="5"/>
      <c r="G305" s="5"/>
      <c r="H305" s="5"/>
      <c r="I305" s="5"/>
      <c r="J305" s="32">
        <f>COUNTIF(TableFields[Field],Columns[[#This Row],[Column]])</f>
        <v>1</v>
      </c>
    </row>
    <row r="306" spans="1:10" x14ac:dyDescent="0.25">
      <c r="A306" s="5" t="s">
        <v>1214</v>
      </c>
      <c r="B306" s="5" t="s">
        <v>773</v>
      </c>
      <c r="C306" s="5" t="s">
        <v>1215</v>
      </c>
      <c r="D306" s="5" t="s">
        <v>941</v>
      </c>
      <c r="E306" s="5" t="s">
        <v>771</v>
      </c>
      <c r="F306" s="5" t="s">
        <v>945</v>
      </c>
      <c r="G306" s="5"/>
      <c r="H306" s="5"/>
      <c r="I306" s="5"/>
      <c r="J306" s="32">
        <f>COUNTIF(TableFields[Field],Columns[[#This Row],[Column]])</f>
        <v>1</v>
      </c>
    </row>
    <row r="307" spans="1:10" x14ac:dyDescent="0.25">
      <c r="A307" s="5" t="s">
        <v>1216</v>
      </c>
      <c r="B307" s="5" t="s">
        <v>797</v>
      </c>
      <c r="C307" s="5" t="s">
        <v>1217</v>
      </c>
      <c r="D307" s="5">
        <v>30</v>
      </c>
      <c r="E307" s="5" t="s">
        <v>771</v>
      </c>
      <c r="F307" s="1" t="s">
        <v>1644</v>
      </c>
      <c r="G307" s="5"/>
      <c r="H307" s="5"/>
      <c r="I307" s="5"/>
      <c r="J307" s="32">
        <f>COUNTIF(TableFields[Field],Columns[[#This Row],[Column]])</f>
        <v>1</v>
      </c>
    </row>
    <row r="308" spans="1:10" x14ac:dyDescent="0.25">
      <c r="A308" s="5" t="s">
        <v>1218</v>
      </c>
      <c r="B308" s="5" t="s">
        <v>773</v>
      </c>
      <c r="C308" s="5" t="s">
        <v>1219</v>
      </c>
      <c r="D308" s="5" t="s">
        <v>1220</v>
      </c>
      <c r="E308" s="5" t="s">
        <v>771</v>
      </c>
      <c r="F308" s="5" t="s">
        <v>1221</v>
      </c>
      <c r="G308" s="5"/>
      <c r="H308" s="5"/>
      <c r="I308" s="5"/>
      <c r="J308" s="32">
        <f>COUNTIF(TableFields[Field],Columns[[#This Row],[Column]])</f>
        <v>1</v>
      </c>
    </row>
    <row r="309" spans="1:10" x14ac:dyDescent="0.25">
      <c r="A309" s="5" t="s">
        <v>1222</v>
      </c>
      <c r="B309" s="5" t="s">
        <v>769</v>
      </c>
      <c r="C309" s="5" t="s">
        <v>1223</v>
      </c>
      <c r="D309" s="5">
        <v>15</v>
      </c>
      <c r="E309" s="5" t="s">
        <v>771</v>
      </c>
      <c r="F309" s="5"/>
      <c r="G309" s="5"/>
      <c r="H309" s="5"/>
      <c r="I309" s="5"/>
      <c r="J309" s="32">
        <f>COUNTIF(TableFields[Field],Columns[[#This Row],[Column]])</f>
        <v>1</v>
      </c>
    </row>
    <row r="310" spans="1:10" x14ac:dyDescent="0.25">
      <c r="A310" s="5" t="s">
        <v>1224</v>
      </c>
      <c r="B310" s="5" t="s">
        <v>797</v>
      </c>
      <c r="C310" s="5" t="s">
        <v>1225</v>
      </c>
      <c r="D310" s="5">
        <v>30</v>
      </c>
      <c r="E310" s="5" t="s">
        <v>771</v>
      </c>
      <c r="F310" s="5"/>
      <c r="G310" s="5"/>
      <c r="H310" s="5"/>
      <c r="I310" s="5"/>
      <c r="J310" s="32">
        <f>COUNTIF(TableFields[Field],Columns[[#This Row],[Column]])</f>
        <v>1</v>
      </c>
    </row>
    <row r="311" spans="1:10" x14ac:dyDescent="0.25">
      <c r="A311" s="5" t="s">
        <v>1226</v>
      </c>
      <c r="B311" s="5" t="s">
        <v>773</v>
      </c>
      <c r="C311" s="5" t="s">
        <v>1227</v>
      </c>
      <c r="D311" s="1" t="s">
        <v>1269</v>
      </c>
      <c r="E311" s="5" t="s">
        <v>771</v>
      </c>
      <c r="F311" s="5" t="s">
        <v>1228</v>
      </c>
      <c r="G311" s="5"/>
      <c r="H311" s="5"/>
      <c r="I311" s="5"/>
      <c r="J311" s="32">
        <f>COUNTIF(TableFields[Field],Columns[[#This Row],[Column]])</f>
        <v>1</v>
      </c>
    </row>
    <row r="312" spans="1:10" x14ac:dyDescent="0.25">
      <c r="A312" s="5" t="s">
        <v>1229</v>
      </c>
      <c r="B312" s="5" t="s">
        <v>773</v>
      </c>
      <c r="C312" s="5" t="s">
        <v>1230</v>
      </c>
      <c r="D312" s="1" t="s">
        <v>1269</v>
      </c>
      <c r="E312" s="5" t="s">
        <v>771</v>
      </c>
      <c r="F312" s="5" t="s">
        <v>1231</v>
      </c>
      <c r="G312" s="5"/>
      <c r="H312" s="5"/>
      <c r="I312" s="5"/>
      <c r="J312" s="32">
        <f>COUNTIF(TableFields[Field],Columns[[#This Row],[Column]])</f>
        <v>1</v>
      </c>
    </row>
    <row r="313" spans="1:10" x14ac:dyDescent="0.25">
      <c r="A313" s="5" t="s">
        <v>1232</v>
      </c>
      <c r="B313" s="5" t="s">
        <v>773</v>
      </c>
      <c r="C313" s="5" t="s">
        <v>1233</v>
      </c>
      <c r="D313" s="5" t="s">
        <v>1234</v>
      </c>
      <c r="E313" s="5" t="s">
        <v>771</v>
      </c>
      <c r="F313" s="5" t="s">
        <v>1235</v>
      </c>
      <c r="G313" s="5"/>
      <c r="H313" s="5"/>
      <c r="I313" s="5"/>
      <c r="J313" s="32">
        <f>COUNTIF(TableFields[Field],Columns[[#This Row],[Column]])</f>
        <v>1</v>
      </c>
    </row>
    <row r="314" spans="1:10" x14ac:dyDescent="0.25">
      <c r="A314" s="5" t="s">
        <v>1236</v>
      </c>
      <c r="B314" s="5" t="s">
        <v>773</v>
      </c>
      <c r="C314" s="5" t="s">
        <v>1237</v>
      </c>
      <c r="D314" s="5" t="s">
        <v>1238</v>
      </c>
      <c r="E314" s="5" t="s">
        <v>771</v>
      </c>
      <c r="F314" s="5" t="s">
        <v>939</v>
      </c>
      <c r="G314" s="5"/>
      <c r="H314" s="5"/>
      <c r="I314" s="5"/>
      <c r="J314" s="32">
        <f>COUNTIF(TableFields[Field],Columns[[#This Row],[Column]])</f>
        <v>1</v>
      </c>
    </row>
    <row r="315" spans="1:10" x14ac:dyDescent="0.25">
      <c r="A315" s="5" t="s">
        <v>1239</v>
      </c>
      <c r="B315" s="5" t="s">
        <v>773</v>
      </c>
      <c r="C315" s="5" t="s">
        <v>1240</v>
      </c>
      <c r="D315" s="5" t="s">
        <v>941</v>
      </c>
      <c r="E315" s="5" t="s">
        <v>771</v>
      </c>
      <c r="F315" s="5" t="s">
        <v>945</v>
      </c>
      <c r="G315" s="5"/>
      <c r="H315" s="5"/>
      <c r="I315" s="5"/>
      <c r="J315" s="32">
        <f>COUNTIF(TableFields[Field],Columns[[#This Row],[Column]])</f>
        <v>1</v>
      </c>
    </row>
    <row r="316" spans="1:10" x14ac:dyDescent="0.25">
      <c r="A316" s="5" t="s">
        <v>1241</v>
      </c>
      <c r="B316" s="5" t="s">
        <v>769</v>
      </c>
      <c r="C316" s="5" t="s">
        <v>1242</v>
      </c>
      <c r="D316" s="5">
        <v>15</v>
      </c>
      <c r="E316" s="5" t="s">
        <v>771</v>
      </c>
      <c r="F316" s="5"/>
      <c r="G316" s="5"/>
      <c r="H316" s="5"/>
      <c r="I316" s="5"/>
      <c r="J316" s="32">
        <f>COUNTIF(TableFields[Field],Columns[[#This Row],[Column]])</f>
        <v>1</v>
      </c>
    </row>
    <row r="317" spans="1:10" x14ac:dyDescent="0.25">
      <c r="A317" s="5" t="s">
        <v>1243</v>
      </c>
      <c r="B317" s="5" t="s">
        <v>773</v>
      </c>
      <c r="C317" s="5" t="s">
        <v>1244</v>
      </c>
      <c r="D317" s="5" t="s">
        <v>941</v>
      </c>
      <c r="E317" s="5" t="s">
        <v>771</v>
      </c>
      <c r="F317" s="5" t="s">
        <v>945</v>
      </c>
      <c r="G317" s="5"/>
      <c r="H317" s="5"/>
      <c r="I317" s="5"/>
      <c r="J317" s="32">
        <f>COUNTIF(TableFields[Field],Columns[[#This Row],[Column]])</f>
        <v>1</v>
      </c>
    </row>
    <row r="318" spans="1:10" x14ac:dyDescent="0.25">
      <c r="A318" s="5" t="s">
        <v>1245</v>
      </c>
      <c r="B318" s="5" t="s">
        <v>773</v>
      </c>
      <c r="C318" s="5" t="s">
        <v>1246</v>
      </c>
      <c r="D318" s="5" t="s">
        <v>941</v>
      </c>
      <c r="E318" s="5" t="s">
        <v>771</v>
      </c>
      <c r="F318" s="5" t="s">
        <v>1152</v>
      </c>
      <c r="G318" s="5"/>
      <c r="H318" s="5"/>
      <c r="I318" s="5"/>
      <c r="J318" s="32">
        <f>COUNTIF(TableFields[Field],Columns[[#This Row],[Column]])</f>
        <v>1</v>
      </c>
    </row>
    <row r="319" spans="1:10" x14ac:dyDescent="0.25">
      <c r="A319" s="5" t="s">
        <v>1247</v>
      </c>
      <c r="B319" s="5" t="s">
        <v>773</v>
      </c>
      <c r="C319" s="5" t="s">
        <v>1248</v>
      </c>
      <c r="D319" s="5" t="s">
        <v>941</v>
      </c>
      <c r="E319" s="5" t="s">
        <v>771</v>
      </c>
      <c r="F319" s="5" t="s">
        <v>945</v>
      </c>
      <c r="G319" s="5"/>
      <c r="H319" s="5"/>
      <c r="I319" s="5"/>
      <c r="J319" s="32">
        <f>COUNTIF(TableFields[Field],Columns[[#This Row],[Column]])</f>
        <v>1</v>
      </c>
    </row>
    <row r="320" spans="1:10" x14ac:dyDescent="0.25">
      <c r="A320" s="5" t="s">
        <v>1249</v>
      </c>
      <c r="B320" s="5" t="s">
        <v>797</v>
      </c>
      <c r="C320" s="5" t="s">
        <v>1250</v>
      </c>
      <c r="D320" s="5">
        <v>30</v>
      </c>
      <c r="E320" s="5" t="s">
        <v>771</v>
      </c>
      <c r="F320" s="5" t="s">
        <v>1251</v>
      </c>
      <c r="G320" s="5"/>
      <c r="H320" s="5"/>
      <c r="I320" s="5"/>
      <c r="J320" s="32">
        <f>COUNTIF(TableFields[Field],Columns[[#This Row],[Column]])</f>
        <v>1</v>
      </c>
    </row>
    <row r="321" spans="1:10" x14ac:dyDescent="0.25">
      <c r="A321" s="4" t="s">
        <v>1272</v>
      </c>
      <c r="B321" s="4" t="s">
        <v>781</v>
      </c>
      <c r="C321" s="4" t="s">
        <v>1273</v>
      </c>
      <c r="D321" s="4" t="s">
        <v>1270</v>
      </c>
      <c r="E321" s="4"/>
      <c r="F321" s="4"/>
      <c r="G321" s="4"/>
      <c r="H321" s="4"/>
      <c r="I321" s="4"/>
      <c r="J321" s="58">
        <f>COUNTIF(TableFields[Field],Columns[[#This Row],[Column]])</f>
        <v>1</v>
      </c>
    </row>
    <row r="322" spans="1:10" x14ac:dyDescent="0.25">
      <c r="A322" s="5" t="s">
        <v>1649</v>
      </c>
      <c r="B322" s="5" t="s">
        <v>769</v>
      </c>
      <c r="C322" s="5" t="s">
        <v>1650</v>
      </c>
      <c r="D322" s="5">
        <v>30</v>
      </c>
      <c r="E322" s="5" t="s">
        <v>771</v>
      </c>
      <c r="F322" s="5"/>
      <c r="G322" s="5"/>
      <c r="H322" s="5"/>
      <c r="I322" s="5"/>
      <c r="J322" s="32">
        <f>COUNTIF(TableFields[Field],Columns[[#This Row],[Column]])</f>
        <v>0</v>
      </c>
    </row>
    <row r="323" spans="1:10" x14ac:dyDescent="0.25">
      <c r="A323" s="5" t="s">
        <v>1651</v>
      </c>
      <c r="B323" s="5" t="s">
        <v>769</v>
      </c>
      <c r="C323" s="5" t="s">
        <v>1652</v>
      </c>
      <c r="D323" s="5">
        <v>15</v>
      </c>
      <c r="E323" s="5" t="s">
        <v>771</v>
      </c>
      <c r="F323" s="5"/>
      <c r="G323" s="5"/>
      <c r="H323" s="5"/>
      <c r="I323" s="5"/>
      <c r="J323" s="32">
        <f>COUNTIF(TableFields[Field],Columns[[#This Row],[Column]])</f>
        <v>0</v>
      </c>
    </row>
    <row r="324" spans="1:10" x14ac:dyDescent="0.25">
      <c r="A324" s="5" t="s">
        <v>1656</v>
      </c>
      <c r="B324" s="5" t="s">
        <v>769</v>
      </c>
      <c r="C324" s="5" t="s">
        <v>1205</v>
      </c>
      <c r="D324" s="5">
        <v>30</v>
      </c>
      <c r="E324" s="5" t="s">
        <v>771</v>
      </c>
      <c r="F324" s="5"/>
      <c r="G324" s="5"/>
      <c r="H324" s="5"/>
      <c r="I324" s="5"/>
      <c r="J324" s="32">
        <f>COUNTIF(TableFields[Field],Columns[[#This Row],[Column]])</f>
        <v>0</v>
      </c>
    </row>
    <row r="325" spans="1:10" x14ac:dyDescent="0.25">
      <c r="A325" s="5" t="s">
        <v>1653</v>
      </c>
      <c r="B325" s="5" t="s">
        <v>817</v>
      </c>
      <c r="C325" s="5" t="s">
        <v>1654</v>
      </c>
      <c r="D325" s="5" t="s">
        <v>818</v>
      </c>
      <c r="E325" s="5" t="s">
        <v>1655</v>
      </c>
      <c r="F325" s="5"/>
      <c r="G325" s="5"/>
      <c r="H325" s="5"/>
      <c r="I325" s="5"/>
      <c r="J325" s="32">
        <f>COUNTIF(TableFields[Field],Columns[[#This Row],[Column]])</f>
        <v>0</v>
      </c>
    </row>
    <row r="326" spans="1:10" x14ac:dyDescent="0.25">
      <c r="A326" s="5" t="s">
        <v>1657</v>
      </c>
      <c r="B326" s="5" t="s">
        <v>817</v>
      </c>
      <c r="C326" s="5" t="s">
        <v>1658</v>
      </c>
      <c r="D326" s="5" t="s">
        <v>818</v>
      </c>
      <c r="E326" s="5" t="s">
        <v>1254</v>
      </c>
      <c r="F326" s="5"/>
      <c r="G326" s="5"/>
      <c r="H326" s="5"/>
      <c r="I326" s="5"/>
      <c r="J326" s="32">
        <f>COUNTIF(TableFields[Field],Columns[[#This Row],[Column]])</f>
        <v>0</v>
      </c>
    </row>
    <row r="327" spans="1:10" x14ac:dyDescent="0.25">
      <c r="A327" s="5" t="s">
        <v>1659</v>
      </c>
      <c r="B327" s="5" t="s">
        <v>817</v>
      </c>
      <c r="C327" s="5" t="s">
        <v>1660</v>
      </c>
      <c r="D327" s="5" t="s">
        <v>818</v>
      </c>
      <c r="E327" s="5" t="s">
        <v>1254</v>
      </c>
      <c r="F327" s="5"/>
      <c r="G327" s="5"/>
      <c r="H327" s="5"/>
      <c r="I327" s="5"/>
      <c r="J327" s="32">
        <f>COUNTIF(TableFields[Field],Columns[[#This Row],[Column]])</f>
        <v>0</v>
      </c>
    </row>
    <row r="328" spans="1:10" x14ac:dyDescent="0.25">
      <c r="A328" s="5" t="s">
        <v>1880</v>
      </c>
      <c r="B328" s="5" t="s">
        <v>773</v>
      </c>
      <c r="C328" s="5" t="s">
        <v>1882</v>
      </c>
      <c r="D328" s="5" t="s">
        <v>1881</v>
      </c>
      <c r="E328" s="5" t="s">
        <v>1883</v>
      </c>
      <c r="F328" s="5"/>
      <c r="G328" s="5"/>
      <c r="H328" s="5"/>
      <c r="I328" s="5"/>
      <c r="J328" s="32">
        <f>COUNTIF(TableFields[Field],Columns[[#This Row],[Column]])</f>
        <v>1</v>
      </c>
    </row>
  </sheetData>
  <conditionalFormatting sqref="A2:A328">
    <cfRule type="duplicateValues" dxfId="5" priority="205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2"/>
  <sheetViews>
    <sheetView topLeftCell="A374" workbookViewId="0">
      <selection activeCell="K282" sqref="K270:K282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x14ac:dyDescent="0.25">
      <c r="A2" s="1" t="s">
        <v>1071</v>
      </c>
      <c r="B2" s="1" t="s">
        <v>21</v>
      </c>
      <c r="C2" s="1" t="str">
        <f>VLOOKUP(TableFields[Field],Columns[],2,0)&amp;"("</f>
        <v>bigIncrements(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x14ac:dyDescent="0.25">
      <c r="A3" s="1" t="s">
        <v>1071</v>
      </c>
      <c r="B3" s="1" t="s">
        <v>1072</v>
      </c>
      <c r="C3" s="1" t="str">
        <f>VLOOKUP(TableFields[Field],Columns[],2,0)&amp;"("</f>
        <v>char(</v>
      </c>
      <c r="D3" s="1" t="str">
        <f>IF(VLOOKUP(TableFields[Field],Columns[],3,0)&lt;&gt;"","'"&amp;VLOOKUP(TableFields[Field],Columns[],3,0)&amp;"'","")</f>
        <v>'CODE'</v>
      </c>
      <c r="E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" s="1" t="str">
        <f>IF(VLOOKUP(TableFields[Field],Columns[],5,0)=0,"","-&gt;"&amp;VLOOKUP(TableFields[Field],Columns[],5,0))</f>
        <v>-&gt;nullable()</v>
      </c>
      <c r="G3" s="1" t="str">
        <f>IF(VLOOKUP(TableFields[Field],Columns[],6,0)=0,"","-&gt;"&amp;VLOOKUP(TableFields[Field],Columns[],6,0))</f>
        <v/>
      </c>
      <c r="H3" s="1" t="str">
        <f>IF(VLOOKUP(TableFields[Field],Columns[],7,0)=0,"","-&gt;"&amp;VLOOKUP(TableFields[Field],Columns[],7,0))</f>
        <v/>
      </c>
      <c r="I3" s="1" t="str">
        <f>IF(VLOOKUP(TableFields[Field],Columns[],8,0)=0,"","-&gt;"&amp;VLOOKUP(TableFields[Field],Columns[],8,0))</f>
        <v/>
      </c>
      <c r="J3" s="1" t="str">
        <f>IF(VLOOKUP(TableFields[Field],Columns[],9,0)=0,"","-&gt;"&amp;VLOOKUP(TableFields[Field],Columns[],9,0))</f>
        <v/>
      </c>
      <c r="K3" s="1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'15')-&gt;nullable();</v>
      </c>
    </row>
    <row r="4" spans="1:11" x14ac:dyDescent="0.25">
      <c r="A4" s="1" t="s">
        <v>1071</v>
      </c>
      <c r="B4" s="1" t="s">
        <v>1074</v>
      </c>
      <c r="C4" s="1" t="str">
        <f>VLOOKUP(TableFields[Field],Columns[],2,0)&amp;"("</f>
        <v>enum(</v>
      </c>
      <c r="D4" s="1" t="str">
        <f>IF(VLOOKUP(TableFields[Field],Columns[],3,0)&lt;&gt;"","'"&amp;VLOOKUP(TableFields[Field],Columns[],3,0)&amp;"'","")</f>
        <v>'DBTYPE'</v>
      </c>
      <c r="E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['Normal','DistributedServer','DistributedClient'])</v>
      </c>
      <c r="F4" s="1" t="str">
        <f>IF(VLOOKUP(TableFields[Field],Columns[],5,0)=0,"","-&gt;"&amp;VLOOKUP(TableFields[Field],Columns[],5,0))</f>
        <v>-&gt;nullable()</v>
      </c>
      <c r="G4" s="1" t="str">
        <f>IF(VLOOKUP(TableFields[Field],Columns[],6,0)=0,"","-&gt;"&amp;VLOOKUP(TableFields[Field],Columns[],6,0))</f>
        <v>-&gt;default('Normal')</v>
      </c>
      <c r="H4" s="1" t="str">
        <f>IF(VLOOKUP(TableFields[Field],Columns[],7,0)=0,"","-&gt;"&amp;VLOOKUP(TableFields[Field],Columns[],7,0))</f>
        <v/>
      </c>
      <c r="I4" s="1" t="str">
        <f>IF(VLOOKUP(TableFields[Field],Columns[],8,0)=0,"","-&gt;"&amp;VLOOKUP(TableFields[Field],Columns[],8,0))</f>
        <v/>
      </c>
      <c r="J4" s="1" t="str">
        <f>IF(VLOOKUP(TableFields[Field],Columns[],9,0)=0,"","-&gt;"&amp;VLOOKUP(TableFields[Field],Columns[],9,0))</f>
        <v/>
      </c>
      <c r="K4" s="1" t="str">
        <f>"$table-&gt;"&amp;TableFields[Type]&amp;TableFields[Name]&amp;TableFields[Arg2]&amp;TableFields[Method1]&amp;TableFields[Method2]&amp;TableFields[Method3]&amp;TableFields[Method4]&amp;TableFields[Method5]&amp;";"</f>
        <v>$table-&gt;enum('DBTYPE', ['Normal','DistributedServer','DistributedClient'])-&gt;nullable()-&gt;default('Normal');</v>
      </c>
    </row>
    <row r="5" spans="1:11" x14ac:dyDescent="0.25">
      <c r="A5" s="1" t="s">
        <v>1071</v>
      </c>
      <c r="B5" s="5" t="s">
        <v>1880</v>
      </c>
      <c r="C5" s="5" t="str">
        <f>VLOOKUP(TableFields[Field],Columns[],2,0)&amp;"("</f>
        <v>enum(</v>
      </c>
      <c r="D5" s="5" t="str">
        <f>IF(VLOOKUP(TableFields[Field],Columns[],3,0)&lt;&gt;"","'"&amp;VLOOKUP(TableFields[Field],Columns[],3,0)&amp;"'","")</f>
        <v>'PASSWORDENCODING'</v>
      </c>
      <c r="E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['Utf8','Utf16'])</v>
      </c>
      <c r="F5" s="5" t="str">
        <f>IF(VLOOKUP(TableFields[Field],Columns[],5,0)=0,"","-&gt;"&amp;VLOOKUP(TableFields[Field],Columns[],5,0))</f>
        <v>-&gt;default('Utf16')</v>
      </c>
      <c r="G5" s="5" t="str">
        <f>IF(VLOOKUP(TableFields[Field],Columns[],6,0)=0,"","-&gt;"&amp;VLOOKUP(TableFields[Field],Columns[],6,0))</f>
        <v/>
      </c>
      <c r="H5" s="5" t="str">
        <f>IF(VLOOKUP(TableFields[Field],Columns[],7,0)=0,"","-&gt;"&amp;VLOOKUP(TableFields[Field],Columns[],7,0))</f>
        <v/>
      </c>
      <c r="I5" s="5" t="str">
        <f>IF(VLOOKUP(TableFields[Field],Columns[],8,0)=0,"","-&gt;"&amp;VLOOKUP(TableFields[Field],Columns[],8,0))</f>
        <v/>
      </c>
      <c r="J5" s="5" t="str">
        <f>IF(VLOOKUP(TableFields[Field],Columns[],9,0)=0,"","-&gt;"&amp;VLOOKUP(TableFields[Field],Columns[],9,0))</f>
        <v/>
      </c>
      <c r="K5" s="5" t="str">
        <f>"$table-&gt;"&amp;TableFields[Type]&amp;TableFields[Name]&amp;TableFields[Arg2]&amp;TableFields[Method1]&amp;TableFields[Method2]&amp;TableFields[Method3]&amp;TableFields[Method4]&amp;TableFields[Method5]&amp;";"</f>
        <v>$table-&gt;enum('PASSWORDENCODING', ['Utf8','Utf16'])-&gt;default('Utf16');</v>
      </c>
    </row>
    <row r="6" spans="1:11" x14ac:dyDescent="0.25">
      <c r="A6" s="1" t="s">
        <v>1071</v>
      </c>
      <c r="B6" s="1" t="s">
        <v>1077</v>
      </c>
      <c r="C6" s="1" t="str">
        <f>VLOOKUP(TableFields[Field],Columns[],2,0)&amp;"("</f>
        <v>decimal(</v>
      </c>
      <c r="D6" s="1" t="str">
        <f>IF(VLOOKUP(TableFields[Field],Columns[],3,0)&lt;&gt;"","'"&amp;VLOOKUP(TableFields[Field],Columns[],3,0)&amp;"'","")</f>
        <v>'QUANTITY_DECIMAL'</v>
      </c>
      <c r="E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6" s="1" t="str">
        <f>IF(VLOOKUP(TableFields[Field],Columns[],5,0)=0,"","-&gt;"&amp;VLOOKUP(TableFields[Field],Columns[],5,0))</f>
        <v>-&gt;nullable()</v>
      </c>
      <c r="G6" s="1" t="str">
        <f>IF(VLOOKUP(TableFields[Field],Columns[],6,0)=0,"","-&gt;"&amp;VLOOKUP(TableFields[Field],Columns[],6,0))</f>
        <v>-&gt;default('0')</v>
      </c>
      <c r="H6" s="1" t="str">
        <f>IF(VLOOKUP(TableFields[Field],Columns[],7,0)=0,"","-&gt;"&amp;VLOOKUP(TableFields[Field],Columns[],7,0))</f>
        <v/>
      </c>
      <c r="I6" s="1" t="str">
        <f>IF(VLOOKUP(TableFields[Field],Columns[],8,0)=0,"","-&gt;"&amp;VLOOKUP(TableFields[Field],Columns[],8,0))</f>
        <v/>
      </c>
      <c r="J6" s="1" t="str">
        <f>IF(VLOOKUP(TableFields[Field],Columns[],9,0)=0,"","-&gt;"&amp;VLOOKUP(TableFields[Field],Columns[],9,0))</f>
        <v/>
      </c>
      <c r="K6" s="1" t="str">
        <f>"$table-&gt;"&amp;TableFields[Type]&amp;TableFields[Name]&amp;TableFields[Arg2]&amp;TableFields[Method1]&amp;TableFields[Method2]&amp;TableFields[Method3]&amp;TableFields[Method4]&amp;TableFields[Method5]&amp;";"</f>
        <v>$table-&gt;decimal('QUANTITY_DECIMAL', 10,0)-&gt;nullable()-&gt;default('0');</v>
      </c>
    </row>
    <row r="7" spans="1:11" x14ac:dyDescent="0.25">
      <c r="A7" s="1" t="s">
        <v>1071</v>
      </c>
      <c r="B7" s="1" t="s">
        <v>1079</v>
      </c>
      <c r="C7" s="1" t="str">
        <f>VLOOKUP(TableFields[Field],Columns[],2,0)&amp;"("</f>
        <v>decimal(</v>
      </c>
      <c r="D7" s="1" t="str">
        <f>IF(VLOOKUP(TableFields[Field],Columns[],3,0)&lt;&gt;"","'"&amp;VLOOKUP(TableFields[Field],Columns[],3,0)&amp;"'","")</f>
        <v>'RATE_DECIMAL'</v>
      </c>
      <c r="E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7" s="1" t="str">
        <f>IF(VLOOKUP(TableFields[Field],Columns[],5,0)=0,"","-&gt;"&amp;VLOOKUP(TableFields[Field],Columns[],5,0))</f>
        <v>-&gt;nullable()</v>
      </c>
      <c r="G7" s="1" t="str">
        <f>IF(VLOOKUP(TableFields[Field],Columns[],6,0)=0,"","-&gt;"&amp;VLOOKUP(TableFields[Field],Columns[],6,0))</f>
        <v>-&gt;default('2')</v>
      </c>
      <c r="H7" s="1" t="str">
        <f>IF(VLOOKUP(TableFields[Field],Columns[],7,0)=0,"","-&gt;"&amp;VLOOKUP(TableFields[Field],Columns[],7,0))</f>
        <v/>
      </c>
      <c r="I7" s="1" t="str">
        <f>IF(VLOOKUP(TableFields[Field],Columns[],8,0)=0,"","-&gt;"&amp;VLOOKUP(TableFields[Field],Columns[],8,0))</f>
        <v/>
      </c>
      <c r="J7" s="1" t="str">
        <f>IF(VLOOKUP(TableFields[Field],Columns[],9,0)=0,"","-&gt;"&amp;VLOOKUP(TableFields[Field],Columns[],9,0))</f>
        <v/>
      </c>
      <c r="K7" s="1" t="str">
        <f>"$table-&gt;"&amp;TableFields[Type]&amp;TableFields[Name]&amp;TableFields[Arg2]&amp;TableFields[Method1]&amp;TableFields[Method2]&amp;TableFields[Method3]&amp;TableFields[Method4]&amp;TableFields[Method5]&amp;";"</f>
        <v>$table-&gt;decimal('RATE_DECIMAL', 10,0)-&gt;nullable()-&gt;default('2');</v>
      </c>
    </row>
    <row r="8" spans="1:11" x14ac:dyDescent="0.25">
      <c r="A8" s="1" t="s">
        <v>1071</v>
      </c>
      <c r="B8" s="1" t="s">
        <v>1081</v>
      </c>
      <c r="C8" s="1" t="str">
        <f>VLOOKUP(TableFields[Field],Columns[],2,0)&amp;"("</f>
        <v>decimal(</v>
      </c>
      <c r="D8" s="1" t="str">
        <f>IF(VLOOKUP(TableFields[Field],Columns[],3,0)&lt;&gt;"","'"&amp;VLOOKUP(TableFields[Field],Columns[],3,0)&amp;"'","")</f>
        <v>'AMOUNT_DECIMAL'</v>
      </c>
      <c r="E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8" s="1" t="str">
        <f>IF(VLOOKUP(TableFields[Field],Columns[],5,0)=0,"","-&gt;"&amp;VLOOKUP(TableFields[Field],Columns[],5,0))</f>
        <v>-&gt;nullable()</v>
      </c>
      <c r="G8" s="1" t="str">
        <f>IF(VLOOKUP(TableFields[Field],Columns[],6,0)=0,"","-&gt;"&amp;VLOOKUP(TableFields[Field],Columns[],6,0))</f>
        <v>-&gt;default('2')</v>
      </c>
      <c r="H8" s="1" t="str">
        <f>IF(VLOOKUP(TableFields[Field],Columns[],7,0)=0,"","-&gt;"&amp;VLOOKUP(TableFields[Field],Columns[],7,0))</f>
        <v/>
      </c>
      <c r="I8" s="1" t="str">
        <f>IF(VLOOKUP(TableFields[Field],Columns[],8,0)=0,"","-&gt;"&amp;VLOOKUP(TableFields[Field],Columns[],8,0))</f>
        <v/>
      </c>
      <c r="J8" s="1" t="str">
        <f>IF(VLOOKUP(TableFields[Field],Columns[],9,0)=0,"","-&gt;"&amp;VLOOKUP(TableFields[Field],Columns[],9,0))</f>
        <v/>
      </c>
      <c r="K8" s="1" t="str">
        <f>"$table-&gt;"&amp;TableFields[Type]&amp;TableFields[Name]&amp;TableFields[Arg2]&amp;TableFields[Method1]&amp;TableFields[Method2]&amp;TableFields[Method3]&amp;TableFields[Method4]&amp;TableFields[Method5]&amp;";"</f>
        <v>$table-&gt;decimal('AMOUNT_DECIMAL', 10,0)-&gt;nullable()-&gt;default('2');</v>
      </c>
    </row>
    <row r="9" spans="1:11" x14ac:dyDescent="0.25">
      <c r="A9" s="1" t="s">
        <v>1071</v>
      </c>
      <c r="B9" s="1" t="s">
        <v>1083</v>
      </c>
      <c r="C9" s="1" t="str">
        <f>VLOOKUP(TableFields[Field],Columns[],2,0)&amp;"("</f>
        <v>decimal(</v>
      </c>
      <c r="D9" s="1" t="str">
        <f>IF(VLOOKUP(TableFields[Field],Columns[],3,0)&lt;&gt;"","'"&amp;VLOOKUP(TableFields[Field],Columns[],3,0)&amp;"'","")</f>
        <v>'CURRENCY_DECIMAL'</v>
      </c>
      <c r="E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9" s="1" t="str">
        <f>IF(VLOOKUP(TableFields[Field],Columns[],5,0)=0,"","-&gt;"&amp;VLOOKUP(TableFields[Field],Columns[],5,0))</f>
        <v>-&gt;nullable()</v>
      </c>
      <c r="G9" s="1" t="str">
        <f>IF(VLOOKUP(TableFields[Field],Columns[],6,0)=0,"","-&gt;"&amp;VLOOKUP(TableFields[Field],Columns[],6,0))</f>
        <v>-&gt;default('6')</v>
      </c>
      <c r="H9" s="1" t="str">
        <f>IF(VLOOKUP(TableFields[Field],Columns[],7,0)=0,"","-&gt;"&amp;VLOOKUP(TableFields[Field],Columns[],7,0))</f>
        <v/>
      </c>
      <c r="I9" s="1" t="str">
        <f>IF(VLOOKUP(TableFields[Field],Columns[],8,0)=0,"","-&gt;"&amp;VLOOKUP(TableFields[Field],Columns[],8,0))</f>
        <v/>
      </c>
      <c r="J9" s="1" t="str">
        <f>IF(VLOOKUP(TableFields[Field],Columns[],9,0)=0,"","-&gt;"&amp;VLOOKUP(TableFields[Field],Columns[],9,0))</f>
        <v/>
      </c>
      <c r="K9" s="1" t="str">
        <f>"$table-&gt;"&amp;TableFields[Type]&amp;TableFields[Name]&amp;TableFields[Arg2]&amp;TableFields[Method1]&amp;TableFields[Method2]&amp;TableFields[Method3]&amp;TableFields[Method4]&amp;TableFields[Method5]&amp;";"</f>
        <v>$table-&gt;decimal('CURRENCY_DECIMAL', 10,0)-&gt;nullable()-&gt;default('6');</v>
      </c>
    </row>
    <row r="10" spans="1:11" x14ac:dyDescent="0.25">
      <c r="A10" s="1" t="s">
        <v>1071</v>
      </c>
      <c r="B10" s="1" t="s">
        <v>1085</v>
      </c>
      <c r="C10" s="1" t="str">
        <f>VLOOKUP(TableFields[Field],Columns[],2,0)&amp;"("</f>
        <v>enum(</v>
      </c>
      <c r="D10" s="1" t="str">
        <f>IF(VLOOKUP(TableFields[Field],Columns[],3,0)&lt;&gt;"","'"&amp;VLOOKUP(TableFields[Field],Columns[],3,0)&amp;"'","")</f>
        <v>'QUANTITY_SEPARATOR'</v>
      </c>
      <c r="E1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" s="1" t="str">
        <f>IF(VLOOKUP(TableFields[Field],Columns[],5,0)=0,"","-&gt;"&amp;VLOOKUP(TableFields[Field],Columns[],5,0))</f>
        <v>-&gt;nullable()</v>
      </c>
      <c r="G10" s="1" t="str">
        <f>IF(VLOOKUP(TableFields[Field],Columns[],6,0)=0,"","-&gt;"&amp;VLOOKUP(TableFields[Field],Columns[],6,0))</f>
        <v/>
      </c>
      <c r="H10" s="1" t="str">
        <f>IF(VLOOKUP(TableFields[Field],Columns[],7,0)=0,"","-&gt;"&amp;VLOOKUP(TableFields[Field],Columns[],7,0))</f>
        <v/>
      </c>
      <c r="I10" s="1" t="str">
        <f>IF(VLOOKUP(TableFields[Field],Columns[],8,0)=0,"","-&gt;"&amp;VLOOKUP(TableFields[Field],Columns[],8,0))</f>
        <v/>
      </c>
      <c r="J10" s="1" t="str">
        <f>IF(VLOOKUP(TableFields[Field],Columns[],9,0)=0,"","-&gt;"&amp;VLOOKUP(TableFields[Field],Columns[],9,0))</f>
        <v/>
      </c>
      <c r="K10" s="1" t="str">
        <f>"$table-&gt;"&amp;TableFields[Type]&amp;TableFields[Name]&amp;TableFields[Arg2]&amp;TableFields[Method1]&amp;TableFields[Method2]&amp;TableFields[Method3]&amp;TableFields[Method4]&amp;TableFields[Method5]&amp;";"</f>
        <v>$table-&gt;enum('QUANTITY_SEPARATOR', ['Yes','No'])-&gt;nullable();</v>
      </c>
    </row>
    <row r="11" spans="1:11" x14ac:dyDescent="0.25">
      <c r="A11" s="1" t="s">
        <v>1071</v>
      </c>
      <c r="B11" s="1" t="s">
        <v>1087</v>
      </c>
      <c r="C11" s="1" t="str">
        <f>VLOOKUP(TableFields[Field],Columns[],2,0)&amp;"("</f>
        <v>enum(</v>
      </c>
      <c r="D11" s="1" t="str">
        <f>IF(VLOOKUP(TableFields[Field],Columns[],3,0)&lt;&gt;"","'"&amp;VLOOKUP(TableFields[Field],Columns[],3,0)&amp;"'","")</f>
        <v>'RATE_SEPARATOR'</v>
      </c>
      <c r="E1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1" s="1" t="str">
        <f>IF(VLOOKUP(TableFields[Field],Columns[],5,0)=0,"","-&gt;"&amp;VLOOKUP(TableFields[Field],Columns[],5,0))</f>
        <v>-&gt;nullable()</v>
      </c>
      <c r="G11" s="1" t="str">
        <f>IF(VLOOKUP(TableFields[Field],Columns[],6,0)=0,"","-&gt;"&amp;VLOOKUP(TableFields[Field],Columns[],6,0))</f>
        <v/>
      </c>
      <c r="H11" s="1" t="str">
        <f>IF(VLOOKUP(TableFields[Field],Columns[],7,0)=0,"","-&gt;"&amp;VLOOKUP(TableFields[Field],Columns[],7,0))</f>
        <v/>
      </c>
      <c r="I11" s="1" t="str">
        <f>IF(VLOOKUP(TableFields[Field],Columns[],8,0)=0,"","-&gt;"&amp;VLOOKUP(TableFields[Field],Columns[],8,0))</f>
        <v/>
      </c>
      <c r="J11" s="1" t="str">
        <f>IF(VLOOKUP(TableFields[Field],Columns[],9,0)=0,"","-&gt;"&amp;VLOOKUP(TableFields[Field],Columns[],9,0))</f>
        <v/>
      </c>
      <c r="K11" s="1" t="str">
        <f>"$table-&gt;"&amp;TableFields[Type]&amp;TableFields[Name]&amp;TableFields[Arg2]&amp;TableFields[Method1]&amp;TableFields[Method2]&amp;TableFields[Method3]&amp;TableFields[Method4]&amp;TableFields[Method5]&amp;";"</f>
        <v>$table-&gt;enum('RATE_SEPARATOR', ['Yes','No'])-&gt;nullable();</v>
      </c>
    </row>
    <row r="12" spans="1:11" x14ac:dyDescent="0.25">
      <c r="A12" s="1" t="s">
        <v>1071</v>
      </c>
      <c r="B12" s="1" t="s">
        <v>1089</v>
      </c>
      <c r="C12" s="1" t="str">
        <f>VLOOKUP(TableFields[Field],Columns[],2,0)&amp;"("</f>
        <v>enum(</v>
      </c>
      <c r="D12" s="1" t="str">
        <f>IF(VLOOKUP(TableFields[Field],Columns[],3,0)&lt;&gt;"","'"&amp;VLOOKUP(TableFields[Field],Columns[],3,0)&amp;"'","")</f>
        <v>'AMOUNT_SEPARATOR'</v>
      </c>
      <c r="E1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" s="1" t="str">
        <f>IF(VLOOKUP(TableFields[Field],Columns[],5,0)=0,"","-&gt;"&amp;VLOOKUP(TableFields[Field],Columns[],5,0))</f>
        <v>-&gt;nullable()</v>
      </c>
      <c r="G12" s="1" t="str">
        <f>IF(VLOOKUP(TableFields[Field],Columns[],6,0)=0,"","-&gt;"&amp;VLOOKUP(TableFields[Field],Columns[],6,0))</f>
        <v/>
      </c>
      <c r="H12" s="1" t="str">
        <f>IF(VLOOKUP(TableFields[Field],Columns[],7,0)=0,"","-&gt;"&amp;VLOOKUP(TableFields[Field],Columns[],7,0))</f>
        <v/>
      </c>
      <c r="I12" s="1" t="str">
        <f>IF(VLOOKUP(TableFields[Field],Columns[],8,0)=0,"","-&gt;"&amp;VLOOKUP(TableFields[Field],Columns[],8,0))</f>
        <v/>
      </c>
      <c r="J12" s="1" t="str">
        <f>IF(VLOOKUP(TableFields[Field],Columns[],9,0)=0,"","-&gt;"&amp;VLOOKUP(TableFields[Field],Columns[],9,0))</f>
        <v/>
      </c>
      <c r="K12" s="1" t="str">
        <f>"$table-&gt;"&amp;TableFields[Type]&amp;TableFields[Name]&amp;TableFields[Arg2]&amp;TableFields[Method1]&amp;TableFields[Method2]&amp;TableFields[Method3]&amp;TableFields[Method4]&amp;TableFields[Method5]&amp;";"</f>
        <v>$table-&gt;enum('AMOUNT_SEPARATOR', ['Yes','No'])-&gt;nullable();</v>
      </c>
    </row>
    <row r="13" spans="1:11" x14ac:dyDescent="0.25">
      <c r="A13" s="1" t="s">
        <v>1071</v>
      </c>
      <c r="B13" s="1" t="s">
        <v>1091</v>
      </c>
      <c r="C13" s="1" t="str">
        <f>VLOOKUP(TableFields[Field],Columns[],2,0)&amp;"("</f>
        <v>enum(</v>
      </c>
      <c r="D13" s="1" t="str">
        <f>IF(VLOOKUP(TableFields[Field],Columns[],3,0)&lt;&gt;"","'"&amp;VLOOKUP(TableFields[Field],Columns[],3,0)&amp;"'","")</f>
        <v>'CURRENCY_SEPARATOR'</v>
      </c>
      <c r="E1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3" s="1" t="str">
        <f>IF(VLOOKUP(TableFields[Field],Columns[],5,0)=0,"","-&gt;"&amp;VLOOKUP(TableFields[Field],Columns[],5,0))</f>
        <v>-&gt;nullable()</v>
      </c>
      <c r="G13" s="1" t="str">
        <f>IF(VLOOKUP(TableFields[Field],Columns[],6,0)=0,"","-&gt;"&amp;VLOOKUP(TableFields[Field],Columns[],6,0))</f>
        <v/>
      </c>
      <c r="H13" s="1" t="str">
        <f>IF(VLOOKUP(TableFields[Field],Columns[],7,0)=0,"","-&gt;"&amp;VLOOKUP(TableFields[Field],Columns[],7,0))</f>
        <v/>
      </c>
      <c r="I13" s="1" t="str">
        <f>IF(VLOOKUP(TableFields[Field],Columns[],8,0)=0,"","-&gt;"&amp;VLOOKUP(TableFields[Field],Columns[],8,0))</f>
        <v/>
      </c>
      <c r="J13" s="1" t="str">
        <f>IF(VLOOKUP(TableFields[Field],Columns[],9,0)=0,"","-&gt;"&amp;VLOOKUP(TableFields[Field],Columns[],9,0))</f>
        <v/>
      </c>
      <c r="K13" s="1" t="str">
        <f>"$table-&gt;"&amp;TableFields[Type]&amp;TableFields[Name]&amp;TableFields[Arg2]&amp;TableFields[Method1]&amp;TableFields[Method2]&amp;TableFields[Method3]&amp;TableFields[Method4]&amp;TableFields[Method5]&amp;";"</f>
        <v>$table-&gt;enum('CURRENCY_SEPARATOR', ['Yes','No'])-&gt;nullable();</v>
      </c>
    </row>
    <row r="14" spans="1:11" x14ac:dyDescent="0.25">
      <c r="A14" s="1" t="s">
        <v>1071</v>
      </c>
      <c r="B14" s="1" t="s">
        <v>1093</v>
      </c>
      <c r="C14" s="1" t="str">
        <f>VLOOKUP(TableFields[Field],Columns[],2,0)&amp;"("</f>
        <v>string(</v>
      </c>
      <c r="D14" s="1" t="str">
        <f>IF(VLOOKUP(TableFields[Field],Columns[],3,0)&lt;&gt;"","'"&amp;VLOOKUP(TableFields[Field],Columns[],3,0)&amp;"'","")</f>
        <v>'DOCDATE_FORMAT'</v>
      </c>
      <c r="E1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4" s="1" t="str">
        <f>IF(VLOOKUP(TableFields[Field],Columns[],5,0)=0,"","-&gt;"&amp;VLOOKUP(TableFields[Field],Columns[],5,0))</f>
        <v>-&gt;nullable()</v>
      </c>
      <c r="G14" s="1" t="str">
        <f>IF(VLOOKUP(TableFields[Field],Columns[],6,0)=0,"","-&gt;"&amp;VLOOKUP(TableFields[Field],Columns[],6,0))</f>
        <v>-&gt;default('dd-MM-yyyy')</v>
      </c>
      <c r="H14" s="1" t="str">
        <f>IF(VLOOKUP(TableFields[Field],Columns[],7,0)=0,"","-&gt;"&amp;VLOOKUP(TableFields[Field],Columns[],7,0))</f>
        <v/>
      </c>
      <c r="I14" s="1" t="str">
        <f>IF(VLOOKUP(TableFields[Field],Columns[],8,0)=0,"","-&gt;"&amp;VLOOKUP(TableFields[Field],Columns[],8,0))</f>
        <v/>
      </c>
      <c r="J14" s="1" t="str">
        <f>IF(VLOOKUP(TableFields[Field],Columns[],9,0)=0,"","-&gt;"&amp;VLOOKUP(TableFields[Field],Columns[],9,0))</f>
        <v/>
      </c>
      <c r="K14" s="1" t="str">
        <f>"$table-&gt;"&amp;TableFields[Type]&amp;TableFields[Name]&amp;TableFields[Arg2]&amp;TableFields[Method1]&amp;TableFields[Method2]&amp;TableFields[Method3]&amp;TableFields[Method4]&amp;TableFields[Method5]&amp;";"</f>
        <v>$table-&gt;string('DOCDATE_FORMAT', '30')-&gt;nullable()-&gt;default('dd-MM-yyyy');</v>
      </c>
    </row>
    <row r="15" spans="1:11" x14ac:dyDescent="0.25">
      <c r="A15" s="1" t="s">
        <v>1071</v>
      </c>
      <c r="B15" s="1" t="s">
        <v>1096</v>
      </c>
      <c r="C15" s="1" t="str">
        <f>VLOOKUP(TableFields[Field],Columns[],2,0)&amp;"("</f>
        <v>string(</v>
      </c>
      <c r="D15" s="1" t="str">
        <f>IF(VLOOKUP(TableFields[Field],Columns[],3,0)&lt;&gt;"","'"&amp;VLOOKUP(TableFields[Field],Columns[],3,0)&amp;"'","")</f>
        <v>'REFDATE_FORMAT'</v>
      </c>
      <c r="E1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" s="1" t="str">
        <f>IF(VLOOKUP(TableFields[Field],Columns[],5,0)=0,"","-&gt;"&amp;VLOOKUP(TableFields[Field],Columns[],5,0))</f>
        <v>-&gt;nullable()</v>
      </c>
      <c r="G15" s="1" t="str">
        <f>IF(VLOOKUP(TableFields[Field],Columns[],6,0)=0,"","-&gt;"&amp;VLOOKUP(TableFields[Field],Columns[],6,0))</f>
        <v>-&gt;default('dd-MM-yyyy')</v>
      </c>
      <c r="H15" s="1" t="str">
        <f>IF(VLOOKUP(TableFields[Field],Columns[],7,0)=0,"","-&gt;"&amp;VLOOKUP(TableFields[Field],Columns[],7,0))</f>
        <v/>
      </c>
      <c r="I15" s="1" t="str">
        <f>IF(VLOOKUP(TableFields[Field],Columns[],8,0)=0,"","-&gt;"&amp;VLOOKUP(TableFields[Field],Columns[],8,0))</f>
        <v/>
      </c>
      <c r="J15" s="1" t="str">
        <f>IF(VLOOKUP(TableFields[Field],Columns[],9,0)=0,"","-&gt;"&amp;VLOOKUP(TableFields[Field],Columns[],9,0))</f>
        <v/>
      </c>
      <c r="K15" s="1" t="str">
        <f>"$table-&gt;"&amp;TableFields[Type]&amp;TableFields[Name]&amp;TableFields[Arg2]&amp;TableFields[Method1]&amp;TableFields[Method2]&amp;TableFields[Method3]&amp;TableFields[Method4]&amp;TableFields[Method5]&amp;";"</f>
        <v>$table-&gt;string('REFDATE_FORMAT', '30')-&gt;nullable()-&gt;default('dd-MM-yyyy');</v>
      </c>
    </row>
    <row r="16" spans="1:11" x14ac:dyDescent="0.25">
      <c r="A16" s="1" t="s">
        <v>1071</v>
      </c>
      <c r="B16" s="1" t="s">
        <v>1098</v>
      </c>
      <c r="C16" s="1" t="str">
        <f>VLOOKUP(TableFields[Field],Columns[],2,0)&amp;"("</f>
        <v>string(</v>
      </c>
      <c r="D16" s="1" t="str">
        <f>IF(VLOOKUP(TableFields[Field],Columns[],3,0)&lt;&gt;"","'"&amp;VLOOKUP(TableFields[Field],Columns[],3,0)&amp;"'","")</f>
        <v>'CHQDATE_FORMAT'</v>
      </c>
      <c r="E1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" s="1" t="str">
        <f>IF(VLOOKUP(TableFields[Field],Columns[],5,0)=0,"","-&gt;"&amp;VLOOKUP(TableFields[Field],Columns[],5,0))</f>
        <v>-&gt;nullable()</v>
      </c>
      <c r="G16" s="1" t="str">
        <f>IF(VLOOKUP(TableFields[Field],Columns[],6,0)=0,"","-&gt;"&amp;VLOOKUP(TableFields[Field],Columns[],6,0))</f>
        <v>-&gt;default('dd-MM-yyyy')</v>
      </c>
      <c r="H16" s="1" t="str">
        <f>IF(VLOOKUP(TableFields[Field],Columns[],7,0)=0,"","-&gt;"&amp;VLOOKUP(TableFields[Field],Columns[],7,0))</f>
        <v/>
      </c>
      <c r="I16" s="1" t="str">
        <f>IF(VLOOKUP(TableFields[Field],Columns[],8,0)=0,"","-&gt;"&amp;VLOOKUP(TableFields[Field],Columns[],8,0))</f>
        <v/>
      </c>
      <c r="J16" s="1" t="str">
        <f>IF(VLOOKUP(TableFields[Field],Columns[],9,0)=0,"","-&gt;"&amp;VLOOKUP(TableFields[Field],Columns[],9,0))</f>
        <v/>
      </c>
      <c r="K16" s="1" t="str">
        <f>"$table-&gt;"&amp;TableFields[Type]&amp;TableFields[Name]&amp;TableFields[Arg2]&amp;TableFields[Method1]&amp;TableFields[Method2]&amp;TableFields[Method3]&amp;TableFields[Method4]&amp;TableFields[Method5]&amp;";"</f>
        <v>$table-&gt;string('CHQDATE_FORMAT', '30')-&gt;nullable()-&gt;default('dd-MM-yyyy');</v>
      </c>
    </row>
    <row r="17" spans="1:11" x14ac:dyDescent="0.25">
      <c r="A17" s="1" t="s">
        <v>1071</v>
      </c>
      <c r="B17" s="1" t="s">
        <v>1100</v>
      </c>
      <c r="C17" s="1" t="str">
        <f>VLOOKUP(TableFields[Field],Columns[],2,0)&amp;"("</f>
        <v>string(</v>
      </c>
      <c r="D17" s="1" t="str">
        <f>IF(VLOOKUP(TableFields[Field],Columns[],3,0)&lt;&gt;"","'"&amp;VLOOKUP(TableFields[Field],Columns[],3,0)&amp;"'","")</f>
        <v>'OTHDATE_FORMAT'</v>
      </c>
      <c r="E1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7" s="1" t="str">
        <f>IF(VLOOKUP(TableFields[Field],Columns[],5,0)=0,"","-&gt;"&amp;VLOOKUP(TableFields[Field],Columns[],5,0))</f>
        <v>-&gt;nullable()</v>
      </c>
      <c r="G17" s="1" t="str">
        <f>IF(VLOOKUP(TableFields[Field],Columns[],6,0)=0,"","-&gt;"&amp;VLOOKUP(TableFields[Field],Columns[],6,0))</f>
        <v>-&gt;default('dd-MM-yyyy')</v>
      </c>
      <c r="H17" s="1" t="str">
        <f>IF(VLOOKUP(TableFields[Field],Columns[],7,0)=0,"","-&gt;"&amp;VLOOKUP(TableFields[Field],Columns[],7,0))</f>
        <v/>
      </c>
      <c r="I17" s="1" t="str">
        <f>IF(VLOOKUP(TableFields[Field],Columns[],8,0)=0,"","-&gt;"&amp;VLOOKUP(TableFields[Field],Columns[],8,0))</f>
        <v/>
      </c>
      <c r="J17" s="1" t="str">
        <f>IF(VLOOKUP(TableFields[Field],Columns[],9,0)=0,"","-&gt;"&amp;VLOOKUP(TableFields[Field],Columns[],9,0))</f>
        <v/>
      </c>
      <c r="K17" s="1" t="str">
        <f>"$table-&gt;"&amp;TableFields[Type]&amp;TableFields[Name]&amp;TableFields[Arg2]&amp;TableFields[Method1]&amp;TableFields[Method2]&amp;TableFields[Method3]&amp;TableFields[Method4]&amp;TableFields[Method5]&amp;";"</f>
        <v>$table-&gt;string('OTHDATE_FORMAT', '30')-&gt;nullable()-&gt;default('dd-MM-yyyy');</v>
      </c>
    </row>
    <row r="18" spans="1:11" x14ac:dyDescent="0.25">
      <c r="A18" s="1" t="s">
        <v>1071</v>
      </c>
      <c r="B18" s="1" t="s">
        <v>1102</v>
      </c>
      <c r="C18" s="1" t="str">
        <f>VLOOKUP(TableFields[Field],Columns[],2,0)&amp;"("</f>
        <v>string(</v>
      </c>
      <c r="D18" s="1" t="str">
        <f>IF(VLOOKUP(TableFields[Field],Columns[],3,0)&lt;&gt;"","'"&amp;VLOOKUP(TableFields[Field],Columns[],3,0)&amp;"'","")</f>
        <v>'CURRENCYDENOMINATION'</v>
      </c>
      <c r="E1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18" s="1" t="str">
        <f>IF(VLOOKUP(TableFields[Field],Columns[],5,0)=0,"","-&gt;"&amp;VLOOKUP(TableFields[Field],Columns[],5,0))</f>
        <v>-&gt;nullable()</v>
      </c>
      <c r="G18" s="1" t="str">
        <f>IF(VLOOKUP(TableFields[Field],Columns[],6,0)=0,"","-&gt;"&amp;VLOOKUP(TableFields[Field],Columns[],6,0))</f>
        <v/>
      </c>
      <c r="H18" s="1" t="str">
        <f>IF(VLOOKUP(TableFields[Field],Columns[],7,0)=0,"","-&gt;"&amp;VLOOKUP(TableFields[Field],Columns[],7,0))</f>
        <v/>
      </c>
      <c r="I18" s="1" t="str">
        <f>IF(VLOOKUP(TableFields[Field],Columns[],8,0)=0,"","-&gt;"&amp;VLOOKUP(TableFields[Field],Columns[],8,0))</f>
        <v/>
      </c>
      <c r="J18" s="1" t="str">
        <f>IF(VLOOKUP(TableFields[Field],Columns[],9,0)=0,"","-&gt;"&amp;VLOOKUP(TableFields[Field],Columns[],9,0))</f>
        <v/>
      </c>
      <c r="K18" s="1" t="str">
        <f>"$table-&gt;"&amp;TableFields[Type]&amp;TableFields[Name]&amp;TableFields[Arg2]&amp;TableFields[Method1]&amp;TableFields[Method2]&amp;TableFields[Method3]&amp;TableFields[Method4]&amp;TableFields[Method5]&amp;";"</f>
        <v>$table-&gt;string('CURRENCYDENOMINATION', '200')-&gt;nullable();</v>
      </c>
    </row>
    <row r="19" spans="1:11" x14ac:dyDescent="0.25">
      <c r="A19" s="1" t="s">
        <v>1071</v>
      </c>
      <c r="B19" s="1" t="s">
        <v>1104</v>
      </c>
      <c r="C19" s="1" t="str">
        <f>VLOOKUP(TableFields[Field],Columns[],2,0)&amp;"("</f>
        <v>enum(</v>
      </c>
      <c r="D19" s="1" t="str">
        <f>IF(VLOOKUP(TableFields[Field],Columns[],3,0)&lt;&gt;"","'"&amp;VLOOKUP(TableFields[Field],Columns[],3,0)&amp;"'","")</f>
        <v>'MULTICOMPANY'</v>
      </c>
      <c r="E1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9" s="1" t="str">
        <f>IF(VLOOKUP(TableFields[Field],Columns[],5,0)=0,"","-&gt;"&amp;VLOOKUP(TableFields[Field],Columns[],5,0))</f>
        <v>-&gt;nullable()</v>
      </c>
      <c r="G19" s="1" t="str">
        <f>IF(VLOOKUP(TableFields[Field],Columns[],6,0)=0,"","-&gt;"&amp;VLOOKUP(TableFields[Field],Columns[],6,0))</f>
        <v>-&gt;default('No')</v>
      </c>
      <c r="H19" s="1" t="str">
        <f>IF(VLOOKUP(TableFields[Field],Columns[],7,0)=0,"","-&gt;"&amp;VLOOKUP(TableFields[Field],Columns[],7,0))</f>
        <v/>
      </c>
      <c r="I19" s="1" t="str">
        <f>IF(VLOOKUP(TableFields[Field],Columns[],8,0)=0,"","-&gt;"&amp;VLOOKUP(TableFields[Field],Columns[],8,0))</f>
        <v/>
      </c>
      <c r="J19" s="1" t="str">
        <f>IF(VLOOKUP(TableFields[Field],Columns[],9,0)=0,"","-&gt;"&amp;VLOOKUP(TableFields[Field],Columns[],9,0))</f>
        <v/>
      </c>
      <c r="K19" s="1" t="str">
        <f>"$table-&gt;"&amp;TableFields[Type]&amp;TableFields[Name]&amp;TableFields[Arg2]&amp;TableFields[Method1]&amp;TableFields[Method2]&amp;TableFields[Method3]&amp;TableFields[Method4]&amp;TableFields[Method5]&amp;";"</f>
        <v>$table-&gt;enum('MULTICOMPANY', ['Yes','No'])-&gt;nullable()-&gt;default('No');</v>
      </c>
    </row>
    <row r="20" spans="1:11" x14ac:dyDescent="0.25">
      <c r="A20" s="1" t="s">
        <v>1071</v>
      </c>
      <c r="B20" s="1" t="s">
        <v>1106</v>
      </c>
      <c r="C20" s="1" t="str">
        <f>VLOOKUP(TableFields[Field],Columns[],2,0)&amp;"("</f>
        <v>enum(</v>
      </c>
      <c r="D20" s="1" t="str">
        <f>IF(VLOOKUP(TableFields[Field],Columns[],3,0)&lt;&gt;"","'"&amp;VLOOKUP(TableFields[Field],Columns[],3,0)&amp;"'","")</f>
        <v>'MULTIBRANCH'</v>
      </c>
      <c r="E2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0" s="1" t="str">
        <f>IF(VLOOKUP(TableFields[Field],Columns[],5,0)=0,"","-&gt;"&amp;VLOOKUP(TableFields[Field],Columns[],5,0))</f>
        <v>-&gt;nullable()</v>
      </c>
      <c r="G20" s="1" t="str">
        <f>IF(VLOOKUP(TableFields[Field],Columns[],6,0)=0,"","-&gt;"&amp;VLOOKUP(TableFields[Field],Columns[],6,0))</f>
        <v>-&gt;default('No')</v>
      </c>
      <c r="H20" s="1" t="str">
        <f>IF(VLOOKUP(TableFields[Field],Columns[],7,0)=0,"","-&gt;"&amp;VLOOKUP(TableFields[Field],Columns[],7,0))</f>
        <v/>
      </c>
      <c r="I20" s="1" t="str">
        <f>IF(VLOOKUP(TableFields[Field],Columns[],8,0)=0,"","-&gt;"&amp;VLOOKUP(TableFields[Field],Columns[],8,0))</f>
        <v/>
      </c>
      <c r="J20" s="1" t="str">
        <f>IF(VLOOKUP(TableFields[Field],Columns[],9,0)=0,"","-&gt;"&amp;VLOOKUP(TableFields[Field],Columns[],9,0))</f>
        <v/>
      </c>
      <c r="K20" s="1" t="str">
        <f>"$table-&gt;"&amp;TableFields[Type]&amp;TableFields[Name]&amp;TableFields[Arg2]&amp;TableFields[Method1]&amp;TableFields[Method2]&amp;TableFields[Method3]&amp;TableFields[Method4]&amp;TableFields[Method5]&amp;";"</f>
        <v>$table-&gt;enum('MULTIBRANCH', ['Yes','No'])-&gt;nullable()-&gt;default('No');</v>
      </c>
    </row>
    <row r="21" spans="1:11" x14ac:dyDescent="0.25">
      <c r="A21" s="1" t="s">
        <v>1071</v>
      </c>
      <c r="B21" s="1" t="s">
        <v>1108</v>
      </c>
      <c r="C21" s="1" t="str">
        <f>VLOOKUP(TableFields[Field],Columns[],2,0)&amp;"("</f>
        <v>enum(</v>
      </c>
      <c r="D21" s="1" t="str">
        <f>IF(VLOOKUP(TableFields[Field],Columns[],3,0)&lt;&gt;"","'"&amp;VLOOKUP(TableFields[Field],Columns[],3,0)&amp;"'","")</f>
        <v>'MULTICURRENCY'</v>
      </c>
      <c r="E2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1" s="1" t="str">
        <f>IF(VLOOKUP(TableFields[Field],Columns[],5,0)=0,"","-&gt;"&amp;VLOOKUP(TableFields[Field],Columns[],5,0))</f>
        <v>-&gt;nullable()</v>
      </c>
      <c r="G21" s="1" t="str">
        <f>IF(VLOOKUP(TableFields[Field],Columns[],6,0)=0,"","-&gt;"&amp;VLOOKUP(TableFields[Field],Columns[],6,0))</f>
        <v>-&gt;default('No')</v>
      </c>
      <c r="H21" s="1" t="str">
        <f>IF(VLOOKUP(TableFields[Field],Columns[],7,0)=0,"","-&gt;"&amp;VLOOKUP(TableFields[Field],Columns[],7,0))</f>
        <v/>
      </c>
      <c r="I21" s="1" t="str">
        <f>IF(VLOOKUP(TableFields[Field],Columns[],8,0)=0,"","-&gt;"&amp;VLOOKUP(TableFields[Field],Columns[],8,0))</f>
        <v/>
      </c>
      <c r="J21" s="1" t="str">
        <f>IF(VLOOKUP(TableFields[Field],Columns[],9,0)=0,"","-&gt;"&amp;VLOOKUP(TableFields[Field],Columns[],9,0))</f>
        <v/>
      </c>
      <c r="K21" s="1" t="str">
        <f>"$table-&gt;"&amp;TableFields[Type]&amp;TableFields[Name]&amp;TableFields[Arg2]&amp;TableFields[Method1]&amp;TableFields[Method2]&amp;TableFields[Method3]&amp;TableFields[Method4]&amp;TableFields[Method5]&amp;";"</f>
        <v>$table-&gt;enum('MULTICURRENCY', ['Yes','No'])-&gt;nullable()-&gt;default('No');</v>
      </c>
    </row>
    <row r="22" spans="1:11" x14ac:dyDescent="0.25">
      <c r="A22" s="1" t="s">
        <v>1071</v>
      </c>
      <c r="B22" s="1" t="s">
        <v>1110</v>
      </c>
      <c r="C22" s="1" t="str">
        <f>VLOOKUP(TableFields[Field],Columns[],2,0)&amp;"("</f>
        <v>enum(</v>
      </c>
      <c r="D22" s="1" t="str">
        <f>IF(VLOOKUP(TableFields[Field],Columns[],3,0)&lt;&gt;"","'"&amp;VLOOKUP(TableFields[Field],Columns[],3,0)&amp;"'","")</f>
        <v>'MULTIPRINT'</v>
      </c>
      <c r="E2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2" s="1" t="str">
        <f>IF(VLOOKUP(TableFields[Field],Columns[],5,0)=0,"","-&gt;"&amp;VLOOKUP(TableFields[Field],Columns[],5,0))</f>
        <v>-&gt;nullable()</v>
      </c>
      <c r="G22" s="1" t="str">
        <f>IF(VLOOKUP(TableFields[Field],Columns[],6,0)=0,"","-&gt;"&amp;VLOOKUP(TableFields[Field],Columns[],6,0))</f>
        <v>-&gt;default('No')</v>
      </c>
      <c r="H22" s="1" t="str">
        <f>IF(VLOOKUP(TableFields[Field],Columns[],7,0)=0,"","-&gt;"&amp;VLOOKUP(TableFields[Field],Columns[],7,0))</f>
        <v/>
      </c>
      <c r="I22" s="1" t="str">
        <f>IF(VLOOKUP(TableFields[Field],Columns[],8,0)=0,"","-&gt;"&amp;VLOOKUP(TableFields[Field],Columns[],8,0))</f>
        <v/>
      </c>
      <c r="J22" s="1" t="str">
        <f>IF(VLOOKUP(TableFields[Field],Columns[],9,0)=0,"","-&gt;"&amp;VLOOKUP(TableFields[Field],Columns[],9,0))</f>
        <v/>
      </c>
      <c r="K22" s="1" t="str">
        <f>"$table-&gt;"&amp;TableFields[Type]&amp;TableFields[Name]&amp;TableFields[Arg2]&amp;TableFields[Method1]&amp;TableFields[Method2]&amp;TableFields[Method3]&amp;TableFields[Method4]&amp;TableFields[Method5]&amp;";"</f>
        <v>$table-&gt;enum('MULTIPRINT', ['Yes','No'])-&gt;nullable()-&gt;default('No');</v>
      </c>
    </row>
    <row r="23" spans="1:11" x14ac:dyDescent="0.25">
      <c r="A23" s="1" t="s">
        <v>1071</v>
      </c>
      <c r="B23" s="1" t="s">
        <v>1112</v>
      </c>
      <c r="C23" s="1" t="str">
        <f>VLOOKUP(TableFields[Field],Columns[],2,0)&amp;"("</f>
        <v>enum(</v>
      </c>
      <c r="D23" s="1" t="str">
        <f>IF(VLOOKUP(TableFields[Field],Columns[],3,0)&lt;&gt;"","'"&amp;VLOOKUP(TableFields[Field],Columns[],3,0)&amp;"'","")</f>
        <v>'MULTISTORE'</v>
      </c>
      <c r="E2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3" s="1" t="str">
        <f>IF(VLOOKUP(TableFields[Field],Columns[],5,0)=0,"","-&gt;"&amp;VLOOKUP(TableFields[Field],Columns[],5,0))</f>
        <v>-&gt;nullable()</v>
      </c>
      <c r="G23" s="1" t="str">
        <f>IF(VLOOKUP(TableFields[Field],Columns[],6,0)=0,"","-&gt;"&amp;VLOOKUP(TableFields[Field],Columns[],6,0))</f>
        <v>-&gt;default('No')</v>
      </c>
      <c r="H23" s="1" t="str">
        <f>IF(VLOOKUP(TableFields[Field],Columns[],7,0)=0,"","-&gt;"&amp;VLOOKUP(TableFields[Field],Columns[],7,0))</f>
        <v/>
      </c>
      <c r="I23" s="1" t="str">
        <f>IF(VLOOKUP(TableFields[Field],Columns[],8,0)=0,"","-&gt;"&amp;VLOOKUP(TableFields[Field],Columns[],8,0))</f>
        <v/>
      </c>
      <c r="J23" s="1" t="str">
        <f>IF(VLOOKUP(TableFields[Field],Columns[],9,0)=0,"","-&gt;"&amp;VLOOKUP(TableFields[Field],Columns[],9,0))</f>
        <v/>
      </c>
      <c r="K23" s="1" t="str">
        <f>"$table-&gt;"&amp;TableFields[Type]&amp;TableFields[Name]&amp;TableFields[Arg2]&amp;TableFields[Method1]&amp;TableFields[Method2]&amp;TableFields[Method3]&amp;TableFields[Method4]&amp;TableFields[Method5]&amp;";"</f>
        <v>$table-&gt;enum('MULTISTORE', ['Yes','No'])-&gt;nullable()-&gt;default('No');</v>
      </c>
    </row>
    <row r="24" spans="1:11" x14ac:dyDescent="0.25">
      <c r="A24" s="1" t="s">
        <v>1071</v>
      </c>
      <c r="B24" s="1" t="s">
        <v>1114</v>
      </c>
      <c r="C24" s="1" t="str">
        <f>VLOOKUP(TableFields[Field],Columns[],2,0)&amp;"("</f>
        <v>enum(</v>
      </c>
      <c r="D24" s="1" t="str">
        <f>IF(VLOOKUP(TableFields[Field],Columns[],3,0)&lt;&gt;"","'"&amp;VLOOKUP(TableFields[Field],Columns[],3,0)&amp;"'","")</f>
        <v>'MULTIUNIT'</v>
      </c>
      <c r="E2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4" s="1" t="str">
        <f>IF(VLOOKUP(TableFields[Field],Columns[],5,0)=0,"","-&gt;"&amp;VLOOKUP(TableFields[Field],Columns[],5,0))</f>
        <v>-&gt;nullable()</v>
      </c>
      <c r="G24" s="1" t="str">
        <f>IF(VLOOKUP(TableFields[Field],Columns[],6,0)=0,"","-&gt;"&amp;VLOOKUP(TableFields[Field],Columns[],6,0))</f>
        <v>-&gt;default('No')</v>
      </c>
      <c r="H24" s="1" t="str">
        <f>IF(VLOOKUP(TableFields[Field],Columns[],7,0)=0,"","-&gt;"&amp;VLOOKUP(TableFields[Field],Columns[],7,0))</f>
        <v/>
      </c>
      <c r="I24" s="1" t="str">
        <f>IF(VLOOKUP(TableFields[Field],Columns[],8,0)=0,"","-&gt;"&amp;VLOOKUP(TableFields[Field],Columns[],8,0))</f>
        <v/>
      </c>
      <c r="J24" s="1" t="str">
        <f>IF(VLOOKUP(TableFields[Field],Columns[],9,0)=0,"","-&gt;"&amp;VLOOKUP(TableFields[Field],Columns[],9,0))</f>
        <v/>
      </c>
      <c r="K24" s="1" t="str">
        <f>"$table-&gt;"&amp;TableFields[Type]&amp;TableFields[Name]&amp;TableFields[Arg2]&amp;TableFields[Method1]&amp;TableFields[Method2]&amp;TableFields[Method3]&amp;TableFields[Method4]&amp;TableFields[Method5]&amp;";"</f>
        <v>$table-&gt;enum('MULTIUNIT', ['Yes','No'])-&gt;nullable()-&gt;default('No');</v>
      </c>
    </row>
    <row r="25" spans="1:11" x14ac:dyDescent="0.25">
      <c r="A25" s="1" t="s">
        <v>1071</v>
      </c>
      <c r="B25" s="1" t="s">
        <v>1116</v>
      </c>
      <c r="C25" s="1" t="str">
        <f>VLOOKUP(TableFields[Field],Columns[],2,0)&amp;"("</f>
        <v>enum(</v>
      </c>
      <c r="D25" s="1" t="str">
        <f>IF(VLOOKUP(TableFields[Field],Columns[],3,0)&lt;&gt;"","'"&amp;VLOOKUP(TableFields[Field],Columns[],3,0)&amp;"'","")</f>
        <v>'SHIFTMANAGEMENT'</v>
      </c>
      <c r="E2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5" s="1" t="str">
        <f>IF(VLOOKUP(TableFields[Field],Columns[],5,0)=0,"","-&gt;"&amp;VLOOKUP(TableFields[Field],Columns[],5,0))</f>
        <v>-&gt;nullable()</v>
      </c>
      <c r="G25" s="1" t="str">
        <f>IF(VLOOKUP(TableFields[Field],Columns[],6,0)=0,"","-&gt;"&amp;VLOOKUP(TableFields[Field],Columns[],6,0))</f>
        <v>-&gt;default('No')</v>
      </c>
      <c r="H25" s="1" t="str">
        <f>IF(VLOOKUP(TableFields[Field],Columns[],7,0)=0,"","-&gt;"&amp;VLOOKUP(TableFields[Field],Columns[],7,0))</f>
        <v/>
      </c>
      <c r="I25" s="1" t="str">
        <f>IF(VLOOKUP(TableFields[Field],Columns[],8,0)=0,"","-&gt;"&amp;VLOOKUP(TableFields[Field],Columns[],8,0))</f>
        <v/>
      </c>
      <c r="J25" s="1" t="str">
        <f>IF(VLOOKUP(TableFields[Field],Columns[],9,0)=0,"","-&gt;"&amp;VLOOKUP(TableFields[Field],Columns[],9,0))</f>
        <v/>
      </c>
      <c r="K25" s="1" t="str">
        <f>"$table-&gt;"&amp;TableFields[Type]&amp;TableFields[Name]&amp;TableFields[Arg2]&amp;TableFields[Method1]&amp;TableFields[Method2]&amp;TableFields[Method3]&amp;TableFields[Method4]&amp;TableFields[Method5]&amp;";"</f>
        <v>$table-&gt;enum('SHIFTMANAGEMENT', ['Yes','No'])-&gt;nullable()-&gt;default('No');</v>
      </c>
    </row>
    <row r="26" spans="1:11" x14ac:dyDescent="0.25">
      <c r="A26" s="1" t="s">
        <v>1071</v>
      </c>
      <c r="B26" s="1" t="s">
        <v>1118</v>
      </c>
      <c r="C26" s="1" t="str">
        <f>VLOOKUP(TableFields[Field],Columns[],2,0)&amp;"("</f>
        <v>string(</v>
      </c>
      <c r="D26" s="1" t="str">
        <f>IF(VLOOKUP(TableFields[Field],Columns[],3,0)&lt;&gt;"","'"&amp;VLOOKUP(TableFields[Field],Columns[],3,0)&amp;"'","")</f>
        <v>'BUSINESSKEY'</v>
      </c>
      <c r="E2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6" s="1" t="str">
        <f>IF(VLOOKUP(TableFields[Field],Columns[],5,0)=0,"","-&gt;"&amp;VLOOKUP(TableFields[Field],Columns[],5,0))</f>
        <v>-&gt;nullable()</v>
      </c>
      <c r="G26" s="1" t="str">
        <f>IF(VLOOKUP(TableFields[Field],Columns[],6,0)=0,"","-&gt;"&amp;VLOOKUP(TableFields[Field],Columns[],6,0))</f>
        <v/>
      </c>
      <c r="H26" s="1" t="str">
        <f>IF(VLOOKUP(TableFields[Field],Columns[],7,0)=0,"","-&gt;"&amp;VLOOKUP(TableFields[Field],Columns[],7,0))</f>
        <v/>
      </c>
      <c r="I26" s="1" t="str">
        <f>IF(VLOOKUP(TableFields[Field],Columns[],8,0)=0,"","-&gt;"&amp;VLOOKUP(TableFields[Field],Columns[],8,0))</f>
        <v/>
      </c>
      <c r="J26" s="1" t="str">
        <f>IF(VLOOKUP(TableFields[Field],Columns[],9,0)=0,"","-&gt;"&amp;VLOOKUP(TableFields[Field],Columns[],9,0))</f>
        <v/>
      </c>
      <c r="K26" s="1" t="str">
        <f>"$table-&gt;"&amp;TableFields[Type]&amp;TableFields[Name]&amp;TableFields[Arg2]&amp;TableFields[Method1]&amp;TableFields[Method2]&amp;TableFields[Method3]&amp;TableFields[Method4]&amp;TableFields[Method5]&amp;";"</f>
        <v>$table-&gt;string('BUSINESSKEY', '60')-&gt;nullable();</v>
      </c>
    </row>
    <row r="27" spans="1:11" x14ac:dyDescent="0.25">
      <c r="A27" s="1" t="s">
        <v>1071</v>
      </c>
      <c r="B27" s="1" t="s">
        <v>1120</v>
      </c>
      <c r="C27" s="1" t="str">
        <f>VLOOKUP(TableFields[Field],Columns[],2,0)&amp;"("</f>
        <v>enum(</v>
      </c>
      <c r="D27" s="1" t="str">
        <f>IF(VLOOKUP(TableFields[Field],Columns[],3,0)&lt;&gt;"","'"&amp;VLOOKUP(TableFields[Field],Columns[],3,0)&amp;"'","")</f>
        <v>'INVACCPOSTING'</v>
      </c>
      <c r="E2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['ExactValue','RoundedValue'])</v>
      </c>
      <c r="F27" s="1" t="str">
        <f>IF(VLOOKUP(TableFields[Field],Columns[],5,0)=0,"","-&gt;"&amp;VLOOKUP(TableFields[Field],Columns[],5,0))</f>
        <v>-&gt;nullable()</v>
      </c>
      <c r="G27" s="1" t="str">
        <f>IF(VLOOKUP(TableFields[Field],Columns[],6,0)=0,"","-&gt;"&amp;VLOOKUP(TableFields[Field],Columns[],6,0))</f>
        <v>-&gt;default('ExactValue')</v>
      </c>
      <c r="H27" s="1" t="str">
        <f>IF(VLOOKUP(TableFields[Field],Columns[],7,0)=0,"","-&gt;"&amp;VLOOKUP(TableFields[Field],Columns[],7,0))</f>
        <v/>
      </c>
      <c r="I27" s="1" t="str">
        <f>IF(VLOOKUP(TableFields[Field],Columns[],8,0)=0,"","-&gt;"&amp;VLOOKUP(TableFields[Field],Columns[],8,0))</f>
        <v/>
      </c>
      <c r="J27" s="1" t="str">
        <f>IF(VLOOKUP(TableFields[Field],Columns[],9,0)=0,"","-&gt;"&amp;VLOOKUP(TableFields[Field],Columns[],9,0))</f>
        <v/>
      </c>
      <c r="K27" s="1" t="str">
        <f>"$table-&gt;"&amp;TableFields[Type]&amp;TableFields[Name]&amp;TableFields[Arg2]&amp;TableFields[Method1]&amp;TableFields[Method2]&amp;TableFields[Method3]&amp;TableFields[Method4]&amp;TableFields[Method5]&amp;";"</f>
        <v>$table-&gt;enum('INVACCPOSTING', ['ExactValue','RoundedValue'])-&gt;nullable()-&gt;default('ExactValue');</v>
      </c>
    </row>
    <row r="28" spans="1:11" x14ac:dyDescent="0.25">
      <c r="A28" s="1" t="s">
        <v>1071</v>
      </c>
      <c r="B28" s="1" t="s">
        <v>1124</v>
      </c>
      <c r="C28" s="1" t="str">
        <f>VLOOKUP(TableFields[Field],Columns[],2,0)&amp;"("</f>
        <v>enum(</v>
      </c>
      <c r="D28" s="1" t="str">
        <f>IF(VLOOKUP(TableFields[Field],Columns[],3,0)&lt;&gt;"","'"&amp;VLOOKUP(TableFields[Field],Columns[],3,0)&amp;"'","")</f>
        <v>'ITEMCACHE'</v>
      </c>
      <c r="E2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8" s="1" t="str">
        <f>IF(VLOOKUP(TableFields[Field],Columns[],5,0)=0,"","-&gt;"&amp;VLOOKUP(TableFields[Field],Columns[],5,0))</f>
        <v>-&gt;nullable()</v>
      </c>
      <c r="G28" s="1" t="str">
        <f>IF(VLOOKUP(TableFields[Field],Columns[],6,0)=0,"","-&gt;"&amp;VLOOKUP(TableFields[Field],Columns[],6,0))</f>
        <v>-&gt;default('No')</v>
      </c>
      <c r="H28" s="1" t="str">
        <f>IF(VLOOKUP(TableFields[Field],Columns[],7,0)=0,"","-&gt;"&amp;VLOOKUP(TableFields[Field],Columns[],7,0))</f>
        <v/>
      </c>
      <c r="I28" s="1" t="str">
        <f>IF(VLOOKUP(TableFields[Field],Columns[],8,0)=0,"","-&gt;"&amp;VLOOKUP(TableFields[Field],Columns[],8,0))</f>
        <v/>
      </c>
      <c r="J28" s="1" t="str">
        <f>IF(VLOOKUP(TableFields[Field],Columns[],9,0)=0,"","-&gt;"&amp;VLOOKUP(TableFields[Field],Columns[],9,0))</f>
        <v/>
      </c>
      <c r="K28" s="1" t="str">
        <f>"$table-&gt;"&amp;TableFields[Type]&amp;TableFields[Name]&amp;TableFields[Arg2]&amp;TableFields[Method1]&amp;TableFields[Method2]&amp;TableFields[Method3]&amp;TableFields[Method4]&amp;TableFields[Method5]&amp;";"</f>
        <v>$table-&gt;enum('ITEMCACHE', ['Yes','No'])-&gt;nullable()-&gt;default('No');</v>
      </c>
    </row>
    <row r="29" spans="1:11" x14ac:dyDescent="0.25">
      <c r="A29" s="1" t="s">
        <v>1071</v>
      </c>
      <c r="B29" s="1" t="s">
        <v>1126</v>
      </c>
      <c r="C29" s="1" t="str">
        <f>VLOOKUP(TableFields[Field],Columns[],2,0)&amp;"("</f>
        <v>enum(</v>
      </c>
      <c r="D29" s="1" t="str">
        <f>IF(VLOOKUP(TableFields[Field],Columns[],3,0)&lt;&gt;"","'"&amp;VLOOKUP(TableFields[Field],Columns[],3,0)&amp;"'","")</f>
        <v>'NEGATIVESTOCK'</v>
      </c>
      <c r="E2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['Allow','Block','Question','User'])</v>
      </c>
      <c r="F29" s="1" t="str">
        <f>IF(VLOOKUP(TableFields[Field],Columns[],5,0)=0,"","-&gt;"&amp;VLOOKUP(TableFields[Field],Columns[],5,0))</f>
        <v>-&gt;nullable()</v>
      </c>
      <c r="G29" s="1" t="str">
        <f>IF(VLOOKUP(TableFields[Field],Columns[],6,0)=0,"","-&gt;"&amp;VLOOKUP(TableFields[Field],Columns[],6,0))</f>
        <v>-&gt;default('Allow')</v>
      </c>
      <c r="H29" s="1" t="str">
        <f>IF(VLOOKUP(TableFields[Field],Columns[],7,0)=0,"","-&gt;"&amp;VLOOKUP(TableFields[Field],Columns[],7,0))</f>
        <v/>
      </c>
      <c r="I29" s="1" t="str">
        <f>IF(VLOOKUP(TableFields[Field],Columns[],8,0)=0,"","-&gt;"&amp;VLOOKUP(TableFields[Field],Columns[],8,0))</f>
        <v/>
      </c>
      <c r="J29" s="1" t="str">
        <f>IF(VLOOKUP(TableFields[Field],Columns[],9,0)=0,"","-&gt;"&amp;VLOOKUP(TableFields[Field],Columns[],9,0))</f>
        <v/>
      </c>
      <c r="K29" s="1" t="str">
        <f>"$table-&gt;"&amp;TableFields[Type]&amp;TableFields[Name]&amp;TableFields[Arg2]&amp;TableFields[Method1]&amp;TableFields[Method2]&amp;TableFields[Method3]&amp;TableFields[Method4]&amp;TableFields[Method5]&amp;";"</f>
        <v>$table-&gt;enum('NEGATIVESTOCK', ['Allow','Block','Question','User'])-&gt;nullable()-&gt;default('Allow');</v>
      </c>
    </row>
    <row r="30" spans="1:11" x14ac:dyDescent="0.25">
      <c r="A30" s="1" t="s">
        <v>1071</v>
      </c>
      <c r="B30" s="1" t="s">
        <v>1130</v>
      </c>
      <c r="C30" s="1" t="str">
        <f>VLOOKUP(TableFields[Field],Columns[],2,0)&amp;"("</f>
        <v>string(</v>
      </c>
      <c r="D30" s="1" t="str">
        <f>IF(VLOOKUP(TableFields[Field],Columns[],3,0)&lt;&gt;"","'"&amp;VLOOKUP(TableFields[Field],Columns[],3,0)&amp;"'","")</f>
        <v>'POQTYUDATE'</v>
      </c>
      <c r="E3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0" s="1" t="str">
        <f>IF(VLOOKUP(TableFields[Field],Columns[],5,0)=0,"","-&gt;"&amp;VLOOKUP(TableFields[Field],Columns[],5,0))</f>
        <v>-&gt;nullable()</v>
      </c>
      <c r="G30" s="1" t="str">
        <f>IF(VLOOKUP(TableFields[Field],Columns[],6,0)=0,"","-&gt;"&amp;VLOOKUP(TableFields[Field],Columns[],6,0))</f>
        <v/>
      </c>
      <c r="H30" s="1" t="str">
        <f>IF(VLOOKUP(TableFields[Field],Columns[],7,0)=0,"","-&gt;"&amp;VLOOKUP(TableFields[Field],Columns[],7,0))</f>
        <v/>
      </c>
      <c r="I30" s="1" t="str">
        <f>IF(VLOOKUP(TableFields[Field],Columns[],8,0)=0,"","-&gt;"&amp;VLOOKUP(TableFields[Field],Columns[],8,0))</f>
        <v/>
      </c>
      <c r="J30" s="1" t="str">
        <f>IF(VLOOKUP(TableFields[Field],Columns[],9,0)=0,"","-&gt;"&amp;VLOOKUP(TableFields[Field],Columns[],9,0))</f>
        <v/>
      </c>
      <c r="K30" s="1" t="str">
        <f>"$table-&gt;"&amp;TableFields[Type]&amp;TableFields[Name]&amp;TableFields[Arg2]&amp;TableFields[Method1]&amp;TableFields[Method2]&amp;TableFields[Method3]&amp;TableFields[Method4]&amp;TableFields[Method5]&amp;";"</f>
        <v>$table-&gt;string('POQTYUDATE', '200')-&gt;nullable();</v>
      </c>
    </row>
    <row r="31" spans="1:11" x14ac:dyDescent="0.25">
      <c r="A31" s="1" t="s">
        <v>1071</v>
      </c>
      <c r="B31" s="1" t="s">
        <v>1132</v>
      </c>
      <c r="C31" s="1" t="str">
        <f>VLOOKUP(TableFields[Field],Columns[],2,0)&amp;"("</f>
        <v>string(</v>
      </c>
      <c r="D31" s="1" t="str">
        <f>IF(VLOOKUP(TableFields[Field],Columns[],3,0)&lt;&gt;"","'"&amp;VLOOKUP(TableFields[Field],Columns[],3,0)&amp;"'","")</f>
        <v>'SOQTYUDATE'</v>
      </c>
      <c r="E3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1" s="1" t="str">
        <f>IF(VLOOKUP(TableFields[Field],Columns[],5,0)=0,"","-&gt;"&amp;VLOOKUP(TableFields[Field],Columns[],5,0))</f>
        <v>-&gt;nullable()</v>
      </c>
      <c r="G31" s="1" t="str">
        <f>IF(VLOOKUP(TableFields[Field],Columns[],6,0)=0,"","-&gt;"&amp;VLOOKUP(TableFields[Field],Columns[],6,0))</f>
        <v/>
      </c>
      <c r="H31" s="1" t="str">
        <f>IF(VLOOKUP(TableFields[Field],Columns[],7,0)=0,"","-&gt;"&amp;VLOOKUP(TableFields[Field],Columns[],7,0))</f>
        <v/>
      </c>
      <c r="I31" s="1" t="str">
        <f>IF(VLOOKUP(TableFields[Field],Columns[],8,0)=0,"","-&gt;"&amp;VLOOKUP(TableFields[Field],Columns[],8,0))</f>
        <v/>
      </c>
      <c r="J31" s="1" t="str">
        <f>IF(VLOOKUP(TableFields[Field],Columns[],9,0)=0,"","-&gt;"&amp;VLOOKUP(TableFields[Field],Columns[],9,0))</f>
        <v/>
      </c>
      <c r="K31" s="1" t="str">
        <f>"$table-&gt;"&amp;TableFields[Type]&amp;TableFields[Name]&amp;TableFields[Arg2]&amp;TableFields[Method1]&amp;TableFields[Method2]&amp;TableFields[Method3]&amp;TableFields[Method4]&amp;TableFields[Method5]&amp;";"</f>
        <v>$table-&gt;string('SOQTYUDATE', '200')-&gt;nullable();</v>
      </c>
    </row>
    <row r="32" spans="1:11" x14ac:dyDescent="0.25">
      <c r="A32" s="1" t="s">
        <v>1071</v>
      </c>
      <c r="B32" s="1" t="s">
        <v>1134</v>
      </c>
      <c r="C32" s="1" t="str">
        <f>VLOOKUP(TableFields[Field],Columns[],2,0)&amp;"("</f>
        <v>enum(</v>
      </c>
      <c r="D32" s="1" t="str">
        <f>IF(VLOOKUP(TableFields[Field],Columns[],3,0)&lt;&gt;"","'"&amp;VLOOKUP(TableFields[Field],Columns[],3,0)&amp;"'","")</f>
        <v>'PRODUCTION'</v>
      </c>
      <c r="E3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['None','Simple','Standard','Advanced'])</v>
      </c>
      <c r="F32" s="1" t="str">
        <f>IF(VLOOKUP(TableFields[Field],Columns[],5,0)=0,"","-&gt;"&amp;VLOOKUP(TableFields[Field],Columns[],5,0))</f>
        <v>-&gt;nullable()</v>
      </c>
      <c r="G32" s="1" t="str">
        <f>IF(VLOOKUP(TableFields[Field],Columns[],6,0)=0,"","-&gt;"&amp;VLOOKUP(TableFields[Field],Columns[],6,0))</f>
        <v>-&gt;default('None')</v>
      </c>
      <c r="H32" s="1" t="str">
        <f>IF(VLOOKUP(TableFields[Field],Columns[],7,0)=0,"","-&gt;"&amp;VLOOKUP(TableFields[Field],Columns[],7,0))</f>
        <v/>
      </c>
      <c r="I32" s="1" t="str">
        <f>IF(VLOOKUP(TableFields[Field],Columns[],8,0)=0,"","-&gt;"&amp;VLOOKUP(TableFields[Field],Columns[],8,0))</f>
        <v/>
      </c>
      <c r="J32" s="1" t="str">
        <f>IF(VLOOKUP(TableFields[Field],Columns[],9,0)=0,"","-&gt;"&amp;VLOOKUP(TableFields[Field],Columns[],9,0))</f>
        <v/>
      </c>
      <c r="K32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$table-&gt;enum('PRODUCTION', ['None','Simple','Standard','Advanced'])-&gt;nullable()-&gt;default('None');</v>
      </c>
    </row>
    <row r="33" spans="1:11" x14ac:dyDescent="0.25">
      <c r="A33" s="1" t="s">
        <v>1071</v>
      </c>
      <c r="B33" s="1" t="s">
        <v>1137</v>
      </c>
      <c r="C33" s="1" t="str">
        <f>VLOOKUP(TableFields[Field],Columns[],2,0)&amp;"("</f>
        <v>enum(</v>
      </c>
      <c r="D33" s="1" t="str">
        <f>IF(VLOOKUP(TableFields[Field],Columns[],3,0)&lt;&gt;"","'"&amp;VLOOKUP(TableFields[Field],Columns[],3,0)&amp;"'","")</f>
        <v>'PRODUCTIONCOSTUPDATION'</v>
      </c>
      <c r="E3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['Auto','None'])</v>
      </c>
      <c r="F33" s="1" t="str">
        <f>IF(VLOOKUP(TableFields[Field],Columns[],5,0)=0,"","-&gt;"&amp;VLOOKUP(TableFields[Field],Columns[],5,0))</f>
        <v>-&gt;nullable()</v>
      </c>
      <c r="G33" s="1" t="str">
        <f>IF(VLOOKUP(TableFields[Field],Columns[],6,0)=0,"","-&gt;"&amp;VLOOKUP(TableFields[Field],Columns[],6,0))</f>
        <v>-&gt;default('None')</v>
      </c>
      <c r="H33" s="1" t="str">
        <f>IF(VLOOKUP(TableFields[Field],Columns[],7,0)=0,"","-&gt;"&amp;VLOOKUP(TableFields[Field],Columns[],7,0))</f>
        <v/>
      </c>
      <c r="I33" s="1" t="str">
        <f>IF(VLOOKUP(TableFields[Field],Columns[],8,0)=0,"","-&gt;"&amp;VLOOKUP(TableFields[Field],Columns[],8,0))</f>
        <v/>
      </c>
      <c r="J33" s="1" t="str">
        <f>IF(VLOOKUP(TableFields[Field],Columns[],9,0)=0,"","-&gt;"&amp;VLOOKUP(TableFields[Field],Columns[],9,0))</f>
        <v/>
      </c>
      <c r="K33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$table-&gt;enum('PRODUCTIONCOSTUPDATION', ['Auto','None'])-&gt;nullable()-&gt;default('None');</v>
      </c>
    </row>
    <row r="34" spans="1:11" x14ac:dyDescent="0.25">
      <c r="A34" s="1" t="s">
        <v>1071</v>
      </c>
      <c r="B34" s="1" t="s">
        <v>1140</v>
      </c>
      <c r="C34" s="1" t="str">
        <f>VLOOKUP(TableFields[Field],Columns[],2,0)&amp;"("</f>
        <v>enum(</v>
      </c>
      <c r="D34" s="1" t="str">
        <f>IF(VLOOKUP(TableFields[Field],Columns[],3,0)&lt;&gt;"","'"&amp;VLOOKUP(TableFields[Field],Columns[],3,0)&amp;"'","")</f>
        <v>'PRODUCTIONNARRATION'</v>
      </c>
      <c r="E3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['Public','Protected'])</v>
      </c>
      <c r="F34" s="1" t="str">
        <f>IF(VLOOKUP(TableFields[Field],Columns[],5,0)=0,"","-&gt;"&amp;VLOOKUP(TableFields[Field],Columns[],5,0))</f>
        <v>-&gt;nullable()</v>
      </c>
      <c r="G34" s="1" t="str">
        <f>IF(VLOOKUP(TableFields[Field],Columns[],6,0)=0,"","-&gt;"&amp;VLOOKUP(TableFields[Field],Columns[],6,0))</f>
        <v>-&gt;default('Protected')</v>
      </c>
      <c r="H34" s="1" t="str">
        <f>IF(VLOOKUP(TableFields[Field],Columns[],7,0)=0,"","-&gt;"&amp;VLOOKUP(TableFields[Field],Columns[],7,0))</f>
        <v/>
      </c>
      <c r="I34" s="1" t="str">
        <f>IF(VLOOKUP(TableFields[Field],Columns[],8,0)=0,"","-&gt;"&amp;VLOOKUP(TableFields[Field],Columns[],8,0))</f>
        <v/>
      </c>
      <c r="J34" s="1" t="str">
        <f>IF(VLOOKUP(TableFields[Field],Columns[],9,0)=0,"","-&gt;"&amp;VLOOKUP(TableFields[Field],Columns[],9,0))</f>
        <v/>
      </c>
      <c r="K34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$table-&gt;enum('PRODUCTIONNARRATION', ['Public','Protected'])-&gt;nullable()-&gt;default('Protected');</v>
      </c>
    </row>
    <row r="35" spans="1:11" x14ac:dyDescent="0.25">
      <c r="A35" s="1" t="s">
        <v>1071</v>
      </c>
      <c r="B35" s="1" t="s">
        <v>1144</v>
      </c>
      <c r="C35" s="1" t="str">
        <f>VLOOKUP(TableFields[Field],Columns[],2,0)&amp;"("</f>
        <v>char(</v>
      </c>
      <c r="D35" s="1" t="str">
        <f>IF(VLOOKUP(TableFields[Field],Columns[],3,0)&lt;&gt;"","'"&amp;VLOOKUP(TableFields[Field],Columns[],3,0)&amp;"'","")</f>
        <v>'DEFAULTBRANCH'</v>
      </c>
      <c r="E3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5" s="1" t="str">
        <f>IF(VLOOKUP(TableFields[Field],Columns[],5,0)=0,"","-&gt;"&amp;VLOOKUP(TableFields[Field],Columns[],5,0))</f>
        <v>-&gt;nullable()</v>
      </c>
      <c r="G35" s="1" t="str">
        <f>IF(VLOOKUP(TableFields[Field],Columns[],6,0)=0,"","-&gt;"&amp;VLOOKUP(TableFields[Field],Columns[],6,0))</f>
        <v>-&gt;default('HO')</v>
      </c>
      <c r="H35" s="1" t="str">
        <f>IF(VLOOKUP(TableFields[Field],Columns[],7,0)=0,"","-&gt;"&amp;VLOOKUP(TableFields[Field],Columns[],7,0))</f>
        <v/>
      </c>
      <c r="I35" s="1" t="str">
        <f>IF(VLOOKUP(TableFields[Field],Columns[],8,0)=0,"","-&gt;"&amp;VLOOKUP(TableFields[Field],Columns[],8,0))</f>
        <v/>
      </c>
      <c r="J35" s="1" t="str">
        <f>IF(VLOOKUP(TableFields[Field],Columns[],9,0)=0,"","-&gt;"&amp;VLOOKUP(TableFields[Field],Columns[],9,0))</f>
        <v/>
      </c>
      <c r="K35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$table-&gt;char('DEFAULTBRANCH', '15')-&gt;nullable()-&gt;default('HO');</v>
      </c>
    </row>
    <row r="36" spans="1:11" x14ac:dyDescent="0.25">
      <c r="A36" s="1" t="s">
        <v>1071</v>
      </c>
      <c r="B36" s="1" t="s">
        <v>1147</v>
      </c>
      <c r="C36" s="1" t="str">
        <f>VLOOKUP(TableFields[Field],Columns[],2,0)&amp;"("</f>
        <v>char(</v>
      </c>
      <c r="D36" s="1" t="str">
        <f>IF(VLOOKUP(TableFields[Field],Columns[],3,0)&lt;&gt;"","'"&amp;VLOOKUP(TableFields[Field],Columns[],3,0)&amp;"'","")</f>
        <v>'DEFAULTUNIT'</v>
      </c>
      <c r="E3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6" s="1" t="str">
        <f>IF(VLOOKUP(TableFields[Field],Columns[],5,0)=0,"","-&gt;"&amp;VLOOKUP(TableFields[Field],Columns[],5,0))</f>
        <v>-&gt;nullable()</v>
      </c>
      <c r="G36" s="1" t="str">
        <f>IF(VLOOKUP(TableFields[Field],Columns[],6,0)=0,"","-&gt;"&amp;VLOOKUP(TableFields[Field],Columns[],6,0))</f>
        <v>-&gt;default('PCS')</v>
      </c>
      <c r="H36" s="1" t="str">
        <f>IF(VLOOKUP(TableFields[Field],Columns[],7,0)=0,"","-&gt;"&amp;VLOOKUP(TableFields[Field],Columns[],7,0))</f>
        <v/>
      </c>
      <c r="I36" s="1" t="str">
        <f>IF(VLOOKUP(TableFields[Field],Columns[],8,0)=0,"","-&gt;"&amp;VLOOKUP(TableFields[Field],Columns[],8,0))</f>
        <v/>
      </c>
      <c r="J36" s="1" t="str">
        <f>IF(VLOOKUP(TableFields[Field],Columns[],9,0)=0,"","-&gt;"&amp;VLOOKUP(TableFields[Field],Columns[],9,0))</f>
        <v/>
      </c>
      <c r="K36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$table-&gt;char('DEFAULTUNIT', '15')-&gt;nullable()-&gt;default('PCS');</v>
      </c>
    </row>
    <row r="37" spans="1:11" x14ac:dyDescent="0.25">
      <c r="A37" s="1" t="s">
        <v>1071</v>
      </c>
      <c r="B37" s="1" t="s">
        <v>1150</v>
      </c>
      <c r="C37" s="1" t="str">
        <f>VLOOKUP(TableFields[Field],Columns[],2,0)&amp;"("</f>
        <v>enum(</v>
      </c>
      <c r="D37" s="1" t="str">
        <f>IF(VLOOKUP(TableFields[Field],Columns[],3,0)&lt;&gt;"","'"&amp;VLOOKUP(TableFields[Field],Columns[],3,0)&amp;"'","")</f>
        <v>'TAX'</v>
      </c>
      <c r="E3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7" s="1" t="str">
        <f>IF(VLOOKUP(TableFields[Field],Columns[],5,0)=0,"","-&gt;"&amp;VLOOKUP(TableFields[Field],Columns[],5,0))</f>
        <v>-&gt;nullable()</v>
      </c>
      <c r="G37" s="1" t="str">
        <f>IF(VLOOKUP(TableFields[Field],Columns[],6,0)=0,"","-&gt;"&amp;VLOOKUP(TableFields[Field],Columns[],6,0))</f>
        <v>-&gt;default('Yes')</v>
      </c>
      <c r="H37" s="1" t="str">
        <f>IF(VLOOKUP(TableFields[Field],Columns[],7,0)=0,"","-&gt;"&amp;VLOOKUP(TableFields[Field],Columns[],7,0))</f>
        <v/>
      </c>
      <c r="I37" s="1" t="str">
        <f>IF(VLOOKUP(TableFields[Field],Columns[],8,0)=0,"","-&gt;"&amp;VLOOKUP(TableFields[Field],Columns[],8,0))</f>
        <v/>
      </c>
      <c r="J37" s="1" t="str">
        <f>IF(VLOOKUP(TableFields[Field],Columns[],9,0)=0,"","-&gt;"&amp;VLOOKUP(TableFields[Field],Columns[],9,0))</f>
        <v/>
      </c>
      <c r="K37" s="1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['Yes','No'])-&gt;nullable()-&gt;default('Yes');</v>
      </c>
    </row>
    <row r="38" spans="1:11" x14ac:dyDescent="0.25">
      <c r="A38" s="1" t="s">
        <v>1071</v>
      </c>
      <c r="B38" s="1" t="s">
        <v>1153</v>
      </c>
      <c r="C38" s="1" t="str">
        <f>VLOOKUP(TableFields[Field],Columns[],2,0)&amp;"("</f>
        <v>enum(</v>
      </c>
      <c r="D38" s="1" t="str">
        <f>IF(VLOOKUP(TableFields[Field],Columns[],3,0)&lt;&gt;"","'"&amp;VLOOKUP(TableFields[Field],Columns[],3,0)&amp;"'","")</f>
        <v>'TAX02'</v>
      </c>
      <c r="E3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8" s="1" t="str">
        <f>IF(VLOOKUP(TableFields[Field],Columns[],5,0)=0,"","-&gt;"&amp;VLOOKUP(TableFields[Field],Columns[],5,0))</f>
        <v>-&gt;nullable()</v>
      </c>
      <c r="G38" s="1" t="str">
        <f>IF(VLOOKUP(TableFields[Field],Columns[],6,0)=0,"","-&gt;"&amp;VLOOKUP(TableFields[Field],Columns[],6,0))</f>
        <v>-&gt;default('No')</v>
      </c>
      <c r="H38" s="1" t="str">
        <f>IF(VLOOKUP(TableFields[Field],Columns[],7,0)=0,"","-&gt;"&amp;VLOOKUP(TableFields[Field],Columns[],7,0))</f>
        <v/>
      </c>
      <c r="I38" s="1" t="str">
        <f>IF(VLOOKUP(TableFields[Field],Columns[],8,0)=0,"","-&gt;"&amp;VLOOKUP(TableFields[Field],Columns[],8,0))</f>
        <v/>
      </c>
      <c r="J38" s="1" t="str">
        <f>IF(VLOOKUP(TableFields[Field],Columns[],9,0)=0,"","-&gt;"&amp;VLOOKUP(TableFields[Field],Columns[],9,0))</f>
        <v/>
      </c>
      <c r="K38" s="1" t="str">
        <f>"$table-&gt;"&amp;TableFields[Type]&amp;TableFields[Name]&amp;TableFields[Arg2]&amp;TableFields[Method1]&amp;TableFields[Method2]&amp;TableFields[Method3]&amp;TableFields[Method4]&amp;TableFields[Method5]&amp;";"</f>
        <v>$table-&gt;enum('TAX02', ['Yes','No'])-&gt;nullable()-&gt;default('No');</v>
      </c>
    </row>
    <row r="39" spans="1:11" x14ac:dyDescent="0.25">
      <c r="A39" s="1" t="s">
        <v>1071</v>
      </c>
      <c r="B39" s="1" t="s">
        <v>1155</v>
      </c>
      <c r="C39" s="1" t="str">
        <f>VLOOKUP(TableFields[Field],Columns[],2,0)&amp;"("</f>
        <v>enum(</v>
      </c>
      <c r="D39" s="1" t="str">
        <f>IF(VLOOKUP(TableFields[Field],Columns[],3,0)&lt;&gt;"","'"&amp;VLOOKUP(TableFields[Field],Columns[],3,0)&amp;"'","")</f>
        <v>'TAXREF'</v>
      </c>
      <c r="E3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['ItemGroup','Item'])</v>
      </c>
      <c r="F39" s="1" t="str">
        <f>IF(VLOOKUP(TableFields[Field],Columns[],5,0)=0,"","-&gt;"&amp;VLOOKUP(TableFields[Field],Columns[],5,0))</f>
        <v>-&gt;nullable()</v>
      </c>
      <c r="G39" s="1" t="str">
        <f>IF(VLOOKUP(TableFields[Field],Columns[],6,0)=0,"","-&gt;"&amp;VLOOKUP(TableFields[Field],Columns[],6,0))</f>
        <v>-&gt;default('Item')</v>
      </c>
      <c r="H39" s="1" t="str">
        <f>IF(VLOOKUP(TableFields[Field],Columns[],7,0)=0,"","-&gt;"&amp;VLOOKUP(TableFields[Field],Columns[],7,0))</f>
        <v/>
      </c>
      <c r="I39" s="1" t="str">
        <f>IF(VLOOKUP(TableFields[Field],Columns[],8,0)=0,"","-&gt;"&amp;VLOOKUP(TableFields[Field],Columns[],8,0))</f>
        <v/>
      </c>
      <c r="J39" s="1" t="str">
        <f>IF(VLOOKUP(TableFields[Field],Columns[],9,0)=0,"","-&gt;"&amp;VLOOKUP(TableFields[Field],Columns[],9,0))</f>
        <v/>
      </c>
      <c r="K39" s="1" t="str">
        <f>"$table-&gt;"&amp;TableFields[Type]&amp;TableFields[Name]&amp;TableFields[Arg2]&amp;TableFields[Method1]&amp;TableFields[Method2]&amp;TableFields[Method3]&amp;TableFields[Method4]&amp;TableFields[Method5]&amp;";"</f>
        <v>$table-&gt;enum('TAXREF', ['ItemGroup','Item'])-&gt;nullable()-&gt;default('Item');</v>
      </c>
    </row>
    <row r="40" spans="1:11" x14ac:dyDescent="0.25">
      <c r="A40" s="1" t="s">
        <v>1071</v>
      </c>
      <c r="B40" s="1" t="s">
        <v>1159</v>
      </c>
      <c r="C40" s="1" t="str">
        <f>VLOOKUP(TableFields[Field],Columns[],2,0)&amp;"("</f>
        <v>enum(</v>
      </c>
      <c r="D40" s="1" t="str">
        <f>IF(VLOOKUP(TableFields[Field],Columns[],3,0)&lt;&gt;"","'"&amp;VLOOKUP(TableFields[Field],Columns[],3,0)&amp;"'","")</f>
        <v>'ITEMSERIAL'</v>
      </c>
      <c r="E4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40" s="1" t="str">
        <f>IF(VLOOKUP(TableFields[Field],Columns[],5,0)=0,"","-&gt;"&amp;VLOOKUP(TableFields[Field],Columns[],5,0))</f>
        <v>-&gt;nullable()</v>
      </c>
      <c r="G40" s="1" t="str">
        <f>IF(VLOOKUP(TableFields[Field],Columns[],6,0)=0,"","-&gt;"&amp;VLOOKUP(TableFields[Field],Columns[],6,0))</f>
        <v>-&gt;default('No')</v>
      </c>
      <c r="H40" s="1" t="str">
        <f>IF(VLOOKUP(TableFields[Field],Columns[],7,0)=0,"","-&gt;"&amp;VLOOKUP(TableFields[Field],Columns[],7,0))</f>
        <v/>
      </c>
      <c r="I40" s="1" t="str">
        <f>IF(VLOOKUP(TableFields[Field],Columns[],8,0)=0,"","-&gt;"&amp;VLOOKUP(TableFields[Field],Columns[],8,0))</f>
        <v/>
      </c>
      <c r="J40" s="1" t="str">
        <f>IF(VLOOKUP(TableFields[Field],Columns[],9,0)=0,"","-&gt;"&amp;VLOOKUP(TableFields[Field],Columns[],9,0))</f>
        <v/>
      </c>
      <c r="K40" s="1" t="str">
        <f>"$table-&gt;"&amp;TableFields[Type]&amp;TableFields[Name]&amp;TableFields[Arg2]&amp;TableFields[Method1]&amp;TableFields[Method2]&amp;TableFields[Method3]&amp;TableFields[Method4]&amp;TableFields[Method5]&amp;";"</f>
        <v>$table-&gt;enum('ITEMSERIAL', ['Yes','No'])-&gt;nullable()-&gt;default('No');</v>
      </c>
    </row>
    <row r="41" spans="1:11" x14ac:dyDescent="0.25">
      <c r="A41" s="1" t="s">
        <v>1071</v>
      </c>
      <c r="B41" s="1" t="s">
        <v>1161</v>
      </c>
      <c r="C41" s="1" t="str">
        <f>VLOOKUP(TableFields[Field],Columns[],2,0)&amp;"("</f>
        <v>string(</v>
      </c>
      <c r="D41" s="1" t="str">
        <f>IF(VLOOKUP(TableFields[Field],Columns[],3,0)&lt;&gt;"","'"&amp;VLOOKUP(TableFields[Field],Columns[],3,0)&amp;"'","")</f>
        <v>'ITEMSERIALTEXT'</v>
      </c>
      <c r="E4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41" s="1" t="str">
        <f>IF(VLOOKUP(TableFields[Field],Columns[],5,0)=0,"","-&gt;"&amp;VLOOKUP(TableFields[Field],Columns[],5,0))</f>
        <v>-&gt;nullable()</v>
      </c>
      <c r="G41" s="1" t="str">
        <f>IF(VLOOKUP(TableFields[Field],Columns[],6,0)=0,"","-&gt;"&amp;VLOOKUP(TableFields[Field],Columns[],6,0))</f>
        <v>-&gt;default ('Item Serial')</v>
      </c>
      <c r="H41" s="1" t="str">
        <f>IF(VLOOKUP(TableFields[Field],Columns[],7,0)=0,"","-&gt;"&amp;VLOOKUP(TableFields[Field],Columns[],7,0))</f>
        <v/>
      </c>
      <c r="I41" s="1" t="str">
        <f>IF(VLOOKUP(TableFields[Field],Columns[],8,0)=0,"","-&gt;"&amp;VLOOKUP(TableFields[Field],Columns[],8,0))</f>
        <v/>
      </c>
      <c r="J41" s="1" t="str">
        <f>IF(VLOOKUP(TableFields[Field],Columns[],9,0)=0,"","-&gt;"&amp;VLOOKUP(TableFields[Field],Columns[],9,0))</f>
        <v/>
      </c>
      <c r="K41" s="1" t="str">
        <f>"$table-&gt;"&amp;TableFields[Type]&amp;TableFields[Name]&amp;TableFields[Arg2]&amp;TableFields[Method1]&amp;TableFields[Method2]&amp;TableFields[Method3]&amp;TableFields[Method4]&amp;TableFields[Method5]&amp;";"</f>
        <v>$table-&gt;string('ITEMSERIALTEXT', '30')-&gt;nullable()-&gt;default ('Item Serial');</v>
      </c>
    </row>
    <row r="42" spans="1:11" x14ac:dyDescent="0.25">
      <c r="A42" s="1" t="s">
        <v>1071</v>
      </c>
      <c r="B42" s="1" t="s">
        <v>1163</v>
      </c>
      <c r="C42" s="1" t="str">
        <f>VLOOKUP(TableFields[Field],Columns[],2,0)&amp;"("</f>
        <v>enum(</v>
      </c>
      <c r="D42" s="1" t="str">
        <f>IF(VLOOKUP(TableFields[Field],Columns[],3,0)&lt;&gt;"","'"&amp;VLOOKUP(TableFields[Field],Columns[],3,0)&amp;"'","")</f>
        <v>'PAYMENTMODEACTION'</v>
      </c>
      <c r="E4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['Direct','Ledger'])</v>
      </c>
      <c r="F42" s="1" t="str">
        <f>IF(VLOOKUP(TableFields[Field],Columns[],5,0)=0,"","-&gt;"&amp;VLOOKUP(TableFields[Field],Columns[],5,0))</f>
        <v>-&gt;nullable()</v>
      </c>
      <c r="G42" s="1" t="str">
        <f>IF(VLOOKUP(TableFields[Field],Columns[],6,0)=0,"","-&gt;"&amp;VLOOKUP(TableFields[Field],Columns[],6,0))</f>
        <v>-&gt;default('Direct')</v>
      </c>
      <c r="H42" s="1" t="str">
        <f>IF(VLOOKUP(TableFields[Field],Columns[],7,0)=0,"","-&gt;"&amp;VLOOKUP(TableFields[Field],Columns[],7,0))</f>
        <v/>
      </c>
      <c r="I42" s="1" t="str">
        <f>IF(VLOOKUP(TableFields[Field],Columns[],8,0)=0,"","-&gt;"&amp;VLOOKUP(TableFields[Field],Columns[],8,0))</f>
        <v/>
      </c>
      <c r="J42" s="1" t="str">
        <f>IF(VLOOKUP(TableFields[Field],Columns[],9,0)=0,"","-&gt;"&amp;VLOOKUP(TableFields[Field],Columns[],9,0))</f>
        <v/>
      </c>
      <c r="K42" s="1" t="str">
        <f>"$table-&gt;"&amp;TableFields[Type]&amp;TableFields[Name]&amp;TableFields[Arg2]&amp;TableFields[Method1]&amp;TableFields[Method2]&amp;TableFields[Method3]&amp;TableFields[Method4]&amp;TableFields[Method5]&amp;";"</f>
        <v>$table-&gt;enum('PAYMENTMODEACTION', ['Direct','Ledger'])-&gt;nullable()-&gt;default('Direct');</v>
      </c>
    </row>
    <row r="43" spans="1:11" x14ac:dyDescent="0.25">
      <c r="A43" s="1" t="s">
        <v>1071</v>
      </c>
      <c r="B43" s="1" t="s">
        <v>1167</v>
      </c>
      <c r="C43" s="1" t="str">
        <f>VLOOKUP(TableFields[Field],Columns[],2,0)&amp;"("</f>
        <v>enum(</v>
      </c>
      <c r="D43" s="1" t="str">
        <f>IF(VLOOKUP(TableFields[Field],Columns[],3,0)&lt;&gt;"","'"&amp;VLOOKUP(TableFields[Field],Columns[],3,0)&amp;"'","")</f>
        <v>'BILLPOSTING'</v>
      </c>
      <c r="E4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3" s="1" t="str">
        <f>IF(VLOOKUP(TableFields[Field],Columns[],5,0)=0,"","-&gt;"&amp;VLOOKUP(TableFields[Field],Columns[],5,0))</f>
        <v>-&gt;nullable()</v>
      </c>
      <c r="G43" s="1" t="str">
        <f>IF(VLOOKUP(TableFields[Field],Columns[],6,0)=0,"","-&gt;"&amp;VLOOKUP(TableFields[Field],Columns[],6,0))</f>
        <v>-&gt;default('Manual')</v>
      </c>
      <c r="H43" s="1" t="str">
        <f>IF(VLOOKUP(TableFields[Field],Columns[],7,0)=0,"","-&gt;"&amp;VLOOKUP(TableFields[Field],Columns[],7,0))</f>
        <v/>
      </c>
      <c r="I43" s="1" t="str">
        <f>IF(VLOOKUP(TableFields[Field],Columns[],8,0)=0,"","-&gt;"&amp;VLOOKUP(TableFields[Field],Columns[],8,0))</f>
        <v/>
      </c>
      <c r="J43" s="1" t="str">
        <f>IF(VLOOKUP(TableFields[Field],Columns[],9,0)=0,"","-&gt;"&amp;VLOOKUP(TableFields[Field],Columns[],9,0))</f>
        <v/>
      </c>
      <c r="K43" s="1" t="str">
        <f>"$table-&gt;"&amp;TableFields[Type]&amp;TableFields[Name]&amp;TableFields[Arg2]&amp;TableFields[Method1]&amp;TableFields[Method2]&amp;TableFields[Method3]&amp;TableFields[Method4]&amp;TableFields[Method5]&amp;";"</f>
        <v>$table-&gt;enum('BILLPOSTING', ['Auto','Manual','None'])-&gt;nullable()-&gt;default('Manual');</v>
      </c>
    </row>
    <row r="44" spans="1:11" x14ac:dyDescent="0.25">
      <c r="A44" s="1" t="s">
        <v>1071</v>
      </c>
      <c r="B44" s="1" t="s">
        <v>1171</v>
      </c>
      <c r="C44" s="1" t="str">
        <f>VLOOKUP(TableFields[Field],Columns[],2,0)&amp;"("</f>
        <v>enum(</v>
      </c>
      <c r="D44" s="1" t="str">
        <f>IF(VLOOKUP(TableFields[Field],Columns[],3,0)&lt;&gt;"","'"&amp;VLOOKUP(TableFields[Field],Columns[],3,0)&amp;"'","")</f>
        <v>'AUTOBILLPOSTING'</v>
      </c>
      <c r="E4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['UptoDate','AnyDate'])</v>
      </c>
      <c r="F44" s="1" t="str">
        <f>IF(VLOOKUP(TableFields[Field],Columns[],5,0)=0,"","-&gt;"&amp;VLOOKUP(TableFields[Field],Columns[],5,0))</f>
        <v>-&gt;nullable()</v>
      </c>
      <c r="G44" s="1" t="str">
        <f>IF(VLOOKUP(TableFields[Field],Columns[],6,0)=0,"","-&gt;"&amp;VLOOKUP(TableFields[Field],Columns[],6,0))</f>
        <v>-&gt;default('UptoDate')</v>
      </c>
      <c r="H44" s="1" t="str">
        <f>IF(VLOOKUP(TableFields[Field],Columns[],7,0)=0,"","-&gt;"&amp;VLOOKUP(TableFields[Field],Columns[],7,0))</f>
        <v/>
      </c>
      <c r="I44" s="1" t="str">
        <f>IF(VLOOKUP(TableFields[Field],Columns[],8,0)=0,"","-&gt;"&amp;VLOOKUP(TableFields[Field],Columns[],8,0))</f>
        <v/>
      </c>
      <c r="J44" s="1" t="str">
        <f>IF(VLOOKUP(TableFields[Field],Columns[],9,0)=0,"","-&gt;"&amp;VLOOKUP(TableFields[Field],Columns[],9,0))</f>
        <v/>
      </c>
      <c r="K44" s="1" t="str">
        <f>"$table-&gt;"&amp;TableFields[Type]&amp;TableFields[Name]&amp;TableFields[Arg2]&amp;TableFields[Method1]&amp;TableFields[Method2]&amp;TableFields[Method3]&amp;TableFields[Method4]&amp;TableFields[Method5]&amp;";"</f>
        <v>$table-&gt;enum('AUTOBILLPOSTING', ['UptoDate','AnyDate'])-&gt;nullable()-&gt;default('UptoDate');</v>
      </c>
    </row>
    <row r="45" spans="1:11" x14ac:dyDescent="0.25">
      <c r="A45" s="1" t="s">
        <v>1071</v>
      </c>
      <c r="B45" s="1" t="s">
        <v>1175</v>
      </c>
      <c r="C45" s="1" t="str">
        <f>VLOOKUP(TableFields[Field],Columns[],2,0)&amp;"("</f>
        <v>enum(</v>
      </c>
      <c r="D45" s="1" t="str">
        <f>IF(VLOOKUP(TableFields[Field],Columns[],3,0)&lt;&gt;"","'"&amp;VLOOKUP(TableFields[Field],Columns[],3,0)&amp;"'","")</f>
        <v>'PROFIT'</v>
      </c>
      <c r="E4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['Profit','Margin'])</v>
      </c>
      <c r="F45" s="1" t="str">
        <f>IF(VLOOKUP(TableFields[Field],Columns[],5,0)=0,"","-&gt;"&amp;VLOOKUP(TableFields[Field],Columns[],5,0))</f>
        <v>-&gt;nullable()</v>
      </c>
      <c r="G45" s="1" t="str">
        <f>IF(VLOOKUP(TableFields[Field],Columns[],6,0)=0,"","-&gt;"&amp;VLOOKUP(TableFields[Field],Columns[],6,0))</f>
        <v>-&gt;default('Profit')</v>
      </c>
      <c r="H45" s="1" t="str">
        <f>IF(VLOOKUP(TableFields[Field],Columns[],7,0)=0,"","-&gt;"&amp;VLOOKUP(TableFields[Field],Columns[],7,0))</f>
        <v/>
      </c>
      <c r="I45" s="1" t="str">
        <f>IF(VLOOKUP(TableFields[Field],Columns[],8,0)=0,"","-&gt;"&amp;VLOOKUP(TableFields[Field],Columns[],8,0))</f>
        <v/>
      </c>
      <c r="J45" s="1" t="str">
        <f>IF(VLOOKUP(TableFields[Field],Columns[],9,0)=0,"","-&gt;"&amp;VLOOKUP(TableFields[Field],Columns[],9,0))</f>
        <v/>
      </c>
      <c r="K4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$table-&gt;enum('PROFIT', ['Profit','Margin'])-&gt;nullable()-&gt;default('Profit');</v>
      </c>
    </row>
    <row r="46" spans="1:11" x14ac:dyDescent="0.25">
      <c r="A46" s="1" t="s">
        <v>1071</v>
      </c>
      <c r="B46" s="1" t="s">
        <v>1179</v>
      </c>
      <c r="C46" s="1" t="str">
        <f>VLOOKUP(TableFields[Field],Columns[],2,0)&amp;"("</f>
        <v>enum(</v>
      </c>
      <c r="D46" s="1" t="str">
        <f>IF(VLOOKUP(TableFields[Field],Columns[],3,0)&lt;&gt;"","'"&amp;VLOOKUP(TableFields[Field],Columns[],3,0)&amp;"'","")</f>
        <v>'PROFITCALCULATION'</v>
      </c>
      <c r="E4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['Online','Offline'])</v>
      </c>
      <c r="F46" s="1" t="str">
        <f>IF(VLOOKUP(TableFields[Field],Columns[],5,0)=0,"","-&gt;"&amp;VLOOKUP(TableFields[Field],Columns[],5,0))</f>
        <v>-&gt;nullable()</v>
      </c>
      <c r="G46" s="1" t="str">
        <f>IF(VLOOKUP(TableFields[Field],Columns[],6,0)=0,"","-&gt;"&amp;VLOOKUP(TableFields[Field],Columns[],6,0))</f>
        <v>-&gt;default('Online')</v>
      </c>
      <c r="H46" s="1" t="str">
        <f>IF(VLOOKUP(TableFields[Field],Columns[],7,0)=0,"","-&gt;"&amp;VLOOKUP(TableFields[Field],Columns[],7,0))</f>
        <v/>
      </c>
      <c r="I46" s="1" t="str">
        <f>IF(VLOOKUP(TableFields[Field],Columns[],8,0)=0,"","-&gt;"&amp;VLOOKUP(TableFields[Field],Columns[],8,0))</f>
        <v/>
      </c>
      <c r="J46" s="1" t="str">
        <f>IF(VLOOKUP(TableFields[Field],Columns[],9,0)=0,"","-&gt;"&amp;VLOOKUP(TableFields[Field],Columns[],9,0))</f>
        <v/>
      </c>
      <c r="K46" s="1" t="str">
        <f>"$table-&gt;"&amp;TableFields[Type]&amp;TableFields[Name]&amp;TableFields[Arg2]&amp;TableFields[Method1]&amp;TableFields[Method2]&amp;TableFields[Method3]&amp;TableFields[Method4]&amp;TableFields[Method5]&amp;";"</f>
        <v>$table-&gt;enum('PROFITCALCULATION', ['Online','Offline'])-&gt;nullable()-&gt;default('Online');</v>
      </c>
    </row>
    <row r="47" spans="1:11" x14ac:dyDescent="0.25">
      <c r="A47" s="1" t="s">
        <v>1071</v>
      </c>
      <c r="B47" s="1" t="s">
        <v>1252</v>
      </c>
      <c r="C47" s="1" t="str">
        <f>VLOOKUP(TableFields[Field],Columns[],2,0)&amp;"("</f>
        <v>datetime(</v>
      </c>
      <c r="D47" s="1" t="str">
        <f>IF(VLOOKUP(TableFields[Field],Columns[],3,0)&lt;&gt;"","'"&amp;VLOOKUP(TableFields[Field],Columns[],3,0)&amp;"'","")</f>
        <v>'CLOSEDUPTO'</v>
      </c>
      <c r="E4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7" s="1" t="str">
        <f>IF(VLOOKUP(TableFields[Field],Columns[],5,0)=0,"","-&gt;"&amp;VLOOKUP(TableFields[Field],Columns[],5,0))</f>
        <v>-&gt;nullable()</v>
      </c>
      <c r="G47" s="1" t="str">
        <f>IF(VLOOKUP(TableFields[Field],Columns[],6,0)=0,"","-&gt;"&amp;VLOOKUP(TableFields[Field],Columns[],6,0))</f>
        <v/>
      </c>
      <c r="H47" s="1" t="str">
        <f>IF(VLOOKUP(TableFields[Field],Columns[],7,0)=0,"","-&gt;"&amp;VLOOKUP(TableFields[Field],Columns[],7,0))</f>
        <v/>
      </c>
      <c r="I47" s="1" t="str">
        <f>IF(VLOOKUP(TableFields[Field],Columns[],8,0)=0,"","-&gt;"&amp;VLOOKUP(TableFields[Field],Columns[],8,0))</f>
        <v/>
      </c>
      <c r="J47" s="1" t="str">
        <f>IF(VLOOKUP(TableFields[Field],Columns[],9,0)=0,"","-&gt;"&amp;VLOOKUP(TableFields[Field],Columns[],9,0))</f>
        <v/>
      </c>
      <c r="K47" s="1" t="str">
        <f>"$table-&gt;"&amp;TableFields[Type]&amp;TableFields[Name]&amp;TableFields[Arg2]&amp;TableFields[Method1]&amp;TableFields[Method2]&amp;TableFields[Method3]&amp;TableFields[Method4]&amp;TableFields[Method5]&amp;";"</f>
        <v>$table-&gt;datetime('CLOSEDUPTO')-&gt;nullable();</v>
      </c>
    </row>
    <row r="48" spans="1:11" x14ac:dyDescent="0.25">
      <c r="A48" s="1" t="s">
        <v>1071</v>
      </c>
      <c r="B48" s="1" t="s">
        <v>1183</v>
      </c>
      <c r="C48" s="1" t="str">
        <f>VLOOKUP(TableFields[Field],Columns[],2,0)&amp;"("</f>
        <v>enum(</v>
      </c>
      <c r="D48" s="1" t="str">
        <f>IF(VLOOKUP(TableFields[Field],Columns[],3,0)&lt;&gt;"","'"&amp;VLOOKUP(TableFields[Field],Columns[],3,0)&amp;"'","")</f>
        <v>'COSTING'</v>
      </c>
      <c r="E4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['FIFO','WeightedAverage','LIFO','Manual'])</v>
      </c>
      <c r="F48" s="1" t="str">
        <f>IF(VLOOKUP(TableFields[Field],Columns[],5,0)=0,"","-&gt;"&amp;VLOOKUP(TableFields[Field],Columns[],5,0))</f>
        <v>-&gt;nullable()</v>
      </c>
      <c r="G48" s="1" t="str">
        <f>IF(VLOOKUP(TableFields[Field],Columns[],6,0)=0,"","-&gt;"&amp;VLOOKUP(TableFields[Field],Columns[],6,0))</f>
        <v>-&gt;default('FIFO')</v>
      </c>
      <c r="H48" s="1" t="str">
        <f>IF(VLOOKUP(TableFields[Field],Columns[],7,0)=0,"","-&gt;"&amp;VLOOKUP(TableFields[Field],Columns[],7,0))</f>
        <v/>
      </c>
      <c r="I48" s="1" t="str">
        <f>IF(VLOOKUP(TableFields[Field],Columns[],8,0)=0,"","-&gt;"&amp;VLOOKUP(TableFields[Field],Columns[],8,0))</f>
        <v/>
      </c>
      <c r="J48" s="1" t="str">
        <f>IF(VLOOKUP(TableFields[Field],Columns[],9,0)=0,"","-&gt;"&amp;VLOOKUP(TableFields[Field],Columns[],9,0))</f>
        <v/>
      </c>
      <c r="K48" s="1" t="str">
        <f>"$table-&gt;"&amp;TableFields[Type]&amp;TableFields[Name]&amp;TableFields[Arg2]&amp;TableFields[Method1]&amp;TableFields[Method2]&amp;TableFields[Method3]&amp;TableFields[Method4]&amp;TableFields[Method5]&amp;";"</f>
        <v>$table-&gt;enum('COSTING', ['FIFO','WeightedAverage','LIFO','Manual'])-&gt;nullable()-&gt;default('FIFO');</v>
      </c>
    </row>
    <row r="49" spans="1:11" x14ac:dyDescent="0.25">
      <c r="A49" s="1" t="s">
        <v>1071</v>
      </c>
      <c r="B49" s="1" t="s">
        <v>1187</v>
      </c>
      <c r="C49" s="1" t="str">
        <f>VLOOKUP(TableFields[Field],Columns[],2,0)&amp;"("</f>
        <v>enum(</v>
      </c>
      <c r="D49" s="1" t="str">
        <f>IF(VLOOKUP(TableFields[Field],Columns[],3,0)&lt;&gt;"","'"&amp;VLOOKUP(TableFields[Field],Columns[],3,0)&amp;"'","")</f>
        <v>'BATCHNO'</v>
      </c>
      <c r="E4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9" s="1" t="str">
        <f>IF(VLOOKUP(TableFields[Field],Columns[],5,0)=0,"","-&gt;"&amp;VLOOKUP(TableFields[Field],Columns[],5,0))</f>
        <v>-&gt;nullable()</v>
      </c>
      <c r="G49" s="1" t="str">
        <f>IF(VLOOKUP(TableFields[Field],Columns[],6,0)=0,"","-&gt;"&amp;VLOOKUP(TableFields[Field],Columns[],6,0))</f>
        <v>-&gt;default('None')</v>
      </c>
      <c r="H49" s="1" t="str">
        <f>IF(VLOOKUP(TableFields[Field],Columns[],7,0)=0,"","-&gt;"&amp;VLOOKUP(TableFields[Field],Columns[],7,0))</f>
        <v/>
      </c>
      <c r="I49" s="1" t="str">
        <f>IF(VLOOKUP(TableFields[Field],Columns[],8,0)=0,"","-&gt;"&amp;VLOOKUP(TableFields[Field],Columns[],8,0))</f>
        <v/>
      </c>
      <c r="J49" s="1" t="str">
        <f>IF(VLOOKUP(TableFields[Field],Columns[],9,0)=0,"","-&gt;"&amp;VLOOKUP(TableFields[Field],Columns[],9,0))</f>
        <v/>
      </c>
      <c r="K49" s="1" t="str">
        <f>"$table-&gt;"&amp;TableFields[Type]&amp;TableFields[Name]&amp;TableFields[Arg2]&amp;TableFields[Method1]&amp;TableFields[Method2]&amp;TableFields[Method3]&amp;TableFields[Method4]&amp;TableFields[Method5]&amp;";"</f>
        <v>$table-&gt;enum('BATCHNO', ['Auto','Manual','None'])-&gt;nullable()-&gt;default('None');</v>
      </c>
    </row>
    <row r="50" spans="1:11" x14ac:dyDescent="0.25">
      <c r="A50" s="1" t="s">
        <v>1071</v>
      </c>
      <c r="B50" s="1" t="s">
        <v>1189</v>
      </c>
      <c r="C50" s="1" t="str">
        <f>VLOOKUP(TableFields[Field],Columns[],2,0)&amp;"("</f>
        <v>enum(</v>
      </c>
      <c r="D50" s="1" t="str">
        <f>IF(VLOOKUP(TableFields[Field],Columns[],3,0)&lt;&gt;"","'"&amp;VLOOKUP(TableFields[Field],Columns[],3,0)&amp;"'","")</f>
        <v>'MFGDATE'</v>
      </c>
      <c r="E5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0" s="1" t="str">
        <f>IF(VLOOKUP(TableFields[Field],Columns[],5,0)=0,"","-&gt;"&amp;VLOOKUP(TableFields[Field],Columns[],5,0))</f>
        <v>-&gt;nullable()</v>
      </c>
      <c r="G50" s="1" t="str">
        <f>IF(VLOOKUP(TableFields[Field],Columns[],6,0)=0,"","-&gt;"&amp;VLOOKUP(TableFields[Field],Columns[],6,0))</f>
        <v>-&gt;default('None')</v>
      </c>
      <c r="H50" s="1" t="str">
        <f>IF(VLOOKUP(TableFields[Field],Columns[],7,0)=0,"","-&gt;"&amp;VLOOKUP(TableFields[Field],Columns[],7,0))</f>
        <v/>
      </c>
      <c r="I50" s="1" t="str">
        <f>IF(VLOOKUP(TableFields[Field],Columns[],8,0)=0,"","-&gt;"&amp;VLOOKUP(TableFields[Field],Columns[],8,0))</f>
        <v/>
      </c>
      <c r="J50" s="1" t="str">
        <f>IF(VLOOKUP(TableFields[Field],Columns[],9,0)=0,"","-&gt;"&amp;VLOOKUP(TableFields[Field],Columns[],9,0))</f>
        <v/>
      </c>
      <c r="K50" s="1" t="str">
        <f>"$table-&gt;"&amp;TableFields[Type]&amp;TableFields[Name]&amp;TableFields[Arg2]&amp;TableFields[Method1]&amp;TableFields[Method2]&amp;TableFields[Method3]&amp;TableFields[Method4]&amp;TableFields[Method5]&amp;";"</f>
        <v>$table-&gt;enum('MFGDATE', ['Auto','Manual','None'])-&gt;nullable()-&gt;default('None');</v>
      </c>
    </row>
    <row r="51" spans="1:11" x14ac:dyDescent="0.25">
      <c r="A51" s="1" t="s">
        <v>1071</v>
      </c>
      <c r="B51" s="1" t="s">
        <v>1191</v>
      </c>
      <c r="C51" s="1" t="str">
        <f>VLOOKUP(TableFields[Field],Columns[],2,0)&amp;"("</f>
        <v>enum(</v>
      </c>
      <c r="D51" s="1" t="str">
        <f>IF(VLOOKUP(TableFields[Field],Columns[],3,0)&lt;&gt;"","'"&amp;VLOOKUP(TableFields[Field],Columns[],3,0)&amp;"'","")</f>
        <v>'EXPDATE'</v>
      </c>
      <c r="E5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1" s="1" t="str">
        <f>IF(VLOOKUP(TableFields[Field],Columns[],5,0)=0,"","-&gt;"&amp;VLOOKUP(TableFields[Field],Columns[],5,0))</f>
        <v>-&gt;nullable()</v>
      </c>
      <c r="G51" s="1" t="str">
        <f>IF(VLOOKUP(TableFields[Field],Columns[],6,0)=0,"","-&gt;"&amp;VLOOKUP(TableFields[Field],Columns[],6,0))</f>
        <v>-&gt;default('None')</v>
      </c>
      <c r="H51" s="1" t="str">
        <f>IF(VLOOKUP(TableFields[Field],Columns[],7,0)=0,"","-&gt;"&amp;VLOOKUP(TableFields[Field],Columns[],7,0))</f>
        <v/>
      </c>
      <c r="I51" s="1" t="str">
        <f>IF(VLOOKUP(TableFields[Field],Columns[],8,0)=0,"","-&gt;"&amp;VLOOKUP(TableFields[Field],Columns[],8,0))</f>
        <v/>
      </c>
      <c r="J51" s="1" t="str">
        <f>IF(VLOOKUP(TableFields[Field],Columns[],9,0)=0,"","-&gt;"&amp;VLOOKUP(TableFields[Field],Columns[],9,0))</f>
        <v/>
      </c>
      <c r="K51" s="1" t="str">
        <f>"$table-&gt;"&amp;TableFields[Type]&amp;TableFields[Name]&amp;TableFields[Arg2]&amp;TableFields[Method1]&amp;TableFields[Method2]&amp;TableFields[Method3]&amp;TableFields[Method4]&amp;TableFields[Method5]&amp;";"</f>
        <v>$table-&gt;enum('EXPDATE', ['Auto','Manual','None'])-&gt;nullable()-&gt;default('None');</v>
      </c>
    </row>
    <row r="52" spans="1:11" x14ac:dyDescent="0.25">
      <c r="A52" s="1" t="s">
        <v>1071</v>
      </c>
      <c r="B52" s="1" t="s">
        <v>1193</v>
      </c>
      <c r="C52" s="1" t="str">
        <f>VLOOKUP(TableFields[Field],Columns[],2,0)&amp;"("</f>
        <v>string(</v>
      </c>
      <c r="D52" s="1" t="str">
        <f>IF(VLOOKUP(TableFields[Field],Columns[],3,0)&lt;&gt;"","'"&amp;VLOOKUP(TableFields[Field],Columns[],3,0)&amp;"'","")</f>
        <v>'MFGDATE_FORMAT'</v>
      </c>
      <c r="E5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2" s="1" t="str">
        <f>IF(VLOOKUP(TableFields[Field],Columns[],5,0)=0,"","-&gt;"&amp;VLOOKUP(TableFields[Field],Columns[],5,0))</f>
        <v>-&gt;nullable()</v>
      </c>
      <c r="G52" s="1" t="str">
        <f>IF(VLOOKUP(TableFields[Field],Columns[],6,0)=0,"","-&gt;"&amp;VLOOKUP(TableFields[Field],Columns[],6,0))</f>
        <v>-&gt;default('MMM-yyyy')</v>
      </c>
      <c r="H52" s="1" t="str">
        <f>IF(VLOOKUP(TableFields[Field],Columns[],7,0)=0,"","-&gt;"&amp;VLOOKUP(TableFields[Field],Columns[],7,0))</f>
        <v/>
      </c>
      <c r="I52" s="1" t="str">
        <f>IF(VLOOKUP(TableFields[Field],Columns[],8,0)=0,"","-&gt;"&amp;VLOOKUP(TableFields[Field],Columns[],8,0))</f>
        <v/>
      </c>
      <c r="J52" s="1" t="str">
        <f>IF(VLOOKUP(TableFields[Field],Columns[],9,0)=0,"","-&gt;"&amp;VLOOKUP(TableFields[Field],Columns[],9,0))</f>
        <v/>
      </c>
      <c r="K52" s="1" t="str">
        <f>"$table-&gt;"&amp;TableFields[Type]&amp;TableFields[Name]&amp;TableFields[Arg2]&amp;TableFields[Method1]&amp;TableFields[Method2]&amp;TableFields[Method3]&amp;TableFields[Method4]&amp;TableFields[Method5]&amp;";"</f>
        <v>$table-&gt;string('MFGDATE_FORMAT', '30')-&gt;nullable()-&gt;default('MMM-yyyy');</v>
      </c>
    </row>
    <row r="53" spans="1:11" x14ac:dyDescent="0.25">
      <c r="A53" s="1" t="s">
        <v>1071</v>
      </c>
      <c r="B53" s="1" t="s">
        <v>1196</v>
      </c>
      <c r="C53" s="1" t="str">
        <f>VLOOKUP(TableFields[Field],Columns[],2,0)&amp;"("</f>
        <v>string(</v>
      </c>
      <c r="D53" s="1" t="str">
        <f>IF(VLOOKUP(TableFields[Field],Columns[],3,0)&lt;&gt;"","'"&amp;VLOOKUP(TableFields[Field],Columns[],3,0)&amp;"'","")</f>
        <v>'EXPDATE_FORMAT'</v>
      </c>
      <c r="E5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3" s="1" t="str">
        <f>IF(VLOOKUP(TableFields[Field],Columns[],5,0)=0,"","-&gt;"&amp;VLOOKUP(TableFields[Field],Columns[],5,0))</f>
        <v>-&gt;nullable()</v>
      </c>
      <c r="G53" s="1" t="str">
        <f>IF(VLOOKUP(TableFields[Field],Columns[],6,0)=0,"","-&gt;"&amp;VLOOKUP(TableFields[Field],Columns[],6,0))</f>
        <v>-&gt;default('MMM-yyyy')</v>
      </c>
      <c r="H53" s="1" t="str">
        <f>IF(VLOOKUP(TableFields[Field],Columns[],7,0)=0,"","-&gt;"&amp;VLOOKUP(TableFields[Field],Columns[],7,0))</f>
        <v/>
      </c>
      <c r="I53" s="1" t="str">
        <f>IF(VLOOKUP(TableFields[Field],Columns[],8,0)=0,"","-&gt;"&amp;VLOOKUP(TableFields[Field],Columns[],8,0))</f>
        <v/>
      </c>
      <c r="J53" s="1" t="str">
        <f>IF(VLOOKUP(TableFields[Field],Columns[],9,0)=0,"","-&gt;"&amp;VLOOKUP(TableFields[Field],Columns[],9,0))</f>
        <v/>
      </c>
      <c r="K53" s="1" t="str">
        <f>"$table-&gt;"&amp;TableFields[Type]&amp;TableFields[Name]&amp;TableFields[Arg2]&amp;TableFields[Method1]&amp;TableFields[Method2]&amp;TableFields[Method3]&amp;TableFields[Method4]&amp;TableFields[Method5]&amp;";"</f>
        <v>$table-&gt;string('EXPDATE_FORMAT', '30')-&gt;nullable()-&gt;default('MMM-yyyy');</v>
      </c>
    </row>
    <row r="54" spans="1:11" x14ac:dyDescent="0.25">
      <c r="A54" s="1" t="s">
        <v>1071</v>
      </c>
      <c r="B54" s="1" t="s">
        <v>1198</v>
      </c>
      <c r="C54" s="1" t="str">
        <f>VLOOKUP(TableFields[Field],Columns[],2,0)&amp;"("</f>
        <v>mediumInteger(</v>
      </c>
      <c r="D54" s="1" t="str">
        <f>IF(VLOOKUP(TableFields[Field],Columns[],3,0)&lt;&gt;"","'"&amp;VLOOKUP(TableFields[Field],Columns[],3,0)&amp;"'","")</f>
        <v>'LIFETIME'</v>
      </c>
      <c r="E5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4" s="1" t="str">
        <f>IF(VLOOKUP(TableFields[Field],Columns[],5,0)=0,"","-&gt;"&amp;VLOOKUP(TableFields[Field],Columns[],5,0))</f>
        <v>-&gt;default('2')</v>
      </c>
      <c r="G54" s="1" t="str">
        <f>IF(VLOOKUP(TableFields[Field],Columns[],6,0)=0,"","-&gt;"&amp;VLOOKUP(TableFields[Field],Columns[],6,0))</f>
        <v/>
      </c>
      <c r="H54" s="1" t="str">
        <f>IF(VLOOKUP(TableFields[Field],Columns[],7,0)=0,"","-&gt;"&amp;VLOOKUP(TableFields[Field],Columns[],7,0))</f>
        <v/>
      </c>
      <c r="I54" s="1" t="str">
        <f>IF(VLOOKUP(TableFields[Field],Columns[],8,0)=0,"","-&gt;"&amp;VLOOKUP(TableFields[Field],Columns[],8,0))</f>
        <v/>
      </c>
      <c r="J54" s="1" t="str">
        <f>IF(VLOOKUP(TableFields[Field],Columns[],9,0)=0,"","-&gt;"&amp;VLOOKUP(TableFields[Field],Columns[],9,0))</f>
        <v/>
      </c>
      <c r="K54" s="1" t="str">
        <f>"$table-&gt;"&amp;TableFields[Type]&amp;TableFields[Name]&amp;TableFields[Arg2]&amp;TableFields[Method1]&amp;TableFields[Method2]&amp;TableFields[Method3]&amp;TableFields[Method4]&amp;TableFields[Method5]&amp;";"</f>
        <v>$table-&gt;mediumInteger('LIFETIME')-&gt;default('2');</v>
      </c>
    </row>
    <row r="55" spans="1:11" x14ac:dyDescent="0.25">
      <c r="A55" s="1" t="s">
        <v>1071</v>
      </c>
      <c r="B55" s="1" t="s">
        <v>1200</v>
      </c>
      <c r="C55" s="1" t="str">
        <f>VLOOKUP(TableFields[Field],Columns[],2,0)&amp;"("</f>
        <v>enum(</v>
      </c>
      <c r="D55" s="1" t="str">
        <f>IF(VLOOKUP(TableFields[Field],Columns[],3,0)&lt;&gt;"","'"&amp;VLOOKUP(TableFields[Field],Columns[],3,0)&amp;"'","")</f>
        <v>'LIFETIMEINTERVAL'</v>
      </c>
      <c r="E5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['Day','Week','Month','Year'])</v>
      </c>
      <c r="F55" s="1" t="str">
        <f>IF(VLOOKUP(TableFields[Field],Columns[],5,0)=0,"","-&gt;"&amp;VLOOKUP(TableFields[Field],Columns[],5,0))</f>
        <v>-&gt;nullable()</v>
      </c>
      <c r="G55" s="1" t="str">
        <f>IF(VLOOKUP(TableFields[Field],Columns[],6,0)=0,"","-&gt;"&amp;VLOOKUP(TableFields[Field],Columns[],6,0))</f>
        <v>-&gt;default('Year')</v>
      </c>
      <c r="H55" s="1" t="str">
        <f>IF(VLOOKUP(TableFields[Field],Columns[],7,0)=0,"","-&gt;"&amp;VLOOKUP(TableFields[Field],Columns[],7,0))</f>
        <v/>
      </c>
      <c r="I55" s="1" t="str">
        <f>IF(VLOOKUP(TableFields[Field],Columns[],8,0)=0,"","-&gt;"&amp;VLOOKUP(TableFields[Field],Columns[],8,0))</f>
        <v/>
      </c>
      <c r="J55" s="1" t="str">
        <f>IF(VLOOKUP(TableFields[Field],Columns[],9,0)=0,"","-&gt;"&amp;VLOOKUP(TableFields[Field],Columns[],9,0))</f>
        <v/>
      </c>
      <c r="K55" s="1" t="str">
        <f>"$table-&gt;"&amp;TableFields[Type]&amp;TableFields[Name]&amp;TableFields[Arg2]&amp;TableFields[Method1]&amp;TableFields[Method2]&amp;TableFields[Method3]&amp;TableFields[Method4]&amp;TableFields[Method5]&amp;";"</f>
        <v>$table-&gt;enum('LIFETIMEINTERVAL', ['Day','Week','Month','Year'])-&gt;nullable()-&gt;default('Year');</v>
      </c>
    </row>
    <row r="56" spans="1:11" x14ac:dyDescent="0.25">
      <c r="A56" s="1" t="s">
        <v>1071</v>
      </c>
      <c r="B56" s="1" t="s">
        <v>1204</v>
      </c>
      <c r="C56" s="1" t="str">
        <f>VLOOKUP(TableFields[Field],Columns[],2,0)&amp;"("</f>
        <v>enum(</v>
      </c>
      <c r="D56" s="1" t="str">
        <f>IF(VLOOKUP(TableFields[Field],Columns[],3,0)&lt;&gt;"","'"&amp;VLOOKUP(TableFields[Field],Columns[],3,0)&amp;"'","")</f>
        <v>'PARTCODE'</v>
      </c>
      <c r="E5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6" s="1" t="str">
        <f>IF(VLOOKUP(TableFields[Field],Columns[],5,0)=0,"","-&gt;"&amp;VLOOKUP(TableFields[Field],Columns[],5,0))</f>
        <v>-&gt;nullable()</v>
      </c>
      <c r="G56" s="1" t="str">
        <f>IF(VLOOKUP(TableFields[Field],Columns[],6,0)=0,"","-&gt;"&amp;VLOOKUP(TableFields[Field],Columns[],6,0))</f>
        <v>-&gt;default('No')</v>
      </c>
      <c r="H56" s="1" t="str">
        <f>IF(VLOOKUP(TableFields[Field],Columns[],7,0)=0,"","-&gt;"&amp;VLOOKUP(TableFields[Field],Columns[],7,0))</f>
        <v/>
      </c>
      <c r="I56" s="1" t="str">
        <f>IF(VLOOKUP(TableFields[Field],Columns[],8,0)=0,"","-&gt;"&amp;VLOOKUP(TableFields[Field],Columns[],8,0))</f>
        <v/>
      </c>
      <c r="J56" s="1" t="str">
        <f>IF(VLOOKUP(TableFields[Field],Columns[],9,0)=0,"","-&gt;"&amp;VLOOKUP(TableFields[Field],Columns[],9,0))</f>
        <v/>
      </c>
      <c r="K56" s="1" t="str">
        <f>"$table-&gt;"&amp;TableFields[Type]&amp;TableFields[Name]&amp;TableFields[Arg2]&amp;TableFields[Method1]&amp;TableFields[Method2]&amp;TableFields[Method3]&amp;TableFields[Method4]&amp;TableFields[Method5]&amp;";"</f>
        <v>$table-&gt;enum('PARTCODE', ['Yes','No'])-&gt;nullable()-&gt;default('No');</v>
      </c>
    </row>
    <row r="57" spans="1:11" x14ac:dyDescent="0.25">
      <c r="A57" s="1" t="s">
        <v>1071</v>
      </c>
      <c r="B57" s="1" t="s">
        <v>1206</v>
      </c>
      <c r="C57" s="1" t="str">
        <f>VLOOKUP(TableFields[Field],Columns[],2,0)&amp;"("</f>
        <v>string(</v>
      </c>
      <c r="D57" s="1" t="str">
        <f>IF(VLOOKUP(TableFields[Field],Columns[],3,0)&lt;&gt;"","'"&amp;VLOOKUP(TableFields[Field],Columns[],3,0)&amp;"'","")</f>
        <v>'PARTCODETEXT'</v>
      </c>
      <c r="E5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7" s="1" t="str">
        <f>IF(VLOOKUP(TableFields[Field],Columns[],5,0)=0,"","-&gt;"&amp;VLOOKUP(TableFields[Field],Columns[],5,0))</f>
        <v>-&gt;default('PARTCODE')</v>
      </c>
      <c r="G57" s="1" t="str">
        <f>IF(VLOOKUP(TableFields[Field],Columns[],6,0)=0,"","-&gt;"&amp;VLOOKUP(TableFields[Field],Columns[],6,0))</f>
        <v/>
      </c>
      <c r="H57" s="1" t="str">
        <f>IF(VLOOKUP(TableFields[Field],Columns[],7,0)=0,"","-&gt;"&amp;VLOOKUP(TableFields[Field],Columns[],7,0))</f>
        <v/>
      </c>
      <c r="I57" s="1" t="str">
        <f>IF(VLOOKUP(TableFields[Field],Columns[],8,0)=0,"","-&gt;"&amp;VLOOKUP(TableFields[Field],Columns[],8,0))</f>
        <v/>
      </c>
      <c r="J57" s="1" t="str">
        <f>IF(VLOOKUP(TableFields[Field],Columns[],9,0)=0,"","-&gt;"&amp;VLOOKUP(TableFields[Field],Columns[],9,0))</f>
        <v/>
      </c>
      <c r="K57" s="1" t="str">
        <f>"$table-&gt;"&amp;TableFields[Type]&amp;TableFields[Name]&amp;TableFields[Arg2]&amp;TableFields[Method1]&amp;TableFields[Method2]&amp;TableFields[Method3]&amp;TableFields[Method4]&amp;TableFields[Method5]&amp;";"</f>
        <v>$table-&gt;string('PARTCODETEXT', '30')-&gt;default('PARTCODE');</v>
      </c>
    </row>
    <row r="58" spans="1:11" x14ac:dyDescent="0.25">
      <c r="A58" s="1" t="s">
        <v>1071</v>
      </c>
      <c r="B58" s="1" t="s">
        <v>1209</v>
      </c>
      <c r="C58" s="1" t="str">
        <f>VLOOKUP(TableFields[Field],Columns[],2,0)&amp;"("</f>
        <v>enum(</v>
      </c>
      <c r="D58" s="1" t="str">
        <f>IF(VLOOKUP(TableFields[Field],Columns[],3,0)&lt;&gt;"","'"&amp;VLOOKUP(TableFields[Field],Columns[],3,0)&amp;"'","")</f>
        <v>'AREA'</v>
      </c>
      <c r="E5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8" s="1" t="str">
        <f>IF(VLOOKUP(TableFields[Field],Columns[],5,0)=0,"","-&gt;"&amp;VLOOKUP(TableFields[Field],Columns[],5,0))</f>
        <v>-&gt;nullable()</v>
      </c>
      <c r="G58" s="1" t="str">
        <f>IF(VLOOKUP(TableFields[Field],Columns[],6,0)=0,"","-&gt;"&amp;VLOOKUP(TableFields[Field],Columns[],6,0))</f>
        <v>-&gt;default('No')</v>
      </c>
      <c r="H58" s="1" t="str">
        <f>IF(VLOOKUP(TableFields[Field],Columns[],7,0)=0,"","-&gt;"&amp;VLOOKUP(TableFields[Field],Columns[],7,0))</f>
        <v/>
      </c>
      <c r="I58" s="1" t="str">
        <f>IF(VLOOKUP(TableFields[Field],Columns[],8,0)=0,"","-&gt;"&amp;VLOOKUP(TableFields[Field],Columns[],8,0))</f>
        <v/>
      </c>
      <c r="J58" s="1" t="str">
        <f>IF(VLOOKUP(TableFields[Field],Columns[],9,0)=0,"","-&gt;"&amp;VLOOKUP(TableFields[Field],Columns[],9,0))</f>
        <v/>
      </c>
      <c r="K58" s="1" t="str">
        <f>"$table-&gt;"&amp;TableFields[Type]&amp;TableFields[Name]&amp;TableFields[Arg2]&amp;TableFields[Method1]&amp;TableFields[Method2]&amp;TableFields[Method3]&amp;TableFields[Method4]&amp;TableFields[Method5]&amp;";"</f>
        <v>$table-&gt;enum('AREA', ['Yes','No'])-&gt;nullable()-&gt;default('No');</v>
      </c>
    </row>
    <row r="59" spans="1:11" x14ac:dyDescent="0.25">
      <c r="A59" s="1" t="s">
        <v>1071</v>
      </c>
      <c r="B59" s="1" t="s">
        <v>1211</v>
      </c>
      <c r="C59" s="1" t="str">
        <f>VLOOKUP(TableFields[Field],Columns[],2,0)&amp;"("</f>
        <v>string(</v>
      </c>
      <c r="D59" s="1" t="str">
        <f>IF(VLOOKUP(TableFields[Field],Columns[],3,0)&lt;&gt;"","'"&amp;VLOOKUP(TableFields[Field],Columns[],3,0)&amp;"'","")</f>
        <v>'AREATEXT'</v>
      </c>
      <c r="E5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9" s="1" t="str">
        <f>IF(VLOOKUP(TableFields[Field],Columns[],5,0)=0,"","-&gt;"&amp;VLOOKUP(TableFields[Field],Columns[],5,0))</f>
        <v>-&gt;default('Area')</v>
      </c>
      <c r="G59" s="1" t="str">
        <f>IF(VLOOKUP(TableFields[Field],Columns[],6,0)=0,"","-&gt;"&amp;VLOOKUP(TableFields[Field],Columns[],6,0))</f>
        <v/>
      </c>
      <c r="H59" s="1" t="str">
        <f>IF(VLOOKUP(TableFields[Field],Columns[],7,0)=0,"","-&gt;"&amp;VLOOKUP(TableFields[Field],Columns[],7,0))</f>
        <v/>
      </c>
      <c r="I59" s="1" t="str">
        <f>IF(VLOOKUP(TableFields[Field],Columns[],8,0)=0,"","-&gt;"&amp;VLOOKUP(TableFields[Field],Columns[],8,0))</f>
        <v/>
      </c>
      <c r="J59" s="1" t="str">
        <f>IF(VLOOKUP(TableFields[Field],Columns[],9,0)=0,"","-&gt;"&amp;VLOOKUP(TableFields[Field],Columns[],9,0))</f>
        <v/>
      </c>
      <c r="K59" s="1" t="str">
        <f>"$table-&gt;"&amp;TableFields[Type]&amp;TableFields[Name]&amp;TableFields[Arg2]&amp;TableFields[Method1]&amp;TableFields[Method2]&amp;TableFields[Method3]&amp;TableFields[Method4]&amp;TableFields[Method5]&amp;";"</f>
        <v>$table-&gt;string('AREATEXT', '30')-&gt;default('Area');</v>
      </c>
    </row>
    <row r="60" spans="1:11" x14ac:dyDescent="0.25">
      <c r="A60" s="1" t="s">
        <v>1071</v>
      </c>
      <c r="B60" s="1" t="s">
        <v>1214</v>
      </c>
      <c r="C60" s="1" t="str">
        <f>VLOOKUP(TableFields[Field],Columns[],2,0)&amp;"("</f>
        <v>enum(</v>
      </c>
      <c r="D60" s="1" t="str">
        <f>IF(VLOOKUP(TableFields[Field],Columns[],3,0)&lt;&gt;"","'"&amp;VLOOKUP(TableFields[Field],Columns[],3,0)&amp;"'","")</f>
        <v>'STORAGEBIN'</v>
      </c>
      <c r="E6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0" s="1" t="str">
        <f>IF(VLOOKUP(TableFields[Field],Columns[],5,0)=0,"","-&gt;"&amp;VLOOKUP(TableFields[Field],Columns[],5,0))</f>
        <v>-&gt;nullable()</v>
      </c>
      <c r="G60" s="1" t="str">
        <f>IF(VLOOKUP(TableFields[Field],Columns[],6,0)=0,"","-&gt;"&amp;VLOOKUP(TableFields[Field],Columns[],6,0))</f>
        <v>-&gt;default('No')</v>
      </c>
      <c r="H60" s="1" t="str">
        <f>IF(VLOOKUP(TableFields[Field],Columns[],7,0)=0,"","-&gt;"&amp;VLOOKUP(TableFields[Field],Columns[],7,0))</f>
        <v/>
      </c>
      <c r="I60" s="1" t="str">
        <f>IF(VLOOKUP(TableFields[Field],Columns[],8,0)=0,"","-&gt;"&amp;VLOOKUP(TableFields[Field],Columns[],8,0))</f>
        <v/>
      </c>
      <c r="J60" s="1" t="str">
        <f>IF(VLOOKUP(TableFields[Field],Columns[],9,0)=0,"","-&gt;"&amp;VLOOKUP(TableFields[Field],Columns[],9,0))</f>
        <v/>
      </c>
      <c r="K60" s="1" t="str">
        <f>"$table-&gt;"&amp;TableFields[Type]&amp;TableFields[Name]&amp;TableFields[Arg2]&amp;TableFields[Method1]&amp;TableFields[Method2]&amp;TableFields[Method3]&amp;TableFields[Method4]&amp;TableFields[Method5]&amp;";"</f>
        <v>$table-&gt;enum('STORAGEBIN', ['Yes','No'])-&gt;nullable()-&gt;default('No');</v>
      </c>
    </row>
    <row r="61" spans="1:11" s="20" customFormat="1" x14ac:dyDescent="0.25">
      <c r="A61" s="1" t="s">
        <v>1071</v>
      </c>
      <c r="B61" s="1" t="s">
        <v>1216</v>
      </c>
      <c r="C61" s="1" t="str">
        <f>VLOOKUP(TableFields[Field],Columns[],2,0)&amp;"("</f>
        <v>string(</v>
      </c>
      <c r="D61" s="1" t="str">
        <f>IF(VLOOKUP(TableFields[Field],Columns[],3,0)&lt;&gt;"","'"&amp;VLOOKUP(TableFields[Field],Columns[],3,0)&amp;"'","")</f>
        <v>'STORAGEBINTEXT'</v>
      </c>
      <c r="E6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1" s="1" t="str">
        <f>IF(VLOOKUP(TableFields[Field],Columns[],5,0)=0,"","-&gt;"&amp;VLOOKUP(TableFields[Field],Columns[],5,0))</f>
        <v>-&gt;nullable()</v>
      </c>
      <c r="G61" s="1" t="str">
        <f>IF(VLOOKUP(TableFields[Field],Columns[],6,0)=0,"","-&gt;"&amp;VLOOKUP(TableFields[Field],Columns[],6,0))</f>
        <v>-&gt;default('Storage Bin')</v>
      </c>
      <c r="H61" s="1" t="str">
        <f>IF(VLOOKUP(TableFields[Field],Columns[],7,0)=0,"","-&gt;"&amp;VLOOKUP(TableFields[Field],Columns[],7,0))</f>
        <v/>
      </c>
      <c r="I61" s="1" t="str">
        <f>IF(VLOOKUP(TableFields[Field],Columns[],8,0)=0,"","-&gt;"&amp;VLOOKUP(TableFields[Field],Columns[],8,0))</f>
        <v/>
      </c>
      <c r="J61" s="1" t="str">
        <f>IF(VLOOKUP(TableFields[Field],Columns[],9,0)=0,"","-&gt;"&amp;VLOOKUP(TableFields[Field],Columns[],9,0))</f>
        <v/>
      </c>
      <c r="K61" s="1" t="str">
        <f>"$table-&gt;"&amp;TableFields[Type]&amp;TableFields[Name]&amp;TableFields[Arg2]&amp;TableFields[Method1]&amp;TableFields[Method2]&amp;TableFields[Method3]&amp;TableFields[Method4]&amp;TableFields[Method5]&amp;";"</f>
        <v>$table-&gt;string('STORAGEBINTEXT', '30')-&gt;nullable()-&gt;default('Storage Bin');</v>
      </c>
    </row>
    <row r="62" spans="1:11" x14ac:dyDescent="0.25">
      <c r="A62" s="1" t="s">
        <v>1071</v>
      </c>
      <c r="B62" s="1" t="s">
        <v>1218</v>
      </c>
      <c r="C62" s="1" t="str">
        <f>VLOOKUP(TableFields[Field],Columns[],2,0)&amp;"("</f>
        <v>enum(</v>
      </c>
      <c r="D62" s="1" t="str">
        <f>IF(VLOOKUP(TableFields[Field],Columns[],3,0)&lt;&gt;"","'"&amp;VLOOKUP(TableFields[Field],Columns[],3,0)&amp;"'","")</f>
        <v>'WORKFLOW'</v>
      </c>
      <c r="E6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['Enabled','Disabled'])</v>
      </c>
      <c r="F62" s="1" t="str">
        <f>IF(VLOOKUP(TableFields[Field],Columns[],5,0)=0,"","-&gt;"&amp;VLOOKUP(TableFields[Field],Columns[],5,0))</f>
        <v>-&gt;nullable()</v>
      </c>
      <c r="G62" s="1" t="str">
        <f>IF(VLOOKUP(TableFields[Field],Columns[],6,0)=0,"","-&gt;"&amp;VLOOKUP(TableFields[Field],Columns[],6,0))</f>
        <v>-&gt;default('Disabled')</v>
      </c>
      <c r="H62" s="1" t="str">
        <f>IF(VLOOKUP(TableFields[Field],Columns[],7,0)=0,"","-&gt;"&amp;VLOOKUP(TableFields[Field],Columns[],7,0))</f>
        <v/>
      </c>
      <c r="I62" s="1" t="str">
        <f>IF(VLOOKUP(TableFields[Field],Columns[],8,0)=0,"","-&gt;"&amp;VLOOKUP(TableFields[Field],Columns[],8,0))</f>
        <v/>
      </c>
      <c r="J62" s="1" t="str">
        <f>IF(VLOOKUP(TableFields[Field],Columns[],9,0)=0,"","-&gt;"&amp;VLOOKUP(TableFields[Field],Columns[],9,0))</f>
        <v/>
      </c>
      <c r="K62" s="1" t="str">
        <f>"$table-&gt;"&amp;TableFields[Type]&amp;TableFields[Name]&amp;TableFields[Arg2]&amp;TableFields[Method1]&amp;TableFields[Method2]&amp;TableFields[Method3]&amp;TableFields[Method4]&amp;TableFields[Method5]&amp;";"</f>
        <v>$table-&gt;enum('WORKFLOW', ['Enabled','Disabled'])-&gt;nullable()-&gt;default('Disabled');</v>
      </c>
    </row>
    <row r="63" spans="1:11" x14ac:dyDescent="0.25">
      <c r="A63" s="1" t="s">
        <v>1071</v>
      </c>
      <c r="B63" s="1" t="s">
        <v>1222</v>
      </c>
      <c r="C63" s="1" t="str">
        <f>VLOOKUP(TableFields[Field],Columns[],2,0)&amp;"("</f>
        <v>char(</v>
      </c>
      <c r="D63" s="1" t="str">
        <f>IF(VLOOKUP(TableFields[Field],Columns[],3,0)&lt;&gt;"","'"&amp;VLOOKUP(TableFields[Field],Columns[],3,0)&amp;"'","")</f>
        <v>'LANGUAGE'</v>
      </c>
      <c r="E6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3" s="1" t="str">
        <f>IF(VLOOKUP(TableFields[Field],Columns[],5,0)=0,"","-&gt;"&amp;VLOOKUP(TableFields[Field],Columns[],5,0))</f>
        <v>-&gt;nullable()</v>
      </c>
      <c r="G63" s="1" t="str">
        <f>IF(VLOOKUP(TableFields[Field],Columns[],6,0)=0,"","-&gt;"&amp;VLOOKUP(TableFields[Field],Columns[],6,0))</f>
        <v/>
      </c>
      <c r="H63" s="1" t="str">
        <f>IF(VLOOKUP(TableFields[Field],Columns[],7,0)=0,"","-&gt;"&amp;VLOOKUP(TableFields[Field],Columns[],7,0))</f>
        <v/>
      </c>
      <c r="I63" s="1" t="str">
        <f>IF(VLOOKUP(TableFields[Field],Columns[],8,0)=0,"","-&gt;"&amp;VLOOKUP(TableFields[Field],Columns[],8,0))</f>
        <v/>
      </c>
      <c r="J63" s="1" t="str">
        <f>IF(VLOOKUP(TableFields[Field],Columns[],9,0)=0,"","-&gt;"&amp;VLOOKUP(TableFields[Field],Columns[],9,0))</f>
        <v/>
      </c>
      <c r="K63" s="1" t="str">
        <f>"$table-&gt;"&amp;TableFields[Type]&amp;TableFields[Name]&amp;TableFields[Arg2]&amp;TableFields[Method1]&amp;TableFields[Method2]&amp;TableFields[Method3]&amp;TableFields[Method4]&amp;TableFields[Method5]&amp;";"</f>
        <v>$table-&gt;char('LANGUAGE', '15')-&gt;nullable();</v>
      </c>
    </row>
    <row r="64" spans="1:11" x14ac:dyDescent="0.25">
      <c r="A64" s="1" t="s">
        <v>1071</v>
      </c>
      <c r="B64" s="1" t="s">
        <v>1224</v>
      </c>
      <c r="C64" s="1" t="str">
        <f>VLOOKUP(TableFields[Field],Columns[],2,0)&amp;"("</f>
        <v>string(</v>
      </c>
      <c r="D64" s="1" t="str">
        <f>IF(VLOOKUP(TableFields[Field],Columns[],3,0)&lt;&gt;"","'"&amp;VLOOKUP(TableFields[Field],Columns[],3,0)&amp;"'","")</f>
        <v>'CULTURE'</v>
      </c>
      <c r="E6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4" s="1" t="str">
        <f>IF(VLOOKUP(TableFields[Field],Columns[],5,0)=0,"","-&gt;"&amp;VLOOKUP(TableFields[Field],Columns[],5,0))</f>
        <v>-&gt;nullable()</v>
      </c>
      <c r="G64" s="1" t="str">
        <f>IF(VLOOKUP(TableFields[Field],Columns[],6,0)=0,"","-&gt;"&amp;VLOOKUP(TableFields[Field],Columns[],6,0))</f>
        <v/>
      </c>
      <c r="H64" s="1" t="str">
        <f>IF(VLOOKUP(TableFields[Field],Columns[],7,0)=0,"","-&gt;"&amp;VLOOKUP(TableFields[Field],Columns[],7,0))</f>
        <v/>
      </c>
      <c r="I64" s="1" t="str">
        <f>IF(VLOOKUP(TableFields[Field],Columns[],8,0)=0,"","-&gt;"&amp;VLOOKUP(TableFields[Field],Columns[],8,0))</f>
        <v/>
      </c>
      <c r="J64" s="1" t="str">
        <f>IF(VLOOKUP(TableFields[Field],Columns[],9,0)=0,"","-&gt;"&amp;VLOOKUP(TableFields[Field],Columns[],9,0))</f>
        <v/>
      </c>
      <c r="K64" s="1" t="str">
        <f>"$table-&gt;"&amp;TableFields[Type]&amp;TableFields[Name]&amp;TableFields[Arg2]&amp;TableFields[Method1]&amp;TableFields[Method2]&amp;TableFields[Method3]&amp;TableFields[Method4]&amp;TableFields[Method5]&amp;";"</f>
        <v>$table-&gt;string('CULTURE', '30')-&gt;nullable();</v>
      </c>
    </row>
    <row r="65" spans="1:11" x14ac:dyDescent="0.25">
      <c r="A65" s="1" t="s">
        <v>1071</v>
      </c>
      <c r="B65" s="1" t="s">
        <v>1226</v>
      </c>
      <c r="C65" s="1" t="str">
        <f>VLOOKUP(TableFields[Field],Columns[],2,0)&amp;"("</f>
        <v>enum(</v>
      </c>
      <c r="D65" s="1" t="str">
        <f>IF(VLOOKUP(TableFields[Field],Columns[],3,0)&lt;&gt;"","'"&amp;VLOOKUP(TableFields[Field],Columns[],3,0)&amp;"'","")</f>
        <v>'STOCKJVPOSTING'</v>
      </c>
      <c r="E6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5" s="1" t="str">
        <f>IF(VLOOKUP(TableFields[Field],Columns[],5,0)=0,"","-&gt;"&amp;VLOOKUP(TableFields[Field],Columns[],5,0))</f>
        <v>-&gt;nullable()</v>
      </c>
      <c r="G65" s="1" t="str">
        <f>IF(VLOOKUP(TableFields[Field],Columns[],6,0)=0,"","-&gt;"&amp;VLOOKUP(TableFields[Field],Columns[],6,0))</f>
        <v>-&gt;default('Monthly')</v>
      </c>
      <c r="H65" s="1" t="str">
        <f>IF(VLOOKUP(TableFields[Field],Columns[],7,0)=0,"","-&gt;"&amp;VLOOKUP(TableFields[Field],Columns[],7,0))</f>
        <v/>
      </c>
      <c r="I65" s="1" t="str">
        <f>IF(VLOOKUP(TableFields[Field],Columns[],8,0)=0,"","-&gt;"&amp;VLOOKUP(TableFields[Field],Columns[],8,0))</f>
        <v/>
      </c>
      <c r="J65" s="1" t="str">
        <f>IF(VLOOKUP(TableFields[Field],Columns[],9,0)=0,"","-&gt;"&amp;VLOOKUP(TableFields[Field],Columns[],9,0))</f>
        <v/>
      </c>
      <c r="K65" s="1" t="str">
        <f>"$table-&gt;"&amp;TableFields[Type]&amp;TableFields[Name]&amp;TableFields[Arg2]&amp;TableFields[Method1]&amp;TableFields[Method2]&amp;TableFields[Method3]&amp;TableFields[Method4]&amp;TableFields[Method5]&amp;";"</f>
        <v>$table-&gt;enum('STOCKJVPOSTING', ['Monthly','Quarterly','Half-Yearly','Annually'])-&gt;nullable()-&gt;default('Monthly');</v>
      </c>
    </row>
    <row r="66" spans="1:11" x14ac:dyDescent="0.25">
      <c r="A66" s="1" t="s">
        <v>1071</v>
      </c>
      <c r="B66" s="1" t="s">
        <v>1229</v>
      </c>
      <c r="C66" s="1" t="str">
        <f>VLOOKUP(TableFields[Field],Columns[],2,0)&amp;"("</f>
        <v>enum(</v>
      </c>
      <c r="D66" s="1" t="str">
        <f>IF(VLOOKUP(TableFields[Field],Columns[],3,0)&lt;&gt;"","'"&amp;VLOOKUP(TableFields[Field],Columns[],3,0)&amp;"'","")</f>
        <v>'PROFITJVPOSTING'</v>
      </c>
      <c r="E6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6" s="1" t="str">
        <f>IF(VLOOKUP(TableFields[Field],Columns[],5,0)=0,"","-&gt;"&amp;VLOOKUP(TableFields[Field],Columns[],5,0))</f>
        <v>-&gt;nullable()</v>
      </c>
      <c r="G66" s="1" t="str">
        <f>IF(VLOOKUP(TableFields[Field],Columns[],6,0)=0,"","-&gt;"&amp;VLOOKUP(TableFields[Field],Columns[],6,0))</f>
        <v>-&gt;default('Annually')</v>
      </c>
      <c r="H66" s="1" t="str">
        <f>IF(VLOOKUP(TableFields[Field],Columns[],7,0)=0,"","-&gt;"&amp;VLOOKUP(TableFields[Field],Columns[],7,0))</f>
        <v/>
      </c>
      <c r="I66" s="1" t="str">
        <f>IF(VLOOKUP(TableFields[Field],Columns[],8,0)=0,"","-&gt;"&amp;VLOOKUP(TableFields[Field],Columns[],8,0))</f>
        <v/>
      </c>
      <c r="J66" s="1" t="str">
        <f>IF(VLOOKUP(TableFields[Field],Columns[],9,0)=0,"","-&gt;"&amp;VLOOKUP(TableFields[Field],Columns[],9,0))</f>
        <v/>
      </c>
      <c r="K66" s="1" t="str">
        <f>"$table-&gt;"&amp;TableFields[Type]&amp;TableFields[Name]&amp;TableFields[Arg2]&amp;TableFields[Method1]&amp;TableFields[Method2]&amp;TableFields[Method3]&amp;TableFields[Method4]&amp;TableFields[Method5]&amp;";"</f>
        <v>$table-&gt;enum('PROFITJVPOSTING', ['Monthly','Quarterly','Half-Yearly','Annually'])-&gt;nullable()-&gt;default('Annually');</v>
      </c>
    </row>
    <row r="67" spans="1:11" x14ac:dyDescent="0.25">
      <c r="A67" s="1" t="s">
        <v>1071</v>
      </c>
      <c r="B67" s="1" t="s">
        <v>1232</v>
      </c>
      <c r="C67" s="1" t="str">
        <f>VLOOKUP(TableFields[Field],Columns[],2,0)&amp;"("</f>
        <v>enum(</v>
      </c>
      <c r="D67" s="1" t="str">
        <f>IF(VLOOKUP(TableFields[Field],Columns[],3,0)&lt;&gt;"","'"&amp;VLOOKUP(TableFields[Field],Columns[],3,0)&amp;"'","")</f>
        <v>'REPORTTITLE'</v>
      </c>
      <c r="E6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['CompanyName','BranchName','Branches'])</v>
      </c>
      <c r="F67" s="1" t="str">
        <f>IF(VLOOKUP(TableFields[Field],Columns[],5,0)=0,"","-&gt;"&amp;VLOOKUP(TableFields[Field],Columns[],5,0))</f>
        <v>-&gt;nullable()</v>
      </c>
      <c r="G67" s="1" t="str">
        <f>IF(VLOOKUP(TableFields[Field],Columns[],6,0)=0,"","-&gt;"&amp;VLOOKUP(TableFields[Field],Columns[],6,0))</f>
        <v>-&gt;default('CompanyName')</v>
      </c>
      <c r="H67" s="1" t="str">
        <f>IF(VLOOKUP(TableFields[Field],Columns[],7,0)=0,"","-&gt;"&amp;VLOOKUP(TableFields[Field],Columns[],7,0))</f>
        <v/>
      </c>
      <c r="I67" s="1" t="str">
        <f>IF(VLOOKUP(TableFields[Field],Columns[],8,0)=0,"","-&gt;"&amp;VLOOKUP(TableFields[Field],Columns[],8,0))</f>
        <v/>
      </c>
      <c r="J67" s="1" t="str">
        <f>IF(VLOOKUP(TableFields[Field],Columns[],9,0)=0,"","-&gt;"&amp;VLOOKUP(TableFields[Field],Columns[],9,0))</f>
        <v/>
      </c>
      <c r="K67" s="1" t="str">
        <f>"$table-&gt;"&amp;TableFields[Type]&amp;TableFields[Name]&amp;TableFields[Arg2]&amp;TableFields[Method1]&amp;TableFields[Method2]&amp;TableFields[Method3]&amp;TableFields[Method4]&amp;TableFields[Method5]&amp;";"</f>
        <v>$table-&gt;enum('REPORTTITLE', ['CompanyName','BranchName','Branches'])-&gt;nullable()-&gt;default('CompanyName');</v>
      </c>
    </row>
    <row r="68" spans="1:11" x14ac:dyDescent="0.25">
      <c r="A68" s="1" t="s">
        <v>1071</v>
      </c>
      <c r="B68" s="1" t="s">
        <v>1236</v>
      </c>
      <c r="C68" s="1" t="str">
        <f>VLOOKUP(TableFields[Field],Columns[],2,0)&amp;"("</f>
        <v>enum(</v>
      </c>
      <c r="D68" s="1" t="str">
        <f>IF(VLOOKUP(TableFields[Field],Columns[],3,0)&lt;&gt;"","'"&amp;VLOOKUP(TableFields[Field],Columns[],3,0)&amp;"'","")</f>
        <v>'PRINTLOG'</v>
      </c>
      <c r="E6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['None','Function','Report','All'])</v>
      </c>
      <c r="F68" s="1" t="str">
        <f>IF(VLOOKUP(TableFields[Field],Columns[],5,0)=0,"","-&gt;"&amp;VLOOKUP(TableFields[Field],Columns[],5,0))</f>
        <v>-&gt;nullable()</v>
      </c>
      <c r="G68" s="1" t="str">
        <f>IF(VLOOKUP(TableFields[Field],Columns[],6,0)=0,"","-&gt;"&amp;VLOOKUP(TableFields[Field],Columns[],6,0))</f>
        <v>-&gt;default('None')</v>
      </c>
      <c r="H68" s="1" t="str">
        <f>IF(VLOOKUP(TableFields[Field],Columns[],7,0)=0,"","-&gt;"&amp;VLOOKUP(TableFields[Field],Columns[],7,0))</f>
        <v/>
      </c>
      <c r="I68" s="1" t="str">
        <f>IF(VLOOKUP(TableFields[Field],Columns[],8,0)=0,"","-&gt;"&amp;VLOOKUP(TableFields[Field],Columns[],8,0))</f>
        <v/>
      </c>
      <c r="J68" s="1" t="str">
        <f>IF(VLOOKUP(TableFields[Field],Columns[],9,0)=0,"","-&gt;"&amp;VLOOKUP(TableFields[Field],Columns[],9,0))</f>
        <v/>
      </c>
      <c r="K68" s="1" t="str">
        <f>"$table-&gt;"&amp;TableFields[Type]&amp;TableFields[Name]&amp;TableFields[Arg2]&amp;TableFields[Method1]&amp;TableFields[Method2]&amp;TableFields[Method3]&amp;TableFields[Method4]&amp;TableFields[Method5]&amp;";"</f>
        <v>$table-&gt;enum('PRINTLOG', ['None','Function','Report','All'])-&gt;nullable()-&gt;default('None');</v>
      </c>
    </row>
    <row r="69" spans="1:11" x14ac:dyDescent="0.25">
      <c r="A69" s="1" t="s">
        <v>1071</v>
      </c>
      <c r="B69" s="1" t="s">
        <v>1239</v>
      </c>
      <c r="C69" s="1" t="str">
        <f>VLOOKUP(TableFields[Field],Columns[],2,0)&amp;"("</f>
        <v>enum(</v>
      </c>
      <c r="D69" s="1" t="str">
        <f>IF(VLOOKUP(TableFields[Field],Columns[],3,0)&lt;&gt;"","'"&amp;VLOOKUP(TableFields[Field],Columns[],3,0)&amp;"'","")</f>
        <v>'LOADIMAGEONSTARTUP'</v>
      </c>
      <c r="E6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9" s="1" t="str">
        <f>IF(VLOOKUP(TableFields[Field],Columns[],5,0)=0,"","-&gt;"&amp;VLOOKUP(TableFields[Field],Columns[],5,0))</f>
        <v>-&gt;nullable()</v>
      </c>
      <c r="G69" s="1" t="str">
        <f>IF(VLOOKUP(TableFields[Field],Columns[],6,0)=0,"","-&gt;"&amp;VLOOKUP(TableFields[Field],Columns[],6,0))</f>
        <v>-&gt;default('No')</v>
      </c>
      <c r="H69" s="1" t="str">
        <f>IF(VLOOKUP(TableFields[Field],Columns[],7,0)=0,"","-&gt;"&amp;VLOOKUP(TableFields[Field],Columns[],7,0))</f>
        <v/>
      </c>
      <c r="I69" s="1" t="str">
        <f>IF(VLOOKUP(TableFields[Field],Columns[],8,0)=0,"","-&gt;"&amp;VLOOKUP(TableFields[Field],Columns[],8,0))</f>
        <v/>
      </c>
      <c r="J69" s="1" t="str">
        <f>IF(VLOOKUP(TableFields[Field],Columns[],9,0)=0,"","-&gt;"&amp;VLOOKUP(TableFields[Field],Columns[],9,0))</f>
        <v/>
      </c>
      <c r="K69" s="1" t="str">
        <f>"$table-&gt;"&amp;TableFields[Type]&amp;TableFields[Name]&amp;TableFields[Arg2]&amp;TableFields[Method1]&amp;TableFields[Method2]&amp;TableFields[Method3]&amp;TableFields[Method4]&amp;TableFields[Method5]&amp;";"</f>
        <v>$table-&gt;enum('LOADIMAGEONSTARTUP', ['Yes','No'])-&gt;nullable()-&gt;default('No');</v>
      </c>
    </row>
    <row r="70" spans="1:11" x14ac:dyDescent="0.25">
      <c r="A70" s="1" t="s">
        <v>1071</v>
      </c>
      <c r="B70" s="1" t="s">
        <v>1241</v>
      </c>
      <c r="C70" s="1" t="str">
        <f>VLOOKUP(TableFields[Field],Columns[],2,0)&amp;"("</f>
        <v>char(</v>
      </c>
      <c r="D70" s="1" t="str">
        <f>IF(VLOOKUP(TableFields[Field],Columns[],3,0)&lt;&gt;"","'"&amp;VLOOKUP(TableFields[Field],Columns[],3,0)&amp;"'","")</f>
        <v>'THEME'</v>
      </c>
      <c r="E7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70" s="1" t="str">
        <f>IF(VLOOKUP(TableFields[Field],Columns[],5,0)=0,"","-&gt;"&amp;VLOOKUP(TableFields[Field],Columns[],5,0))</f>
        <v>-&gt;nullable()</v>
      </c>
      <c r="G70" s="1" t="str">
        <f>IF(VLOOKUP(TableFields[Field],Columns[],6,0)=0,"","-&gt;"&amp;VLOOKUP(TableFields[Field],Columns[],6,0))</f>
        <v/>
      </c>
      <c r="H70" s="1" t="str">
        <f>IF(VLOOKUP(TableFields[Field],Columns[],7,0)=0,"","-&gt;"&amp;VLOOKUP(TableFields[Field],Columns[],7,0))</f>
        <v/>
      </c>
      <c r="I70" s="1" t="str">
        <f>IF(VLOOKUP(TableFields[Field],Columns[],8,0)=0,"","-&gt;"&amp;VLOOKUP(TableFields[Field],Columns[],8,0))</f>
        <v/>
      </c>
      <c r="J70" s="1" t="str">
        <f>IF(VLOOKUP(TableFields[Field],Columns[],9,0)=0,"","-&gt;"&amp;VLOOKUP(TableFields[Field],Columns[],9,0))</f>
        <v/>
      </c>
      <c r="K70" s="1" t="str">
        <f>"$table-&gt;"&amp;TableFields[Type]&amp;TableFields[Name]&amp;TableFields[Arg2]&amp;TableFields[Method1]&amp;TableFields[Method2]&amp;TableFields[Method3]&amp;TableFields[Method4]&amp;TableFields[Method5]&amp;";"</f>
        <v>$table-&gt;char('THEME', '15')-&gt;nullable();</v>
      </c>
    </row>
    <row r="71" spans="1:11" x14ac:dyDescent="0.25">
      <c r="A71" s="1" t="s">
        <v>1071</v>
      </c>
      <c r="B71" s="1" t="s">
        <v>1243</v>
      </c>
      <c r="C71" s="1" t="str">
        <f>VLOOKUP(TableFields[Field],Columns[],2,0)&amp;"("</f>
        <v>enum(</v>
      </c>
      <c r="D71" s="1" t="str">
        <f>IF(VLOOKUP(TableFields[Field],Columns[],3,0)&lt;&gt;"","'"&amp;VLOOKUP(TableFields[Field],Columns[],3,0)&amp;"'","")</f>
        <v>'SERACHFROMBEGINNING'</v>
      </c>
      <c r="E7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1" s="1" t="str">
        <f>IF(VLOOKUP(TableFields[Field],Columns[],5,0)=0,"","-&gt;"&amp;VLOOKUP(TableFields[Field],Columns[],5,0))</f>
        <v>-&gt;nullable()</v>
      </c>
      <c r="G71" s="1" t="str">
        <f>IF(VLOOKUP(TableFields[Field],Columns[],6,0)=0,"","-&gt;"&amp;VLOOKUP(TableFields[Field],Columns[],6,0))</f>
        <v>-&gt;default('No')</v>
      </c>
      <c r="H71" s="1" t="str">
        <f>IF(VLOOKUP(TableFields[Field],Columns[],7,0)=0,"","-&gt;"&amp;VLOOKUP(TableFields[Field],Columns[],7,0))</f>
        <v/>
      </c>
      <c r="I71" s="1" t="str">
        <f>IF(VLOOKUP(TableFields[Field],Columns[],8,0)=0,"","-&gt;"&amp;VLOOKUP(TableFields[Field],Columns[],8,0))</f>
        <v/>
      </c>
      <c r="J71" s="1" t="str">
        <f>IF(VLOOKUP(TableFields[Field],Columns[],9,0)=0,"","-&gt;"&amp;VLOOKUP(TableFields[Field],Columns[],9,0))</f>
        <v/>
      </c>
      <c r="K71" s="1" t="str">
        <f>"$table-&gt;"&amp;TableFields[Type]&amp;TableFields[Name]&amp;TableFields[Arg2]&amp;TableFields[Method1]&amp;TableFields[Method2]&amp;TableFields[Method3]&amp;TableFields[Method4]&amp;TableFields[Method5]&amp;";"</f>
        <v>$table-&gt;enum('SERACHFROMBEGINNING', ['Yes','No'])-&gt;nullable()-&gt;default('No');</v>
      </c>
    </row>
    <row r="72" spans="1:11" x14ac:dyDescent="0.25">
      <c r="A72" s="1" t="s">
        <v>1071</v>
      </c>
      <c r="B72" s="1" t="s">
        <v>1245</v>
      </c>
      <c r="C72" s="1" t="str">
        <f>VLOOKUP(TableFields[Field],Columns[],2,0)&amp;"("</f>
        <v>enum(</v>
      </c>
      <c r="D72" s="1" t="str">
        <f>IF(VLOOKUP(TableFields[Field],Columns[],3,0)&lt;&gt;"","'"&amp;VLOOKUP(TableFields[Field],Columns[],3,0)&amp;"'","")</f>
        <v>'SEACHAUTOLOCK'</v>
      </c>
      <c r="E7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2" s="1" t="str">
        <f>IF(VLOOKUP(TableFields[Field],Columns[],5,0)=0,"","-&gt;"&amp;VLOOKUP(TableFields[Field],Columns[],5,0))</f>
        <v>-&gt;nullable()</v>
      </c>
      <c r="G72" s="1" t="str">
        <f>IF(VLOOKUP(TableFields[Field],Columns[],6,0)=0,"","-&gt;"&amp;VLOOKUP(TableFields[Field],Columns[],6,0))</f>
        <v>-&gt;default('Yes')</v>
      </c>
      <c r="H72" s="1" t="str">
        <f>IF(VLOOKUP(TableFields[Field],Columns[],7,0)=0,"","-&gt;"&amp;VLOOKUP(TableFields[Field],Columns[],7,0))</f>
        <v/>
      </c>
      <c r="I72" s="1" t="str">
        <f>IF(VLOOKUP(TableFields[Field],Columns[],8,0)=0,"","-&gt;"&amp;VLOOKUP(TableFields[Field],Columns[],8,0))</f>
        <v/>
      </c>
      <c r="J72" s="1" t="str">
        <f>IF(VLOOKUP(TableFields[Field],Columns[],9,0)=0,"","-&gt;"&amp;VLOOKUP(TableFields[Field],Columns[],9,0))</f>
        <v/>
      </c>
      <c r="K72" s="1" t="str">
        <f>"$table-&gt;"&amp;TableFields[Type]&amp;TableFields[Name]&amp;TableFields[Arg2]&amp;TableFields[Method1]&amp;TableFields[Method2]&amp;TableFields[Method3]&amp;TableFields[Method4]&amp;TableFields[Method5]&amp;";"</f>
        <v>$table-&gt;enum('SEACHAUTOLOCK', ['Yes','No'])-&gt;nullable()-&gt;default('Yes');</v>
      </c>
    </row>
    <row r="73" spans="1:11" x14ac:dyDescent="0.25">
      <c r="A73" s="1" t="s">
        <v>1071</v>
      </c>
      <c r="B73" s="1" t="s">
        <v>1247</v>
      </c>
      <c r="C73" s="1" t="str">
        <f>VLOOKUP(TableFields[Field],Columns[],2,0)&amp;"("</f>
        <v>enum(</v>
      </c>
      <c r="D73" s="1" t="str">
        <f>IF(VLOOKUP(TableFields[Field],Columns[],3,0)&lt;&gt;"","'"&amp;VLOOKUP(TableFields[Field],Columns[],3,0)&amp;"'","")</f>
        <v>'REMEMBERLASTSEARCH'</v>
      </c>
      <c r="E7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3" s="1" t="str">
        <f>IF(VLOOKUP(TableFields[Field],Columns[],5,0)=0,"","-&gt;"&amp;VLOOKUP(TableFields[Field],Columns[],5,0))</f>
        <v>-&gt;nullable()</v>
      </c>
      <c r="G73" s="1" t="str">
        <f>IF(VLOOKUP(TableFields[Field],Columns[],6,0)=0,"","-&gt;"&amp;VLOOKUP(TableFields[Field],Columns[],6,0))</f>
        <v>-&gt;default('No')</v>
      </c>
      <c r="H73" s="1" t="str">
        <f>IF(VLOOKUP(TableFields[Field],Columns[],7,0)=0,"","-&gt;"&amp;VLOOKUP(TableFields[Field],Columns[],7,0))</f>
        <v/>
      </c>
      <c r="I73" s="1" t="str">
        <f>IF(VLOOKUP(TableFields[Field],Columns[],8,0)=0,"","-&gt;"&amp;VLOOKUP(TableFields[Field],Columns[],8,0))</f>
        <v/>
      </c>
      <c r="J73" s="1" t="str">
        <f>IF(VLOOKUP(TableFields[Field],Columns[],9,0)=0,"","-&gt;"&amp;VLOOKUP(TableFields[Field],Columns[],9,0))</f>
        <v/>
      </c>
      <c r="K73" s="1" t="str">
        <f>"$table-&gt;"&amp;TableFields[Type]&amp;TableFields[Name]&amp;TableFields[Arg2]&amp;TableFields[Method1]&amp;TableFields[Method2]&amp;TableFields[Method3]&amp;TableFields[Method4]&amp;TableFields[Method5]&amp;";"</f>
        <v>$table-&gt;enum('REMEMBERLASTSEARCH', ['Yes','No'])-&gt;nullable()-&gt;default('No');</v>
      </c>
    </row>
    <row r="74" spans="1:11" x14ac:dyDescent="0.25">
      <c r="A74" s="1" t="s">
        <v>1071</v>
      </c>
      <c r="B74" s="1" t="s">
        <v>1249</v>
      </c>
      <c r="C74" s="1" t="str">
        <f>VLOOKUP(TableFields[Field],Columns[],2,0)&amp;"("</f>
        <v>string(</v>
      </c>
      <c r="D74" s="1" t="str">
        <f>IF(VLOOKUP(TableFields[Field],Columns[],3,0)&lt;&gt;"","'"&amp;VLOOKUP(TableFields[Field],Columns[],3,0)&amp;"'","")</f>
        <v>'DIGITALWALLETTEXT'</v>
      </c>
      <c r="E7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74" s="1" t="str">
        <f>IF(VLOOKUP(TableFields[Field],Columns[],5,0)=0,"","-&gt;"&amp;VLOOKUP(TableFields[Field],Columns[],5,0))</f>
        <v>-&gt;nullable()</v>
      </c>
      <c r="G74" s="1" t="str">
        <f>IF(VLOOKUP(TableFields[Field],Columns[],6,0)=0,"","-&gt;"&amp;VLOOKUP(TableFields[Field],Columns[],6,0))</f>
        <v>-&gt;default('eWallet')</v>
      </c>
      <c r="H74" s="1" t="str">
        <f>IF(VLOOKUP(TableFields[Field],Columns[],7,0)=0,"","-&gt;"&amp;VLOOKUP(TableFields[Field],Columns[],7,0))</f>
        <v/>
      </c>
      <c r="I74" s="1" t="str">
        <f>IF(VLOOKUP(TableFields[Field],Columns[],8,0)=0,"","-&gt;"&amp;VLOOKUP(TableFields[Field],Columns[],8,0))</f>
        <v/>
      </c>
      <c r="J74" s="1" t="str">
        <f>IF(VLOOKUP(TableFields[Field],Columns[],9,0)=0,"","-&gt;"&amp;VLOOKUP(TableFields[Field],Columns[],9,0))</f>
        <v/>
      </c>
      <c r="K74" s="1" t="str">
        <f>"$table-&gt;"&amp;TableFields[Type]&amp;TableFields[Name]&amp;TableFields[Arg2]&amp;TableFields[Method1]&amp;TableFields[Method2]&amp;TableFields[Method3]&amp;TableFields[Method4]&amp;TableFields[Method5]&amp;";"</f>
        <v>$table-&gt;string('DIGITALWALLETTEXT', '30')-&gt;nullable()-&gt;default('eWallet');</v>
      </c>
    </row>
    <row r="75" spans="1:11" x14ac:dyDescent="0.25">
      <c r="A75" s="1" t="s">
        <v>1071</v>
      </c>
      <c r="B75" s="1" t="s">
        <v>288</v>
      </c>
      <c r="C75" s="1" t="str">
        <f>VLOOKUP(TableFields[Field],Columns[],2,0)&amp;"("</f>
        <v>audit(</v>
      </c>
      <c r="D75" s="1" t="str">
        <f>IF(VLOOKUP(TableFields[Field],Columns[],3,0)&lt;&gt;"","'"&amp;VLOOKUP(TableFields[Field],Columns[],3,0)&amp;"'","")</f>
        <v/>
      </c>
      <c r="E7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5" s="1" t="str">
        <f>IF(VLOOKUP(TableFields[Field],Columns[],5,0)=0,"","-&gt;"&amp;VLOOKUP(TableFields[Field],Columns[],5,0))</f>
        <v/>
      </c>
      <c r="G75" s="1" t="str">
        <f>IF(VLOOKUP(TableFields[Field],Columns[],6,0)=0,"","-&gt;"&amp;VLOOKUP(TableFields[Field],Columns[],6,0))</f>
        <v/>
      </c>
      <c r="H75" s="1" t="str">
        <f>IF(VLOOKUP(TableFields[Field],Columns[],7,0)=0,"","-&gt;"&amp;VLOOKUP(TableFields[Field],Columns[],7,0))</f>
        <v/>
      </c>
      <c r="I75" s="1" t="str">
        <f>IF(VLOOKUP(TableFields[Field],Columns[],8,0)=0,"","-&gt;"&amp;VLOOKUP(TableFields[Field],Columns[],8,0))</f>
        <v/>
      </c>
      <c r="J75" s="1" t="str">
        <f>IF(VLOOKUP(TableFields[Field],Columns[],9,0)=0,"","-&gt;"&amp;VLOOKUP(TableFields[Field],Columns[],9,0))</f>
        <v/>
      </c>
      <c r="K75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76" spans="1:11" x14ac:dyDescent="0.25">
      <c r="A76" s="1" t="s">
        <v>1831</v>
      </c>
      <c r="B76" s="1" t="s">
        <v>21</v>
      </c>
      <c r="C76" s="1" t="str">
        <f>VLOOKUP(TableFields[Field],Columns[],2,0)&amp;"("</f>
        <v>bigIncrements(</v>
      </c>
      <c r="D76" s="1" t="str">
        <f>IF(VLOOKUP(TableFields[Field],Columns[],3,0)&lt;&gt;"","'"&amp;VLOOKUP(TableFields[Field],Columns[],3,0)&amp;"'","")</f>
        <v>'id'</v>
      </c>
      <c r="E7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6" s="1" t="str">
        <f>IF(VLOOKUP(TableFields[Field],Columns[],5,0)=0,"","-&gt;"&amp;VLOOKUP(TableFields[Field],Columns[],5,0))</f>
        <v/>
      </c>
      <c r="G76" s="1" t="str">
        <f>IF(VLOOKUP(TableFields[Field],Columns[],6,0)=0,"","-&gt;"&amp;VLOOKUP(TableFields[Field],Columns[],6,0))</f>
        <v/>
      </c>
      <c r="H76" s="1" t="str">
        <f>IF(VLOOKUP(TableFields[Field],Columns[],7,0)=0,"","-&gt;"&amp;VLOOKUP(TableFields[Field],Columns[],7,0))</f>
        <v/>
      </c>
      <c r="I76" s="1" t="str">
        <f>IF(VLOOKUP(TableFields[Field],Columns[],8,0)=0,"","-&gt;"&amp;VLOOKUP(TableFields[Field],Columns[],8,0))</f>
        <v/>
      </c>
      <c r="J76" s="1" t="str">
        <f>IF(VLOOKUP(TableFields[Field],Columns[],9,0)=0,"","-&gt;"&amp;VLOOKUP(TableFields[Field],Columns[],9,0))</f>
        <v/>
      </c>
      <c r="K76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77" spans="1:11" x14ac:dyDescent="0.25">
      <c r="A77" s="1" t="s">
        <v>1831</v>
      </c>
      <c r="B77" s="1" t="s">
        <v>23</v>
      </c>
      <c r="C77" s="1" t="str">
        <f>VLOOKUP(TableFields[Field],Columns[],2,0)&amp;"("</f>
        <v>string(</v>
      </c>
      <c r="D77" s="1" t="str">
        <f>IF(VLOOKUP(TableFields[Field],Columns[],3,0)&lt;&gt;"","'"&amp;VLOOKUP(TableFields[Field],Columns[],3,0)&amp;"'","")</f>
        <v>'name'</v>
      </c>
      <c r="E7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77" s="1" t="str">
        <f>IF(VLOOKUP(TableFields[Field],Columns[],5,0)=0,"","-&gt;"&amp;VLOOKUP(TableFields[Field],Columns[],5,0))</f>
        <v>-&gt;nullable()</v>
      </c>
      <c r="G77" s="1" t="str">
        <f>IF(VLOOKUP(TableFields[Field],Columns[],6,0)=0,"","-&gt;"&amp;VLOOKUP(TableFields[Field],Columns[],6,0))</f>
        <v>-&gt;index()</v>
      </c>
      <c r="H77" s="1" t="str">
        <f>IF(VLOOKUP(TableFields[Field],Columns[],7,0)=0,"","-&gt;"&amp;VLOOKUP(TableFields[Field],Columns[],7,0))</f>
        <v/>
      </c>
      <c r="I77" s="1" t="str">
        <f>IF(VLOOKUP(TableFields[Field],Columns[],8,0)=0,"","-&gt;"&amp;VLOOKUP(TableFields[Field],Columns[],8,0))</f>
        <v/>
      </c>
      <c r="J77" s="1" t="str">
        <f>IF(VLOOKUP(TableFields[Field],Columns[],9,0)=0,"","-&gt;"&amp;VLOOKUP(TableFields[Field],Columns[],9,0))</f>
        <v/>
      </c>
      <c r="K77" s="1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78" spans="1:11" x14ac:dyDescent="0.25">
      <c r="A78" s="1" t="s">
        <v>1831</v>
      </c>
      <c r="B78" s="1" t="s">
        <v>1824</v>
      </c>
      <c r="C78" s="1" t="str">
        <f>VLOOKUP(TableFields[Field],Columns[],2,0)&amp;"("</f>
        <v>string(</v>
      </c>
      <c r="D78" s="1" t="str">
        <f>IF(VLOOKUP(TableFields[Field],Columns[],3,0)&lt;&gt;"","'"&amp;VLOOKUP(TableFields[Field],Columns[],3,0)&amp;"'","")</f>
        <v>'display_name'</v>
      </c>
      <c r="E7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78" s="1" t="str">
        <f>IF(VLOOKUP(TableFields[Field],Columns[],5,0)=0,"","-&gt;"&amp;VLOOKUP(TableFields[Field],Columns[],5,0))</f>
        <v>-&gt;nullable()</v>
      </c>
      <c r="G78" s="1" t="str">
        <f>IF(VLOOKUP(TableFields[Field],Columns[],6,0)=0,"","-&gt;"&amp;VLOOKUP(TableFields[Field],Columns[],6,0))</f>
        <v/>
      </c>
      <c r="H78" s="1" t="str">
        <f>IF(VLOOKUP(TableFields[Field],Columns[],7,0)=0,"","-&gt;"&amp;VLOOKUP(TableFields[Field],Columns[],7,0))</f>
        <v/>
      </c>
      <c r="I78" s="1" t="str">
        <f>IF(VLOOKUP(TableFields[Field],Columns[],8,0)=0,"","-&gt;"&amp;VLOOKUP(TableFields[Field],Columns[],8,0))</f>
        <v/>
      </c>
      <c r="J78" s="1" t="str">
        <f>IF(VLOOKUP(TableFields[Field],Columns[],9,0)=0,"","-&gt;"&amp;VLOOKUP(TableFields[Field],Columns[],9,0))</f>
        <v/>
      </c>
      <c r="K78" s="1" t="str">
        <f>"$table-&gt;"&amp;TableFields[Type]&amp;TableFields[Name]&amp;TableFields[Arg2]&amp;TableFields[Method1]&amp;TableFields[Method2]&amp;TableFields[Method3]&amp;TableFields[Method4]&amp;TableFields[Method5]&amp;";"</f>
        <v>$table-&gt;string('display_name', '128')-&gt;nullable();</v>
      </c>
    </row>
    <row r="79" spans="1:11" x14ac:dyDescent="0.25">
      <c r="A79" s="1" t="s">
        <v>1831</v>
      </c>
      <c r="B79" s="1" t="s">
        <v>1855</v>
      </c>
      <c r="C79" s="1" t="str">
        <f>VLOOKUP(TableFields[Field],Columns[],2,0)&amp;"("</f>
        <v>string(</v>
      </c>
      <c r="D79" s="1" t="str">
        <f>IF(VLOOKUP(TableFields[Field],Columns[],3,0)&lt;&gt;"","'"&amp;VLOOKUP(TableFields[Field],Columns[],3,0)&amp;"'","")</f>
        <v>'fncodes'</v>
      </c>
      <c r="E7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79" s="1" t="str">
        <f>IF(VLOOKUP(TableFields[Field],Columns[],5,0)=0,"","-&gt;"&amp;VLOOKUP(TableFields[Field],Columns[],5,0))</f>
        <v>-&gt;nullable()</v>
      </c>
      <c r="G79" s="1" t="str">
        <f>IF(VLOOKUP(TableFields[Field],Columns[],6,0)=0,"","-&gt;"&amp;VLOOKUP(TableFields[Field],Columns[],6,0))</f>
        <v/>
      </c>
      <c r="H79" s="1" t="str">
        <f>IF(VLOOKUP(TableFields[Field],Columns[],7,0)=0,"","-&gt;"&amp;VLOOKUP(TableFields[Field],Columns[],7,0))</f>
        <v/>
      </c>
      <c r="I79" s="1" t="str">
        <f>IF(VLOOKUP(TableFields[Field],Columns[],8,0)=0,"","-&gt;"&amp;VLOOKUP(TableFields[Field],Columns[],8,0))</f>
        <v/>
      </c>
      <c r="J79" s="1" t="str">
        <f>IF(VLOOKUP(TableFields[Field],Columns[],9,0)=0,"","-&gt;"&amp;VLOOKUP(TableFields[Field],Columns[],9,0))</f>
        <v/>
      </c>
      <c r="K79" s="1" t="str">
        <f>"$table-&gt;"&amp;TableFields[Type]&amp;TableFields[Name]&amp;TableFields[Arg2]&amp;TableFields[Method1]&amp;TableFields[Method2]&amp;TableFields[Method3]&amp;TableFields[Method4]&amp;TableFields[Method5]&amp;";"</f>
        <v>$table-&gt;string('fncodes', '256')-&gt;nullable();</v>
      </c>
    </row>
    <row r="80" spans="1:11" x14ac:dyDescent="0.25">
      <c r="A80" s="1" t="s">
        <v>1831</v>
      </c>
      <c r="B80" s="1" t="s">
        <v>288</v>
      </c>
      <c r="C80" s="1" t="str">
        <f>VLOOKUP(TableFields[Field],Columns[],2,0)&amp;"("</f>
        <v>audit(</v>
      </c>
      <c r="D80" s="1" t="str">
        <f>IF(VLOOKUP(TableFields[Field],Columns[],3,0)&lt;&gt;"","'"&amp;VLOOKUP(TableFields[Field],Columns[],3,0)&amp;"'","")</f>
        <v/>
      </c>
      <c r="E8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0" s="1" t="str">
        <f>IF(VLOOKUP(TableFields[Field],Columns[],5,0)=0,"","-&gt;"&amp;VLOOKUP(TableFields[Field],Columns[],5,0))</f>
        <v/>
      </c>
      <c r="G80" s="1" t="str">
        <f>IF(VLOOKUP(TableFields[Field],Columns[],6,0)=0,"","-&gt;"&amp;VLOOKUP(TableFields[Field],Columns[],6,0))</f>
        <v/>
      </c>
      <c r="H80" s="1" t="str">
        <f>IF(VLOOKUP(TableFields[Field],Columns[],7,0)=0,"","-&gt;"&amp;VLOOKUP(TableFields[Field],Columns[],7,0))</f>
        <v/>
      </c>
      <c r="I80" s="1" t="str">
        <f>IF(VLOOKUP(TableFields[Field],Columns[],8,0)=0,"","-&gt;"&amp;VLOOKUP(TableFields[Field],Columns[],8,0))</f>
        <v/>
      </c>
      <c r="J80" s="1" t="str">
        <f>IF(VLOOKUP(TableFields[Field],Columns[],9,0)=0,"","-&gt;"&amp;VLOOKUP(TableFields[Field],Columns[],9,0))</f>
        <v/>
      </c>
      <c r="K80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1" spans="1:11" x14ac:dyDescent="0.25">
      <c r="A81" s="1" t="s">
        <v>114</v>
      </c>
      <c r="B81" s="1" t="s">
        <v>21</v>
      </c>
      <c r="C81" s="1" t="str">
        <f>VLOOKUP(TableFields[Field],Columns[],2,0)&amp;"("</f>
        <v>bigIncrements(</v>
      </c>
      <c r="D81" s="1" t="str">
        <f>IF(VLOOKUP(TableFields[Field],Columns[],3,0)&lt;&gt;"","'"&amp;VLOOKUP(TableFields[Field],Columns[],3,0)&amp;"'","")</f>
        <v>'id'</v>
      </c>
      <c r="E8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1" s="1" t="str">
        <f>IF(VLOOKUP(TableFields[Field],Columns[],5,0)=0,"","-&gt;"&amp;VLOOKUP(TableFields[Field],Columns[],5,0))</f>
        <v/>
      </c>
      <c r="G81" s="1" t="str">
        <f>IF(VLOOKUP(TableFields[Field],Columns[],6,0)=0,"","-&gt;"&amp;VLOOKUP(TableFields[Field],Columns[],6,0))</f>
        <v/>
      </c>
      <c r="H81" s="1" t="str">
        <f>IF(VLOOKUP(TableFields[Field],Columns[],7,0)=0,"","-&gt;"&amp;VLOOKUP(TableFields[Field],Columns[],7,0))</f>
        <v/>
      </c>
      <c r="I81" s="1" t="str">
        <f>IF(VLOOKUP(TableFields[Field],Columns[],8,0)=0,"","-&gt;"&amp;VLOOKUP(TableFields[Field],Columns[],8,0))</f>
        <v/>
      </c>
      <c r="J81" s="1" t="str">
        <f>IF(VLOOKUP(TableFields[Field],Columns[],9,0)=0,"","-&gt;"&amp;VLOOKUP(TableFields[Field],Columns[],9,0))</f>
        <v/>
      </c>
      <c r="K81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2" spans="1:11" x14ac:dyDescent="0.25">
      <c r="A82" s="1" t="s">
        <v>114</v>
      </c>
      <c r="B82" s="1" t="s">
        <v>858</v>
      </c>
      <c r="C82" s="1" t="str">
        <f>VLOOKUP(TableFields[Field],Columns[],2,0)&amp;"("</f>
        <v>char(</v>
      </c>
      <c r="D82" s="1" t="str">
        <f>IF(VLOOKUP(TableFields[Field],Columns[],3,0)&lt;&gt;"","'"&amp;VLOOKUP(TableFields[Field],Columns[],3,0)&amp;"'","")</f>
        <v>'fncode'</v>
      </c>
      <c r="E8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82" s="1" t="str">
        <f>IF(VLOOKUP(TableFields[Field],Columns[],5,0)=0,"","-&gt;"&amp;VLOOKUP(TableFields[Field],Columns[],5,0))</f>
        <v>-&gt;nullable()</v>
      </c>
      <c r="G82" s="1" t="str">
        <f>IF(VLOOKUP(TableFields[Field],Columns[],6,0)=0,"","-&gt;"&amp;VLOOKUP(TableFields[Field],Columns[],6,0))</f>
        <v>-&gt;index()</v>
      </c>
      <c r="H82" s="1" t="str">
        <f>IF(VLOOKUP(TableFields[Field],Columns[],7,0)=0,"","-&gt;"&amp;VLOOKUP(TableFields[Field],Columns[],7,0))</f>
        <v/>
      </c>
      <c r="I82" s="1" t="str">
        <f>IF(VLOOKUP(TableFields[Field],Columns[],8,0)=0,"","-&gt;"&amp;VLOOKUP(TableFields[Field],Columns[],8,0))</f>
        <v/>
      </c>
      <c r="J82" s="1" t="str">
        <f>IF(VLOOKUP(TableFields[Field],Columns[],9,0)=0,"","-&gt;"&amp;VLOOKUP(TableFields[Field],Columns[],9,0))</f>
        <v/>
      </c>
      <c r="K82" s="1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83" spans="1:11" x14ac:dyDescent="0.25">
      <c r="A83" s="1" t="s">
        <v>114</v>
      </c>
      <c r="B83" s="1" t="s">
        <v>23</v>
      </c>
      <c r="C83" s="1" t="str">
        <f>VLOOKUP(TableFields[Field],Columns[],2,0)&amp;"("</f>
        <v>string(</v>
      </c>
      <c r="D83" s="1" t="str">
        <f>IF(VLOOKUP(TableFields[Field],Columns[],3,0)&lt;&gt;"","'"&amp;VLOOKUP(TableFields[Field],Columns[],3,0)&amp;"'","")</f>
        <v>'name'</v>
      </c>
      <c r="E8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83" s="1" t="str">
        <f>IF(VLOOKUP(TableFields[Field],Columns[],5,0)=0,"","-&gt;"&amp;VLOOKUP(TableFields[Field],Columns[],5,0))</f>
        <v>-&gt;nullable()</v>
      </c>
      <c r="G83" s="1" t="str">
        <f>IF(VLOOKUP(TableFields[Field],Columns[],6,0)=0,"","-&gt;"&amp;VLOOKUP(TableFields[Field],Columns[],6,0))</f>
        <v>-&gt;index()</v>
      </c>
      <c r="H83" s="1" t="str">
        <f>IF(VLOOKUP(TableFields[Field],Columns[],7,0)=0,"","-&gt;"&amp;VLOOKUP(TableFields[Field],Columns[],7,0))</f>
        <v/>
      </c>
      <c r="I83" s="1" t="str">
        <f>IF(VLOOKUP(TableFields[Field],Columns[],8,0)=0,"","-&gt;"&amp;VLOOKUP(TableFields[Field],Columns[],8,0))</f>
        <v/>
      </c>
      <c r="J83" s="1" t="str">
        <f>IF(VLOOKUP(TableFields[Field],Columns[],9,0)=0,"","-&gt;"&amp;VLOOKUP(TableFields[Field],Columns[],9,0))</f>
        <v/>
      </c>
      <c r="K83" s="1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84" spans="1:11" x14ac:dyDescent="0.25">
      <c r="A84" s="1" t="s">
        <v>114</v>
      </c>
      <c r="B84" s="1" t="s">
        <v>1826</v>
      </c>
      <c r="C84" s="1" t="str">
        <f>VLOOKUP(TableFields[Field],Columns[],2,0)&amp;"("</f>
        <v>string(</v>
      </c>
      <c r="D84" s="1" t="str">
        <f>IF(VLOOKUP(TableFields[Field],Columns[],3,0)&lt;&gt;"","'"&amp;VLOOKUP(TableFields[Field],Columns[],3,0)&amp;"'","")</f>
        <v>'icon'</v>
      </c>
      <c r="E8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4" s="1" t="str">
        <f>IF(VLOOKUP(TableFields[Field],Columns[],5,0)=0,"","-&gt;"&amp;VLOOKUP(TableFields[Field],Columns[],5,0))</f>
        <v>-&gt;nullable()</v>
      </c>
      <c r="G84" s="1" t="str">
        <f>IF(VLOOKUP(TableFields[Field],Columns[],6,0)=0,"","-&gt;"&amp;VLOOKUP(TableFields[Field],Columns[],6,0))</f>
        <v/>
      </c>
      <c r="H84" s="1" t="str">
        <f>IF(VLOOKUP(TableFields[Field],Columns[],7,0)=0,"","-&gt;"&amp;VLOOKUP(TableFields[Field],Columns[],7,0))</f>
        <v/>
      </c>
      <c r="I84" s="1" t="str">
        <f>IF(VLOOKUP(TableFields[Field],Columns[],8,0)=0,"","-&gt;"&amp;VLOOKUP(TableFields[Field],Columns[],8,0))</f>
        <v/>
      </c>
      <c r="J84" s="1" t="str">
        <f>IF(VLOOKUP(TableFields[Field],Columns[],9,0)=0,"","-&gt;"&amp;VLOOKUP(TableFields[Field],Columns[],9,0))</f>
        <v/>
      </c>
      <c r="K84" s="1" t="str">
        <f>"$table-&gt;"&amp;TableFields[Type]&amp;TableFields[Name]&amp;TableFields[Arg2]&amp;TableFields[Method1]&amp;TableFields[Method2]&amp;TableFields[Method3]&amp;TableFields[Method4]&amp;TableFields[Method5]&amp;";"</f>
        <v>$table-&gt;string('icon', '128')-&gt;nullable();</v>
      </c>
    </row>
    <row r="85" spans="1:11" x14ac:dyDescent="0.25">
      <c r="A85" s="1" t="s">
        <v>114</v>
      </c>
      <c r="B85" s="1" t="s">
        <v>1871</v>
      </c>
      <c r="C85" s="5" t="str">
        <f>VLOOKUP(TableFields[Field],Columns[],2,0)&amp;"("</f>
        <v>string(</v>
      </c>
      <c r="D85" s="5" t="str">
        <f>IF(VLOOKUP(TableFields[Field],Columns[],3,0)&lt;&gt;"","'"&amp;VLOOKUP(TableFields[Field],Columns[],3,0)&amp;"'","")</f>
        <v>'home_display'</v>
      </c>
      <c r="E8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5" s="5" t="str">
        <f>IF(VLOOKUP(TableFields[Field],Columns[],5,0)=0,"","-&gt;"&amp;VLOOKUP(TableFields[Field],Columns[],5,0))</f>
        <v>-&gt;nullable()</v>
      </c>
      <c r="G85" s="5" t="str">
        <f>IF(VLOOKUP(TableFields[Field],Columns[],6,0)=0,"","-&gt;"&amp;VLOOKUP(TableFields[Field],Columns[],6,0))</f>
        <v/>
      </c>
      <c r="H85" s="5" t="str">
        <f>IF(VLOOKUP(TableFields[Field],Columns[],7,0)=0,"","-&gt;"&amp;VLOOKUP(TableFields[Field],Columns[],7,0))</f>
        <v/>
      </c>
      <c r="I85" s="5" t="str">
        <f>IF(VLOOKUP(TableFields[Field],Columns[],8,0)=0,"","-&gt;"&amp;VLOOKUP(TableFields[Field],Columns[],8,0))</f>
        <v/>
      </c>
      <c r="J85" s="5" t="str">
        <f>IF(VLOOKUP(TableFields[Field],Columns[],9,0)=0,"","-&gt;"&amp;VLOOKUP(TableFields[Field],Columns[],9,0))</f>
        <v/>
      </c>
      <c r="K85" s="5" t="str">
        <f>"$table-&gt;"&amp;TableFields[Type]&amp;TableFields[Name]&amp;TableFields[Arg2]&amp;TableFields[Method1]&amp;TableFields[Method2]&amp;TableFields[Method3]&amp;TableFields[Method4]&amp;TableFields[Method5]&amp;";"</f>
        <v>$table-&gt;string('home_display', '128')-&gt;nullable();</v>
      </c>
    </row>
    <row r="86" spans="1:11" x14ac:dyDescent="0.25">
      <c r="A86" s="1" t="s">
        <v>114</v>
      </c>
      <c r="B86" s="1" t="s">
        <v>1827</v>
      </c>
      <c r="C86" s="1" t="str">
        <f>VLOOKUP(TableFields[Field],Columns[],2,0)&amp;"("</f>
        <v>string(</v>
      </c>
      <c r="D86" s="1" t="str">
        <f>IF(VLOOKUP(TableFields[Field],Columns[],3,0)&lt;&gt;"","'"&amp;VLOOKUP(TableFields[Field],Columns[],3,0)&amp;"'","")</f>
        <v>'drawer_display'</v>
      </c>
      <c r="E8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6" s="1" t="str">
        <f>IF(VLOOKUP(TableFields[Field],Columns[],5,0)=0,"","-&gt;"&amp;VLOOKUP(TableFields[Field],Columns[],5,0))</f>
        <v>-&gt;nullable()</v>
      </c>
      <c r="G86" s="1" t="str">
        <f>IF(VLOOKUP(TableFields[Field],Columns[],6,0)=0,"","-&gt;"&amp;VLOOKUP(TableFields[Field],Columns[],6,0))</f>
        <v/>
      </c>
      <c r="H86" s="1" t="str">
        <f>IF(VLOOKUP(TableFields[Field],Columns[],7,0)=0,"","-&gt;"&amp;VLOOKUP(TableFields[Field],Columns[],7,0))</f>
        <v/>
      </c>
      <c r="I86" s="1" t="str">
        <f>IF(VLOOKUP(TableFields[Field],Columns[],8,0)=0,"","-&gt;"&amp;VLOOKUP(TableFields[Field],Columns[],8,0))</f>
        <v/>
      </c>
      <c r="J86" s="1" t="str">
        <f>IF(VLOOKUP(TableFields[Field],Columns[],9,0)=0,"","-&gt;"&amp;VLOOKUP(TableFields[Field],Columns[],9,0))</f>
        <v/>
      </c>
      <c r="K86" s="1" t="str">
        <f>"$table-&gt;"&amp;TableFields[Type]&amp;TableFields[Name]&amp;TableFields[Arg2]&amp;TableFields[Method1]&amp;TableFields[Method2]&amp;TableFields[Method3]&amp;TableFields[Method4]&amp;TableFields[Method5]&amp;";"</f>
        <v>$table-&gt;string('drawer_display', '128')-&gt;nullable();</v>
      </c>
    </row>
    <row r="87" spans="1:11" x14ac:dyDescent="0.25">
      <c r="A87" s="1" t="s">
        <v>114</v>
      </c>
      <c r="B87" s="1" t="s">
        <v>1829</v>
      </c>
      <c r="C87" s="1" t="str">
        <f>VLOOKUP(TableFields[Field],Columns[],2,0)&amp;"("</f>
        <v>tinyInteger(</v>
      </c>
      <c r="D87" s="1" t="str">
        <f>IF(VLOOKUP(TableFields[Field],Columns[],3,0)&lt;&gt;"","'"&amp;VLOOKUP(TableFields[Field],Columns[],3,0)&amp;"'","")</f>
        <v>'order'</v>
      </c>
      <c r="E8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7" s="1" t="str">
        <f>IF(VLOOKUP(TableFields[Field],Columns[],5,0)=0,"","-&gt;"&amp;VLOOKUP(TableFields[Field],Columns[],5,0))</f>
        <v>-&gt;nullable()</v>
      </c>
      <c r="G87" s="1" t="str">
        <f>IF(VLOOKUP(TableFields[Field],Columns[],6,0)=0,"","-&gt;"&amp;VLOOKUP(TableFields[Field],Columns[],6,0))</f>
        <v>-&gt;default('1')</v>
      </c>
      <c r="H87" s="1" t="str">
        <f>IF(VLOOKUP(TableFields[Field],Columns[],7,0)=0,"","-&gt;"&amp;VLOOKUP(TableFields[Field],Columns[],7,0))</f>
        <v/>
      </c>
      <c r="I87" s="1" t="str">
        <f>IF(VLOOKUP(TableFields[Field],Columns[],8,0)=0,"","-&gt;"&amp;VLOOKUP(TableFields[Field],Columns[],8,0))</f>
        <v/>
      </c>
      <c r="J87" s="1" t="str">
        <f>IF(VLOOKUP(TableFields[Field],Columns[],9,0)=0,"","-&gt;"&amp;VLOOKUP(TableFields[Field],Columns[],9,0))</f>
        <v/>
      </c>
      <c r="K87" s="1" t="str">
        <f>"$table-&gt;"&amp;TableFields[Type]&amp;TableFields[Name]&amp;TableFields[Arg2]&amp;TableFields[Method1]&amp;TableFields[Method2]&amp;TableFields[Method3]&amp;TableFields[Method4]&amp;TableFields[Method5]&amp;";"</f>
        <v>$table-&gt;tinyInteger('order')-&gt;nullable()-&gt;default('1');</v>
      </c>
    </row>
    <row r="88" spans="1:11" x14ac:dyDescent="0.25">
      <c r="A88" s="1" t="s">
        <v>114</v>
      </c>
      <c r="B88" s="1" t="s">
        <v>775</v>
      </c>
      <c r="C88" s="1" t="str">
        <f>VLOOKUP(TableFields[Field],Columns[],2,0)&amp;"("</f>
        <v>enum(</v>
      </c>
      <c r="D88" s="1" t="str">
        <f>IF(VLOOKUP(TableFields[Field],Columns[],3,0)&lt;&gt;"","'"&amp;VLOOKUP(TableFields[Field],Columns[],3,0)&amp;"'","")</f>
        <v>'status'</v>
      </c>
      <c r="E8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88" s="1" t="str">
        <f>IF(VLOOKUP(TableFields[Field],Columns[],5,0)=0,"","-&gt;"&amp;VLOOKUP(TableFields[Field],Columns[],5,0))</f>
        <v>-&gt;nullable()</v>
      </c>
      <c r="G88" s="1" t="str">
        <f>IF(VLOOKUP(TableFields[Field],Columns[],6,0)=0,"","-&gt;"&amp;VLOOKUP(TableFields[Field],Columns[],6,0))</f>
        <v>-&gt;default('Active')</v>
      </c>
      <c r="H88" s="1" t="str">
        <f>IF(VLOOKUP(TableFields[Field],Columns[],7,0)=0,"","-&gt;"&amp;VLOOKUP(TableFields[Field],Columns[],7,0))</f>
        <v/>
      </c>
      <c r="I88" s="1" t="str">
        <f>IF(VLOOKUP(TableFields[Field],Columns[],8,0)=0,"","-&gt;"&amp;VLOOKUP(TableFields[Field],Columns[],8,0))</f>
        <v/>
      </c>
      <c r="J88" s="1" t="str">
        <f>IF(VLOOKUP(TableFields[Field],Columns[],9,0)=0,"","-&gt;"&amp;VLOOKUP(TableFields[Field],Columns[],9,0))</f>
        <v/>
      </c>
      <c r="K88" s="1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89" spans="1:11" x14ac:dyDescent="0.25">
      <c r="A89" s="1" t="s">
        <v>114</v>
      </c>
      <c r="B89" s="1" t="s">
        <v>288</v>
      </c>
      <c r="C89" s="1" t="str">
        <f>VLOOKUP(TableFields[Field],Columns[],2,0)&amp;"("</f>
        <v>audit(</v>
      </c>
      <c r="D89" s="1" t="str">
        <f>IF(VLOOKUP(TableFields[Field],Columns[],3,0)&lt;&gt;"","'"&amp;VLOOKUP(TableFields[Field],Columns[],3,0)&amp;"'","")</f>
        <v/>
      </c>
      <c r="E8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9" s="1" t="str">
        <f>IF(VLOOKUP(TableFields[Field],Columns[],5,0)=0,"","-&gt;"&amp;VLOOKUP(TableFields[Field],Columns[],5,0))</f>
        <v/>
      </c>
      <c r="G89" s="1" t="str">
        <f>IF(VLOOKUP(TableFields[Field],Columns[],6,0)=0,"","-&gt;"&amp;VLOOKUP(TableFields[Field],Columns[],6,0))</f>
        <v/>
      </c>
      <c r="H89" s="1" t="str">
        <f>IF(VLOOKUP(TableFields[Field],Columns[],7,0)=0,"","-&gt;"&amp;VLOOKUP(TableFields[Field],Columns[],7,0))</f>
        <v/>
      </c>
      <c r="I89" s="1" t="str">
        <f>IF(VLOOKUP(TableFields[Field],Columns[],8,0)=0,"","-&gt;"&amp;VLOOKUP(TableFields[Field],Columns[],8,0))</f>
        <v/>
      </c>
      <c r="J89" s="1" t="str">
        <f>IF(VLOOKUP(TableFields[Field],Columns[],9,0)=0,"","-&gt;"&amp;VLOOKUP(TableFields[Field],Columns[],9,0))</f>
        <v/>
      </c>
      <c r="K89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0" spans="1:11" x14ac:dyDescent="0.25">
      <c r="A90" s="1" t="s">
        <v>758</v>
      </c>
      <c r="B90" s="1" t="s">
        <v>21</v>
      </c>
      <c r="C90" s="1" t="str">
        <f>VLOOKUP(TableFields[Field],Columns[],2,0)&amp;"("</f>
        <v>bigIncrements(</v>
      </c>
      <c r="D90" s="1" t="str">
        <f>IF(VLOOKUP(TableFields[Field],Columns[],3,0)&lt;&gt;"","'"&amp;VLOOKUP(TableFields[Field],Columns[],3,0)&amp;"'","")</f>
        <v>'id'</v>
      </c>
      <c r="E9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0" s="1" t="str">
        <f>IF(VLOOKUP(TableFields[Field],Columns[],5,0)=0,"","-&gt;"&amp;VLOOKUP(TableFields[Field],Columns[],5,0))</f>
        <v/>
      </c>
      <c r="G90" s="1" t="str">
        <f>IF(VLOOKUP(TableFields[Field],Columns[],6,0)=0,"","-&gt;"&amp;VLOOKUP(TableFields[Field],Columns[],6,0))</f>
        <v/>
      </c>
      <c r="H90" s="1" t="str">
        <f>IF(VLOOKUP(TableFields[Field],Columns[],7,0)=0,"","-&gt;"&amp;VLOOKUP(TableFields[Field],Columns[],7,0))</f>
        <v/>
      </c>
      <c r="I90" s="1" t="str">
        <f>IF(VLOOKUP(TableFields[Field],Columns[],8,0)=0,"","-&gt;"&amp;VLOOKUP(TableFields[Field],Columns[],8,0))</f>
        <v/>
      </c>
      <c r="J90" s="1" t="str">
        <f>IF(VLOOKUP(TableFields[Field],Columns[],9,0)=0,"","-&gt;"&amp;VLOOKUP(TableFields[Field],Columns[],9,0))</f>
        <v/>
      </c>
      <c r="K90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1" spans="1:11" x14ac:dyDescent="0.25">
      <c r="A91" s="1" t="s">
        <v>758</v>
      </c>
      <c r="B91" s="4" t="s">
        <v>768</v>
      </c>
      <c r="C91" s="4" t="str">
        <f>VLOOKUP(TableFields[Field],Columns[],2,0)&amp;"("</f>
        <v>char(</v>
      </c>
      <c r="D91" s="4" t="str">
        <f>IF(VLOOKUP(TableFields[Field],Columns[],3,0)&lt;&gt;"","'"&amp;VLOOKUP(TableFields[Field],Columns[],3,0)&amp;"'","")</f>
        <v>'code'</v>
      </c>
      <c r="E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1" s="4" t="str">
        <f>IF(VLOOKUP(TableFields[Field],Columns[],5,0)=0,"","-&gt;"&amp;VLOOKUP(TableFields[Field],Columns[],5,0))</f>
        <v>-&gt;nullable()</v>
      </c>
      <c r="G91" s="4" t="str">
        <f>IF(VLOOKUP(TableFields[Field],Columns[],6,0)=0,"","-&gt;"&amp;VLOOKUP(TableFields[Field],Columns[],6,0))</f>
        <v>-&gt;index()</v>
      </c>
      <c r="H91" s="4" t="str">
        <f>IF(VLOOKUP(TableFields[Field],Columns[],7,0)=0,"","-&gt;"&amp;VLOOKUP(TableFields[Field],Columns[],7,0))</f>
        <v/>
      </c>
      <c r="I91" s="4" t="str">
        <f>IF(VLOOKUP(TableFields[Field],Columns[],8,0)=0,"","-&gt;"&amp;VLOOKUP(TableFields[Field],Columns[],8,0))</f>
        <v/>
      </c>
      <c r="J91" s="4" t="str">
        <f>IF(VLOOKUP(TableFields[Field],Columns[],9,0)=0,"","-&gt;"&amp;VLOOKUP(TableFields[Field],Columns[],9,0))</f>
        <v/>
      </c>
      <c r="K91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92" spans="1:11" x14ac:dyDescent="0.25">
      <c r="A92" s="2" t="s">
        <v>758</v>
      </c>
      <c r="B92" s="4" t="s">
        <v>23</v>
      </c>
      <c r="C92" s="4" t="str">
        <f>VLOOKUP(TableFields[Field],Columns[],2,0)&amp;"("</f>
        <v>string(</v>
      </c>
      <c r="D92" s="4" t="str">
        <f>IF(VLOOKUP(TableFields[Field],Columns[],3,0)&lt;&gt;"","'"&amp;VLOOKUP(TableFields[Field],Columns[],3,0)&amp;"'","")</f>
        <v>'name'</v>
      </c>
      <c r="E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92" s="4" t="str">
        <f>IF(VLOOKUP(TableFields[Field],Columns[],5,0)=0,"","-&gt;"&amp;VLOOKUP(TableFields[Field],Columns[],5,0))</f>
        <v>-&gt;nullable()</v>
      </c>
      <c r="G92" s="4" t="str">
        <f>IF(VLOOKUP(TableFields[Field],Columns[],6,0)=0,"","-&gt;"&amp;VLOOKUP(TableFields[Field],Columns[],6,0))</f>
        <v>-&gt;index()</v>
      </c>
      <c r="H92" s="4" t="str">
        <f>IF(VLOOKUP(TableFields[Field],Columns[],7,0)=0,"","-&gt;"&amp;VLOOKUP(TableFields[Field],Columns[],7,0))</f>
        <v/>
      </c>
      <c r="I92" s="4" t="str">
        <f>IF(VLOOKUP(TableFields[Field],Columns[],8,0)=0,"","-&gt;"&amp;VLOOKUP(TableFields[Field],Columns[],8,0))</f>
        <v/>
      </c>
      <c r="J92" s="4" t="str">
        <f>IF(VLOOKUP(TableFields[Field],Columns[],9,0)=0,"","-&gt;"&amp;VLOOKUP(TableFields[Field],Columns[],9,0))</f>
        <v/>
      </c>
      <c r="K9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93" spans="1:11" x14ac:dyDescent="0.25">
      <c r="A93" s="2" t="s">
        <v>758</v>
      </c>
      <c r="B93" s="4" t="s">
        <v>772</v>
      </c>
      <c r="C93" s="4" t="str">
        <f>VLOOKUP(TableFields[Field],Columns[],2,0)&amp;"("</f>
        <v>enum(</v>
      </c>
      <c r="D93" s="4" t="str">
        <f>IF(VLOOKUP(TableFields[Field],Columns[],3,0)&lt;&gt;"","'"&amp;VLOOKUP(TableFields[Field],Columns[],3,0)&amp;"'","")</f>
        <v>'type'</v>
      </c>
      <c r="E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93" s="4" t="str">
        <f>IF(VLOOKUP(TableFields[Field],Columns[],5,0)=0,"","-&gt;"&amp;VLOOKUP(TableFields[Field],Columns[],5,0))</f>
        <v>-&gt;nullable()</v>
      </c>
      <c r="G93" s="4" t="str">
        <f>IF(VLOOKUP(TableFields[Field],Columns[],6,0)=0,"","-&gt;"&amp;VLOOKUP(TableFields[Field],Columns[],6,0))</f>
        <v>-&gt;default('Public')</v>
      </c>
      <c r="H93" s="4" t="str">
        <f>IF(VLOOKUP(TableFields[Field],Columns[],7,0)=0,"","-&gt;"&amp;VLOOKUP(TableFields[Field],Columns[],7,0))</f>
        <v/>
      </c>
      <c r="I93" s="4" t="str">
        <f>IF(VLOOKUP(TableFields[Field],Columns[],8,0)=0,"","-&gt;"&amp;VLOOKUP(TableFields[Field],Columns[],8,0))</f>
        <v/>
      </c>
      <c r="J93" s="4" t="str">
        <f>IF(VLOOKUP(TableFields[Field],Columns[],9,0)=0,"","-&gt;"&amp;VLOOKUP(TableFields[Field],Columns[],9,0))</f>
        <v/>
      </c>
      <c r="K93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94" spans="1:11" x14ac:dyDescent="0.25">
      <c r="A94" s="2" t="s">
        <v>758</v>
      </c>
      <c r="B94" s="4" t="s">
        <v>775</v>
      </c>
      <c r="C94" s="4" t="str">
        <f>VLOOKUP(TableFields[Field],Columns[],2,0)&amp;"("</f>
        <v>enum(</v>
      </c>
      <c r="D94" s="4" t="str">
        <f>IF(VLOOKUP(TableFields[Field],Columns[],3,0)&lt;&gt;"","'"&amp;VLOOKUP(TableFields[Field],Columns[],3,0)&amp;"'","")</f>
        <v>'status'</v>
      </c>
      <c r="E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94" s="4" t="str">
        <f>IF(VLOOKUP(TableFields[Field],Columns[],5,0)=0,"","-&gt;"&amp;VLOOKUP(TableFields[Field],Columns[],5,0))</f>
        <v>-&gt;nullable()</v>
      </c>
      <c r="G94" s="4" t="str">
        <f>IF(VLOOKUP(TableFields[Field],Columns[],6,0)=0,"","-&gt;"&amp;VLOOKUP(TableFields[Field],Columns[],6,0))</f>
        <v>-&gt;default('Active')</v>
      </c>
      <c r="H94" s="4" t="str">
        <f>IF(VLOOKUP(TableFields[Field],Columns[],7,0)=0,"","-&gt;"&amp;VLOOKUP(TableFields[Field],Columns[],7,0))</f>
        <v/>
      </c>
      <c r="I94" s="4" t="str">
        <f>IF(VLOOKUP(TableFields[Field],Columns[],8,0)=0,"","-&gt;"&amp;VLOOKUP(TableFields[Field],Columns[],8,0))</f>
        <v/>
      </c>
      <c r="J94" s="4" t="str">
        <f>IF(VLOOKUP(TableFields[Field],Columns[],9,0)=0,"","-&gt;"&amp;VLOOKUP(TableFields[Field],Columns[],9,0))</f>
        <v/>
      </c>
      <c r="K9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95" spans="1:11" x14ac:dyDescent="0.25">
      <c r="A95" s="2" t="s">
        <v>758</v>
      </c>
      <c r="B95" s="4" t="s">
        <v>288</v>
      </c>
      <c r="C95" s="4" t="str">
        <f>VLOOKUP(TableFields[Field],Columns[],2,0)&amp;"("</f>
        <v>audit(</v>
      </c>
      <c r="D95" s="4" t="str">
        <f>IF(VLOOKUP(TableFields[Field],Columns[],3,0)&lt;&gt;"","'"&amp;VLOOKUP(TableFields[Field],Columns[],3,0)&amp;"'","")</f>
        <v/>
      </c>
      <c r="E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5" s="4" t="str">
        <f>IF(VLOOKUP(TableFields[Field],Columns[],5,0)=0,"","-&gt;"&amp;VLOOKUP(TableFields[Field],Columns[],5,0))</f>
        <v/>
      </c>
      <c r="G95" s="4" t="str">
        <f>IF(VLOOKUP(TableFields[Field],Columns[],6,0)=0,"","-&gt;"&amp;VLOOKUP(TableFields[Field],Columns[],6,0))</f>
        <v/>
      </c>
      <c r="H95" s="4" t="str">
        <f>IF(VLOOKUP(TableFields[Field],Columns[],7,0)=0,"","-&gt;"&amp;VLOOKUP(TableFields[Field],Columns[],7,0))</f>
        <v/>
      </c>
      <c r="I95" s="4" t="str">
        <f>IF(VLOOKUP(TableFields[Field],Columns[],8,0)=0,"","-&gt;"&amp;VLOOKUP(TableFields[Field],Columns[],8,0))</f>
        <v/>
      </c>
      <c r="J95" s="4" t="str">
        <f>IF(VLOOKUP(TableFields[Field],Columns[],9,0)=0,"","-&gt;"&amp;VLOOKUP(TableFields[Field],Columns[],9,0))</f>
        <v/>
      </c>
      <c r="K9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6" spans="1:11" x14ac:dyDescent="0.25">
      <c r="A96" s="2" t="s">
        <v>755</v>
      </c>
      <c r="B96" s="4" t="s">
        <v>21</v>
      </c>
      <c r="C96" s="4" t="str">
        <f>VLOOKUP(TableFields[Field],Columns[],2,0)&amp;"("</f>
        <v>bigIncrements(</v>
      </c>
      <c r="D96" s="4" t="str">
        <f>IF(VLOOKUP(TableFields[Field],Columns[],3,0)&lt;&gt;"","'"&amp;VLOOKUP(TableFields[Field],Columns[],3,0)&amp;"'","")</f>
        <v>'id'</v>
      </c>
      <c r="E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6" s="4" t="str">
        <f>IF(VLOOKUP(TableFields[Field],Columns[],5,0)=0,"","-&gt;"&amp;VLOOKUP(TableFields[Field],Columns[],5,0))</f>
        <v/>
      </c>
      <c r="G96" s="4" t="str">
        <f>IF(VLOOKUP(TableFields[Field],Columns[],6,0)=0,"","-&gt;"&amp;VLOOKUP(TableFields[Field],Columns[],6,0))</f>
        <v/>
      </c>
      <c r="H96" s="4" t="str">
        <f>IF(VLOOKUP(TableFields[Field],Columns[],7,0)=0,"","-&gt;"&amp;VLOOKUP(TableFields[Field],Columns[],7,0))</f>
        <v/>
      </c>
      <c r="I96" s="4" t="str">
        <f>IF(VLOOKUP(TableFields[Field],Columns[],8,0)=0,"","-&gt;"&amp;VLOOKUP(TableFields[Field],Columns[],8,0))</f>
        <v/>
      </c>
      <c r="J96" s="4" t="str">
        <f>IF(VLOOKUP(TableFields[Field],Columns[],9,0)=0,"","-&gt;"&amp;VLOOKUP(TableFields[Field],Columns[],9,0))</f>
        <v/>
      </c>
      <c r="K9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7" spans="1:11" x14ac:dyDescent="0.25">
      <c r="A97" s="2" t="s">
        <v>755</v>
      </c>
      <c r="B97" s="4" t="s">
        <v>780</v>
      </c>
      <c r="C97" s="4" t="str">
        <f>VLOOKUP(TableFields[Field],Columns[],2,0)&amp;"("</f>
        <v>foreignCascade(</v>
      </c>
      <c r="D97" s="4" t="str">
        <f>IF(VLOOKUP(TableFields[Field],Columns[],3,0)&lt;&gt;"","'"&amp;VLOOKUP(TableFields[Field],Columns[],3,0)&amp;"'","")</f>
        <v>'area'</v>
      </c>
      <c r="E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97" s="4" t="str">
        <f>IF(VLOOKUP(TableFields[Field],Columns[],5,0)=0,"","-&gt;"&amp;VLOOKUP(TableFields[Field],Columns[],5,0))</f>
        <v/>
      </c>
      <c r="G97" s="4" t="str">
        <f>IF(VLOOKUP(TableFields[Field],Columns[],6,0)=0,"","-&gt;"&amp;VLOOKUP(TableFields[Field],Columns[],6,0))</f>
        <v/>
      </c>
      <c r="H97" s="4" t="str">
        <f>IF(VLOOKUP(TableFields[Field],Columns[],7,0)=0,"","-&gt;"&amp;VLOOKUP(TableFields[Field],Columns[],7,0))</f>
        <v/>
      </c>
      <c r="I97" s="4" t="str">
        <f>IF(VLOOKUP(TableFields[Field],Columns[],8,0)=0,"","-&gt;"&amp;VLOOKUP(TableFields[Field],Columns[],8,0))</f>
        <v/>
      </c>
      <c r="J97" s="4" t="str">
        <f>IF(VLOOKUP(TableFields[Field],Columns[],9,0)=0,"","-&gt;"&amp;VLOOKUP(TableFields[Field],Columns[],9,0))</f>
        <v/>
      </c>
      <c r="K97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98" spans="1:11" x14ac:dyDescent="0.25">
      <c r="A98" s="2" t="s">
        <v>755</v>
      </c>
      <c r="B98" s="4" t="s">
        <v>783</v>
      </c>
      <c r="C98" s="4" t="str">
        <f>VLOOKUP(TableFields[Field],Columns[],2,0)&amp;"("</f>
        <v>unsignedBigInteger(</v>
      </c>
      <c r="D98" s="4" t="str">
        <f>IF(VLOOKUP(TableFields[Field],Columns[],3,0)&lt;&gt;"","'"&amp;VLOOKUP(TableFields[Field],Columns[],3,0)&amp;"'","")</f>
        <v>'user'</v>
      </c>
      <c r="E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8" s="4" t="str">
        <f>IF(VLOOKUP(TableFields[Field],Columns[],5,0)=0,"","-&gt;"&amp;VLOOKUP(TableFields[Field],Columns[],5,0))</f>
        <v/>
      </c>
      <c r="G98" s="4" t="str">
        <f>IF(VLOOKUP(TableFields[Field],Columns[],6,0)=0,"","-&gt;"&amp;VLOOKUP(TableFields[Field],Columns[],6,0))</f>
        <v/>
      </c>
      <c r="H98" s="4" t="str">
        <f>IF(VLOOKUP(TableFields[Field],Columns[],7,0)=0,"","-&gt;"&amp;VLOOKUP(TableFields[Field],Columns[],7,0))</f>
        <v/>
      </c>
      <c r="I98" s="4" t="str">
        <f>IF(VLOOKUP(TableFields[Field],Columns[],8,0)=0,"","-&gt;"&amp;VLOOKUP(TableFields[Field],Columns[],8,0))</f>
        <v/>
      </c>
      <c r="J98" s="4" t="str">
        <f>IF(VLOOKUP(TableFields[Field],Columns[],9,0)=0,"","-&gt;"&amp;VLOOKUP(TableFields[Field],Columns[],9,0))</f>
        <v/>
      </c>
      <c r="K98" s="4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$table-&gt;unsignedBigInteger('user');</v>
      </c>
    </row>
    <row r="99" spans="1:11" x14ac:dyDescent="0.25">
      <c r="A99" s="2" t="s">
        <v>755</v>
      </c>
      <c r="B99" s="4" t="s">
        <v>288</v>
      </c>
      <c r="C99" s="4" t="str">
        <f>VLOOKUP(TableFields[Field],Columns[],2,0)&amp;"("</f>
        <v>audit(</v>
      </c>
      <c r="D99" s="4" t="str">
        <f>IF(VLOOKUP(TableFields[Field],Columns[],3,0)&lt;&gt;"","'"&amp;VLOOKUP(TableFields[Field],Columns[],3,0)&amp;"'","")</f>
        <v/>
      </c>
      <c r="E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9" s="4" t="str">
        <f>IF(VLOOKUP(TableFields[Field],Columns[],5,0)=0,"","-&gt;"&amp;VLOOKUP(TableFields[Field],Columns[],5,0))</f>
        <v/>
      </c>
      <c r="G99" s="4" t="str">
        <f>IF(VLOOKUP(TableFields[Field],Columns[],6,0)=0,"","-&gt;"&amp;VLOOKUP(TableFields[Field],Columns[],6,0))</f>
        <v/>
      </c>
      <c r="H99" s="4" t="str">
        <f>IF(VLOOKUP(TableFields[Field],Columns[],7,0)=0,"","-&gt;"&amp;VLOOKUP(TableFields[Field],Columns[],7,0))</f>
        <v/>
      </c>
      <c r="I99" s="4" t="str">
        <f>IF(VLOOKUP(TableFields[Field],Columns[],8,0)=0,"","-&gt;"&amp;VLOOKUP(TableFields[Field],Columns[],8,0))</f>
        <v/>
      </c>
      <c r="J99" s="4" t="str">
        <f>IF(VLOOKUP(TableFields[Field],Columns[],9,0)=0,"","-&gt;"&amp;VLOOKUP(TableFields[Field],Columns[],9,0))</f>
        <v/>
      </c>
      <c r="K9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00" spans="1:11" x14ac:dyDescent="0.25">
      <c r="A100" s="2" t="s">
        <v>755</v>
      </c>
      <c r="B100" s="4" t="s">
        <v>792</v>
      </c>
      <c r="C100" s="4" t="str">
        <f>VLOOKUP(TableFields[Field],Columns[],2,0)&amp;"("</f>
        <v>foreign(</v>
      </c>
      <c r="D100" s="4" t="str">
        <f>IF(VLOOKUP(TableFields[Field],Columns[],3,0)&lt;&gt;"","'"&amp;VLOOKUP(TableFields[Field],Columns[],3,0)&amp;"'","")</f>
        <v>'user'</v>
      </c>
      <c r="E1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0" s="4" t="str">
        <f>IF(VLOOKUP(TableFields[Field],Columns[],5,0)=0,"","-&gt;"&amp;VLOOKUP(TableFields[Field],Columns[],5,0))</f>
        <v>-&gt;references('id')</v>
      </c>
      <c r="G100" s="4" t="str">
        <f>IF(VLOOKUP(TableFields[Field],Columns[],6,0)=0,"","-&gt;"&amp;VLOOKUP(TableFields[Field],Columns[],6,0))</f>
        <v>-&gt;on('users')</v>
      </c>
      <c r="H100" s="4" t="str">
        <f>IF(VLOOKUP(TableFields[Field],Columns[],7,0)=0,"","-&gt;"&amp;VLOOKUP(TableFields[Field],Columns[],7,0))</f>
        <v>-&gt;onUpdate('cascade')</v>
      </c>
      <c r="I100" s="4" t="str">
        <f>IF(VLOOKUP(TableFields[Field],Columns[],8,0)=0,"","-&gt;"&amp;VLOOKUP(TableFields[Field],Columns[],8,0))</f>
        <v>-&gt;onDelete('cascade')</v>
      </c>
      <c r="J100" s="4" t="str">
        <f>IF(VLOOKUP(TableFields[Field],Columns[],9,0)=0,"","-&gt;"&amp;VLOOKUP(TableFields[Field],Columns[],9,0))</f>
        <v/>
      </c>
      <c r="K100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$table-&gt;foreign('user')-&gt;references('id')-&gt;on('users')-&gt;onUpdate('cascade')-&gt;onDelete('cascade');</v>
      </c>
    </row>
    <row r="101" spans="1:11" x14ac:dyDescent="0.25">
      <c r="A101" s="2" t="s">
        <v>757</v>
      </c>
      <c r="B101" s="4" t="s">
        <v>21</v>
      </c>
      <c r="C101" s="4" t="str">
        <f>VLOOKUP(TableFields[Field],Columns[],2,0)&amp;"("</f>
        <v>bigIncrements(</v>
      </c>
      <c r="D101" s="4" t="str">
        <f>IF(VLOOKUP(TableFields[Field],Columns[],3,0)&lt;&gt;"","'"&amp;VLOOKUP(TableFields[Field],Columns[],3,0)&amp;"'","")</f>
        <v>'id'</v>
      </c>
      <c r="E1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1" s="4" t="str">
        <f>IF(VLOOKUP(TableFields[Field],Columns[],5,0)=0,"","-&gt;"&amp;VLOOKUP(TableFields[Field],Columns[],5,0))</f>
        <v/>
      </c>
      <c r="G101" s="4" t="str">
        <f>IF(VLOOKUP(TableFields[Field],Columns[],6,0)=0,"","-&gt;"&amp;VLOOKUP(TableFields[Field],Columns[],6,0))</f>
        <v/>
      </c>
      <c r="H101" s="4" t="str">
        <f>IF(VLOOKUP(TableFields[Field],Columns[],7,0)=0,"","-&gt;"&amp;VLOOKUP(TableFields[Field],Columns[],7,0))</f>
        <v/>
      </c>
      <c r="I101" s="4" t="str">
        <f>IF(VLOOKUP(TableFields[Field],Columns[],8,0)=0,"","-&gt;"&amp;VLOOKUP(TableFields[Field],Columns[],8,0))</f>
        <v/>
      </c>
      <c r="J101" s="4" t="str">
        <f>IF(VLOOKUP(TableFields[Field],Columns[],9,0)=0,"","-&gt;"&amp;VLOOKUP(TableFields[Field],Columns[],9,0))</f>
        <v/>
      </c>
      <c r="K10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02" spans="1:11" x14ac:dyDescent="0.25">
      <c r="A102" s="2" t="s">
        <v>757</v>
      </c>
      <c r="B102" s="4" t="s">
        <v>790</v>
      </c>
      <c r="C102" s="4" t="str">
        <f>VLOOKUP(TableFields[Field],Columns[],2,0)&amp;"("</f>
        <v>char(</v>
      </c>
      <c r="D102" s="4" t="str">
        <f>IF(VLOOKUP(TableFields[Field],Columns[],3,0)&lt;&gt;"","'"&amp;VLOOKUP(TableFields[Field],Columns[],3,0)&amp;"'","")</f>
        <v>'catcode'</v>
      </c>
      <c r="E1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2" s="4" t="str">
        <f>IF(VLOOKUP(TableFields[Field],Columns[],5,0)=0,"","-&gt;"&amp;VLOOKUP(TableFields[Field],Columns[],5,0))</f>
        <v>-&gt;nullable()</v>
      </c>
      <c r="G102" s="4" t="str">
        <f>IF(VLOOKUP(TableFields[Field],Columns[],6,0)=0,"","-&gt;"&amp;VLOOKUP(TableFields[Field],Columns[],6,0))</f>
        <v>-&gt;index()</v>
      </c>
      <c r="H102" s="4" t="str">
        <f>IF(VLOOKUP(TableFields[Field],Columns[],7,0)=0,"","-&gt;"&amp;VLOOKUP(TableFields[Field],Columns[],7,0))</f>
        <v/>
      </c>
      <c r="I102" s="4" t="str">
        <f>IF(VLOOKUP(TableFields[Field],Columns[],8,0)=0,"","-&gt;"&amp;VLOOKUP(TableFields[Field],Columns[],8,0))</f>
        <v/>
      </c>
      <c r="J102" s="4" t="str">
        <f>IF(VLOOKUP(TableFields[Field],Columns[],9,0)=0,"","-&gt;"&amp;VLOOKUP(TableFields[Field],Columns[],9,0))</f>
        <v/>
      </c>
      <c r="K102" s="4" t="str">
        <f>"$table-&gt;"&amp;TableFields[Type]&amp;TableFields[Name]&amp;TableFields[Arg2]&amp;TableFields[Method1]&amp;TableFields[Method2]&amp;TableFields[Method3]&amp;TableFields[Method4]&amp;TableFields[Method5]&amp;";"</f>
        <v>$table-&gt;char('catcode', '15')-&gt;nullable()-&gt;index();</v>
      </c>
    </row>
    <row r="103" spans="1:11" x14ac:dyDescent="0.25">
      <c r="A103" s="2" t="s">
        <v>757</v>
      </c>
      <c r="B103" s="4" t="s">
        <v>768</v>
      </c>
      <c r="C103" s="4" t="str">
        <f>VLOOKUP(TableFields[Field],Columns[],2,0)&amp;"("</f>
        <v>char(</v>
      </c>
      <c r="D103" s="4" t="str">
        <f>IF(VLOOKUP(TableFields[Field],Columns[],3,0)&lt;&gt;"","'"&amp;VLOOKUP(TableFields[Field],Columns[],3,0)&amp;"'","")</f>
        <v>'code'</v>
      </c>
      <c r="E1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3" s="4" t="str">
        <f>IF(VLOOKUP(TableFields[Field],Columns[],5,0)=0,"","-&gt;"&amp;VLOOKUP(TableFields[Field],Columns[],5,0))</f>
        <v>-&gt;nullable()</v>
      </c>
      <c r="G103" s="4" t="str">
        <f>IF(VLOOKUP(TableFields[Field],Columns[],6,0)=0,"","-&gt;"&amp;VLOOKUP(TableFields[Field],Columns[],6,0))</f>
        <v>-&gt;index()</v>
      </c>
      <c r="H103" s="4" t="str">
        <f>IF(VLOOKUP(TableFields[Field],Columns[],7,0)=0,"","-&gt;"&amp;VLOOKUP(TableFields[Field],Columns[],7,0))</f>
        <v/>
      </c>
      <c r="I103" s="4" t="str">
        <f>IF(VLOOKUP(TableFields[Field],Columns[],8,0)=0,"","-&gt;"&amp;VLOOKUP(TableFields[Field],Columns[],8,0))</f>
        <v/>
      </c>
      <c r="J103" s="4" t="str">
        <f>IF(VLOOKUP(TableFields[Field],Columns[],9,0)=0,"","-&gt;"&amp;VLOOKUP(TableFields[Field],Columns[],9,0))</f>
        <v/>
      </c>
      <c r="K103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04" spans="1:11" x14ac:dyDescent="0.25">
      <c r="A104" s="2" t="s">
        <v>757</v>
      </c>
      <c r="B104" s="4" t="s">
        <v>23</v>
      </c>
      <c r="C104" s="4" t="str">
        <f>VLOOKUP(TableFields[Field],Columns[],2,0)&amp;"("</f>
        <v>string(</v>
      </c>
      <c r="D104" s="4" t="str">
        <f>IF(VLOOKUP(TableFields[Field],Columns[],3,0)&lt;&gt;"","'"&amp;VLOOKUP(TableFields[Field],Columns[],3,0)&amp;"'","")</f>
        <v>'name'</v>
      </c>
      <c r="E1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04" s="4" t="str">
        <f>IF(VLOOKUP(TableFields[Field],Columns[],5,0)=0,"","-&gt;"&amp;VLOOKUP(TableFields[Field],Columns[],5,0))</f>
        <v>-&gt;nullable()</v>
      </c>
      <c r="G104" s="4" t="str">
        <f>IF(VLOOKUP(TableFields[Field],Columns[],6,0)=0,"","-&gt;"&amp;VLOOKUP(TableFields[Field],Columns[],6,0))</f>
        <v>-&gt;index()</v>
      </c>
      <c r="H104" s="4" t="str">
        <f>IF(VLOOKUP(TableFields[Field],Columns[],7,0)=0,"","-&gt;"&amp;VLOOKUP(TableFields[Field],Columns[],7,0))</f>
        <v/>
      </c>
      <c r="I104" s="4" t="str">
        <f>IF(VLOOKUP(TableFields[Field],Columns[],8,0)=0,"","-&gt;"&amp;VLOOKUP(TableFields[Field],Columns[],8,0))</f>
        <v/>
      </c>
      <c r="J104" s="4" t="str">
        <f>IF(VLOOKUP(TableFields[Field],Columns[],9,0)=0,"","-&gt;"&amp;VLOOKUP(TableFields[Field],Columns[],9,0))</f>
        <v/>
      </c>
      <c r="K10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05" spans="1:11" x14ac:dyDescent="0.25">
      <c r="A105" s="2" t="s">
        <v>757</v>
      </c>
      <c r="B105" s="4" t="s">
        <v>875</v>
      </c>
      <c r="C105" s="4" t="str">
        <f>VLOOKUP(TableFields[Field],Columns[],2,0)&amp;"("</f>
        <v>char(</v>
      </c>
      <c r="D105" s="4" t="str">
        <f>IF(VLOOKUP(TableFields[Field],Columns[],3,0)&lt;&gt;"","'"&amp;VLOOKUP(TableFields[Field],Columns[],3,0)&amp;"'","")</f>
        <v>'cocode'</v>
      </c>
      <c r="E1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05" s="4" t="str">
        <f>IF(VLOOKUP(TableFields[Field],Columns[],5,0)=0,"","-&gt;"&amp;VLOOKUP(TableFields[Field],Columns[],5,0))</f>
        <v>-&gt;nullable()</v>
      </c>
      <c r="G105" s="4" t="str">
        <f>IF(VLOOKUP(TableFields[Field],Columns[],6,0)=0,"","-&gt;"&amp;VLOOKUP(TableFields[Field],Columns[],6,0))</f>
        <v>-&gt;index()</v>
      </c>
      <c r="H105" s="4" t="str">
        <f>IF(VLOOKUP(TableFields[Field],Columns[],7,0)=0,"","-&gt;"&amp;VLOOKUP(TableFields[Field],Columns[],7,0))</f>
        <v/>
      </c>
      <c r="I105" s="4" t="str">
        <f>IF(VLOOKUP(TableFields[Field],Columns[],8,0)=0,"","-&gt;"&amp;VLOOKUP(TableFields[Field],Columns[],8,0))</f>
        <v/>
      </c>
      <c r="J105" s="4" t="str">
        <f>IF(VLOOKUP(TableFields[Field],Columns[],9,0)=0,"","-&gt;"&amp;VLOOKUP(TableFields[Field],Columns[],9,0))</f>
        <v/>
      </c>
      <c r="K105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06" spans="1:11" x14ac:dyDescent="0.25">
      <c r="A106" s="2" t="s">
        <v>757</v>
      </c>
      <c r="B106" s="4" t="s">
        <v>1628</v>
      </c>
      <c r="C106" s="4" t="str">
        <f>VLOOKUP(TableFields[Field],Columns[],2,0)&amp;"("</f>
        <v>string(</v>
      </c>
      <c r="D106" s="4" t="str">
        <f>IF(VLOOKUP(TableFields[Field],Columns[],3,0)&lt;&gt;"","'"&amp;VLOOKUP(TableFields[Field],Columns[],3,0)&amp;"'","")</f>
        <v>'co_abr'</v>
      </c>
      <c r="E1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6" s="4" t="str">
        <f>IF(VLOOKUP(TableFields[Field],Columns[],5,0)=0,"","-&gt;"&amp;VLOOKUP(TableFields[Field],Columns[],5,0))</f>
        <v>-&gt;nullable()</v>
      </c>
      <c r="G106" s="4" t="str">
        <f>IF(VLOOKUP(TableFields[Field],Columns[],6,0)=0,"","-&gt;"&amp;VLOOKUP(TableFields[Field],Columns[],6,0))</f>
        <v/>
      </c>
      <c r="H106" s="4" t="str">
        <f>IF(VLOOKUP(TableFields[Field],Columns[],7,0)=0,"","-&gt;"&amp;VLOOKUP(TableFields[Field],Columns[],7,0))</f>
        <v/>
      </c>
      <c r="I106" s="4" t="str">
        <f>IF(VLOOKUP(TableFields[Field],Columns[],8,0)=0,"","-&gt;"&amp;VLOOKUP(TableFields[Field],Columns[],8,0))</f>
        <v/>
      </c>
      <c r="J106" s="4" t="str">
        <f>IF(VLOOKUP(TableFields[Field],Columns[],9,0)=0,"","-&gt;"&amp;VLOOKUP(TableFields[Field],Columns[],9,0))</f>
        <v/>
      </c>
      <c r="K106" s="4" t="str">
        <f>"$table-&gt;"&amp;TableFields[Type]&amp;TableFields[Name]&amp;TableFields[Arg2]&amp;TableFields[Method1]&amp;TableFields[Method2]&amp;TableFields[Method3]&amp;TableFields[Method4]&amp;TableFields[Method5]&amp;";"</f>
        <v>$table-&gt;string('co_abr', '15')-&gt;nullable();</v>
      </c>
    </row>
    <row r="107" spans="1:11" x14ac:dyDescent="0.25">
      <c r="A107" s="2" t="s">
        <v>757</v>
      </c>
      <c r="B107" s="4" t="s">
        <v>876</v>
      </c>
      <c r="C107" s="4" t="str">
        <f>VLOOKUP(TableFields[Field],Columns[],2,0)&amp;"("</f>
        <v>char(</v>
      </c>
      <c r="D107" s="4" t="str">
        <f>IF(VLOOKUP(TableFields[Field],Columns[],3,0)&lt;&gt;"","'"&amp;VLOOKUP(TableFields[Field],Columns[],3,0)&amp;"'","")</f>
        <v>'brcode'</v>
      </c>
      <c r="E1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'6')</v>
      </c>
      <c r="F107" s="4" t="str">
        <f>IF(VLOOKUP(TableFields[Field],Columns[],5,0)=0,"","-&gt;"&amp;VLOOKUP(TableFields[Field],Columns[],5,0))</f>
        <v>-&gt;nullable()</v>
      </c>
      <c r="G107" s="4" t="str">
        <f>IF(VLOOKUP(TableFields[Field],Columns[],6,0)=0,"","-&gt;"&amp;VLOOKUP(TableFields[Field],Columns[],6,0))</f>
        <v>-&gt;index()</v>
      </c>
      <c r="H107" s="4" t="str">
        <f>IF(VLOOKUP(TableFields[Field],Columns[],7,0)=0,"","-&gt;"&amp;VLOOKUP(TableFields[Field],Columns[],7,0))</f>
        <v/>
      </c>
      <c r="I107" s="4" t="str">
        <f>IF(VLOOKUP(TableFields[Field],Columns[],8,0)=0,"","-&gt;"&amp;VLOOKUP(TableFields[Field],Columns[],8,0))</f>
        <v/>
      </c>
      <c r="J107" s="4" t="str">
        <f>IF(VLOOKUP(TableFields[Field],Columns[],9,0)=0,"","-&gt;"&amp;VLOOKUP(TableFields[Field],Columns[],9,0))</f>
        <v/>
      </c>
      <c r="K107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'6')-&gt;nullable()-&gt;index();</v>
      </c>
    </row>
    <row r="108" spans="1:11" x14ac:dyDescent="0.25">
      <c r="A108" s="2" t="s">
        <v>757</v>
      </c>
      <c r="B108" s="4" t="s">
        <v>1629</v>
      </c>
      <c r="C108" s="4" t="str">
        <f>VLOOKUP(TableFields[Field],Columns[],2,0)&amp;"("</f>
        <v>string(</v>
      </c>
      <c r="D108" s="4" t="str">
        <f>IF(VLOOKUP(TableFields[Field],Columns[],3,0)&lt;&gt;"","'"&amp;VLOOKUP(TableFields[Field],Columns[],3,0)&amp;"'","")</f>
        <v>'br_abr'</v>
      </c>
      <c r="E1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8" s="4" t="str">
        <f>IF(VLOOKUP(TableFields[Field],Columns[],5,0)=0,"","-&gt;"&amp;VLOOKUP(TableFields[Field],Columns[],5,0))</f>
        <v>-&gt;nullable()</v>
      </c>
      <c r="G108" s="4" t="str">
        <f>IF(VLOOKUP(TableFields[Field],Columns[],6,0)=0,"","-&gt;"&amp;VLOOKUP(TableFields[Field],Columns[],6,0))</f>
        <v/>
      </c>
      <c r="H108" s="4" t="str">
        <f>IF(VLOOKUP(TableFields[Field],Columns[],7,0)=0,"","-&gt;"&amp;VLOOKUP(TableFields[Field],Columns[],7,0))</f>
        <v/>
      </c>
      <c r="I108" s="4" t="str">
        <f>IF(VLOOKUP(TableFields[Field],Columns[],8,0)=0,"","-&gt;"&amp;VLOOKUP(TableFields[Field],Columns[],8,0))</f>
        <v/>
      </c>
      <c r="J108" s="4" t="str">
        <f>IF(VLOOKUP(TableFields[Field],Columns[],9,0)=0,"","-&gt;"&amp;VLOOKUP(TableFields[Field],Columns[],9,0))</f>
        <v/>
      </c>
      <c r="K108" s="4" t="str">
        <f>"$table-&gt;"&amp;TableFields[Type]&amp;TableFields[Name]&amp;TableFields[Arg2]&amp;TableFields[Method1]&amp;TableFields[Method2]&amp;TableFields[Method3]&amp;TableFields[Method4]&amp;TableFields[Method5]&amp;";"</f>
        <v>$table-&gt;string('br_abr', '15')-&gt;nullable();</v>
      </c>
    </row>
    <row r="109" spans="1:11" x14ac:dyDescent="0.25">
      <c r="A109" s="2" t="s">
        <v>757</v>
      </c>
      <c r="B109" s="4" t="s">
        <v>1672</v>
      </c>
      <c r="C109" s="4" t="str">
        <f>VLOOKUP(TableFields[Field],Columns[],2,0)&amp;"("</f>
        <v>string(</v>
      </c>
      <c r="D109" s="4" t="str">
        <f>IF(VLOOKUP(TableFields[Field],Columns[],3,0)&lt;&gt;"","'"&amp;VLOOKUP(TableFields[Field],Columns[],3,0)&amp;"'","")</f>
        <v>'currency'</v>
      </c>
      <c r="E1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9" s="4" t="str">
        <f>IF(VLOOKUP(TableFields[Field],Columns[],5,0)=0,"","-&gt;"&amp;VLOOKUP(TableFields[Field],Columns[],5,0))</f>
        <v>-&gt;nullable()</v>
      </c>
      <c r="G109" s="4" t="str">
        <f>IF(VLOOKUP(TableFields[Field],Columns[],6,0)=0,"","-&gt;"&amp;VLOOKUP(TableFields[Field],Columns[],6,0))</f>
        <v/>
      </c>
      <c r="H109" s="4" t="str">
        <f>IF(VLOOKUP(TableFields[Field],Columns[],7,0)=0,"","-&gt;"&amp;VLOOKUP(TableFields[Field],Columns[],7,0))</f>
        <v/>
      </c>
      <c r="I109" s="4" t="str">
        <f>IF(VLOOKUP(TableFields[Field],Columns[],8,0)=0,"","-&gt;"&amp;VLOOKUP(TableFields[Field],Columns[],8,0))</f>
        <v/>
      </c>
      <c r="J109" s="4" t="str">
        <f>IF(VLOOKUP(TableFields[Field],Columns[],9,0)=0,"","-&gt;"&amp;VLOOKUP(TableFields[Field],Columns[],9,0))</f>
        <v/>
      </c>
      <c r="K109" s="4" t="str">
        <f>"$table-&gt;"&amp;TableFields[Type]&amp;TableFields[Name]&amp;TableFields[Arg2]&amp;TableFields[Method1]&amp;TableFields[Method2]&amp;TableFields[Method3]&amp;TableFields[Method4]&amp;TableFields[Method5]&amp;";"</f>
        <v>$table-&gt;string('currency', '15')-&gt;nullable();</v>
      </c>
    </row>
    <row r="110" spans="1:11" x14ac:dyDescent="0.25">
      <c r="A110" s="2" t="s">
        <v>757</v>
      </c>
      <c r="B110" s="4" t="s">
        <v>772</v>
      </c>
      <c r="C110" s="4" t="str">
        <f>VLOOKUP(TableFields[Field],Columns[],2,0)&amp;"("</f>
        <v>enum(</v>
      </c>
      <c r="D110" s="4" t="str">
        <f>IF(VLOOKUP(TableFields[Field],Columns[],3,0)&lt;&gt;"","'"&amp;VLOOKUP(TableFields[Field],Columns[],3,0)&amp;"'","")</f>
        <v>'type'</v>
      </c>
      <c r="E1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10" s="4" t="str">
        <f>IF(VLOOKUP(TableFields[Field],Columns[],5,0)=0,"","-&gt;"&amp;VLOOKUP(TableFields[Field],Columns[],5,0))</f>
        <v>-&gt;nullable()</v>
      </c>
      <c r="G110" s="4" t="str">
        <f>IF(VLOOKUP(TableFields[Field],Columns[],6,0)=0,"","-&gt;"&amp;VLOOKUP(TableFields[Field],Columns[],6,0))</f>
        <v>-&gt;default('Public')</v>
      </c>
      <c r="H110" s="4" t="str">
        <f>IF(VLOOKUP(TableFields[Field],Columns[],7,0)=0,"","-&gt;"&amp;VLOOKUP(TableFields[Field],Columns[],7,0))</f>
        <v/>
      </c>
      <c r="I110" s="4" t="str">
        <f>IF(VLOOKUP(TableFields[Field],Columns[],8,0)=0,"","-&gt;"&amp;VLOOKUP(TableFields[Field],Columns[],8,0))</f>
        <v/>
      </c>
      <c r="J110" s="4" t="str">
        <f>IF(VLOOKUP(TableFields[Field],Columns[],9,0)=0,"","-&gt;"&amp;VLOOKUP(TableFields[Field],Columns[],9,0))</f>
        <v/>
      </c>
      <c r="K110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11" spans="1:11" x14ac:dyDescent="0.25">
      <c r="A111" s="2" t="s">
        <v>757</v>
      </c>
      <c r="B111" s="4" t="s">
        <v>775</v>
      </c>
      <c r="C111" s="4" t="str">
        <f>VLOOKUP(TableFields[Field],Columns[],2,0)&amp;"("</f>
        <v>enum(</v>
      </c>
      <c r="D111" s="4" t="str">
        <f>IF(VLOOKUP(TableFields[Field],Columns[],3,0)&lt;&gt;"","'"&amp;VLOOKUP(TableFields[Field],Columns[],3,0)&amp;"'","")</f>
        <v>'status'</v>
      </c>
      <c r="E1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11" s="4" t="str">
        <f>IF(VLOOKUP(TableFields[Field],Columns[],5,0)=0,"","-&gt;"&amp;VLOOKUP(TableFields[Field],Columns[],5,0))</f>
        <v>-&gt;nullable()</v>
      </c>
      <c r="G111" s="4" t="str">
        <f>IF(VLOOKUP(TableFields[Field],Columns[],6,0)=0,"","-&gt;"&amp;VLOOKUP(TableFields[Field],Columns[],6,0))</f>
        <v>-&gt;default('Active')</v>
      </c>
      <c r="H111" s="4" t="str">
        <f>IF(VLOOKUP(TableFields[Field],Columns[],7,0)=0,"","-&gt;"&amp;VLOOKUP(TableFields[Field],Columns[],7,0))</f>
        <v/>
      </c>
      <c r="I111" s="4" t="str">
        <f>IF(VLOOKUP(TableFields[Field],Columns[],8,0)=0,"","-&gt;"&amp;VLOOKUP(TableFields[Field],Columns[],8,0))</f>
        <v/>
      </c>
      <c r="J111" s="4" t="str">
        <f>IF(VLOOKUP(TableFields[Field],Columns[],9,0)=0,"","-&gt;"&amp;VLOOKUP(TableFields[Field],Columns[],9,0))</f>
        <v/>
      </c>
      <c r="K11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12" spans="1:11" x14ac:dyDescent="0.25">
      <c r="A112" s="2" t="s">
        <v>757</v>
      </c>
      <c r="B112" s="4" t="s">
        <v>288</v>
      </c>
      <c r="C112" s="4" t="str">
        <f>VLOOKUP(TableFields[Field],Columns[],2,0)&amp;"("</f>
        <v>audit(</v>
      </c>
      <c r="D112" s="4" t="str">
        <f>IF(VLOOKUP(TableFields[Field],Columns[],3,0)&lt;&gt;"","'"&amp;VLOOKUP(TableFields[Field],Columns[],3,0)&amp;"'","")</f>
        <v/>
      </c>
      <c r="E1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2" s="4" t="str">
        <f>IF(VLOOKUP(TableFields[Field],Columns[],5,0)=0,"","-&gt;"&amp;VLOOKUP(TableFields[Field],Columns[],5,0))</f>
        <v/>
      </c>
      <c r="G112" s="4" t="str">
        <f>IF(VLOOKUP(TableFields[Field],Columns[],6,0)=0,"","-&gt;"&amp;VLOOKUP(TableFields[Field],Columns[],6,0))</f>
        <v/>
      </c>
      <c r="H112" s="4" t="str">
        <f>IF(VLOOKUP(TableFields[Field],Columns[],7,0)=0,"","-&gt;"&amp;VLOOKUP(TableFields[Field],Columns[],7,0))</f>
        <v/>
      </c>
      <c r="I112" s="4" t="str">
        <f>IF(VLOOKUP(TableFields[Field],Columns[],8,0)=0,"","-&gt;"&amp;VLOOKUP(TableFields[Field],Columns[],8,0))</f>
        <v/>
      </c>
      <c r="J112" s="4" t="str">
        <f>IF(VLOOKUP(TableFields[Field],Columns[],9,0)=0,"","-&gt;"&amp;VLOOKUP(TableFields[Field],Columns[],9,0))</f>
        <v/>
      </c>
      <c r="K11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13" spans="1:11" x14ac:dyDescent="0.25">
      <c r="A113" s="4" t="s">
        <v>850</v>
      </c>
      <c r="B113" s="4" t="s">
        <v>21</v>
      </c>
      <c r="C113" s="4" t="str">
        <f>VLOOKUP(TableFields[Field],Columns[],2,0)&amp;"("</f>
        <v>bigIncrements(</v>
      </c>
      <c r="D113" s="4" t="str">
        <f>IF(VLOOKUP(TableFields[Field],Columns[],3,0)&lt;&gt;"","'"&amp;VLOOKUP(TableFields[Field],Columns[],3,0)&amp;"'","")</f>
        <v>'id'</v>
      </c>
      <c r="E1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3" s="4" t="str">
        <f>IF(VLOOKUP(TableFields[Field],Columns[],5,0)=0,"","-&gt;"&amp;VLOOKUP(TableFields[Field],Columns[],5,0))</f>
        <v/>
      </c>
      <c r="G113" s="4" t="str">
        <f>IF(VLOOKUP(TableFields[Field],Columns[],6,0)=0,"","-&gt;"&amp;VLOOKUP(TableFields[Field],Columns[],6,0))</f>
        <v/>
      </c>
      <c r="H113" s="4" t="str">
        <f>IF(VLOOKUP(TableFields[Field],Columns[],7,0)=0,"","-&gt;"&amp;VLOOKUP(TableFields[Field],Columns[],7,0))</f>
        <v/>
      </c>
      <c r="I113" s="4" t="str">
        <f>IF(VLOOKUP(TableFields[Field],Columns[],8,0)=0,"","-&gt;"&amp;VLOOKUP(TableFields[Field],Columns[],8,0))</f>
        <v/>
      </c>
      <c r="J113" s="4" t="str">
        <f>IF(VLOOKUP(TableFields[Field],Columns[],9,0)=0,"","-&gt;"&amp;VLOOKUP(TableFields[Field],Columns[],9,0))</f>
        <v/>
      </c>
      <c r="K11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14" spans="1:11" x14ac:dyDescent="0.25">
      <c r="A114" s="4" t="s">
        <v>850</v>
      </c>
      <c r="B114" s="4" t="s">
        <v>768</v>
      </c>
      <c r="C114" s="4" t="str">
        <f>VLOOKUP(TableFields[Field],Columns[],2,0)&amp;"("</f>
        <v>char(</v>
      </c>
      <c r="D114" s="4" t="str">
        <f>IF(VLOOKUP(TableFields[Field],Columns[],3,0)&lt;&gt;"","'"&amp;VLOOKUP(TableFields[Field],Columns[],3,0)&amp;"'","")</f>
        <v>'code'</v>
      </c>
      <c r="E1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4" s="4" t="str">
        <f>IF(VLOOKUP(TableFields[Field],Columns[],5,0)=0,"","-&gt;"&amp;VLOOKUP(TableFields[Field],Columns[],5,0))</f>
        <v>-&gt;nullable()</v>
      </c>
      <c r="G114" s="4" t="str">
        <f>IF(VLOOKUP(TableFields[Field],Columns[],6,0)=0,"","-&gt;"&amp;VLOOKUP(TableFields[Field],Columns[],6,0))</f>
        <v>-&gt;index()</v>
      </c>
      <c r="H114" s="4" t="str">
        <f>IF(VLOOKUP(TableFields[Field],Columns[],7,0)=0,"","-&gt;"&amp;VLOOKUP(TableFields[Field],Columns[],7,0))</f>
        <v/>
      </c>
      <c r="I114" s="4" t="str">
        <f>IF(VLOOKUP(TableFields[Field],Columns[],8,0)=0,"","-&gt;"&amp;VLOOKUP(TableFields[Field],Columns[],8,0))</f>
        <v/>
      </c>
      <c r="J114" s="4" t="str">
        <f>IF(VLOOKUP(TableFields[Field],Columns[],9,0)=0,"","-&gt;"&amp;VLOOKUP(TableFields[Field],Columns[],9,0))</f>
        <v/>
      </c>
      <c r="K114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15" spans="1:11" x14ac:dyDescent="0.25">
      <c r="A115" s="4" t="s">
        <v>850</v>
      </c>
      <c r="B115" s="4" t="s">
        <v>1627</v>
      </c>
      <c r="C115" s="4" t="str">
        <f>VLOOKUP(TableFields[Field],Columns[],2,0)&amp;"("</f>
        <v>string(</v>
      </c>
      <c r="D115" s="4" t="str">
        <f>IF(VLOOKUP(TableFields[Field],Columns[],3,0)&lt;&gt;"","'"&amp;VLOOKUP(TableFields[Field],Columns[],3,0)&amp;"'","")</f>
        <v>'abr'</v>
      </c>
      <c r="E1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5" s="4" t="str">
        <f>IF(VLOOKUP(TableFields[Field],Columns[],5,0)=0,"","-&gt;"&amp;VLOOKUP(TableFields[Field],Columns[],5,0))</f>
        <v>-&gt;nullable()</v>
      </c>
      <c r="G115" s="4" t="str">
        <f>IF(VLOOKUP(TableFields[Field],Columns[],6,0)=0,"","-&gt;"&amp;VLOOKUP(TableFields[Field],Columns[],6,0))</f>
        <v/>
      </c>
      <c r="H115" s="4" t="str">
        <f>IF(VLOOKUP(TableFields[Field],Columns[],7,0)=0,"","-&gt;"&amp;VLOOKUP(TableFields[Field],Columns[],7,0))</f>
        <v/>
      </c>
      <c r="I115" s="4" t="str">
        <f>IF(VLOOKUP(TableFields[Field],Columns[],8,0)=0,"","-&gt;"&amp;VLOOKUP(TableFields[Field],Columns[],8,0))</f>
        <v/>
      </c>
      <c r="J115" s="4" t="str">
        <f>IF(VLOOKUP(TableFields[Field],Columns[],9,0)=0,"","-&gt;"&amp;VLOOKUP(TableFields[Field],Columns[],9,0))</f>
        <v/>
      </c>
      <c r="K115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16" spans="1:11" x14ac:dyDescent="0.25">
      <c r="A116" s="4" t="s">
        <v>850</v>
      </c>
      <c r="B116" s="4" t="s">
        <v>1824</v>
      </c>
      <c r="C116" s="4" t="str">
        <f>VLOOKUP(TableFields[Field],Columns[],2,0)&amp;"("</f>
        <v>string(</v>
      </c>
      <c r="D116" s="4" t="str">
        <f>IF(VLOOKUP(TableFields[Field],Columns[],3,0)&lt;&gt;"","'"&amp;VLOOKUP(TableFields[Field],Columns[],3,0)&amp;"'","")</f>
        <v>'display_name'</v>
      </c>
      <c r="E1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16" s="4" t="str">
        <f>IF(VLOOKUP(TableFields[Field],Columns[],5,0)=0,"","-&gt;"&amp;VLOOKUP(TableFields[Field],Columns[],5,0))</f>
        <v>-&gt;nullable()</v>
      </c>
      <c r="G116" s="4" t="str">
        <f>IF(VLOOKUP(TableFields[Field],Columns[],6,0)=0,"","-&gt;"&amp;VLOOKUP(TableFields[Field],Columns[],6,0))</f>
        <v/>
      </c>
      <c r="H116" s="4" t="str">
        <f>IF(VLOOKUP(TableFields[Field],Columns[],7,0)=0,"","-&gt;"&amp;VLOOKUP(TableFields[Field],Columns[],7,0))</f>
        <v/>
      </c>
      <c r="I116" s="4" t="str">
        <f>IF(VLOOKUP(TableFields[Field],Columns[],8,0)=0,"","-&gt;"&amp;VLOOKUP(TableFields[Field],Columns[],8,0))</f>
        <v/>
      </c>
      <c r="J116" s="4" t="str">
        <f>IF(VLOOKUP(TableFields[Field],Columns[],9,0)=0,"","-&gt;"&amp;VLOOKUP(TableFields[Field],Columns[],9,0))</f>
        <v/>
      </c>
      <c r="K116" s="4" t="str">
        <f>"$table-&gt;"&amp;TableFields[Type]&amp;TableFields[Name]&amp;TableFields[Arg2]&amp;TableFields[Method1]&amp;TableFields[Method2]&amp;TableFields[Method3]&amp;TableFields[Method4]&amp;TableFields[Method5]&amp;";"</f>
        <v>$table-&gt;string('display_name', '128')-&gt;nullable();</v>
      </c>
    </row>
    <row r="117" spans="1:11" x14ac:dyDescent="0.25">
      <c r="A117" s="4" t="s">
        <v>850</v>
      </c>
      <c r="B117" s="4" t="s">
        <v>1646</v>
      </c>
      <c r="C117" s="4" t="str">
        <f>VLOOKUP(TableFields[Field],Columns[],2,0)&amp;"("</f>
        <v>char(</v>
      </c>
      <c r="D117" s="4" t="str">
        <f>IF(VLOOKUP(TableFields[Field],Columns[],3,0)&lt;&gt;"","'"&amp;VLOOKUP(TableFields[Field],Columns[],3,0)&amp;"'","")</f>
        <v>'category'</v>
      </c>
      <c r="E1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7" s="4" t="str">
        <f>IF(VLOOKUP(TableFields[Field],Columns[],5,0)=0,"","-&gt;"&amp;VLOOKUP(TableFields[Field],Columns[],5,0))</f>
        <v>-&gt;nullable()</v>
      </c>
      <c r="G117" s="4" t="str">
        <f>IF(VLOOKUP(TableFields[Field],Columns[],6,0)=0,"","-&gt;"&amp;VLOOKUP(TableFields[Field],Columns[],6,0))</f>
        <v>-&gt;index()</v>
      </c>
      <c r="H117" s="4" t="str">
        <f>IF(VLOOKUP(TableFields[Field],Columns[],7,0)=0,"","-&gt;"&amp;VLOOKUP(TableFields[Field],Columns[],7,0))</f>
        <v/>
      </c>
      <c r="I117" s="4" t="str">
        <f>IF(VLOOKUP(TableFields[Field],Columns[],8,0)=0,"","-&gt;"&amp;VLOOKUP(TableFields[Field],Columns[],8,0))</f>
        <v/>
      </c>
      <c r="J117" s="4" t="str">
        <f>IF(VLOOKUP(TableFields[Field],Columns[],9,0)=0,"","-&gt;"&amp;VLOOKUP(TableFields[Field],Columns[],9,0))</f>
        <v/>
      </c>
      <c r="K117" s="4" t="str">
        <f>"$table-&gt;"&amp;TableFields[Type]&amp;TableFields[Name]&amp;TableFields[Arg2]&amp;TableFields[Method1]&amp;TableFields[Method2]&amp;TableFields[Method3]&amp;TableFields[Method4]&amp;TableFields[Method5]&amp;";"</f>
        <v>$table-&gt;char('category', '15')-&gt;nullable()-&gt;index();</v>
      </c>
    </row>
    <row r="118" spans="1:11" x14ac:dyDescent="0.25">
      <c r="A118" s="4" t="s">
        <v>850</v>
      </c>
      <c r="B118" s="4" t="s">
        <v>1647</v>
      </c>
      <c r="C118" s="4" t="str">
        <f>VLOOKUP(TableFields[Field],Columns[],2,0)&amp;"("</f>
        <v>string(</v>
      </c>
      <c r="D118" s="4" t="str">
        <f>IF(VLOOKUP(TableFields[Field],Columns[],3,0)&lt;&gt;"","'"&amp;VLOOKUP(TableFields[Field],Columns[],3,0)&amp;"'","")</f>
        <v>'wtype'</v>
      </c>
      <c r="E1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18" s="4" t="str">
        <f>IF(VLOOKUP(TableFields[Field],Columns[],5,0)=0,"","-&gt;"&amp;VLOOKUP(TableFields[Field],Columns[],5,0))</f>
        <v>-&gt;nullable()</v>
      </c>
      <c r="G118" s="4" t="str">
        <f>IF(VLOOKUP(TableFields[Field],Columns[],6,0)=0,"","-&gt;"&amp;VLOOKUP(TableFields[Field],Columns[],6,0))</f>
        <v>-&gt;index()</v>
      </c>
      <c r="H118" s="4" t="str">
        <f>IF(VLOOKUP(TableFields[Field],Columns[],7,0)=0,"","-&gt;"&amp;VLOOKUP(TableFields[Field],Columns[],7,0))</f>
        <v/>
      </c>
      <c r="I118" s="4" t="str">
        <f>IF(VLOOKUP(TableFields[Field],Columns[],8,0)=0,"","-&gt;"&amp;VLOOKUP(TableFields[Field],Columns[],8,0))</f>
        <v/>
      </c>
      <c r="J118" s="4" t="str">
        <f>IF(VLOOKUP(TableFields[Field],Columns[],9,0)=0,"","-&gt;"&amp;VLOOKUP(TableFields[Field],Columns[],9,0))</f>
        <v/>
      </c>
      <c r="K118" s="4" t="str">
        <f>"$table-&gt;"&amp;TableFields[Type]&amp;TableFields[Name]&amp;TableFields[Arg2]&amp;TableFields[Method1]&amp;TableFields[Method2]&amp;TableFields[Method3]&amp;TableFields[Method4]&amp;TableFields[Method5]&amp;";"</f>
        <v>$table-&gt;string('wtype', '30')-&gt;nullable()-&gt;index();</v>
      </c>
    </row>
    <row r="119" spans="1:11" x14ac:dyDescent="0.25">
      <c r="A119" s="4" t="s">
        <v>850</v>
      </c>
      <c r="B119" s="4" t="s">
        <v>851</v>
      </c>
      <c r="C119" s="4" t="str">
        <f>VLOOKUP(TableFields[Field],Columns[],2,0)&amp;"("</f>
        <v>string(</v>
      </c>
      <c r="D119" s="4" t="str">
        <f>IF(VLOOKUP(TableFields[Field],Columns[],3,0)&lt;&gt;"","'"&amp;VLOOKUP(TableFields[Field],Columns[],3,0)&amp;"'","")</f>
        <v>'format'</v>
      </c>
      <c r="E1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19" s="4" t="str">
        <f>IF(VLOOKUP(TableFields[Field],Columns[],5,0)=0,"","-&gt;"&amp;VLOOKUP(TableFields[Field],Columns[],5,0))</f>
        <v>-&gt;nullable()</v>
      </c>
      <c r="G119" s="4" t="str">
        <f>IF(VLOOKUP(TableFields[Field],Columns[],6,0)=0,"","-&gt;"&amp;VLOOKUP(TableFields[Field],Columns[],6,0))</f>
        <v>-&gt;default('[BR][FN]-[FY]-[AI]')</v>
      </c>
      <c r="H119" s="4" t="str">
        <f>IF(VLOOKUP(TableFields[Field],Columns[],7,0)=0,"","-&gt;"&amp;VLOOKUP(TableFields[Field],Columns[],7,0))</f>
        <v/>
      </c>
      <c r="I119" s="4" t="str">
        <f>IF(VLOOKUP(TableFields[Field],Columns[],8,0)=0,"","-&gt;"&amp;VLOOKUP(TableFields[Field],Columns[],8,0))</f>
        <v/>
      </c>
      <c r="J119" s="4" t="str">
        <f>IF(VLOOKUP(TableFields[Field],Columns[],9,0)=0,"","-&gt;"&amp;VLOOKUP(TableFields[Field],Columns[],9,0))</f>
        <v/>
      </c>
      <c r="K119" s="4" t="str">
        <f>"$table-&gt;"&amp;TableFields[Type]&amp;TableFields[Name]&amp;TableFields[Arg2]&amp;TableFields[Method1]&amp;TableFields[Method2]&amp;TableFields[Method3]&amp;TableFields[Method4]&amp;TableFields[Method5]&amp;";"</f>
        <v>$table-&gt;string('format', '30')-&gt;nullable()-&gt;default('[BR][FN]-[FY]-[AI]');</v>
      </c>
    </row>
    <row r="120" spans="1:11" x14ac:dyDescent="0.25">
      <c r="A120" s="4" t="s">
        <v>850</v>
      </c>
      <c r="B120" s="4" t="s">
        <v>854</v>
      </c>
      <c r="C120" s="4" t="str">
        <f>VLOOKUP(TableFields[Field],Columns[],2,0)&amp;"("</f>
        <v>decimal(</v>
      </c>
      <c r="D120" s="4" t="str">
        <f>IF(VLOOKUP(TableFields[Field],Columns[],3,0)&lt;&gt;"","'"&amp;VLOOKUP(TableFields[Field],Columns[],3,0)&amp;"'","")</f>
        <v>'digit_length'</v>
      </c>
      <c r="E1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120" s="4" t="str">
        <f>IF(VLOOKUP(TableFields[Field],Columns[],5,0)=0,"","-&gt;"&amp;VLOOKUP(TableFields[Field],Columns[],5,0))</f>
        <v>-&gt;default(4)</v>
      </c>
      <c r="G120" s="4" t="str">
        <f>IF(VLOOKUP(TableFields[Field],Columns[],6,0)=0,"","-&gt;"&amp;VLOOKUP(TableFields[Field],Columns[],6,0))</f>
        <v/>
      </c>
      <c r="H120" s="4" t="str">
        <f>IF(VLOOKUP(TableFields[Field],Columns[],7,0)=0,"","-&gt;"&amp;VLOOKUP(TableFields[Field],Columns[],7,0))</f>
        <v/>
      </c>
      <c r="I120" s="4" t="str">
        <f>IF(VLOOKUP(TableFields[Field],Columns[],8,0)=0,"","-&gt;"&amp;VLOOKUP(TableFields[Field],Columns[],8,0))</f>
        <v/>
      </c>
      <c r="J120" s="4" t="str">
        <f>IF(VLOOKUP(TableFields[Field],Columns[],9,0)=0,"","-&gt;"&amp;VLOOKUP(TableFields[Field],Columns[],9,0))</f>
        <v/>
      </c>
      <c r="K120" s="4" t="str">
        <f>"$table-&gt;"&amp;TableFields[Type]&amp;TableFields[Name]&amp;TableFields[Arg2]&amp;TableFields[Method1]&amp;TableFields[Method2]&amp;TableFields[Method3]&amp;TableFields[Method4]&amp;TableFields[Method5]&amp;";"</f>
        <v>$table-&gt;decimal('digit_length', 2,0)-&gt;default(4);</v>
      </c>
    </row>
    <row r="121" spans="1:11" x14ac:dyDescent="0.25">
      <c r="A121" s="4" t="s">
        <v>850</v>
      </c>
      <c r="B121" s="4" t="s">
        <v>822</v>
      </c>
      <c r="C121" s="4" t="str">
        <f>VLOOKUP(TableFields[Field],Columns[],2,0)&amp;"("</f>
        <v>enum(</v>
      </c>
      <c r="D121" s="4" t="str">
        <f>IF(VLOOKUP(TableFields[Field],Columns[],3,0)&lt;&gt;"","'"&amp;VLOOKUP(TableFields[Field],Columns[],3,0)&amp;"'","")</f>
        <v>'direction'</v>
      </c>
      <c r="E1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121" s="4" t="str">
        <f>IF(VLOOKUP(TableFields[Field],Columns[],5,0)=0,"","-&gt;"&amp;VLOOKUP(TableFields[Field],Columns[],5,0))</f>
        <v>-&gt;default('Out')</v>
      </c>
      <c r="G121" s="4" t="str">
        <f>IF(VLOOKUP(TableFields[Field],Columns[],6,0)=0,"","-&gt;"&amp;VLOOKUP(TableFields[Field],Columns[],6,0))</f>
        <v/>
      </c>
      <c r="H121" s="4" t="str">
        <f>IF(VLOOKUP(TableFields[Field],Columns[],7,0)=0,"","-&gt;"&amp;VLOOKUP(TableFields[Field],Columns[],7,0))</f>
        <v/>
      </c>
      <c r="I121" s="4" t="str">
        <f>IF(VLOOKUP(TableFields[Field],Columns[],8,0)=0,"","-&gt;"&amp;VLOOKUP(TableFields[Field],Columns[],8,0))</f>
        <v/>
      </c>
      <c r="J121" s="4" t="str">
        <f>IF(VLOOKUP(TableFields[Field],Columns[],9,0)=0,"","-&gt;"&amp;VLOOKUP(TableFields[Field],Columns[],9,0))</f>
        <v/>
      </c>
      <c r="K121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122" spans="1:11" x14ac:dyDescent="0.25">
      <c r="A122" s="4" t="s">
        <v>850</v>
      </c>
      <c r="B122" s="4" t="s">
        <v>916</v>
      </c>
      <c r="C122" s="4" t="str">
        <f>VLOOKUP(TableFields[Field],Columns[],2,0)&amp;"("</f>
        <v>char(</v>
      </c>
      <c r="D122" s="4" t="str">
        <f>IF(VLOOKUP(TableFields[Field],Columns[],3,0)&lt;&gt;"","'"&amp;VLOOKUP(TableFields[Field],Columns[],3,0)&amp;"'","")</f>
        <v>'default_account'</v>
      </c>
      <c r="E1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22" s="4" t="str">
        <f>IF(VLOOKUP(TableFields[Field],Columns[],5,0)=0,"","-&gt;"&amp;VLOOKUP(TableFields[Field],Columns[],5,0))</f>
        <v>-&gt;nullable()</v>
      </c>
      <c r="G122" s="4" t="str">
        <f>IF(VLOOKUP(TableFields[Field],Columns[],6,0)=0,"","-&gt;"&amp;VLOOKUP(TableFields[Field],Columns[],6,0))</f>
        <v/>
      </c>
      <c r="H122" s="4" t="str">
        <f>IF(VLOOKUP(TableFields[Field],Columns[],7,0)=0,"","-&gt;"&amp;VLOOKUP(TableFields[Field],Columns[],7,0))</f>
        <v/>
      </c>
      <c r="I122" s="4" t="str">
        <f>IF(VLOOKUP(TableFields[Field],Columns[],8,0)=0,"","-&gt;"&amp;VLOOKUP(TableFields[Field],Columns[],8,0))</f>
        <v/>
      </c>
      <c r="J122" s="4" t="str">
        <f>IF(VLOOKUP(TableFields[Field],Columns[],9,0)=0,"","-&gt;"&amp;VLOOKUP(TableFields[Field],Columns[],9,0))</f>
        <v/>
      </c>
      <c r="K122" s="4" t="str">
        <f>"$table-&gt;"&amp;TableFields[Type]&amp;TableFields[Name]&amp;TableFields[Arg2]&amp;TableFields[Method1]&amp;TableFields[Method2]&amp;TableFields[Method3]&amp;TableFields[Method4]&amp;TableFields[Method5]&amp;";"</f>
        <v>$table-&gt;char('default_account', '15')-&gt;nullable();</v>
      </c>
    </row>
    <row r="123" spans="1:11" x14ac:dyDescent="0.25">
      <c r="A123" s="4" t="s">
        <v>850</v>
      </c>
      <c r="B123" s="4" t="s">
        <v>1825</v>
      </c>
      <c r="C123" s="4" t="str">
        <f>VLOOKUP(TableFields[Field],Columns[],2,0)&amp;"("</f>
        <v>foreignNullable(</v>
      </c>
      <c r="D123" s="4" t="str">
        <f>IF(VLOOKUP(TableFields[Field],Columns[],3,0)&lt;&gt;"","'"&amp;VLOOKUP(TableFields[Field],Columns[],3,0)&amp;"'","")</f>
        <v>'pricelist'</v>
      </c>
      <c r="E1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123" s="4" t="str">
        <f>IF(VLOOKUP(TableFields[Field],Columns[],5,0)=0,"","-&gt;"&amp;VLOOKUP(TableFields[Field],Columns[],5,0))</f>
        <v/>
      </c>
      <c r="G123" s="4" t="str">
        <f>IF(VLOOKUP(TableFields[Field],Columns[],6,0)=0,"","-&gt;"&amp;VLOOKUP(TableFields[Field],Columns[],6,0))</f>
        <v/>
      </c>
      <c r="H123" s="4" t="str">
        <f>IF(VLOOKUP(TableFields[Field],Columns[],7,0)=0,"","-&gt;"&amp;VLOOKUP(TableFields[Field],Columns[],7,0))</f>
        <v/>
      </c>
      <c r="I123" s="4" t="str">
        <f>IF(VLOOKUP(TableFields[Field],Columns[],8,0)=0,"","-&gt;"&amp;VLOOKUP(TableFields[Field],Columns[],8,0))</f>
        <v/>
      </c>
      <c r="J123" s="4" t="str">
        <f>IF(VLOOKUP(TableFields[Field],Columns[],9,0)=0,"","-&gt;"&amp;VLOOKUP(TableFields[Field],Columns[],9,0))</f>
        <v/>
      </c>
      <c r="K12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$table-&gt;foreignNullable('pricelist', 'pricelist');</v>
      </c>
    </row>
    <row r="124" spans="1:11" x14ac:dyDescent="0.25">
      <c r="A124" s="4" t="s">
        <v>850</v>
      </c>
      <c r="B124" s="4" t="s">
        <v>918</v>
      </c>
      <c r="C124" s="4" t="str">
        <f>VLOOKUP(TableFields[Field],Columns[],2,0)&amp;"("</f>
        <v>enum(</v>
      </c>
      <c r="D124" s="4" t="str">
        <f>IF(VLOOKUP(TableFields[Field],Columns[],3,0)&lt;&gt;"","'"&amp;VLOOKUP(TableFields[Field],Columns[],3,0)&amp;"'","")</f>
        <v>'tax'</v>
      </c>
      <c r="E1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4" s="4" t="str">
        <f>IF(VLOOKUP(TableFields[Field],Columns[],5,0)=0,"","-&gt;"&amp;VLOOKUP(TableFields[Field],Columns[],5,0))</f>
        <v>-&gt;nullable()</v>
      </c>
      <c r="G124" s="4" t="str">
        <f>IF(VLOOKUP(TableFields[Field],Columns[],6,0)=0,"","-&gt;"&amp;VLOOKUP(TableFields[Field],Columns[],6,0))</f>
        <v>-&gt;default('No')</v>
      </c>
      <c r="H124" s="4" t="str">
        <f>IF(VLOOKUP(TableFields[Field],Columns[],7,0)=0,"","-&gt;"&amp;VLOOKUP(TableFields[Field],Columns[],7,0))</f>
        <v/>
      </c>
      <c r="I124" s="4" t="str">
        <f>IF(VLOOKUP(TableFields[Field],Columns[],8,0)=0,"","-&gt;"&amp;VLOOKUP(TableFields[Field],Columns[],8,0))</f>
        <v/>
      </c>
      <c r="J124" s="4" t="str">
        <f>IF(VLOOKUP(TableFields[Field],Columns[],9,0)=0,"","-&gt;"&amp;VLOOKUP(TableFields[Field],Columns[],9,0))</f>
        <v/>
      </c>
      <c r="K124" s="4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['Yes','No'])-&gt;nullable()-&gt;default('No');</v>
      </c>
    </row>
    <row r="125" spans="1:11" x14ac:dyDescent="0.25">
      <c r="A125" s="4" t="s">
        <v>850</v>
      </c>
      <c r="B125" s="4" t="s">
        <v>919</v>
      </c>
      <c r="C125" s="4" t="str">
        <f>VLOOKUP(TableFields[Field],Columns[],2,0)&amp;"("</f>
        <v>enum(</v>
      </c>
      <c r="D125" s="4" t="str">
        <f>IF(VLOOKUP(TableFields[Field],Columns[],3,0)&lt;&gt;"","'"&amp;VLOOKUP(TableFields[Field],Columns[],3,0)&amp;"'","")</f>
        <v>'taxselection'</v>
      </c>
      <c r="E1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['Tax01','Tax02','Select','Account','Auto'])</v>
      </c>
      <c r="F125" s="4" t="str">
        <f>IF(VLOOKUP(TableFields[Field],Columns[],5,0)=0,"","-&gt;"&amp;VLOOKUP(TableFields[Field],Columns[],5,0))</f>
        <v>-&gt;nullable()</v>
      </c>
      <c r="G125" s="4" t="str">
        <f>IF(VLOOKUP(TableFields[Field],Columns[],6,0)=0,"","-&gt;"&amp;VLOOKUP(TableFields[Field],Columns[],6,0))</f>
        <v>-&gt;default('Tax01')</v>
      </c>
      <c r="H125" s="4" t="str">
        <f>IF(VLOOKUP(TableFields[Field],Columns[],7,0)=0,"","-&gt;"&amp;VLOOKUP(TableFields[Field],Columns[],7,0))</f>
        <v/>
      </c>
      <c r="I125" s="4" t="str">
        <f>IF(VLOOKUP(TableFields[Field],Columns[],8,0)=0,"","-&gt;"&amp;VLOOKUP(TableFields[Field],Columns[],8,0))</f>
        <v/>
      </c>
      <c r="J125" s="4" t="str">
        <f>IF(VLOOKUP(TableFields[Field],Columns[],9,0)=0,"","-&gt;"&amp;VLOOKUP(TableFields[Field],Columns[],9,0))</f>
        <v/>
      </c>
      <c r="K125" s="4" t="str">
        <f>"$table-&gt;"&amp;TableFields[Type]&amp;TableFields[Name]&amp;TableFields[Arg2]&amp;TableFields[Method1]&amp;TableFields[Method2]&amp;TableFields[Method3]&amp;TableFields[Method4]&amp;TableFields[Method5]&amp;";"</f>
        <v>$table-&gt;enum('taxselection', ['Tax01','Tax02','Select','Account','Auto'])-&gt;nullable()-&gt;default('Tax01');</v>
      </c>
    </row>
    <row r="126" spans="1:11" x14ac:dyDescent="0.25">
      <c r="A126" s="4" t="s">
        <v>850</v>
      </c>
      <c r="B126" s="4" t="s">
        <v>921</v>
      </c>
      <c r="C126" s="4" t="str">
        <f>VLOOKUP(TableFields[Field],Columns[],2,0)&amp;"("</f>
        <v>enum(</v>
      </c>
      <c r="D126" s="4" t="str">
        <f>IF(VLOOKUP(TableFields[Field],Columns[],3,0)&lt;&gt;"","'"&amp;VLOOKUP(TableFields[Field],Columns[],3,0)&amp;"'","")</f>
        <v>'taxunique'</v>
      </c>
      <c r="E1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6" s="4" t="str">
        <f>IF(VLOOKUP(TableFields[Field],Columns[],5,0)=0,"","-&gt;"&amp;VLOOKUP(TableFields[Field],Columns[],5,0))</f>
        <v>-&gt;nullable()</v>
      </c>
      <c r="G126" s="4" t="str">
        <f>IF(VLOOKUP(TableFields[Field],Columns[],6,0)=0,"","-&gt;"&amp;VLOOKUP(TableFields[Field],Columns[],6,0))</f>
        <v>-&gt;default('No')</v>
      </c>
      <c r="H126" s="4" t="str">
        <f>IF(VLOOKUP(TableFields[Field],Columns[],7,0)=0,"","-&gt;"&amp;VLOOKUP(TableFields[Field],Columns[],7,0))</f>
        <v/>
      </c>
      <c r="I126" s="4" t="str">
        <f>IF(VLOOKUP(TableFields[Field],Columns[],8,0)=0,"","-&gt;"&amp;VLOOKUP(TableFields[Field],Columns[],8,0))</f>
        <v/>
      </c>
      <c r="J126" s="4" t="str">
        <f>IF(VLOOKUP(TableFields[Field],Columns[],9,0)=0,"","-&gt;"&amp;VLOOKUP(TableFields[Field],Columns[],9,0))</f>
        <v/>
      </c>
      <c r="K126" s="4" t="str">
        <f>"$table-&gt;"&amp;TableFields[Type]&amp;TableFields[Name]&amp;TableFields[Arg2]&amp;TableFields[Method1]&amp;TableFields[Method2]&amp;TableFields[Method3]&amp;TableFields[Method4]&amp;TableFields[Method5]&amp;";"</f>
        <v>$table-&gt;enum('taxunique', ['Yes','No'])-&gt;nullable()-&gt;default('No');</v>
      </c>
    </row>
    <row r="127" spans="1:11" x14ac:dyDescent="0.25">
      <c r="A127" s="4" t="s">
        <v>850</v>
      </c>
      <c r="B127" s="4" t="s">
        <v>923</v>
      </c>
      <c r="C127" s="4" t="str">
        <f>VLOOKUP(TableFields[Field],Columns[],2,0)&amp;"("</f>
        <v>enum(</v>
      </c>
      <c r="D127" s="4" t="str">
        <f>IF(VLOOKUP(TableFields[Field],Columns[],3,0)&lt;&gt;"","'"&amp;VLOOKUP(TableFields[Field],Columns[],3,0)&amp;"'","")</f>
        <v>'ratewithtax'</v>
      </c>
      <c r="E1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7" s="4" t="str">
        <f>IF(VLOOKUP(TableFields[Field],Columns[],5,0)=0,"","-&gt;"&amp;VLOOKUP(TableFields[Field],Columns[],5,0))</f>
        <v>-&gt;nullable()</v>
      </c>
      <c r="G127" s="4" t="str">
        <f>IF(VLOOKUP(TableFields[Field],Columns[],6,0)=0,"","-&gt;"&amp;VLOOKUP(TableFields[Field],Columns[],6,0))</f>
        <v>-&gt;default('No')</v>
      </c>
      <c r="H127" s="4" t="str">
        <f>IF(VLOOKUP(TableFields[Field],Columns[],7,0)=0,"","-&gt;"&amp;VLOOKUP(TableFields[Field],Columns[],7,0))</f>
        <v/>
      </c>
      <c r="I127" s="4" t="str">
        <f>IF(VLOOKUP(TableFields[Field],Columns[],8,0)=0,"","-&gt;"&amp;VLOOKUP(TableFields[Field],Columns[],8,0))</f>
        <v/>
      </c>
      <c r="J127" s="4" t="str">
        <f>IF(VLOOKUP(TableFields[Field],Columns[],9,0)=0,"","-&gt;"&amp;VLOOKUP(TableFields[Field],Columns[],9,0))</f>
        <v/>
      </c>
      <c r="K127" s="4" t="str">
        <f>"$table-&gt;"&amp;TableFields[Type]&amp;TableFields[Name]&amp;TableFields[Arg2]&amp;TableFields[Method1]&amp;TableFields[Method2]&amp;TableFields[Method3]&amp;TableFields[Method4]&amp;TableFields[Method5]&amp;";"</f>
        <v>$table-&gt;enum('ratewithtax', ['Yes','No'])-&gt;nullable()-&gt;default('No');</v>
      </c>
    </row>
    <row r="128" spans="1:11" x14ac:dyDescent="0.25">
      <c r="A128" s="4" t="s">
        <v>850</v>
      </c>
      <c r="B128" s="4" t="s">
        <v>924</v>
      </c>
      <c r="C128" s="4" t="str">
        <f>VLOOKUP(TableFields[Field],Columns[],2,0)&amp;"("</f>
        <v>enum(</v>
      </c>
      <c r="D128" s="4" t="str">
        <f>IF(VLOOKUP(TableFields[Field],Columns[],3,0)&lt;&gt;"","'"&amp;VLOOKUP(TableFields[Field],Columns[],3,0)&amp;"'","")</f>
        <v>'discount01'</v>
      </c>
      <c r="E1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28" s="4" t="str">
        <f>IF(VLOOKUP(TableFields[Field],Columns[],5,0)=0,"","-&gt;"&amp;VLOOKUP(TableFields[Field],Columns[],5,0))</f>
        <v>-&gt;nullable()</v>
      </c>
      <c r="G128" s="4" t="str">
        <f>IF(VLOOKUP(TableFields[Field],Columns[],6,0)=0,"","-&gt;"&amp;VLOOKUP(TableFields[Field],Columns[],6,0))</f>
        <v>-&gt;default('NotRequired')</v>
      </c>
      <c r="H128" s="4" t="str">
        <f>IF(VLOOKUP(TableFields[Field],Columns[],7,0)=0,"","-&gt;"&amp;VLOOKUP(TableFields[Field],Columns[],7,0))</f>
        <v/>
      </c>
      <c r="I128" s="4" t="str">
        <f>IF(VLOOKUP(TableFields[Field],Columns[],8,0)=0,"","-&gt;"&amp;VLOOKUP(TableFields[Field],Columns[],8,0))</f>
        <v/>
      </c>
      <c r="J128" s="4" t="str">
        <f>IF(VLOOKUP(TableFields[Field],Columns[],9,0)=0,"","-&gt;"&amp;VLOOKUP(TableFields[Field],Columns[],9,0))</f>
        <v/>
      </c>
      <c r="K128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$table-&gt;enum('discount01', ['NotRequired','Amount','Percentage'])-&gt;nullable()-&gt;default('NotRequired');</v>
      </c>
    </row>
    <row r="129" spans="1:11" x14ac:dyDescent="0.25">
      <c r="A129" s="4" t="s">
        <v>850</v>
      </c>
      <c r="B129" s="4" t="s">
        <v>925</v>
      </c>
      <c r="C129" s="4" t="str">
        <f>VLOOKUP(TableFields[Field],Columns[],2,0)&amp;"("</f>
        <v>enum(</v>
      </c>
      <c r="D129" s="4" t="str">
        <f>IF(VLOOKUP(TableFields[Field],Columns[],3,0)&lt;&gt;"","'"&amp;VLOOKUP(TableFields[Field],Columns[],3,0)&amp;"'","")</f>
        <v>'discount02'</v>
      </c>
      <c r="E1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29" s="4" t="str">
        <f>IF(VLOOKUP(TableFields[Field],Columns[],5,0)=0,"","-&gt;"&amp;VLOOKUP(TableFields[Field],Columns[],5,0))</f>
        <v>-&gt;nullable()</v>
      </c>
      <c r="G129" s="4" t="str">
        <f>IF(VLOOKUP(TableFields[Field],Columns[],6,0)=0,"","-&gt;"&amp;VLOOKUP(TableFields[Field],Columns[],6,0))</f>
        <v>-&gt;default('NotRequired')</v>
      </c>
      <c r="H129" s="4" t="str">
        <f>IF(VLOOKUP(TableFields[Field],Columns[],7,0)=0,"","-&gt;"&amp;VLOOKUP(TableFields[Field],Columns[],7,0))</f>
        <v/>
      </c>
      <c r="I129" s="4" t="str">
        <f>IF(VLOOKUP(TableFields[Field],Columns[],8,0)=0,"","-&gt;"&amp;VLOOKUP(TableFields[Field],Columns[],8,0))</f>
        <v/>
      </c>
      <c r="J129" s="4" t="str">
        <f>IF(VLOOKUP(TableFields[Field],Columns[],9,0)=0,"","-&gt;"&amp;VLOOKUP(TableFields[Field],Columns[],9,0))</f>
        <v/>
      </c>
      <c r="K129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$table-&gt;enum('discount02', ['NotRequired','Amount','Percentage'])-&gt;nullable()-&gt;default('NotRequired');</v>
      </c>
    </row>
    <row r="130" spans="1:11" x14ac:dyDescent="0.25">
      <c r="A130" s="4" t="s">
        <v>850</v>
      </c>
      <c r="B130" s="4" t="s">
        <v>926</v>
      </c>
      <c r="C130" s="4" t="str">
        <f>VLOOKUP(TableFields[Field],Columns[],2,0)&amp;"("</f>
        <v>enum(</v>
      </c>
      <c r="D130" s="4" t="str">
        <f>IF(VLOOKUP(TableFields[Field],Columns[],3,0)&lt;&gt;"","'"&amp;VLOOKUP(TableFields[Field],Columns[],3,0)&amp;"'","")</f>
        <v>'discount02base'</v>
      </c>
      <c r="E1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['Net','Gross'])</v>
      </c>
      <c r="F130" s="4" t="str">
        <f>IF(VLOOKUP(TableFields[Field],Columns[],5,0)=0,"","-&gt;"&amp;VLOOKUP(TableFields[Field],Columns[],5,0))</f>
        <v>-&gt;nullable()</v>
      </c>
      <c r="G130" s="4" t="str">
        <f>IF(VLOOKUP(TableFields[Field],Columns[],6,0)=0,"","-&gt;"&amp;VLOOKUP(TableFields[Field],Columns[],6,0))</f>
        <v>-&gt;default('Net')</v>
      </c>
      <c r="H130" s="4" t="str">
        <f>IF(VLOOKUP(TableFields[Field],Columns[],7,0)=0,"","-&gt;"&amp;VLOOKUP(TableFields[Field],Columns[],7,0))</f>
        <v/>
      </c>
      <c r="I130" s="4" t="str">
        <f>IF(VLOOKUP(TableFields[Field],Columns[],8,0)=0,"","-&gt;"&amp;VLOOKUP(TableFields[Field],Columns[],8,0))</f>
        <v/>
      </c>
      <c r="J130" s="4" t="str">
        <f>IF(VLOOKUP(TableFields[Field],Columns[],9,0)=0,"","-&gt;"&amp;VLOOKUP(TableFields[Field],Columns[],9,0))</f>
        <v/>
      </c>
      <c r="K130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$table-&gt;enum('discount02base', ['Net','Gross'])-&gt;nullable()-&gt;default('Net');</v>
      </c>
    </row>
    <row r="131" spans="1:11" x14ac:dyDescent="0.25">
      <c r="A131" s="4" t="s">
        <v>850</v>
      </c>
      <c r="B131" s="4" t="s">
        <v>927</v>
      </c>
      <c r="C131" s="4" t="str">
        <f>VLOOKUP(TableFields[Field],Columns[],2,0)&amp;"("</f>
        <v>enum(</v>
      </c>
      <c r="D131" s="4" t="str">
        <f>IF(VLOOKUP(TableFields[Field],Columns[],3,0)&lt;&gt;"","'"&amp;VLOOKUP(TableFields[Field],Columns[],3,0)&amp;"'","")</f>
        <v>'discount03'</v>
      </c>
      <c r="E1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31" s="4" t="str">
        <f>IF(VLOOKUP(TableFields[Field],Columns[],5,0)=0,"","-&gt;"&amp;VLOOKUP(TableFields[Field],Columns[],5,0))</f>
        <v>-&gt;nullable()</v>
      </c>
      <c r="G131" s="4" t="str">
        <f>IF(VLOOKUP(TableFields[Field],Columns[],6,0)=0,"","-&gt;"&amp;VLOOKUP(TableFields[Field],Columns[],6,0))</f>
        <v>-&gt;default('NotRequired')</v>
      </c>
      <c r="H131" s="4" t="str">
        <f>IF(VLOOKUP(TableFields[Field],Columns[],7,0)=0,"","-&gt;"&amp;VLOOKUP(TableFields[Field],Columns[],7,0))</f>
        <v/>
      </c>
      <c r="I131" s="4" t="str">
        <f>IF(VLOOKUP(TableFields[Field],Columns[],8,0)=0,"","-&gt;"&amp;VLOOKUP(TableFields[Field],Columns[],8,0))</f>
        <v/>
      </c>
      <c r="J131" s="4" t="str">
        <f>IF(VLOOKUP(TableFields[Field],Columns[],9,0)=0,"","-&gt;"&amp;VLOOKUP(TableFields[Field],Columns[],9,0))</f>
        <v/>
      </c>
      <c r="K131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$table-&gt;enum('discount03', ['NotRequired','Amount','Percentage'])-&gt;nullable()-&gt;default('NotRequired');</v>
      </c>
    </row>
    <row r="132" spans="1:11" x14ac:dyDescent="0.25">
      <c r="A132" s="4" t="s">
        <v>850</v>
      </c>
      <c r="B132" s="4" t="s">
        <v>928</v>
      </c>
      <c r="C132" s="4" t="str">
        <f>VLOOKUP(TableFields[Field],Columns[],2,0)&amp;"("</f>
        <v>enum(</v>
      </c>
      <c r="D132" s="4" t="str">
        <f>IF(VLOOKUP(TableFields[Field],Columns[],3,0)&lt;&gt;"","'"&amp;VLOOKUP(TableFields[Field],Columns[],3,0)&amp;"'","")</f>
        <v>'discountmode'</v>
      </c>
      <c r="E1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['None','PriceList','Custom','Buy_nX_Get_mY','Account','User','Branch'])</v>
      </c>
      <c r="F132" s="4" t="str">
        <f>IF(VLOOKUP(TableFields[Field],Columns[],5,0)=0,"","-&gt;"&amp;VLOOKUP(TableFields[Field],Columns[],5,0))</f>
        <v>-&gt;nullable()</v>
      </c>
      <c r="G132" s="4" t="str">
        <f>IF(VLOOKUP(TableFields[Field],Columns[],6,0)=0,"","-&gt;"&amp;VLOOKUP(TableFields[Field],Columns[],6,0))</f>
        <v>-&gt;default('None')</v>
      </c>
      <c r="H132" s="4" t="str">
        <f>IF(VLOOKUP(TableFields[Field],Columns[],7,0)=0,"","-&gt;"&amp;VLOOKUP(TableFields[Field],Columns[],7,0))</f>
        <v/>
      </c>
      <c r="I132" s="4" t="str">
        <f>IF(VLOOKUP(TableFields[Field],Columns[],8,0)=0,"","-&gt;"&amp;VLOOKUP(TableFields[Field],Columns[],8,0))</f>
        <v/>
      </c>
      <c r="J132" s="4" t="str">
        <f>IF(VLOOKUP(TableFields[Field],Columns[],9,0)=0,"","-&gt;"&amp;VLOOKUP(TableFields[Field],Columns[],9,0))</f>
        <v/>
      </c>
      <c r="K132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$table-&gt;enum('discountmode', ['None','PriceList','Custom','Buy_nX_Get_mY','Account','User','Branch'])-&gt;nullable()-&gt;default('None');</v>
      </c>
    </row>
    <row r="133" spans="1:11" x14ac:dyDescent="0.25">
      <c r="A133" s="4" t="s">
        <v>850</v>
      </c>
      <c r="B133" s="4" t="s">
        <v>929</v>
      </c>
      <c r="C133" s="4" t="str">
        <f>VLOOKUP(TableFields[Field],Columns[],2,0)&amp;"("</f>
        <v>char(</v>
      </c>
      <c r="D133" s="4" t="str">
        <f>IF(VLOOKUP(TableFields[Field],Columns[],3,0)&lt;&gt;"","'"&amp;VLOOKUP(TableFields[Field],Columns[],3,0)&amp;"'","")</f>
        <v>'discount'</v>
      </c>
      <c r="E1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3" s="4" t="str">
        <f>IF(VLOOKUP(TableFields[Field],Columns[],5,0)=0,"","-&gt;"&amp;VLOOKUP(TableFields[Field],Columns[],5,0))</f>
        <v>-&gt;nullable()</v>
      </c>
      <c r="G133" s="4" t="str">
        <f>IF(VLOOKUP(TableFields[Field],Columns[],6,0)=0,"","-&gt;"&amp;VLOOKUP(TableFields[Field],Columns[],6,0))</f>
        <v/>
      </c>
      <c r="H133" s="4" t="str">
        <f>IF(VLOOKUP(TableFields[Field],Columns[],7,0)=0,"","-&gt;"&amp;VLOOKUP(TableFields[Field],Columns[],7,0))</f>
        <v/>
      </c>
      <c r="I133" s="4" t="str">
        <f>IF(VLOOKUP(TableFields[Field],Columns[],8,0)=0,"","-&gt;"&amp;VLOOKUP(TableFields[Field],Columns[],8,0))</f>
        <v/>
      </c>
      <c r="J133" s="4" t="str">
        <f>IF(VLOOKUP(TableFields[Field],Columns[],9,0)=0,"","-&gt;"&amp;VLOOKUP(TableFields[Field],Columns[],9,0))</f>
        <v/>
      </c>
      <c r="K133" s="4" t="str">
        <f>"$table-&gt;"&amp;TableFields[Type]&amp;TableFields[Name]&amp;TableFields[Arg2]&amp;TableFields[Method1]&amp;TableFields[Method2]&amp;TableFields[Method3]&amp;TableFields[Method4]&amp;TableFields[Method5]&amp;";"</f>
        <v>$table-&gt;char('discount', '15')-&gt;nullable();</v>
      </c>
    </row>
    <row r="134" spans="1:11" x14ac:dyDescent="0.25">
      <c r="A134" s="4" t="s">
        <v>850</v>
      </c>
      <c r="B134" s="4" t="s">
        <v>1689</v>
      </c>
      <c r="C134" s="4" t="str">
        <f>VLOOKUP(TableFields[Field],Columns[],2,0)&amp;"("</f>
        <v>char(</v>
      </c>
      <c r="D134" s="4" t="str">
        <f>IF(VLOOKUP(TableFields[Field],Columns[],3,0)&lt;&gt;"","'"&amp;VLOOKUP(TableFields[Field],Columns[],3,0)&amp;"'","")</f>
        <v>'list'</v>
      </c>
      <c r="E1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4" s="4" t="str">
        <f>IF(VLOOKUP(TableFields[Field],Columns[],5,0)=0,"","-&gt;"&amp;VLOOKUP(TableFields[Field],Columns[],5,0))</f>
        <v>-&gt;nullable()</v>
      </c>
      <c r="G134" s="4" t="str">
        <f>IF(VLOOKUP(TableFields[Field],Columns[],6,0)=0,"","-&gt;"&amp;VLOOKUP(TableFields[Field],Columns[],6,0))</f>
        <v>-&gt;default('01')</v>
      </c>
      <c r="H134" s="4" t="str">
        <f>IF(VLOOKUP(TableFields[Field],Columns[],7,0)=0,"","-&gt;"&amp;VLOOKUP(TableFields[Field],Columns[],7,0))</f>
        <v/>
      </c>
      <c r="I134" s="4" t="str">
        <f>IF(VLOOKUP(TableFields[Field],Columns[],8,0)=0,"","-&gt;"&amp;VLOOKUP(TableFields[Field],Columns[],8,0))</f>
        <v/>
      </c>
      <c r="J134" s="4" t="str">
        <f>IF(VLOOKUP(TableFields[Field],Columns[],9,0)=0,"","-&gt;"&amp;VLOOKUP(TableFields[Field],Columns[],9,0))</f>
        <v/>
      </c>
      <c r="K134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'15')-&gt;nullable()-&gt;default('01');</v>
      </c>
    </row>
    <row r="135" spans="1:11" x14ac:dyDescent="0.25">
      <c r="A135" s="4" t="s">
        <v>850</v>
      </c>
      <c r="B135" s="4" t="s">
        <v>2111</v>
      </c>
      <c r="C135" s="4" t="str">
        <f>VLOOKUP(TableFields[Field],Columns[],2,0)&amp;"("</f>
        <v>enum(</v>
      </c>
      <c r="D135" s="4" t="str">
        <f>IF(VLOOKUP(TableFields[Field],Columns[],3,0)&lt;&gt;"","'"&amp;VLOOKUP(TableFields[Field],Columns[],3,0)&amp;"'","")</f>
        <v>'shift_active'</v>
      </c>
      <c r="E1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135" s="4" t="str">
        <f>IF(VLOOKUP(TableFields[Field],Columns[],5,0)=0,"","-&gt;"&amp;VLOOKUP(TableFields[Field],Columns[],5,0))</f>
        <v>-&gt;default('No')</v>
      </c>
      <c r="G135" s="4" t="str">
        <f>IF(VLOOKUP(TableFields[Field],Columns[],6,0)=0,"","-&gt;"&amp;VLOOKUP(TableFields[Field],Columns[],6,0))</f>
        <v/>
      </c>
      <c r="H135" s="4" t="str">
        <f>IF(VLOOKUP(TableFields[Field],Columns[],7,0)=0,"","-&gt;"&amp;VLOOKUP(TableFields[Field],Columns[],7,0))</f>
        <v/>
      </c>
      <c r="I135" s="4" t="str">
        <f>IF(VLOOKUP(TableFields[Field],Columns[],8,0)=0,"","-&gt;"&amp;VLOOKUP(TableFields[Field],Columns[],8,0))</f>
        <v/>
      </c>
      <c r="J135" s="4" t="str">
        <f>IF(VLOOKUP(TableFields[Field],Columns[],9,0)=0,"","-&gt;"&amp;VLOOKUP(TableFields[Field],Columns[],9,0))</f>
        <v/>
      </c>
      <c r="K135" s="4" t="str">
        <f>"$table-&gt;"&amp;TableFields[Type]&amp;TableFields[Name]&amp;TableFields[Arg2]&amp;TableFields[Method1]&amp;TableFields[Method2]&amp;TableFields[Method3]&amp;TableFields[Method4]&amp;TableFields[Method5]&amp;";"</f>
        <v>$table-&gt;enum('shift_active', ['No','Yes'])-&gt;default('No');</v>
      </c>
    </row>
    <row r="136" spans="1:11" x14ac:dyDescent="0.25">
      <c r="A136" s="4" t="s">
        <v>850</v>
      </c>
      <c r="B136" s="4" t="s">
        <v>775</v>
      </c>
      <c r="C136" s="4" t="str">
        <f>VLOOKUP(TableFields[Field],Columns[],2,0)&amp;"("</f>
        <v>enum(</v>
      </c>
      <c r="D136" s="4" t="str">
        <f>IF(VLOOKUP(TableFields[Field],Columns[],3,0)&lt;&gt;"","'"&amp;VLOOKUP(TableFields[Field],Columns[],3,0)&amp;"'","")</f>
        <v>'status'</v>
      </c>
      <c r="E1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36" s="4" t="str">
        <f>IF(VLOOKUP(TableFields[Field],Columns[],5,0)=0,"","-&gt;"&amp;VLOOKUP(TableFields[Field],Columns[],5,0))</f>
        <v>-&gt;nullable()</v>
      </c>
      <c r="G136" s="4" t="str">
        <f>IF(VLOOKUP(TableFields[Field],Columns[],6,0)=0,"","-&gt;"&amp;VLOOKUP(TableFields[Field],Columns[],6,0))</f>
        <v>-&gt;default('Active')</v>
      </c>
      <c r="H136" s="4" t="str">
        <f>IF(VLOOKUP(TableFields[Field],Columns[],7,0)=0,"","-&gt;"&amp;VLOOKUP(TableFields[Field],Columns[],7,0))</f>
        <v/>
      </c>
      <c r="I136" s="4" t="str">
        <f>IF(VLOOKUP(TableFields[Field],Columns[],8,0)=0,"","-&gt;"&amp;VLOOKUP(TableFields[Field],Columns[],8,0))</f>
        <v/>
      </c>
      <c r="J136" s="4" t="str">
        <f>IF(VLOOKUP(TableFields[Field],Columns[],9,0)=0,"","-&gt;"&amp;VLOOKUP(TableFields[Field],Columns[],9,0))</f>
        <v/>
      </c>
      <c r="K13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37" spans="1:11" x14ac:dyDescent="0.25">
      <c r="A137" s="4" t="s">
        <v>850</v>
      </c>
      <c r="B137" s="4" t="s">
        <v>288</v>
      </c>
      <c r="C137" s="4" t="str">
        <f>VLOOKUP(TableFields[Field],Columns[],2,0)&amp;"("</f>
        <v>audit(</v>
      </c>
      <c r="D137" s="4" t="str">
        <f>IF(VLOOKUP(TableFields[Field],Columns[],3,0)&lt;&gt;"","'"&amp;VLOOKUP(TableFields[Field],Columns[],3,0)&amp;"'","")</f>
        <v/>
      </c>
      <c r="E1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7" s="4" t="str">
        <f>IF(VLOOKUP(TableFields[Field],Columns[],5,0)=0,"","-&gt;"&amp;VLOOKUP(TableFields[Field],Columns[],5,0))</f>
        <v/>
      </c>
      <c r="G137" s="4" t="str">
        <f>IF(VLOOKUP(TableFields[Field],Columns[],6,0)=0,"","-&gt;"&amp;VLOOKUP(TableFields[Field],Columns[],6,0))</f>
        <v/>
      </c>
      <c r="H137" s="4" t="str">
        <f>IF(VLOOKUP(TableFields[Field],Columns[],7,0)=0,"","-&gt;"&amp;VLOOKUP(TableFields[Field],Columns[],7,0))</f>
        <v/>
      </c>
      <c r="I137" s="4" t="str">
        <f>IF(VLOOKUP(TableFields[Field],Columns[],8,0)=0,"","-&gt;"&amp;VLOOKUP(TableFields[Field],Columns[],8,0))</f>
        <v/>
      </c>
      <c r="J137" s="4" t="str">
        <f>IF(VLOOKUP(TableFields[Field],Columns[],9,0)=0,"","-&gt;"&amp;VLOOKUP(TableFields[Field],Columns[],9,0))</f>
        <v/>
      </c>
      <c r="K13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38" spans="1:11" x14ac:dyDescent="0.25">
      <c r="A138" s="4" t="s">
        <v>890</v>
      </c>
      <c r="B138" s="4" t="s">
        <v>21</v>
      </c>
      <c r="C138" s="4" t="str">
        <f>VLOOKUP(TableFields[Field],Columns[],2,0)&amp;"("</f>
        <v>bigIncrements(</v>
      </c>
      <c r="D138" s="4" t="str">
        <f>IF(VLOOKUP(TableFields[Field],Columns[],3,0)&lt;&gt;"","'"&amp;VLOOKUP(TableFields[Field],Columns[],3,0)&amp;"'","")</f>
        <v>'id'</v>
      </c>
      <c r="E1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8" s="4" t="str">
        <f>IF(VLOOKUP(TableFields[Field],Columns[],5,0)=0,"","-&gt;"&amp;VLOOKUP(TableFields[Field],Columns[],5,0))</f>
        <v/>
      </c>
      <c r="G138" s="4" t="str">
        <f>IF(VLOOKUP(TableFields[Field],Columns[],6,0)=0,"","-&gt;"&amp;VLOOKUP(TableFields[Field],Columns[],6,0))</f>
        <v/>
      </c>
      <c r="H138" s="4" t="str">
        <f>IF(VLOOKUP(TableFields[Field],Columns[],7,0)=0,"","-&gt;"&amp;VLOOKUP(TableFields[Field],Columns[],7,0))</f>
        <v/>
      </c>
      <c r="I138" s="4" t="str">
        <f>IF(VLOOKUP(TableFields[Field],Columns[],8,0)=0,"","-&gt;"&amp;VLOOKUP(TableFields[Field],Columns[],8,0))</f>
        <v/>
      </c>
      <c r="J138" s="4" t="str">
        <f>IF(VLOOKUP(TableFields[Field],Columns[],9,0)=0,"","-&gt;"&amp;VLOOKUP(TableFields[Field],Columns[],9,0))</f>
        <v/>
      </c>
      <c r="K13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39" spans="1:11" x14ac:dyDescent="0.25">
      <c r="A139" s="4" t="s">
        <v>890</v>
      </c>
      <c r="B139" s="4" t="s">
        <v>768</v>
      </c>
      <c r="C139" s="4" t="str">
        <f>VLOOKUP(TableFields[Field],Columns[],2,0)&amp;"("</f>
        <v>char(</v>
      </c>
      <c r="D139" s="4" t="str">
        <f>IF(VLOOKUP(TableFields[Field],Columns[],3,0)&lt;&gt;"","'"&amp;VLOOKUP(TableFields[Field],Columns[],3,0)&amp;"'","")</f>
        <v>'code'</v>
      </c>
      <c r="E1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9" s="4" t="str">
        <f>IF(VLOOKUP(TableFields[Field],Columns[],5,0)=0,"","-&gt;"&amp;VLOOKUP(TableFields[Field],Columns[],5,0))</f>
        <v>-&gt;nullable()</v>
      </c>
      <c r="G139" s="4" t="str">
        <f>IF(VLOOKUP(TableFields[Field],Columns[],6,0)=0,"","-&gt;"&amp;VLOOKUP(TableFields[Field],Columns[],6,0))</f>
        <v>-&gt;index()</v>
      </c>
      <c r="H139" s="4" t="str">
        <f>IF(VLOOKUP(TableFields[Field],Columns[],7,0)=0,"","-&gt;"&amp;VLOOKUP(TableFields[Field],Columns[],7,0))</f>
        <v/>
      </c>
      <c r="I139" s="4" t="str">
        <f>IF(VLOOKUP(TableFields[Field],Columns[],8,0)=0,"","-&gt;"&amp;VLOOKUP(TableFields[Field],Columns[],8,0))</f>
        <v/>
      </c>
      <c r="J139" s="4" t="str">
        <f>IF(VLOOKUP(TableFields[Field],Columns[],9,0)=0,"","-&gt;"&amp;VLOOKUP(TableFields[Field],Columns[],9,0))</f>
        <v/>
      </c>
      <c r="K139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40" spans="1:11" x14ac:dyDescent="0.25">
      <c r="A140" s="4" t="s">
        <v>890</v>
      </c>
      <c r="B140" s="4" t="s">
        <v>875</v>
      </c>
      <c r="C140" s="4" t="str">
        <f>VLOOKUP(TableFields[Field],Columns[],2,0)&amp;"("</f>
        <v>char(</v>
      </c>
      <c r="D140" s="4" t="str">
        <f>IF(VLOOKUP(TableFields[Field],Columns[],3,0)&lt;&gt;"","'"&amp;VLOOKUP(TableFields[Field],Columns[],3,0)&amp;"'","")</f>
        <v>'cocode'</v>
      </c>
      <c r="E1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40" s="4" t="str">
        <f>IF(VLOOKUP(TableFields[Field],Columns[],5,0)=0,"","-&gt;"&amp;VLOOKUP(TableFields[Field],Columns[],5,0))</f>
        <v>-&gt;nullable()</v>
      </c>
      <c r="G140" s="4" t="str">
        <f>IF(VLOOKUP(TableFields[Field],Columns[],6,0)=0,"","-&gt;"&amp;VLOOKUP(TableFields[Field],Columns[],6,0))</f>
        <v>-&gt;index()</v>
      </c>
      <c r="H140" s="4" t="str">
        <f>IF(VLOOKUP(TableFields[Field],Columns[],7,0)=0,"","-&gt;"&amp;VLOOKUP(TableFields[Field],Columns[],7,0))</f>
        <v/>
      </c>
      <c r="I140" s="4" t="str">
        <f>IF(VLOOKUP(TableFields[Field],Columns[],8,0)=0,"","-&gt;"&amp;VLOOKUP(TableFields[Field],Columns[],8,0))</f>
        <v/>
      </c>
      <c r="J140" s="4" t="str">
        <f>IF(VLOOKUP(TableFields[Field],Columns[],9,0)=0,"","-&gt;"&amp;VLOOKUP(TableFields[Field],Columns[],9,0))</f>
        <v/>
      </c>
      <c r="K140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41" spans="1:11" x14ac:dyDescent="0.25">
      <c r="A141" s="4" t="s">
        <v>890</v>
      </c>
      <c r="B141" s="4" t="s">
        <v>23</v>
      </c>
      <c r="C141" s="4" t="str">
        <f>VLOOKUP(TableFields[Field],Columns[],2,0)&amp;"("</f>
        <v>string(</v>
      </c>
      <c r="D141" s="4" t="str">
        <f>IF(VLOOKUP(TableFields[Field],Columns[],3,0)&lt;&gt;"","'"&amp;VLOOKUP(TableFields[Field],Columns[],3,0)&amp;"'","")</f>
        <v>'name'</v>
      </c>
      <c r="E1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41" s="4" t="str">
        <f>IF(VLOOKUP(TableFields[Field],Columns[],5,0)=0,"","-&gt;"&amp;VLOOKUP(TableFields[Field],Columns[],5,0))</f>
        <v>-&gt;nullable()</v>
      </c>
      <c r="G141" s="4" t="str">
        <f>IF(VLOOKUP(TableFields[Field],Columns[],6,0)=0,"","-&gt;"&amp;VLOOKUP(TableFields[Field],Columns[],6,0))</f>
        <v>-&gt;index()</v>
      </c>
      <c r="H141" s="4" t="str">
        <f>IF(VLOOKUP(TableFields[Field],Columns[],7,0)=0,"","-&gt;"&amp;VLOOKUP(TableFields[Field],Columns[],7,0))</f>
        <v/>
      </c>
      <c r="I141" s="4" t="str">
        <f>IF(VLOOKUP(TableFields[Field],Columns[],8,0)=0,"","-&gt;"&amp;VLOOKUP(TableFields[Field],Columns[],8,0))</f>
        <v/>
      </c>
      <c r="J141" s="4" t="str">
        <f>IF(VLOOKUP(TableFields[Field],Columns[],9,0)=0,"","-&gt;"&amp;VLOOKUP(TableFields[Field],Columns[],9,0))</f>
        <v/>
      </c>
      <c r="K141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42" spans="1:11" x14ac:dyDescent="0.25">
      <c r="A142" s="4" t="s">
        <v>890</v>
      </c>
      <c r="B142" s="4" t="s">
        <v>1627</v>
      </c>
      <c r="C142" s="4" t="str">
        <f>VLOOKUP(TableFields[Field],Columns[],2,0)&amp;"("</f>
        <v>string(</v>
      </c>
      <c r="D142" s="4" t="str">
        <f>IF(VLOOKUP(TableFields[Field],Columns[],3,0)&lt;&gt;"","'"&amp;VLOOKUP(TableFields[Field],Columns[],3,0)&amp;"'","")</f>
        <v>'abr'</v>
      </c>
      <c r="E1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42" s="4" t="str">
        <f>IF(VLOOKUP(TableFields[Field],Columns[],5,0)=0,"","-&gt;"&amp;VLOOKUP(TableFields[Field],Columns[],5,0))</f>
        <v>-&gt;nullable()</v>
      </c>
      <c r="G142" s="4" t="str">
        <f>IF(VLOOKUP(TableFields[Field],Columns[],6,0)=0,"","-&gt;"&amp;VLOOKUP(TableFields[Field],Columns[],6,0))</f>
        <v/>
      </c>
      <c r="H142" s="4" t="str">
        <f>IF(VLOOKUP(TableFields[Field],Columns[],7,0)=0,"","-&gt;"&amp;VLOOKUP(TableFields[Field],Columns[],7,0))</f>
        <v/>
      </c>
      <c r="I142" s="4" t="str">
        <f>IF(VLOOKUP(TableFields[Field],Columns[],8,0)=0,"","-&gt;"&amp;VLOOKUP(TableFields[Field],Columns[],8,0))</f>
        <v/>
      </c>
      <c r="J142" s="4" t="str">
        <f>IF(VLOOKUP(TableFields[Field],Columns[],9,0)=0,"","-&gt;"&amp;VLOOKUP(TableFields[Field],Columns[],9,0))</f>
        <v/>
      </c>
      <c r="K142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43" spans="1:11" x14ac:dyDescent="0.25">
      <c r="A143" s="4" t="s">
        <v>890</v>
      </c>
      <c r="B143" s="4" t="s">
        <v>2093</v>
      </c>
      <c r="C143" s="4" t="str">
        <f>VLOOKUP(TableFields[Field],Columns[],2,0)&amp;"("</f>
        <v>datetime(</v>
      </c>
      <c r="D143" s="4" t="str">
        <f>IF(VLOOKUP(TableFields[Field],Columns[],3,0)&lt;&gt;"","'"&amp;VLOOKUP(TableFields[Field],Columns[],3,0)&amp;"'","")</f>
        <v>'start_date'</v>
      </c>
      <c r="E1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3" s="4" t="str">
        <f>IF(VLOOKUP(TableFields[Field],Columns[],5,0)=0,"","-&gt;"&amp;VLOOKUP(TableFields[Field],Columns[],5,0))</f>
        <v>-&gt;nullable()</v>
      </c>
      <c r="G143" s="4" t="str">
        <f>IF(VLOOKUP(TableFields[Field],Columns[],6,0)=0,"","-&gt;"&amp;VLOOKUP(TableFields[Field],Columns[],6,0))</f>
        <v/>
      </c>
      <c r="H143" s="4" t="str">
        <f>IF(VLOOKUP(TableFields[Field],Columns[],7,0)=0,"","-&gt;"&amp;VLOOKUP(TableFields[Field],Columns[],7,0))</f>
        <v/>
      </c>
      <c r="I143" s="4" t="str">
        <f>IF(VLOOKUP(TableFields[Field],Columns[],8,0)=0,"","-&gt;"&amp;VLOOKUP(TableFields[Field],Columns[],8,0))</f>
        <v/>
      </c>
      <c r="J143" s="4" t="str">
        <f>IF(VLOOKUP(TableFields[Field],Columns[],9,0)=0,"","-&gt;"&amp;VLOOKUP(TableFields[Field],Columns[],9,0))</f>
        <v/>
      </c>
      <c r="K143" s="4" t="str">
        <f>"$table-&gt;"&amp;TableFields[Type]&amp;TableFields[Name]&amp;TableFields[Arg2]&amp;TableFields[Method1]&amp;TableFields[Method2]&amp;TableFields[Method3]&amp;TableFields[Method4]&amp;TableFields[Method5]&amp;";"</f>
        <v>$table-&gt;datetime('start_date')-&gt;nullable();</v>
      </c>
    </row>
    <row r="144" spans="1:11" x14ac:dyDescent="0.25">
      <c r="A144" s="4" t="s">
        <v>890</v>
      </c>
      <c r="B144" s="4" t="s">
        <v>2094</v>
      </c>
      <c r="C144" s="4" t="str">
        <f>VLOOKUP(TableFields[Field],Columns[],2,0)&amp;"("</f>
        <v>datetime(</v>
      </c>
      <c r="D144" s="4" t="str">
        <f>IF(VLOOKUP(TableFields[Field],Columns[],3,0)&lt;&gt;"","'"&amp;VLOOKUP(TableFields[Field],Columns[],3,0)&amp;"'","")</f>
        <v>'end_date'</v>
      </c>
      <c r="E1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4" s="4" t="str">
        <f>IF(VLOOKUP(TableFields[Field],Columns[],5,0)=0,"","-&gt;"&amp;VLOOKUP(TableFields[Field],Columns[],5,0))</f>
        <v>-&gt;nullable()</v>
      </c>
      <c r="G144" s="4" t="str">
        <f>IF(VLOOKUP(TableFields[Field],Columns[],6,0)=0,"","-&gt;"&amp;VLOOKUP(TableFields[Field],Columns[],6,0))</f>
        <v/>
      </c>
      <c r="H144" s="4" t="str">
        <f>IF(VLOOKUP(TableFields[Field],Columns[],7,0)=0,"","-&gt;"&amp;VLOOKUP(TableFields[Field],Columns[],7,0))</f>
        <v/>
      </c>
      <c r="I144" s="4" t="str">
        <f>IF(VLOOKUP(TableFields[Field],Columns[],8,0)=0,"","-&gt;"&amp;VLOOKUP(TableFields[Field],Columns[],8,0))</f>
        <v/>
      </c>
      <c r="J144" s="4" t="str">
        <f>IF(VLOOKUP(TableFields[Field],Columns[],9,0)=0,"","-&gt;"&amp;VLOOKUP(TableFields[Field],Columns[],9,0))</f>
        <v/>
      </c>
      <c r="K144" s="4" t="str">
        <f>"$table-&gt;"&amp;TableFields[Type]&amp;TableFields[Name]&amp;TableFields[Arg2]&amp;TableFields[Method1]&amp;TableFields[Method2]&amp;TableFields[Method3]&amp;TableFields[Method4]&amp;TableFields[Method5]&amp;";"</f>
        <v>$table-&gt;datetime('end_date')-&gt;nullable();</v>
      </c>
    </row>
    <row r="145" spans="1:11" x14ac:dyDescent="0.25">
      <c r="A145" s="4" t="s">
        <v>890</v>
      </c>
      <c r="B145" s="4" t="s">
        <v>893</v>
      </c>
      <c r="C145" s="4" t="str">
        <f>VLOOKUP(TableFields[Field],Columns[],2,0)&amp;"("</f>
        <v>enum(</v>
      </c>
      <c r="D145" s="4" t="str">
        <f>IF(VLOOKUP(TableFields[Field],Columns[],3,0)&lt;&gt;"","'"&amp;VLOOKUP(TableFields[Field],Columns[],3,0)&amp;"'","")</f>
        <v>'status'</v>
      </c>
      <c r="E1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['ReadWrite','ReadOnly','Inactive'])</v>
      </c>
      <c r="F145" s="4" t="str">
        <f>IF(VLOOKUP(TableFields[Field],Columns[],5,0)=0,"","-&gt;"&amp;VLOOKUP(TableFields[Field],Columns[],5,0))</f>
        <v>-&gt;default('ReadWrite')</v>
      </c>
      <c r="G145" s="4" t="str">
        <f>IF(VLOOKUP(TableFields[Field],Columns[],6,0)=0,"","-&gt;"&amp;VLOOKUP(TableFields[Field],Columns[],6,0))</f>
        <v>-&gt;nullable()</v>
      </c>
      <c r="H145" s="4" t="str">
        <f>IF(VLOOKUP(TableFields[Field],Columns[],7,0)=0,"","-&gt;"&amp;VLOOKUP(TableFields[Field],Columns[],7,0))</f>
        <v/>
      </c>
      <c r="I145" s="4" t="str">
        <f>IF(VLOOKUP(TableFields[Field],Columns[],8,0)=0,"","-&gt;"&amp;VLOOKUP(TableFields[Field],Columns[],8,0))</f>
        <v/>
      </c>
      <c r="J145" s="4" t="str">
        <f>IF(VLOOKUP(TableFields[Field],Columns[],9,0)=0,"","-&gt;"&amp;VLOOKUP(TableFields[Field],Columns[],9,0))</f>
        <v/>
      </c>
      <c r="K14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['ReadWrite','ReadOnly','Inactive'])-&gt;default('ReadWrite')-&gt;nullable();</v>
      </c>
    </row>
    <row r="146" spans="1:11" x14ac:dyDescent="0.25">
      <c r="A146" s="4" t="s">
        <v>890</v>
      </c>
      <c r="B146" s="4" t="s">
        <v>288</v>
      </c>
      <c r="C146" s="4" t="str">
        <f>VLOOKUP(TableFields[Field],Columns[],2,0)&amp;"("</f>
        <v>audit(</v>
      </c>
      <c r="D146" s="4" t="str">
        <f>IF(VLOOKUP(TableFields[Field],Columns[],3,0)&lt;&gt;"","'"&amp;VLOOKUP(TableFields[Field],Columns[],3,0)&amp;"'","")</f>
        <v/>
      </c>
      <c r="E1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6" s="4" t="str">
        <f>IF(VLOOKUP(TableFields[Field],Columns[],5,0)=0,"","-&gt;"&amp;VLOOKUP(TableFields[Field],Columns[],5,0))</f>
        <v/>
      </c>
      <c r="G146" s="4" t="str">
        <f>IF(VLOOKUP(TableFields[Field],Columns[],6,0)=0,"","-&gt;"&amp;VLOOKUP(TableFields[Field],Columns[],6,0))</f>
        <v/>
      </c>
      <c r="H146" s="4" t="str">
        <f>IF(VLOOKUP(TableFields[Field],Columns[],7,0)=0,"","-&gt;"&amp;VLOOKUP(TableFields[Field],Columns[],7,0))</f>
        <v/>
      </c>
      <c r="I146" s="4" t="str">
        <f>IF(VLOOKUP(TableFields[Field],Columns[],8,0)=0,"","-&gt;"&amp;VLOOKUP(TableFields[Field],Columns[],8,0))</f>
        <v/>
      </c>
      <c r="J146" s="4" t="str">
        <f>IF(VLOOKUP(TableFields[Field],Columns[],9,0)=0,"","-&gt;"&amp;VLOOKUP(TableFields[Field],Columns[],9,0))</f>
        <v/>
      </c>
      <c r="K14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47" spans="1:11" x14ac:dyDescent="0.25">
      <c r="A147" s="2" t="s">
        <v>759</v>
      </c>
      <c r="B147" s="4" t="s">
        <v>21</v>
      </c>
      <c r="C147" s="4" t="str">
        <f>VLOOKUP(TableFields[Field],Columns[],2,0)&amp;"("</f>
        <v>bigIncrements(</v>
      </c>
      <c r="D147" s="4" t="str">
        <f>IF(VLOOKUP(TableFields[Field],Columns[],3,0)&lt;&gt;"","'"&amp;VLOOKUP(TableFields[Field],Columns[],3,0)&amp;"'","")</f>
        <v>'id'</v>
      </c>
      <c r="E1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7" s="4" t="str">
        <f>IF(VLOOKUP(TableFields[Field],Columns[],5,0)=0,"","-&gt;"&amp;VLOOKUP(TableFields[Field],Columns[],5,0))</f>
        <v/>
      </c>
      <c r="G147" s="4" t="str">
        <f>IF(VLOOKUP(TableFields[Field],Columns[],6,0)=0,"","-&gt;"&amp;VLOOKUP(TableFields[Field],Columns[],6,0))</f>
        <v/>
      </c>
      <c r="H147" s="4" t="str">
        <f>IF(VLOOKUP(TableFields[Field],Columns[],7,0)=0,"","-&gt;"&amp;VLOOKUP(TableFields[Field],Columns[],7,0))</f>
        <v/>
      </c>
      <c r="I147" s="4" t="str">
        <f>IF(VLOOKUP(TableFields[Field],Columns[],8,0)=0,"","-&gt;"&amp;VLOOKUP(TableFields[Field],Columns[],8,0))</f>
        <v/>
      </c>
      <c r="J147" s="4" t="str">
        <f>IF(VLOOKUP(TableFields[Field],Columns[],9,0)=0,"","-&gt;"&amp;VLOOKUP(TableFields[Field],Columns[],9,0))</f>
        <v/>
      </c>
      <c r="K14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48" spans="1:11" x14ac:dyDescent="0.25">
      <c r="A148" s="2" t="s">
        <v>759</v>
      </c>
      <c r="B148" s="4" t="s">
        <v>889</v>
      </c>
      <c r="C148" s="4" t="str">
        <f>VLOOKUP(TableFields[Field],Columns[],2,0)&amp;"("</f>
        <v>foreignCascade(</v>
      </c>
      <c r="D148" s="4" t="str">
        <f>IF(VLOOKUP(TableFields[Field],Columns[],3,0)&lt;&gt;"","'"&amp;VLOOKUP(TableFields[Field],Columns[],3,0)&amp;"'","")</f>
        <v>'user'</v>
      </c>
      <c r="E1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48" s="4" t="str">
        <f>IF(VLOOKUP(TableFields[Field],Columns[],5,0)=0,"","-&gt;"&amp;VLOOKUP(TableFields[Field],Columns[],5,0))</f>
        <v/>
      </c>
      <c r="G148" s="4" t="str">
        <f>IF(VLOOKUP(TableFields[Field],Columns[],6,0)=0,"","-&gt;"&amp;VLOOKUP(TableFields[Field],Columns[],6,0))</f>
        <v/>
      </c>
      <c r="H148" s="4" t="str">
        <f>IF(VLOOKUP(TableFields[Field],Columns[],7,0)=0,"","-&gt;"&amp;VLOOKUP(TableFields[Field],Columns[],7,0))</f>
        <v/>
      </c>
      <c r="I148" s="4" t="str">
        <f>IF(VLOOKUP(TableFields[Field],Columns[],8,0)=0,"","-&gt;"&amp;VLOOKUP(TableFields[Field],Columns[],8,0))</f>
        <v/>
      </c>
      <c r="J148" s="4" t="str">
        <f>IF(VLOOKUP(TableFields[Field],Columns[],9,0)=0,"","-&gt;"&amp;VLOOKUP(TableFields[Field],Columns[],9,0))</f>
        <v/>
      </c>
      <c r="K148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149" spans="1:11" x14ac:dyDescent="0.25">
      <c r="A149" s="2" t="s">
        <v>759</v>
      </c>
      <c r="B149" s="4" t="s">
        <v>791</v>
      </c>
      <c r="C149" s="4" t="str">
        <f>VLOOKUP(TableFields[Field],Columns[],2,0)&amp;"("</f>
        <v>foreignCascade(</v>
      </c>
      <c r="D149" s="4" t="str">
        <f>IF(VLOOKUP(TableFields[Field],Columns[],3,0)&lt;&gt;"","'"&amp;VLOOKUP(TableFields[Field],Columns[],3,0)&amp;"'","")</f>
        <v>'store'</v>
      </c>
      <c r="E1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49" s="4" t="str">
        <f>IF(VLOOKUP(TableFields[Field],Columns[],5,0)=0,"","-&gt;"&amp;VLOOKUP(TableFields[Field],Columns[],5,0))</f>
        <v/>
      </c>
      <c r="G149" s="4" t="str">
        <f>IF(VLOOKUP(TableFields[Field],Columns[],6,0)=0,"","-&gt;"&amp;VLOOKUP(TableFields[Field],Columns[],6,0))</f>
        <v/>
      </c>
      <c r="H149" s="4" t="str">
        <f>IF(VLOOKUP(TableFields[Field],Columns[],7,0)=0,"","-&gt;"&amp;VLOOKUP(TableFields[Field],Columns[],7,0))</f>
        <v/>
      </c>
      <c r="I149" s="4" t="str">
        <f>IF(VLOOKUP(TableFields[Field],Columns[],8,0)=0,"","-&gt;"&amp;VLOOKUP(TableFields[Field],Columns[],8,0))</f>
        <v/>
      </c>
      <c r="J149" s="4" t="str">
        <f>IF(VLOOKUP(TableFields[Field],Columns[],9,0)=0,"","-&gt;"&amp;VLOOKUP(TableFields[Field],Columns[],9,0))</f>
        <v/>
      </c>
      <c r="K14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$table-&gt;foreignCascade('store', 'stores');</v>
      </c>
    </row>
    <row r="150" spans="1:11" x14ac:dyDescent="0.25">
      <c r="A150" s="2" t="s">
        <v>759</v>
      </c>
      <c r="B150" s="4" t="s">
        <v>780</v>
      </c>
      <c r="C150" s="4" t="str">
        <f>VLOOKUP(TableFields[Field],Columns[],2,0)&amp;"("</f>
        <v>foreignCascade(</v>
      </c>
      <c r="D150" s="4" t="str">
        <f>IF(VLOOKUP(TableFields[Field],Columns[],3,0)&lt;&gt;"","'"&amp;VLOOKUP(TableFields[Field],Columns[],3,0)&amp;"'","")</f>
        <v>'area'</v>
      </c>
      <c r="E1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150" s="4" t="str">
        <f>IF(VLOOKUP(TableFields[Field],Columns[],5,0)=0,"","-&gt;"&amp;VLOOKUP(TableFields[Field],Columns[],5,0))</f>
        <v/>
      </c>
      <c r="G150" s="4" t="str">
        <f>IF(VLOOKUP(TableFields[Field],Columns[],6,0)=0,"","-&gt;"&amp;VLOOKUP(TableFields[Field],Columns[],6,0))</f>
        <v/>
      </c>
      <c r="H150" s="4" t="str">
        <f>IF(VLOOKUP(TableFields[Field],Columns[],7,0)=0,"","-&gt;"&amp;VLOOKUP(TableFields[Field],Columns[],7,0))</f>
        <v/>
      </c>
      <c r="I150" s="4" t="str">
        <f>IF(VLOOKUP(TableFields[Field],Columns[],8,0)=0,"","-&gt;"&amp;VLOOKUP(TableFields[Field],Columns[],8,0))</f>
        <v/>
      </c>
      <c r="J150" s="4" t="str">
        <f>IF(VLOOKUP(TableFields[Field],Columns[],9,0)=0,"","-&gt;"&amp;VLOOKUP(TableFields[Field],Columns[],9,0))</f>
        <v/>
      </c>
      <c r="K150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151" spans="1:11" x14ac:dyDescent="0.25">
      <c r="A151" s="2" t="s">
        <v>759</v>
      </c>
      <c r="B151" s="4" t="s">
        <v>775</v>
      </c>
      <c r="C151" s="4" t="str">
        <f>VLOOKUP(TableFields[Field],Columns[],2,0)&amp;"("</f>
        <v>enum(</v>
      </c>
      <c r="D151" s="4" t="str">
        <f>IF(VLOOKUP(TableFields[Field],Columns[],3,0)&lt;&gt;"","'"&amp;VLOOKUP(TableFields[Field],Columns[],3,0)&amp;"'","")</f>
        <v>'status'</v>
      </c>
      <c r="E1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51" s="4" t="str">
        <f>IF(VLOOKUP(TableFields[Field],Columns[],5,0)=0,"","-&gt;"&amp;VLOOKUP(TableFields[Field],Columns[],5,0))</f>
        <v>-&gt;nullable()</v>
      </c>
      <c r="G151" s="4" t="str">
        <f>IF(VLOOKUP(TableFields[Field],Columns[],6,0)=0,"","-&gt;"&amp;VLOOKUP(TableFields[Field],Columns[],6,0))</f>
        <v>-&gt;default('Active')</v>
      </c>
      <c r="H151" s="4" t="str">
        <f>IF(VLOOKUP(TableFields[Field],Columns[],7,0)=0,"","-&gt;"&amp;VLOOKUP(TableFields[Field],Columns[],7,0))</f>
        <v/>
      </c>
      <c r="I151" s="4" t="str">
        <f>IF(VLOOKUP(TableFields[Field],Columns[],8,0)=0,"","-&gt;"&amp;VLOOKUP(TableFields[Field],Columns[],8,0))</f>
        <v/>
      </c>
      <c r="J151" s="4" t="str">
        <f>IF(VLOOKUP(TableFields[Field],Columns[],9,0)=0,"","-&gt;"&amp;VLOOKUP(TableFields[Field],Columns[],9,0))</f>
        <v/>
      </c>
      <c r="K15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52" spans="1:11" x14ac:dyDescent="0.25">
      <c r="A152" s="2" t="s">
        <v>759</v>
      </c>
      <c r="B152" s="4" t="s">
        <v>288</v>
      </c>
      <c r="C152" s="4" t="str">
        <f>VLOOKUP(TableFields[Field],Columns[],2,0)&amp;"("</f>
        <v>audit(</v>
      </c>
      <c r="D152" s="4" t="str">
        <f>IF(VLOOKUP(TableFields[Field],Columns[],3,0)&lt;&gt;"","'"&amp;VLOOKUP(TableFields[Field],Columns[],3,0)&amp;"'","")</f>
        <v/>
      </c>
      <c r="E1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2" s="4" t="str">
        <f>IF(VLOOKUP(TableFields[Field],Columns[],5,0)=0,"","-&gt;"&amp;VLOOKUP(TableFields[Field],Columns[],5,0))</f>
        <v/>
      </c>
      <c r="G152" s="4" t="str">
        <f>IF(VLOOKUP(TableFields[Field],Columns[],6,0)=0,"","-&gt;"&amp;VLOOKUP(TableFields[Field],Columns[],6,0))</f>
        <v/>
      </c>
      <c r="H152" s="4" t="str">
        <f>IF(VLOOKUP(TableFields[Field],Columns[],7,0)=0,"","-&gt;"&amp;VLOOKUP(TableFields[Field],Columns[],7,0))</f>
        <v/>
      </c>
      <c r="I152" s="4" t="str">
        <f>IF(VLOOKUP(TableFields[Field],Columns[],8,0)=0,"","-&gt;"&amp;VLOOKUP(TableFields[Field],Columns[],8,0))</f>
        <v/>
      </c>
      <c r="J152" s="4" t="str">
        <f>IF(VLOOKUP(TableFields[Field],Columns[],9,0)=0,"","-&gt;"&amp;VLOOKUP(TableFields[Field],Columns[],9,0))</f>
        <v/>
      </c>
      <c r="K15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3" spans="1:11" x14ac:dyDescent="0.25">
      <c r="A153" s="4" t="s">
        <v>1677</v>
      </c>
      <c r="B153" s="4" t="s">
        <v>21</v>
      </c>
      <c r="C153" s="4" t="str">
        <f>VLOOKUP(TableFields[Field],Columns[],2,0)&amp;"("</f>
        <v>bigIncrements(</v>
      </c>
      <c r="D153" s="4" t="str">
        <f>IF(VLOOKUP(TableFields[Field],Columns[],3,0)&lt;&gt;"","'"&amp;VLOOKUP(TableFields[Field],Columns[],3,0)&amp;"'","")</f>
        <v>'id'</v>
      </c>
      <c r="E1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3" s="4" t="str">
        <f>IF(VLOOKUP(TableFields[Field],Columns[],5,0)=0,"","-&gt;"&amp;VLOOKUP(TableFields[Field],Columns[],5,0))</f>
        <v/>
      </c>
      <c r="G153" s="4" t="str">
        <f>IF(VLOOKUP(TableFields[Field],Columns[],6,0)=0,"","-&gt;"&amp;VLOOKUP(TableFields[Field],Columns[],6,0))</f>
        <v/>
      </c>
      <c r="H153" s="4" t="str">
        <f>IF(VLOOKUP(TableFields[Field],Columns[],7,0)=0,"","-&gt;"&amp;VLOOKUP(TableFields[Field],Columns[],7,0))</f>
        <v/>
      </c>
      <c r="I153" s="4" t="str">
        <f>IF(VLOOKUP(TableFields[Field],Columns[],8,0)=0,"","-&gt;"&amp;VLOOKUP(TableFields[Field],Columns[],8,0))</f>
        <v/>
      </c>
      <c r="J153" s="4" t="str">
        <f>IF(VLOOKUP(TableFields[Field],Columns[],9,0)=0,"","-&gt;"&amp;VLOOKUP(TableFields[Field],Columns[],9,0))</f>
        <v/>
      </c>
      <c r="K15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4" spans="1:11" x14ac:dyDescent="0.25">
      <c r="A154" s="4" t="s">
        <v>1677</v>
      </c>
      <c r="B154" s="4" t="s">
        <v>23</v>
      </c>
      <c r="C154" s="4" t="str">
        <f>VLOOKUP(TableFields[Field],Columns[],2,0)&amp;"("</f>
        <v>string(</v>
      </c>
      <c r="D154" s="4" t="str">
        <f>IF(VLOOKUP(TableFields[Field],Columns[],3,0)&lt;&gt;"","'"&amp;VLOOKUP(TableFields[Field],Columns[],3,0)&amp;"'","")</f>
        <v>'name'</v>
      </c>
      <c r="E1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54" s="4" t="str">
        <f>IF(VLOOKUP(TableFields[Field],Columns[],5,0)=0,"","-&gt;"&amp;VLOOKUP(TableFields[Field],Columns[],5,0))</f>
        <v>-&gt;nullable()</v>
      </c>
      <c r="G154" s="4" t="str">
        <f>IF(VLOOKUP(TableFields[Field],Columns[],6,0)=0,"","-&gt;"&amp;VLOOKUP(TableFields[Field],Columns[],6,0))</f>
        <v>-&gt;index()</v>
      </c>
      <c r="H154" s="4" t="str">
        <f>IF(VLOOKUP(TableFields[Field],Columns[],7,0)=0,"","-&gt;"&amp;VLOOKUP(TableFields[Field],Columns[],7,0))</f>
        <v/>
      </c>
      <c r="I154" s="4" t="str">
        <f>IF(VLOOKUP(TableFields[Field],Columns[],8,0)=0,"","-&gt;"&amp;VLOOKUP(TableFields[Field],Columns[],8,0))</f>
        <v/>
      </c>
      <c r="J154" s="4" t="str">
        <f>IF(VLOOKUP(TableFields[Field],Columns[],9,0)=0,"","-&gt;"&amp;VLOOKUP(TableFields[Field],Columns[],9,0))</f>
        <v/>
      </c>
      <c r="K15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55" spans="1:11" x14ac:dyDescent="0.25">
      <c r="A155" s="4" t="s">
        <v>1677</v>
      </c>
      <c r="B155" s="4" t="s">
        <v>768</v>
      </c>
      <c r="C155" s="4" t="str">
        <f>VLOOKUP(TableFields[Field],Columns[],2,0)&amp;"("</f>
        <v>char(</v>
      </c>
      <c r="D155" s="4" t="str">
        <f>IF(VLOOKUP(TableFields[Field],Columns[],3,0)&lt;&gt;"","'"&amp;VLOOKUP(TableFields[Field],Columns[],3,0)&amp;"'","")</f>
        <v>'code'</v>
      </c>
      <c r="E1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5" s="4" t="str">
        <f>IF(VLOOKUP(TableFields[Field],Columns[],5,0)=0,"","-&gt;"&amp;VLOOKUP(TableFields[Field],Columns[],5,0))</f>
        <v>-&gt;nullable()</v>
      </c>
      <c r="G155" s="4" t="str">
        <f>IF(VLOOKUP(TableFields[Field],Columns[],6,0)=0,"","-&gt;"&amp;VLOOKUP(TableFields[Field],Columns[],6,0))</f>
        <v>-&gt;index()</v>
      </c>
      <c r="H155" s="4" t="str">
        <f>IF(VLOOKUP(TableFields[Field],Columns[],7,0)=0,"","-&gt;"&amp;VLOOKUP(TableFields[Field],Columns[],7,0))</f>
        <v/>
      </c>
      <c r="I155" s="4" t="str">
        <f>IF(VLOOKUP(TableFields[Field],Columns[],8,0)=0,"","-&gt;"&amp;VLOOKUP(TableFields[Field],Columns[],8,0))</f>
        <v/>
      </c>
      <c r="J155" s="4" t="str">
        <f>IF(VLOOKUP(TableFields[Field],Columns[],9,0)=0,"","-&gt;"&amp;VLOOKUP(TableFields[Field],Columns[],9,0))</f>
        <v/>
      </c>
      <c r="K155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56" spans="1:11" x14ac:dyDescent="0.25">
      <c r="A156" s="4" t="s">
        <v>1677</v>
      </c>
      <c r="B156" s="4" t="s">
        <v>1678</v>
      </c>
      <c r="C156" s="4" t="str">
        <f>VLOOKUP(TableFields[Field],Columns[],2,0)&amp;"("</f>
        <v>char(</v>
      </c>
      <c r="D156" s="4" t="str">
        <f>IF(VLOOKUP(TableFields[Field],Columns[],3,0)&lt;&gt;"","'"&amp;VLOOKUP(TableFields[Field],Columns[],3,0)&amp;"'","")</f>
        <v>'list'</v>
      </c>
      <c r="E1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6" s="4" t="str">
        <f>IF(VLOOKUP(TableFields[Field],Columns[],5,0)=0,"","-&gt;"&amp;VLOOKUP(TableFields[Field],Columns[],5,0))</f>
        <v>-&gt;nullable()</v>
      </c>
      <c r="G156" s="4" t="str">
        <f>IF(VLOOKUP(TableFields[Field],Columns[],6,0)=0,"","-&gt;"&amp;VLOOKUP(TableFields[Field],Columns[],6,0))</f>
        <v>-&gt;index()</v>
      </c>
      <c r="H156" s="4" t="str">
        <f>IF(VLOOKUP(TableFields[Field],Columns[],7,0)=0,"","-&gt;"&amp;VLOOKUP(TableFields[Field],Columns[],7,0))</f>
        <v/>
      </c>
      <c r="I156" s="4" t="str">
        <f>IF(VLOOKUP(TableFields[Field],Columns[],8,0)=0,"","-&gt;"&amp;VLOOKUP(TableFields[Field],Columns[],8,0))</f>
        <v/>
      </c>
      <c r="J156" s="4" t="str">
        <f>IF(VLOOKUP(TableFields[Field],Columns[],9,0)=0,"","-&gt;"&amp;VLOOKUP(TableFields[Field],Columns[],9,0))</f>
        <v/>
      </c>
      <c r="K156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'15')-&gt;nullable()-&gt;index();</v>
      </c>
    </row>
    <row r="157" spans="1:11" x14ac:dyDescent="0.25">
      <c r="A157" s="4" t="s">
        <v>1677</v>
      </c>
      <c r="B157" s="4" t="s">
        <v>288</v>
      </c>
      <c r="C157" s="4" t="str">
        <f>VLOOKUP(TableFields[Field],Columns[],2,0)&amp;"("</f>
        <v>audit(</v>
      </c>
      <c r="D157" s="4" t="str">
        <f>IF(VLOOKUP(TableFields[Field],Columns[],3,0)&lt;&gt;"","'"&amp;VLOOKUP(TableFields[Field],Columns[],3,0)&amp;"'","")</f>
        <v/>
      </c>
      <c r="E1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7" s="4" t="str">
        <f>IF(VLOOKUP(TableFields[Field],Columns[],5,0)=0,"","-&gt;"&amp;VLOOKUP(TableFields[Field],Columns[],5,0))</f>
        <v/>
      </c>
      <c r="G157" s="4" t="str">
        <f>IF(VLOOKUP(TableFields[Field],Columns[],6,0)=0,"","-&gt;"&amp;VLOOKUP(TableFields[Field],Columns[],6,0))</f>
        <v/>
      </c>
      <c r="H157" s="4" t="str">
        <f>IF(VLOOKUP(TableFields[Field],Columns[],7,0)=0,"","-&gt;"&amp;VLOOKUP(TableFields[Field],Columns[],7,0))</f>
        <v/>
      </c>
      <c r="I157" s="4" t="str">
        <f>IF(VLOOKUP(TableFields[Field],Columns[],8,0)=0,"","-&gt;"&amp;VLOOKUP(TableFields[Field],Columns[],8,0))</f>
        <v/>
      </c>
      <c r="J157" s="4" t="str">
        <f>IF(VLOOKUP(TableFields[Field],Columns[],9,0)=0,"","-&gt;"&amp;VLOOKUP(TableFields[Field],Columns[],9,0))</f>
        <v/>
      </c>
      <c r="K15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8" spans="1:11" x14ac:dyDescent="0.25">
      <c r="A158" s="4" t="s">
        <v>760</v>
      </c>
      <c r="B158" s="4" t="s">
        <v>21</v>
      </c>
      <c r="C158" s="4" t="str">
        <f>VLOOKUP(TableFields[Field],Columns[],2,0)&amp;"("</f>
        <v>bigIncrements(</v>
      </c>
      <c r="D158" s="4" t="str">
        <f>IF(VLOOKUP(TableFields[Field],Columns[],3,0)&lt;&gt;"","'"&amp;VLOOKUP(TableFields[Field],Columns[],3,0)&amp;"'","")</f>
        <v>'id'</v>
      </c>
      <c r="E1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8" s="4" t="str">
        <f>IF(VLOOKUP(TableFields[Field],Columns[],5,0)=0,"","-&gt;"&amp;VLOOKUP(TableFields[Field],Columns[],5,0))</f>
        <v/>
      </c>
      <c r="G158" s="4" t="str">
        <f>IF(VLOOKUP(TableFields[Field],Columns[],6,0)=0,"","-&gt;"&amp;VLOOKUP(TableFields[Field],Columns[],6,0))</f>
        <v/>
      </c>
      <c r="H158" s="4" t="str">
        <f>IF(VLOOKUP(TableFields[Field],Columns[],7,0)=0,"","-&gt;"&amp;VLOOKUP(TableFields[Field],Columns[],7,0))</f>
        <v/>
      </c>
      <c r="I158" s="4" t="str">
        <f>IF(VLOOKUP(TableFields[Field],Columns[],8,0)=0,"","-&gt;"&amp;VLOOKUP(TableFields[Field],Columns[],8,0))</f>
        <v/>
      </c>
      <c r="J158" s="4" t="str">
        <f>IF(VLOOKUP(TableFields[Field],Columns[],9,0)=0,"","-&gt;"&amp;VLOOKUP(TableFields[Field],Columns[],9,0))</f>
        <v/>
      </c>
      <c r="K15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9" spans="1:11" x14ac:dyDescent="0.25">
      <c r="A159" s="4" t="s">
        <v>760</v>
      </c>
      <c r="B159" s="4" t="s">
        <v>810</v>
      </c>
      <c r="C159" s="4" t="str">
        <f>VLOOKUP(TableFields[Field],Columns[],2,0)&amp;"("</f>
        <v>char(</v>
      </c>
      <c r="D159" s="4" t="str">
        <f>IF(VLOOKUP(TableFields[Field],Columns[],3,0)&lt;&gt;"","'"&amp;VLOOKUP(TableFields[Field],Columns[],3,0)&amp;"'","")</f>
        <v>'code'</v>
      </c>
      <c r="E1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9" s="4" t="str">
        <f>IF(VLOOKUP(TableFields[Field],Columns[],5,0)=0,"","-&gt;"&amp;VLOOKUP(TableFields[Field],Columns[],5,0))</f>
        <v>-&gt;nullable()</v>
      </c>
      <c r="G159" s="4" t="str">
        <f>IF(VLOOKUP(TableFields[Field],Columns[],6,0)=0,"","-&gt;"&amp;VLOOKUP(TableFields[Field],Columns[],6,0))</f>
        <v>-&gt;index()</v>
      </c>
      <c r="H159" s="4" t="str">
        <f>IF(VLOOKUP(TableFields[Field],Columns[],7,0)=0,"","-&gt;"&amp;VLOOKUP(TableFields[Field],Columns[],7,0))</f>
        <v/>
      </c>
      <c r="I159" s="4" t="str">
        <f>IF(VLOOKUP(TableFields[Field],Columns[],8,0)=0,"","-&gt;"&amp;VLOOKUP(TableFields[Field],Columns[],8,0))</f>
        <v/>
      </c>
      <c r="J159" s="4" t="str">
        <f>IF(VLOOKUP(TableFields[Field],Columns[],9,0)=0,"","-&gt;"&amp;VLOOKUP(TableFields[Field],Columns[],9,0))</f>
        <v/>
      </c>
      <c r="K159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'30')-&gt;nullable()-&gt;index();</v>
      </c>
    </row>
    <row r="160" spans="1:11" x14ac:dyDescent="0.25">
      <c r="A160" s="4" t="s">
        <v>760</v>
      </c>
      <c r="B160" s="4" t="s">
        <v>23</v>
      </c>
      <c r="C160" s="4" t="str">
        <f>VLOOKUP(TableFields[Field],Columns[],2,0)&amp;"("</f>
        <v>string(</v>
      </c>
      <c r="D160" s="4" t="str">
        <f>IF(VLOOKUP(TableFields[Field],Columns[],3,0)&lt;&gt;"","'"&amp;VLOOKUP(TableFields[Field],Columns[],3,0)&amp;"'","")</f>
        <v>'name'</v>
      </c>
      <c r="E1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60" s="4" t="str">
        <f>IF(VLOOKUP(TableFields[Field],Columns[],5,0)=0,"","-&gt;"&amp;VLOOKUP(TableFields[Field],Columns[],5,0))</f>
        <v>-&gt;nullable()</v>
      </c>
      <c r="G160" s="4" t="str">
        <f>IF(VLOOKUP(TableFields[Field],Columns[],6,0)=0,"","-&gt;"&amp;VLOOKUP(TableFields[Field],Columns[],6,0))</f>
        <v>-&gt;index()</v>
      </c>
      <c r="H160" s="4" t="str">
        <f>IF(VLOOKUP(TableFields[Field],Columns[],7,0)=0,"","-&gt;"&amp;VLOOKUP(TableFields[Field],Columns[],7,0))</f>
        <v/>
      </c>
      <c r="I160" s="4" t="str">
        <f>IF(VLOOKUP(TableFields[Field],Columns[],8,0)=0,"","-&gt;"&amp;VLOOKUP(TableFields[Field],Columns[],8,0))</f>
        <v/>
      </c>
      <c r="J160" s="4" t="str">
        <f>IF(VLOOKUP(TableFields[Field],Columns[],9,0)=0,"","-&gt;"&amp;VLOOKUP(TableFields[Field],Columns[],9,0))</f>
        <v/>
      </c>
      <c r="K16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61" spans="1:11" x14ac:dyDescent="0.25">
      <c r="A161" s="4" t="s">
        <v>760</v>
      </c>
      <c r="B161" s="4" t="s">
        <v>807</v>
      </c>
      <c r="C161" s="4" t="str">
        <f>VLOOKUP(TableFields[Field],Columns[],2,0)&amp;"("</f>
        <v>char(</v>
      </c>
      <c r="D161" s="4" t="str">
        <f>IF(VLOOKUP(TableFields[Field],Columns[],3,0)&lt;&gt;"","'"&amp;VLOOKUP(TableFields[Field],Columns[],3,0)&amp;"'","")</f>
        <v>'uom'</v>
      </c>
      <c r="E1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1" s="4" t="str">
        <f>IF(VLOOKUP(TableFields[Field],Columns[],5,0)=0,"","-&gt;"&amp;VLOOKUP(TableFields[Field],Columns[],5,0))</f>
        <v>-&gt;nullable()</v>
      </c>
      <c r="G161" s="4" t="str">
        <f>IF(VLOOKUP(TableFields[Field],Columns[],6,0)=0,"","-&gt;"&amp;VLOOKUP(TableFields[Field],Columns[],6,0))</f>
        <v/>
      </c>
      <c r="H161" s="4" t="str">
        <f>IF(VLOOKUP(TableFields[Field],Columns[],7,0)=0,"","-&gt;"&amp;VLOOKUP(TableFields[Field],Columns[],7,0))</f>
        <v/>
      </c>
      <c r="I161" s="4" t="str">
        <f>IF(VLOOKUP(TableFields[Field],Columns[],8,0)=0,"","-&gt;"&amp;VLOOKUP(TableFields[Field],Columns[],8,0))</f>
        <v/>
      </c>
      <c r="J161" s="4" t="str">
        <f>IF(VLOOKUP(TableFields[Field],Columns[],9,0)=0,"","-&gt;"&amp;VLOOKUP(TableFields[Field],Columns[],9,0))</f>
        <v/>
      </c>
      <c r="K161" s="4" t="str">
        <f>"$table-&gt;"&amp;TableFields[Type]&amp;TableFields[Name]&amp;TableFields[Arg2]&amp;TableFields[Method1]&amp;TableFields[Method2]&amp;TableFields[Method3]&amp;TableFields[Method4]&amp;TableFields[Method5]&amp;";"</f>
        <v>$table-&gt;char('uom', '15')-&gt;nullable();</v>
      </c>
    </row>
    <row r="162" spans="1:11" x14ac:dyDescent="0.25">
      <c r="A162" s="4" t="s">
        <v>760</v>
      </c>
      <c r="B162" s="4" t="s">
        <v>808</v>
      </c>
      <c r="C162" s="4" t="str">
        <f>VLOOKUP(TableFields[Field],Columns[],2,0)&amp;"("</f>
        <v>char(</v>
      </c>
      <c r="D162" s="4" t="str">
        <f>IF(VLOOKUP(TableFields[Field],Columns[],3,0)&lt;&gt;"","'"&amp;VLOOKUP(TableFields[Field],Columns[],3,0)&amp;"'","")</f>
        <v>'partcode'</v>
      </c>
      <c r="E1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2" s="4" t="str">
        <f>IF(VLOOKUP(TableFields[Field],Columns[],5,0)=0,"","-&gt;"&amp;VLOOKUP(TableFields[Field],Columns[],5,0))</f>
        <v>-&gt;nullable()</v>
      </c>
      <c r="G162" s="4" t="str">
        <f>IF(VLOOKUP(TableFields[Field],Columns[],6,0)=0,"","-&gt;"&amp;VLOOKUP(TableFields[Field],Columns[],6,0))</f>
        <v/>
      </c>
      <c r="H162" s="4" t="str">
        <f>IF(VLOOKUP(TableFields[Field],Columns[],7,0)=0,"","-&gt;"&amp;VLOOKUP(TableFields[Field],Columns[],7,0))</f>
        <v/>
      </c>
      <c r="I162" s="4" t="str">
        <f>IF(VLOOKUP(TableFields[Field],Columns[],8,0)=0,"","-&gt;"&amp;VLOOKUP(TableFields[Field],Columns[],8,0))</f>
        <v/>
      </c>
      <c r="J162" s="4" t="str">
        <f>IF(VLOOKUP(TableFields[Field],Columns[],9,0)=0,"","-&gt;"&amp;VLOOKUP(TableFields[Field],Columns[],9,0))</f>
        <v/>
      </c>
      <c r="K162" s="4" t="str">
        <f>"$table-&gt;"&amp;TableFields[Type]&amp;TableFields[Name]&amp;TableFields[Arg2]&amp;TableFields[Method1]&amp;TableFields[Method2]&amp;TableFields[Method3]&amp;TableFields[Method4]&amp;TableFields[Method5]&amp;";"</f>
        <v>$table-&gt;char('partcode', '30')-&gt;nullable();</v>
      </c>
    </row>
    <row r="163" spans="1:11" x14ac:dyDescent="0.25">
      <c r="A163" s="4" t="s">
        <v>760</v>
      </c>
      <c r="B163" s="4" t="s">
        <v>809</v>
      </c>
      <c r="C163" s="4" t="str">
        <f>VLOOKUP(TableFields[Field],Columns[],2,0)&amp;"("</f>
        <v>string(</v>
      </c>
      <c r="D163" s="4" t="str">
        <f>IF(VLOOKUP(TableFields[Field],Columns[],3,0)&lt;&gt;"","'"&amp;VLOOKUP(TableFields[Field],Columns[],3,0)&amp;"'","")</f>
        <v>'barcode'</v>
      </c>
      <c r="E1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63" s="4" t="str">
        <f>IF(VLOOKUP(TableFields[Field],Columns[],5,0)=0,"","-&gt;"&amp;VLOOKUP(TableFields[Field],Columns[],5,0))</f>
        <v>-&gt;nullable()</v>
      </c>
      <c r="G163" s="4" t="str">
        <f>IF(VLOOKUP(TableFields[Field],Columns[],6,0)=0,"","-&gt;"&amp;VLOOKUP(TableFields[Field],Columns[],6,0))</f>
        <v/>
      </c>
      <c r="H163" s="4" t="str">
        <f>IF(VLOOKUP(TableFields[Field],Columns[],7,0)=0,"","-&gt;"&amp;VLOOKUP(TableFields[Field],Columns[],7,0))</f>
        <v/>
      </c>
      <c r="I163" s="4" t="str">
        <f>IF(VLOOKUP(TableFields[Field],Columns[],8,0)=0,"","-&gt;"&amp;VLOOKUP(TableFields[Field],Columns[],8,0))</f>
        <v/>
      </c>
      <c r="J163" s="4" t="str">
        <f>IF(VLOOKUP(TableFields[Field],Columns[],9,0)=0,"","-&gt;"&amp;VLOOKUP(TableFields[Field],Columns[],9,0))</f>
        <v/>
      </c>
      <c r="K163" s="4" t="str">
        <f>"$table-&gt;"&amp;TableFields[Type]&amp;TableFields[Name]&amp;TableFields[Arg2]&amp;TableFields[Method1]&amp;TableFields[Method2]&amp;TableFields[Method3]&amp;TableFields[Method4]&amp;TableFields[Method5]&amp;";"</f>
        <v>$table-&gt;string('barcode', '128')-&gt;nullable();</v>
      </c>
    </row>
    <row r="164" spans="1:11" x14ac:dyDescent="0.25">
      <c r="A164" s="4" t="s">
        <v>760</v>
      </c>
      <c r="B164" s="4" t="s">
        <v>796</v>
      </c>
      <c r="C164" s="5" t="str">
        <f>VLOOKUP(TableFields[Field],Columns[],2,0)&amp;"("</f>
        <v>string(</v>
      </c>
      <c r="D164" s="5" t="str">
        <f>IF(VLOOKUP(TableFields[Field],Columns[],3,0)&lt;&gt;"","'"&amp;VLOOKUP(TableFields[Field],Columns[],3,0)&amp;"'","")</f>
        <v>'narration'</v>
      </c>
      <c r="E16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64" s="5" t="str">
        <f>IF(VLOOKUP(TableFields[Field],Columns[],5,0)=0,"","-&gt;"&amp;VLOOKUP(TableFields[Field],Columns[],5,0))</f>
        <v>-&gt;nullable()</v>
      </c>
      <c r="G164" s="5" t="str">
        <f>IF(VLOOKUP(TableFields[Field],Columns[],6,0)=0,"","-&gt;"&amp;VLOOKUP(TableFields[Field],Columns[],6,0))</f>
        <v/>
      </c>
      <c r="H164" s="5" t="str">
        <f>IF(VLOOKUP(TableFields[Field],Columns[],7,0)=0,"","-&gt;"&amp;VLOOKUP(TableFields[Field],Columns[],7,0))</f>
        <v/>
      </c>
      <c r="I164" s="5" t="str">
        <f>IF(VLOOKUP(TableFields[Field],Columns[],8,0)=0,"","-&gt;"&amp;VLOOKUP(TableFields[Field],Columns[],8,0))</f>
        <v/>
      </c>
      <c r="J164" s="5" t="str">
        <f>IF(VLOOKUP(TableFields[Field],Columns[],9,0)=0,"","-&gt;"&amp;VLOOKUP(TableFields[Field],Columns[],9,0))</f>
        <v/>
      </c>
      <c r="K164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'1024')-&gt;nullable();</v>
      </c>
    </row>
    <row r="165" spans="1:11" x14ac:dyDescent="0.25">
      <c r="A165" s="4" t="s">
        <v>760</v>
      </c>
      <c r="B165" s="4" t="s">
        <v>798</v>
      </c>
      <c r="C165" s="5" t="str">
        <f>VLOOKUP(TableFields[Field],Columns[],2,0)&amp;"("</f>
        <v>string(</v>
      </c>
      <c r="D165" s="5" t="str">
        <f>IF(VLOOKUP(TableFields[Field],Columns[],3,0)&lt;&gt;"","'"&amp;VLOOKUP(TableFields[Field],Columns[],3,0)&amp;"'","")</f>
        <v>'narration2'</v>
      </c>
      <c r="E16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65" s="5" t="str">
        <f>IF(VLOOKUP(TableFields[Field],Columns[],5,0)=0,"","-&gt;"&amp;VLOOKUP(TableFields[Field],Columns[],5,0))</f>
        <v>-&gt;nullable()</v>
      </c>
      <c r="G165" s="5" t="str">
        <f>IF(VLOOKUP(TableFields[Field],Columns[],6,0)=0,"","-&gt;"&amp;VLOOKUP(TableFields[Field],Columns[],6,0))</f>
        <v/>
      </c>
      <c r="H165" s="5" t="str">
        <f>IF(VLOOKUP(TableFields[Field],Columns[],7,0)=0,"","-&gt;"&amp;VLOOKUP(TableFields[Field],Columns[],7,0))</f>
        <v/>
      </c>
      <c r="I165" s="5" t="str">
        <f>IF(VLOOKUP(TableFields[Field],Columns[],8,0)=0,"","-&gt;"&amp;VLOOKUP(TableFields[Field],Columns[],8,0))</f>
        <v/>
      </c>
      <c r="J165" s="5" t="str">
        <f>IF(VLOOKUP(TableFields[Field],Columns[],9,0)=0,"","-&gt;"&amp;VLOOKUP(TableFields[Field],Columns[],9,0))</f>
        <v/>
      </c>
      <c r="K165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'1024')-&gt;nullable();</v>
      </c>
    </row>
    <row r="166" spans="1:11" x14ac:dyDescent="0.25">
      <c r="A166" s="4" t="s">
        <v>760</v>
      </c>
      <c r="B166" s="4" t="s">
        <v>1697</v>
      </c>
      <c r="C166" s="5" t="str">
        <f>VLOOKUP(TableFields[Field],Columns[],2,0)&amp;"("</f>
        <v>char(</v>
      </c>
      <c r="D166" s="5" t="str">
        <f>IF(VLOOKUP(TableFields[Field],Columns[],3,0)&lt;&gt;"","'"&amp;VLOOKUP(TableFields[Field],Columns[],3,0)&amp;"'","")</f>
        <v>'taxcode01'</v>
      </c>
      <c r="E16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6" s="5" t="str">
        <f>IF(VLOOKUP(TableFields[Field],Columns[],5,0)=0,"","-&gt;"&amp;VLOOKUP(TableFields[Field],Columns[],5,0))</f>
        <v>-&gt;nullable()</v>
      </c>
      <c r="G166" s="5" t="str">
        <f>IF(VLOOKUP(TableFields[Field],Columns[],6,0)=0,"","-&gt;"&amp;VLOOKUP(TableFields[Field],Columns[],6,0))</f>
        <v>-&gt;index()</v>
      </c>
      <c r="H166" s="5" t="str">
        <f>IF(VLOOKUP(TableFields[Field],Columns[],7,0)=0,"","-&gt;"&amp;VLOOKUP(TableFields[Field],Columns[],7,0))</f>
        <v/>
      </c>
      <c r="I166" s="5" t="str">
        <f>IF(VLOOKUP(TableFields[Field],Columns[],8,0)=0,"","-&gt;"&amp;VLOOKUP(TableFields[Field],Columns[],8,0))</f>
        <v/>
      </c>
      <c r="J166" s="5" t="str">
        <f>IF(VLOOKUP(TableFields[Field],Columns[],9,0)=0,"","-&gt;"&amp;VLOOKUP(TableFields[Field],Columns[],9,0))</f>
        <v/>
      </c>
      <c r="K166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$table-&gt;char('taxcode01', '15')-&gt;nullable()-&gt;index();</v>
      </c>
    </row>
    <row r="167" spans="1:11" x14ac:dyDescent="0.25">
      <c r="A167" s="4" t="s">
        <v>760</v>
      </c>
      <c r="B167" s="4" t="s">
        <v>1695</v>
      </c>
      <c r="C167" s="5" t="str">
        <f>VLOOKUP(TableFields[Field],Columns[],2,0)&amp;"("</f>
        <v>decimal(</v>
      </c>
      <c r="D167" s="5" t="str">
        <f>IF(VLOOKUP(TableFields[Field],Columns[],3,0)&lt;&gt;"","'"&amp;VLOOKUP(TableFields[Field],Columns[],3,0)&amp;"'","")</f>
        <v>'taxfactor01'</v>
      </c>
      <c r="E16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7" s="5" t="str">
        <f>IF(VLOOKUP(TableFields[Field],Columns[],5,0)=0,"","-&gt;"&amp;VLOOKUP(TableFields[Field],Columns[],5,0))</f>
        <v>-&gt;default('0')</v>
      </c>
      <c r="G167" s="5" t="str">
        <f>IF(VLOOKUP(TableFields[Field],Columns[],6,0)=0,"","-&gt;"&amp;VLOOKUP(TableFields[Field],Columns[],6,0))</f>
        <v/>
      </c>
      <c r="H167" s="5" t="str">
        <f>IF(VLOOKUP(TableFields[Field],Columns[],7,0)=0,"","-&gt;"&amp;VLOOKUP(TableFields[Field],Columns[],7,0))</f>
        <v/>
      </c>
      <c r="I167" s="5" t="str">
        <f>IF(VLOOKUP(TableFields[Field],Columns[],8,0)=0,"","-&gt;"&amp;VLOOKUP(TableFields[Field],Columns[],8,0))</f>
        <v/>
      </c>
      <c r="J167" s="5" t="str">
        <f>IF(VLOOKUP(TableFields[Field],Columns[],9,0)=0,"","-&gt;"&amp;VLOOKUP(TableFields[Field],Columns[],9,0))</f>
        <v/>
      </c>
      <c r="K167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$table-&gt;decimal('taxfactor01', 30,10)-&gt;default('0');</v>
      </c>
    </row>
    <row r="168" spans="1:11" x14ac:dyDescent="0.25">
      <c r="A168" s="4" t="s">
        <v>760</v>
      </c>
      <c r="B168" s="4" t="s">
        <v>1696</v>
      </c>
      <c r="C168" s="5" t="str">
        <f>VLOOKUP(TableFields[Field],Columns[],2,0)&amp;"("</f>
        <v>decimal(</v>
      </c>
      <c r="D168" s="5" t="str">
        <f>IF(VLOOKUP(TableFields[Field],Columns[],3,0)&lt;&gt;"","'"&amp;VLOOKUP(TableFields[Field],Columns[],3,0)&amp;"'","")</f>
        <v>'subtaxfactor01'</v>
      </c>
      <c r="E16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8" s="5" t="str">
        <f>IF(VLOOKUP(TableFields[Field],Columns[],5,0)=0,"","-&gt;"&amp;VLOOKUP(TableFields[Field],Columns[],5,0))</f>
        <v>-&gt;default('0')</v>
      </c>
      <c r="G168" s="5" t="str">
        <f>IF(VLOOKUP(TableFields[Field],Columns[],6,0)=0,"","-&gt;"&amp;VLOOKUP(TableFields[Field],Columns[],6,0))</f>
        <v/>
      </c>
      <c r="H168" s="5" t="str">
        <f>IF(VLOOKUP(TableFields[Field],Columns[],7,0)=0,"","-&gt;"&amp;VLOOKUP(TableFields[Field],Columns[],7,0))</f>
        <v/>
      </c>
      <c r="I168" s="5" t="str">
        <f>IF(VLOOKUP(TableFields[Field],Columns[],8,0)=0,"","-&gt;"&amp;VLOOKUP(TableFields[Field],Columns[],8,0))</f>
        <v/>
      </c>
      <c r="J168" s="5" t="str">
        <f>IF(VLOOKUP(TableFields[Field],Columns[],9,0)=0,"","-&gt;"&amp;VLOOKUP(TableFields[Field],Columns[],9,0))</f>
        <v/>
      </c>
      <c r="K168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$table-&gt;decimal('subtaxfactor01', 30,10)-&gt;default('0');</v>
      </c>
    </row>
    <row r="169" spans="1:11" x14ac:dyDescent="0.25">
      <c r="A169" s="4" t="s">
        <v>760</v>
      </c>
      <c r="B169" s="4" t="s">
        <v>1694</v>
      </c>
      <c r="C169" s="5" t="str">
        <f>VLOOKUP(TableFields[Field],Columns[],2,0)&amp;"("</f>
        <v>char(</v>
      </c>
      <c r="D169" s="5" t="str">
        <f>IF(VLOOKUP(TableFields[Field],Columns[],3,0)&lt;&gt;"","'"&amp;VLOOKUP(TableFields[Field],Columns[],3,0)&amp;"'","")</f>
        <v>'taxcode02'</v>
      </c>
      <c r="E16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9" s="5" t="str">
        <f>IF(VLOOKUP(TableFields[Field],Columns[],5,0)=0,"","-&gt;"&amp;VLOOKUP(TableFields[Field],Columns[],5,0))</f>
        <v>-&gt;nullable()</v>
      </c>
      <c r="G169" s="5" t="str">
        <f>IF(VLOOKUP(TableFields[Field],Columns[],6,0)=0,"","-&gt;"&amp;VLOOKUP(TableFields[Field],Columns[],6,0))</f>
        <v>-&gt;index()</v>
      </c>
      <c r="H169" s="5" t="str">
        <f>IF(VLOOKUP(TableFields[Field],Columns[],7,0)=0,"","-&gt;"&amp;VLOOKUP(TableFields[Field],Columns[],7,0))</f>
        <v/>
      </c>
      <c r="I169" s="5" t="str">
        <f>IF(VLOOKUP(TableFields[Field],Columns[],8,0)=0,"","-&gt;"&amp;VLOOKUP(TableFields[Field],Columns[],8,0))</f>
        <v/>
      </c>
      <c r="J169" s="5" t="str">
        <f>IF(VLOOKUP(TableFields[Field],Columns[],9,0)=0,"","-&gt;"&amp;VLOOKUP(TableFields[Field],Columns[],9,0))</f>
        <v/>
      </c>
      <c r="K169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$table-&gt;char('taxcode02', '15')-&gt;nullable()-&gt;index();</v>
      </c>
    </row>
    <row r="170" spans="1:11" x14ac:dyDescent="0.25">
      <c r="A170" s="4" t="s">
        <v>760</v>
      </c>
      <c r="B170" s="4" t="s">
        <v>1673</v>
      </c>
      <c r="C170" s="5" t="str">
        <f>VLOOKUP(TableFields[Field],Columns[],2,0)&amp;"("</f>
        <v>decimal(</v>
      </c>
      <c r="D170" s="5" t="str">
        <f>IF(VLOOKUP(TableFields[Field],Columns[],3,0)&lt;&gt;"","'"&amp;VLOOKUP(TableFields[Field],Columns[],3,0)&amp;"'","")</f>
        <v>'taxfactor02'</v>
      </c>
      <c r="E17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70" s="5" t="str">
        <f>IF(VLOOKUP(TableFields[Field],Columns[],5,0)=0,"","-&gt;"&amp;VLOOKUP(TableFields[Field],Columns[],5,0))</f>
        <v>-&gt;default('0')</v>
      </c>
      <c r="G170" s="5" t="str">
        <f>IF(VLOOKUP(TableFields[Field],Columns[],6,0)=0,"","-&gt;"&amp;VLOOKUP(TableFields[Field],Columns[],6,0))</f>
        <v/>
      </c>
      <c r="H170" s="5" t="str">
        <f>IF(VLOOKUP(TableFields[Field],Columns[],7,0)=0,"","-&gt;"&amp;VLOOKUP(TableFields[Field],Columns[],7,0))</f>
        <v/>
      </c>
      <c r="I170" s="5" t="str">
        <f>IF(VLOOKUP(TableFields[Field],Columns[],8,0)=0,"","-&gt;"&amp;VLOOKUP(TableFields[Field],Columns[],8,0))</f>
        <v/>
      </c>
      <c r="J170" s="5" t="str">
        <f>IF(VLOOKUP(TableFields[Field],Columns[],9,0)=0,"","-&gt;"&amp;VLOOKUP(TableFields[Field],Columns[],9,0))</f>
        <v/>
      </c>
      <c r="K170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$table-&gt;decimal('taxfactor02', 30,10)-&gt;default('0');</v>
      </c>
    </row>
    <row r="171" spans="1:11" x14ac:dyDescent="0.25">
      <c r="A171" s="4" t="s">
        <v>760</v>
      </c>
      <c r="B171" s="4" t="s">
        <v>1674</v>
      </c>
      <c r="C171" s="5" t="str">
        <f>VLOOKUP(TableFields[Field],Columns[],2,0)&amp;"("</f>
        <v>decimal(</v>
      </c>
      <c r="D171" s="5" t="str">
        <f>IF(VLOOKUP(TableFields[Field],Columns[],3,0)&lt;&gt;"","'"&amp;VLOOKUP(TableFields[Field],Columns[],3,0)&amp;"'","")</f>
        <v>'subtaxfactor02'</v>
      </c>
      <c r="E17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71" s="5" t="str">
        <f>IF(VLOOKUP(TableFields[Field],Columns[],5,0)=0,"","-&gt;"&amp;VLOOKUP(TableFields[Field],Columns[],5,0))</f>
        <v>-&gt;default('0')</v>
      </c>
      <c r="G171" s="5" t="str">
        <f>IF(VLOOKUP(TableFields[Field],Columns[],6,0)=0,"","-&gt;"&amp;VLOOKUP(TableFields[Field],Columns[],6,0))</f>
        <v/>
      </c>
      <c r="H171" s="5" t="str">
        <f>IF(VLOOKUP(TableFields[Field],Columns[],7,0)=0,"","-&gt;"&amp;VLOOKUP(TableFields[Field],Columns[],7,0))</f>
        <v/>
      </c>
      <c r="I171" s="5" t="str">
        <f>IF(VLOOKUP(TableFields[Field],Columns[],8,0)=0,"","-&gt;"&amp;VLOOKUP(TableFields[Field],Columns[],8,0))</f>
        <v/>
      </c>
      <c r="J171" s="5" t="str">
        <f>IF(VLOOKUP(TableFields[Field],Columns[],9,0)=0,"","-&gt;"&amp;VLOOKUP(TableFields[Field],Columns[],9,0))</f>
        <v/>
      </c>
      <c r="K171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$table-&gt;decimal('subtaxfactor02', 30,10)-&gt;default('0');</v>
      </c>
    </row>
    <row r="172" spans="1:11" x14ac:dyDescent="0.25">
      <c r="A172" s="4" t="s">
        <v>760</v>
      </c>
      <c r="B172" s="4" t="s">
        <v>772</v>
      </c>
      <c r="C172" s="4" t="str">
        <f>VLOOKUP(TableFields[Field],Columns[],2,0)&amp;"("</f>
        <v>enum(</v>
      </c>
      <c r="D172" s="4" t="str">
        <f>IF(VLOOKUP(TableFields[Field],Columns[],3,0)&lt;&gt;"","'"&amp;VLOOKUP(TableFields[Field],Columns[],3,0)&amp;"'","")</f>
        <v>'type'</v>
      </c>
      <c r="E1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72" s="4" t="str">
        <f>IF(VLOOKUP(TableFields[Field],Columns[],5,0)=0,"","-&gt;"&amp;VLOOKUP(TableFields[Field],Columns[],5,0))</f>
        <v>-&gt;nullable()</v>
      </c>
      <c r="G172" s="4" t="str">
        <f>IF(VLOOKUP(TableFields[Field],Columns[],6,0)=0,"","-&gt;"&amp;VLOOKUP(TableFields[Field],Columns[],6,0))</f>
        <v>-&gt;default('Public')</v>
      </c>
      <c r="H172" s="4" t="str">
        <f>IF(VLOOKUP(TableFields[Field],Columns[],7,0)=0,"","-&gt;"&amp;VLOOKUP(TableFields[Field],Columns[],7,0))</f>
        <v/>
      </c>
      <c r="I172" s="4" t="str">
        <f>IF(VLOOKUP(TableFields[Field],Columns[],8,0)=0,"","-&gt;"&amp;VLOOKUP(TableFields[Field],Columns[],8,0))</f>
        <v/>
      </c>
      <c r="J172" s="4" t="str">
        <f>IF(VLOOKUP(TableFields[Field],Columns[],9,0)=0,"","-&gt;"&amp;VLOOKUP(TableFields[Field],Columns[],9,0))</f>
        <v/>
      </c>
      <c r="K172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73" spans="1:11" x14ac:dyDescent="0.25">
      <c r="A173" s="4" t="s">
        <v>760</v>
      </c>
      <c r="B173" s="4" t="s">
        <v>775</v>
      </c>
      <c r="C173" s="4" t="str">
        <f>VLOOKUP(TableFields[Field],Columns[],2,0)&amp;"("</f>
        <v>enum(</v>
      </c>
      <c r="D173" s="4" t="str">
        <f>IF(VLOOKUP(TableFields[Field],Columns[],3,0)&lt;&gt;"","'"&amp;VLOOKUP(TableFields[Field],Columns[],3,0)&amp;"'","")</f>
        <v>'status'</v>
      </c>
      <c r="E1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73" s="4" t="str">
        <f>IF(VLOOKUP(TableFields[Field],Columns[],5,0)=0,"","-&gt;"&amp;VLOOKUP(TableFields[Field],Columns[],5,0))</f>
        <v>-&gt;nullable()</v>
      </c>
      <c r="G173" s="4" t="str">
        <f>IF(VLOOKUP(TableFields[Field],Columns[],6,0)=0,"","-&gt;"&amp;VLOOKUP(TableFields[Field],Columns[],6,0))</f>
        <v>-&gt;default('Active')</v>
      </c>
      <c r="H173" s="4" t="str">
        <f>IF(VLOOKUP(TableFields[Field],Columns[],7,0)=0,"","-&gt;"&amp;VLOOKUP(TableFields[Field],Columns[],7,0))</f>
        <v/>
      </c>
      <c r="I173" s="4" t="str">
        <f>IF(VLOOKUP(TableFields[Field],Columns[],8,0)=0,"","-&gt;"&amp;VLOOKUP(TableFields[Field],Columns[],8,0))</f>
        <v/>
      </c>
      <c r="J173" s="4" t="str">
        <f>IF(VLOOKUP(TableFields[Field],Columns[],9,0)=0,"","-&gt;"&amp;VLOOKUP(TableFields[Field],Columns[],9,0))</f>
        <v/>
      </c>
      <c r="K173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74" spans="1:11" x14ac:dyDescent="0.25">
      <c r="A174" s="4" t="s">
        <v>760</v>
      </c>
      <c r="B174" s="4" t="s">
        <v>288</v>
      </c>
      <c r="C174" s="4" t="str">
        <f>VLOOKUP(TableFields[Field],Columns[],2,0)&amp;"("</f>
        <v>audit(</v>
      </c>
      <c r="D174" s="4" t="str">
        <f>IF(VLOOKUP(TableFields[Field],Columns[],3,0)&lt;&gt;"","'"&amp;VLOOKUP(TableFields[Field],Columns[],3,0)&amp;"'","")</f>
        <v/>
      </c>
      <c r="E1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4" s="4" t="str">
        <f>IF(VLOOKUP(TableFields[Field],Columns[],5,0)=0,"","-&gt;"&amp;VLOOKUP(TableFields[Field],Columns[],5,0))</f>
        <v/>
      </c>
      <c r="G174" s="4" t="str">
        <f>IF(VLOOKUP(TableFields[Field],Columns[],6,0)=0,"","-&gt;"&amp;VLOOKUP(TableFields[Field],Columns[],6,0))</f>
        <v/>
      </c>
      <c r="H174" s="4" t="str">
        <f>IF(VLOOKUP(TableFields[Field],Columns[],7,0)=0,"","-&gt;"&amp;VLOOKUP(TableFields[Field],Columns[],7,0))</f>
        <v/>
      </c>
      <c r="I174" s="4" t="str">
        <f>IF(VLOOKUP(TableFields[Field],Columns[],8,0)=0,"","-&gt;"&amp;VLOOKUP(TableFields[Field],Columns[],8,0))</f>
        <v/>
      </c>
      <c r="J174" s="4" t="str">
        <f>IF(VLOOKUP(TableFields[Field],Columns[],9,0)=0,"","-&gt;"&amp;VLOOKUP(TableFields[Field],Columns[],9,0))</f>
        <v/>
      </c>
      <c r="K17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75" spans="1:11" x14ac:dyDescent="0.25">
      <c r="A175" s="4" t="s">
        <v>1691</v>
      </c>
      <c r="B175" s="4" t="s">
        <v>21</v>
      </c>
      <c r="C175" s="4" t="str">
        <f>VLOOKUP(TableFields[Field],Columns[],2,0)&amp;"("</f>
        <v>bigIncrements(</v>
      </c>
      <c r="D175" s="4" t="str">
        <f>IF(VLOOKUP(TableFields[Field],Columns[],3,0)&lt;&gt;"","'"&amp;VLOOKUP(TableFields[Field],Columns[],3,0)&amp;"'","")</f>
        <v>'id'</v>
      </c>
      <c r="E1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5" s="4" t="str">
        <f>IF(VLOOKUP(TableFields[Field],Columns[],5,0)=0,"","-&gt;"&amp;VLOOKUP(TableFields[Field],Columns[],5,0))</f>
        <v/>
      </c>
      <c r="G175" s="4" t="str">
        <f>IF(VLOOKUP(TableFields[Field],Columns[],6,0)=0,"","-&gt;"&amp;VLOOKUP(TableFields[Field],Columns[],6,0))</f>
        <v/>
      </c>
      <c r="H175" s="4" t="str">
        <f>IF(VLOOKUP(TableFields[Field],Columns[],7,0)=0,"","-&gt;"&amp;VLOOKUP(TableFields[Field],Columns[],7,0))</f>
        <v/>
      </c>
      <c r="I175" s="4" t="str">
        <f>IF(VLOOKUP(TableFields[Field],Columns[],8,0)=0,"","-&gt;"&amp;VLOOKUP(TableFields[Field],Columns[],8,0))</f>
        <v/>
      </c>
      <c r="J175" s="4" t="str">
        <f>IF(VLOOKUP(TableFields[Field],Columns[],9,0)=0,"","-&gt;"&amp;VLOOKUP(TableFields[Field],Columns[],9,0))</f>
        <v/>
      </c>
      <c r="K17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76" spans="1:11" x14ac:dyDescent="0.25">
      <c r="A176" s="4" t="s">
        <v>1691</v>
      </c>
      <c r="B176" s="4" t="s">
        <v>812</v>
      </c>
      <c r="C176" s="4" t="str">
        <f>VLOOKUP(TableFields[Field],Columns[],2,0)&amp;"("</f>
        <v>foreignCascade(</v>
      </c>
      <c r="D176" s="4" t="str">
        <f>IF(VLOOKUP(TableFields[Field],Columns[],3,0)&lt;&gt;"","'"&amp;VLOOKUP(TableFields[Field],Columns[],3,0)&amp;"'","")</f>
        <v>'product'</v>
      </c>
      <c r="E1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76" s="4" t="str">
        <f>IF(VLOOKUP(TableFields[Field],Columns[],5,0)=0,"","-&gt;"&amp;VLOOKUP(TableFields[Field],Columns[],5,0))</f>
        <v/>
      </c>
      <c r="G176" s="4" t="str">
        <f>IF(VLOOKUP(TableFields[Field],Columns[],6,0)=0,"","-&gt;"&amp;VLOOKUP(TableFields[Field],Columns[],6,0))</f>
        <v/>
      </c>
      <c r="H176" s="4" t="str">
        <f>IF(VLOOKUP(TableFields[Field],Columns[],7,0)=0,"","-&gt;"&amp;VLOOKUP(TableFields[Field],Columns[],7,0))</f>
        <v/>
      </c>
      <c r="I176" s="4" t="str">
        <f>IF(VLOOKUP(TableFields[Field],Columns[],8,0)=0,"","-&gt;"&amp;VLOOKUP(TableFields[Field],Columns[],8,0))</f>
        <v/>
      </c>
      <c r="J176" s="4" t="str">
        <f>IF(VLOOKUP(TableFields[Field],Columns[],9,0)=0,"","-&gt;"&amp;VLOOKUP(TableFields[Field],Columns[],9,0))</f>
        <v/>
      </c>
      <c r="K176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177" spans="1:11" x14ac:dyDescent="0.25">
      <c r="A177" s="4" t="s">
        <v>1691</v>
      </c>
      <c r="B177" s="4" t="s">
        <v>1679</v>
      </c>
      <c r="C177" s="4" t="str">
        <f>VLOOKUP(TableFields[Field],Columns[],2,0)&amp;"("</f>
        <v>foreignNullable(</v>
      </c>
      <c r="D177" s="4" t="str">
        <f>IF(VLOOKUP(TableFields[Field],Columns[],3,0)&lt;&gt;"","'"&amp;VLOOKUP(TableFields[Field],Columns[],3,0)&amp;"'","")</f>
        <v>'g01'</v>
      </c>
      <c r="E1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7" s="4" t="str">
        <f>IF(VLOOKUP(TableFields[Field],Columns[],5,0)=0,"","-&gt;"&amp;VLOOKUP(TableFields[Field],Columns[],5,0))</f>
        <v/>
      </c>
      <c r="G177" s="4" t="str">
        <f>IF(VLOOKUP(TableFields[Field],Columns[],6,0)=0,"","-&gt;"&amp;VLOOKUP(TableFields[Field],Columns[],6,0))</f>
        <v/>
      </c>
      <c r="H177" s="4" t="str">
        <f>IF(VLOOKUP(TableFields[Field],Columns[],7,0)=0,"","-&gt;"&amp;VLOOKUP(TableFields[Field],Columns[],7,0))</f>
        <v/>
      </c>
      <c r="I177" s="4" t="str">
        <f>IF(VLOOKUP(TableFields[Field],Columns[],8,0)=0,"","-&gt;"&amp;VLOOKUP(TableFields[Field],Columns[],8,0))</f>
        <v/>
      </c>
      <c r="J177" s="4" t="str">
        <f>IF(VLOOKUP(TableFields[Field],Columns[],9,0)=0,"","-&gt;"&amp;VLOOKUP(TableFields[Field],Columns[],9,0))</f>
        <v/>
      </c>
      <c r="K17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$table-&gt;foreignNullable('g01', 'product_group_master');</v>
      </c>
    </row>
    <row r="178" spans="1:11" x14ac:dyDescent="0.25">
      <c r="A178" s="4" t="s">
        <v>1691</v>
      </c>
      <c r="B178" s="4" t="s">
        <v>1680</v>
      </c>
      <c r="C178" s="4" t="str">
        <f>VLOOKUP(TableFields[Field],Columns[],2,0)&amp;"("</f>
        <v>foreignNullable(</v>
      </c>
      <c r="D178" s="4" t="str">
        <f>IF(VLOOKUP(TableFields[Field],Columns[],3,0)&lt;&gt;"","'"&amp;VLOOKUP(TableFields[Field],Columns[],3,0)&amp;"'","")</f>
        <v>'g02'</v>
      </c>
      <c r="E1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8" s="4" t="str">
        <f>IF(VLOOKUP(TableFields[Field],Columns[],5,0)=0,"","-&gt;"&amp;VLOOKUP(TableFields[Field],Columns[],5,0))</f>
        <v/>
      </c>
      <c r="G178" s="4" t="str">
        <f>IF(VLOOKUP(TableFields[Field],Columns[],6,0)=0,"","-&gt;"&amp;VLOOKUP(TableFields[Field],Columns[],6,0))</f>
        <v/>
      </c>
      <c r="H178" s="4" t="str">
        <f>IF(VLOOKUP(TableFields[Field],Columns[],7,0)=0,"","-&gt;"&amp;VLOOKUP(TableFields[Field],Columns[],7,0))</f>
        <v/>
      </c>
      <c r="I178" s="4" t="str">
        <f>IF(VLOOKUP(TableFields[Field],Columns[],8,0)=0,"","-&gt;"&amp;VLOOKUP(TableFields[Field],Columns[],8,0))</f>
        <v/>
      </c>
      <c r="J178" s="4" t="str">
        <f>IF(VLOOKUP(TableFields[Field],Columns[],9,0)=0,"","-&gt;"&amp;VLOOKUP(TableFields[Field],Columns[],9,0))</f>
        <v/>
      </c>
      <c r="K17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$table-&gt;foreignNullable('g02', 'product_group_master');</v>
      </c>
    </row>
    <row r="179" spans="1:11" x14ac:dyDescent="0.25">
      <c r="A179" s="4" t="s">
        <v>1691</v>
      </c>
      <c r="B179" s="4" t="s">
        <v>1681</v>
      </c>
      <c r="C179" s="4" t="str">
        <f>VLOOKUP(TableFields[Field],Columns[],2,0)&amp;"("</f>
        <v>foreignNullable(</v>
      </c>
      <c r="D179" s="4" t="str">
        <f>IF(VLOOKUP(TableFields[Field],Columns[],3,0)&lt;&gt;"","'"&amp;VLOOKUP(TableFields[Field],Columns[],3,0)&amp;"'","")</f>
        <v>'g03'</v>
      </c>
      <c r="E1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9" s="4" t="str">
        <f>IF(VLOOKUP(TableFields[Field],Columns[],5,0)=0,"","-&gt;"&amp;VLOOKUP(TableFields[Field],Columns[],5,0))</f>
        <v/>
      </c>
      <c r="G179" s="4" t="str">
        <f>IF(VLOOKUP(TableFields[Field],Columns[],6,0)=0,"","-&gt;"&amp;VLOOKUP(TableFields[Field],Columns[],6,0))</f>
        <v/>
      </c>
      <c r="H179" s="4" t="str">
        <f>IF(VLOOKUP(TableFields[Field],Columns[],7,0)=0,"","-&gt;"&amp;VLOOKUP(TableFields[Field],Columns[],7,0))</f>
        <v/>
      </c>
      <c r="I179" s="4" t="str">
        <f>IF(VLOOKUP(TableFields[Field],Columns[],8,0)=0,"","-&gt;"&amp;VLOOKUP(TableFields[Field],Columns[],8,0))</f>
        <v/>
      </c>
      <c r="J179" s="4" t="str">
        <f>IF(VLOOKUP(TableFields[Field],Columns[],9,0)=0,"","-&gt;"&amp;VLOOKUP(TableFields[Field],Columns[],9,0))</f>
        <v/>
      </c>
      <c r="K17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$table-&gt;foreignNullable('g03', 'product_group_master');</v>
      </c>
    </row>
    <row r="180" spans="1:11" x14ac:dyDescent="0.25">
      <c r="A180" s="4" t="s">
        <v>1691</v>
      </c>
      <c r="B180" s="4" t="s">
        <v>1682</v>
      </c>
      <c r="C180" s="4" t="str">
        <f>VLOOKUP(TableFields[Field],Columns[],2,0)&amp;"("</f>
        <v>foreignNullable(</v>
      </c>
      <c r="D180" s="4" t="str">
        <f>IF(VLOOKUP(TableFields[Field],Columns[],3,0)&lt;&gt;"","'"&amp;VLOOKUP(TableFields[Field],Columns[],3,0)&amp;"'","")</f>
        <v>'g04'</v>
      </c>
      <c r="E1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0" s="4" t="str">
        <f>IF(VLOOKUP(TableFields[Field],Columns[],5,0)=0,"","-&gt;"&amp;VLOOKUP(TableFields[Field],Columns[],5,0))</f>
        <v/>
      </c>
      <c r="G180" s="4" t="str">
        <f>IF(VLOOKUP(TableFields[Field],Columns[],6,0)=0,"","-&gt;"&amp;VLOOKUP(TableFields[Field],Columns[],6,0))</f>
        <v/>
      </c>
      <c r="H180" s="4" t="str">
        <f>IF(VLOOKUP(TableFields[Field],Columns[],7,0)=0,"","-&gt;"&amp;VLOOKUP(TableFields[Field],Columns[],7,0))</f>
        <v/>
      </c>
      <c r="I180" s="4" t="str">
        <f>IF(VLOOKUP(TableFields[Field],Columns[],8,0)=0,"","-&gt;"&amp;VLOOKUP(TableFields[Field],Columns[],8,0))</f>
        <v/>
      </c>
      <c r="J180" s="4" t="str">
        <f>IF(VLOOKUP(TableFields[Field],Columns[],9,0)=0,"","-&gt;"&amp;VLOOKUP(TableFields[Field],Columns[],9,0))</f>
        <v/>
      </c>
      <c r="K18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$table-&gt;foreignNullable('g04', 'product_group_master');</v>
      </c>
    </row>
    <row r="181" spans="1:11" x14ac:dyDescent="0.25">
      <c r="A181" s="4" t="s">
        <v>1691</v>
      </c>
      <c r="B181" s="4" t="s">
        <v>1683</v>
      </c>
      <c r="C181" s="4" t="str">
        <f>VLOOKUP(TableFields[Field],Columns[],2,0)&amp;"("</f>
        <v>foreignNullable(</v>
      </c>
      <c r="D181" s="4" t="str">
        <f>IF(VLOOKUP(TableFields[Field],Columns[],3,0)&lt;&gt;"","'"&amp;VLOOKUP(TableFields[Field],Columns[],3,0)&amp;"'","")</f>
        <v>'g05'</v>
      </c>
      <c r="E1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1" s="4" t="str">
        <f>IF(VLOOKUP(TableFields[Field],Columns[],5,0)=0,"","-&gt;"&amp;VLOOKUP(TableFields[Field],Columns[],5,0))</f>
        <v/>
      </c>
      <c r="G181" s="4" t="str">
        <f>IF(VLOOKUP(TableFields[Field],Columns[],6,0)=0,"","-&gt;"&amp;VLOOKUP(TableFields[Field],Columns[],6,0))</f>
        <v/>
      </c>
      <c r="H181" s="4" t="str">
        <f>IF(VLOOKUP(TableFields[Field],Columns[],7,0)=0,"","-&gt;"&amp;VLOOKUP(TableFields[Field],Columns[],7,0))</f>
        <v/>
      </c>
      <c r="I181" s="4" t="str">
        <f>IF(VLOOKUP(TableFields[Field],Columns[],8,0)=0,"","-&gt;"&amp;VLOOKUP(TableFields[Field],Columns[],8,0))</f>
        <v/>
      </c>
      <c r="J181" s="4" t="str">
        <f>IF(VLOOKUP(TableFields[Field],Columns[],9,0)=0,"","-&gt;"&amp;VLOOKUP(TableFields[Field],Columns[],9,0))</f>
        <v/>
      </c>
      <c r="K18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$table-&gt;foreignNullable('g05', 'product_group_master');</v>
      </c>
    </row>
    <row r="182" spans="1:11" x14ac:dyDescent="0.25">
      <c r="A182" s="4" t="s">
        <v>1691</v>
      </c>
      <c r="B182" s="4" t="s">
        <v>1684</v>
      </c>
      <c r="C182" s="4" t="str">
        <f>VLOOKUP(TableFields[Field],Columns[],2,0)&amp;"("</f>
        <v>foreignNullable(</v>
      </c>
      <c r="D182" s="4" t="str">
        <f>IF(VLOOKUP(TableFields[Field],Columns[],3,0)&lt;&gt;"","'"&amp;VLOOKUP(TableFields[Field],Columns[],3,0)&amp;"'","")</f>
        <v>'g06'</v>
      </c>
      <c r="E1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2" s="4" t="str">
        <f>IF(VLOOKUP(TableFields[Field],Columns[],5,0)=0,"","-&gt;"&amp;VLOOKUP(TableFields[Field],Columns[],5,0))</f>
        <v/>
      </c>
      <c r="G182" s="4" t="str">
        <f>IF(VLOOKUP(TableFields[Field],Columns[],6,0)=0,"","-&gt;"&amp;VLOOKUP(TableFields[Field],Columns[],6,0))</f>
        <v/>
      </c>
      <c r="H182" s="4" t="str">
        <f>IF(VLOOKUP(TableFields[Field],Columns[],7,0)=0,"","-&gt;"&amp;VLOOKUP(TableFields[Field],Columns[],7,0))</f>
        <v/>
      </c>
      <c r="I182" s="4" t="str">
        <f>IF(VLOOKUP(TableFields[Field],Columns[],8,0)=0,"","-&gt;"&amp;VLOOKUP(TableFields[Field],Columns[],8,0))</f>
        <v/>
      </c>
      <c r="J182" s="4" t="str">
        <f>IF(VLOOKUP(TableFields[Field],Columns[],9,0)=0,"","-&gt;"&amp;VLOOKUP(TableFields[Field],Columns[],9,0))</f>
        <v/>
      </c>
      <c r="K18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$table-&gt;foreignNullable('g06', 'product_group_master');</v>
      </c>
    </row>
    <row r="183" spans="1:11" x14ac:dyDescent="0.25">
      <c r="A183" s="4" t="s">
        <v>1691</v>
      </c>
      <c r="B183" s="4" t="s">
        <v>1685</v>
      </c>
      <c r="C183" s="4" t="str">
        <f>VLOOKUP(TableFields[Field],Columns[],2,0)&amp;"("</f>
        <v>foreignNullable(</v>
      </c>
      <c r="D183" s="4" t="str">
        <f>IF(VLOOKUP(TableFields[Field],Columns[],3,0)&lt;&gt;"","'"&amp;VLOOKUP(TableFields[Field],Columns[],3,0)&amp;"'","")</f>
        <v>'g07'</v>
      </c>
      <c r="E1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3" s="4" t="str">
        <f>IF(VLOOKUP(TableFields[Field],Columns[],5,0)=0,"","-&gt;"&amp;VLOOKUP(TableFields[Field],Columns[],5,0))</f>
        <v/>
      </c>
      <c r="G183" s="4" t="str">
        <f>IF(VLOOKUP(TableFields[Field],Columns[],6,0)=0,"","-&gt;"&amp;VLOOKUP(TableFields[Field],Columns[],6,0))</f>
        <v/>
      </c>
      <c r="H183" s="4" t="str">
        <f>IF(VLOOKUP(TableFields[Field],Columns[],7,0)=0,"","-&gt;"&amp;VLOOKUP(TableFields[Field],Columns[],7,0))</f>
        <v/>
      </c>
      <c r="I183" s="4" t="str">
        <f>IF(VLOOKUP(TableFields[Field],Columns[],8,0)=0,"","-&gt;"&amp;VLOOKUP(TableFields[Field],Columns[],8,0))</f>
        <v/>
      </c>
      <c r="J183" s="4" t="str">
        <f>IF(VLOOKUP(TableFields[Field],Columns[],9,0)=0,"","-&gt;"&amp;VLOOKUP(TableFields[Field],Columns[],9,0))</f>
        <v/>
      </c>
      <c r="K18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$table-&gt;foreignNullable('g07', 'product_group_master');</v>
      </c>
    </row>
    <row r="184" spans="1:11" x14ac:dyDescent="0.25">
      <c r="A184" s="4" t="s">
        <v>1691</v>
      </c>
      <c r="B184" s="4" t="s">
        <v>1686</v>
      </c>
      <c r="C184" s="4" t="str">
        <f>VLOOKUP(TableFields[Field],Columns[],2,0)&amp;"("</f>
        <v>foreignNullable(</v>
      </c>
      <c r="D184" s="4" t="str">
        <f>IF(VLOOKUP(TableFields[Field],Columns[],3,0)&lt;&gt;"","'"&amp;VLOOKUP(TableFields[Field],Columns[],3,0)&amp;"'","")</f>
        <v>'g08'</v>
      </c>
      <c r="E1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4" s="4" t="str">
        <f>IF(VLOOKUP(TableFields[Field],Columns[],5,0)=0,"","-&gt;"&amp;VLOOKUP(TableFields[Field],Columns[],5,0))</f>
        <v/>
      </c>
      <c r="G184" s="4" t="str">
        <f>IF(VLOOKUP(TableFields[Field],Columns[],6,0)=0,"","-&gt;"&amp;VLOOKUP(TableFields[Field],Columns[],6,0))</f>
        <v/>
      </c>
      <c r="H184" s="4" t="str">
        <f>IF(VLOOKUP(TableFields[Field],Columns[],7,0)=0,"","-&gt;"&amp;VLOOKUP(TableFields[Field],Columns[],7,0))</f>
        <v/>
      </c>
      <c r="I184" s="4" t="str">
        <f>IF(VLOOKUP(TableFields[Field],Columns[],8,0)=0,"","-&gt;"&amp;VLOOKUP(TableFields[Field],Columns[],8,0))</f>
        <v/>
      </c>
      <c r="J184" s="4" t="str">
        <f>IF(VLOOKUP(TableFields[Field],Columns[],9,0)=0,"","-&gt;"&amp;VLOOKUP(TableFields[Field],Columns[],9,0))</f>
        <v/>
      </c>
      <c r="K18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$table-&gt;foreignNullable('g08', 'product_group_master');</v>
      </c>
    </row>
    <row r="185" spans="1:11" x14ac:dyDescent="0.25">
      <c r="A185" s="4" t="s">
        <v>1691</v>
      </c>
      <c r="B185" s="4" t="s">
        <v>1687</v>
      </c>
      <c r="C185" s="4" t="str">
        <f>VLOOKUP(TableFields[Field],Columns[],2,0)&amp;"("</f>
        <v>foreignNullable(</v>
      </c>
      <c r="D185" s="4" t="str">
        <f>IF(VLOOKUP(TableFields[Field],Columns[],3,0)&lt;&gt;"","'"&amp;VLOOKUP(TableFields[Field],Columns[],3,0)&amp;"'","")</f>
        <v>'g09'</v>
      </c>
      <c r="E1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5" s="4" t="str">
        <f>IF(VLOOKUP(TableFields[Field],Columns[],5,0)=0,"","-&gt;"&amp;VLOOKUP(TableFields[Field],Columns[],5,0))</f>
        <v/>
      </c>
      <c r="G185" s="4" t="str">
        <f>IF(VLOOKUP(TableFields[Field],Columns[],6,0)=0,"","-&gt;"&amp;VLOOKUP(TableFields[Field],Columns[],6,0))</f>
        <v/>
      </c>
      <c r="H185" s="4" t="str">
        <f>IF(VLOOKUP(TableFields[Field],Columns[],7,0)=0,"","-&gt;"&amp;VLOOKUP(TableFields[Field],Columns[],7,0))</f>
        <v/>
      </c>
      <c r="I185" s="4" t="str">
        <f>IF(VLOOKUP(TableFields[Field],Columns[],8,0)=0,"","-&gt;"&amp;VLOOKUP(TableFields[Field],Columns[],8,0))</f>
        <v/>
      </c>
      <c r="J185" s="4" t="str">
        <f>IF(VLOOKUP(TableFields[Field],Columns[],9,0)=0,"","-&gt;"&amp;VLOOKUP(TableFields[Field],Columns[],9,0))</f>
        <v/>
      </c>
      <c r="K18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$table-&gt;foreignNullable('g09', 'product_group_master');</v>
      </c>
    </row>
    <row r="186" spans="1:11" x14ac:dyDescent="0.25">
      <c r="A186" s="4" t="s">
        <v>1691</v>
      </c>
      <c r="B186" s="4" t="s">
        <v>1688</v>
      </c>
      <c r="C186" s="4" t="str">
        <f>VLOOKUP(TableFields[Field],Columns[],2,0)&amp;"("</f>
        <v>foreignNullable(</v>
      </c>
      <c r="D186" s="4" t="str">
        <f>IF(VLOOKUP(TableFields[Field],Columns[],3,0)&lt;&gt;"","'"&amp;VLOOKUP(TableFields[Field],Columns[],3,0)&amp;"'","")</f>
        <v>'g10'</v>
      </c>
      <c r="E1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6" s="4" t="str">
        <f>IF(VLOOKUP(TableFields[Field],Columns[],5,0)=0,"","-&gt;"&amp;VLOOKUP(TableFields[Field],Columns[],5,0))</f>
        <v/>
      </c>
      <c r="G186" s="4" t="str">
        <f>IF(VLOOKUP(TableFields[Field],Columns[],6,0)=0,"","-&gt;"&amp;VLOOKUP(TableFields[Field],Columns[],6,0))</f>
        <v/>
      </c>
      <c r="H186" s="4" t="str">
        <f>IF(VLOOKUP(TableFields[Field],Columns[],7,0)=0,"","-&gt;"&amp;VLOOKUP(TableFields[Field],Columns[],7,0))</f>
        <v/>
      </c>
      <c r="I186" s="4" t="str">
        <f>IF(VLOOKUP(TableFields[Field],Columns[],8,0)=0,"","-&gt;"&amp;VLOOKUP(TableFields[Field],Columns[],8,0))</f>
        <v/>
      </c>
      <c r="J186" s="4" t="str">
        <f>IF(VLOOKUP(TableFields[Field],Columns[],9,0)=0,"","-&gt;"&amp;VLOOKUP(TableFields[Field],Columns[],9,0))</f>
        <v/>
      </c>
      <c r="K18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$table-&gt;foreignNullable('g10', 'product_group_master');</v>
      </c>
    </row>
    <row r="187" spans="1:11" x14ac:dyDescent="0.25">
      <c r="A187" s="4" t="s">
        <v>1691</v>
      </c>
      <c r="B187" s="4" t="s">
        <v>288</v>
      </c>
      <c r="C187" s="4" t="str">
        <f>VLOOKUP(TableFields[Field],Columns[],2,0)&amp;"("</f>
        <v>audit(</v>
      </c>
      <c r="D187" s="4" t="str">
        <f>IF(VLOOKUP(TableFields[Field],Columns[],3,0)&lt;&gt;"","'"&amp;VLOOKUP(TableFields[Field],Columns[],3,0)&amp;"'","")</f>
        <v/>
      </c>
      <c r="E1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7" s="4" t="str">
        <f>IF(VLOOKUP(TableFields[Field],Columns[],5,0)=0,"","-&gt;"&amp;VLOOKUP(TableFields[Field],Columns[],5,0))</f>
        <v/>
      </c>
      <c r="G187" s="4" t="str">
        <f>IF(VLOOKUP(TableFields[Field],Columns[],6,0)=0,"","-&gt;"&amp;VLOOKUP(TableFields[Field],Columns[],6,0))</f>
        <v/>
      </c>
      <c r="H187" s="4" t="str">
        <f>IF(VLOOKUP(TableFields[Field],Columns[],7,0)=0,"","-&gt;"&amp;VLOOKUP(TableFields[Field],Columns[],7,0))</f>
        <v/>
      </c>
      <c r="I187" s="4" t="str">
        <f>IF(VLOOKUP(TableFields[Field],Columns[],8,0)=0,"","-&gt;"&amp;VLOOKUP(TableFields[Field],Columns[],8,0))</f>
        <v/>
      </c>
      <c r="J187" s="4" t="str">
        <f>IF(VLOOKUP(TableFields[Field],Columns[],9,0)=0,"","-&gt;"&amp;VLOOKUP(TableFields[Field],Columns[],9,0))</f>
        <v/>
      </c>
      <c r="K18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88" spans="1:11" x14ac:dyDescent="0.25">
      <c r="A188" s="4" t="s">
        <v>1698</v>
      </c>
      <c r="B188" s="4" t="s">
        <v>21</v>
      </c>
      <c r="C188" s="4" t="str">
        <f>VLOOKUP(TableFields[Field],Columns[],2,0)&amp;"("</f>
        <v>bigIncrements(</v>
      </c>
      <c r="D188" s="4" t="str">
        <f>IF(VLOOKUP(TableFields[Field],Columns[],3,0)&lt;&gt;"","'"&amp;VLOOKUP(TableFields[Field],Columns[],3,0)&amp;"'","")</f>
        <v>'id'</v>
      </c>
      <c r="E1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8" s="4" t="str">
        <f>IF(VLOOKUP(TableFields[Field],Columns[],5,0)=0,"","-&gt;"&amp;VLOOKUP(TableFields[Field],Columns[],5,0))</f>
        <v/>
      </c>
      <c r="G188" s="4" t="str">
        <f>IF(VLOOKUP(TableFields[Field],Columns[],6,0)=0,"","-&gt;"&amp;VLOOKUP(TableFields[Field],Columns[],6,0))</f>
        <v/>
      </c>
      <c r="H188" s="4" t="str">
        <f>IF(VLOOKUP(TableFields[Field],Columns[],7,0)=0,"","-&gt;"&amp;VLOOKUP(TableFields[Field],Columns[],7,0))</f>
        <v/>
      </c>
      <c r="I188" s="4" t="str">
        <f>IF(VLOOKUP(TableFields[Field],Columns[],8,0)=0,"","-&gt;"&amp;VLOOKUP(TableFields[Field],Columns[],8,0))</f>
        <v/>
      </c>
      <c r="J188" s="4" t="str">
        <f>IF(VLOOKUP(TableFields[Field],Columns[],9,0)=0,"","-&gt;"&amp;VLOOKUP(TableFields[Field],Columns[],9,0))</f>
        <v/>
      </c>
      <c r="K18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89" spans="1:11" x14ac:dyDescent="0.25">
      <c r="A189" s="4" t="s">
        <v>1698</v>
      </c>
      <c r="B189" s="4" t="s">
        <v>821</v>
      </c>
      <c r="C189" s="4" t="str">
        <f>VLOOKUP(TableFields[Field],Columns[],2,0)&amp;"("</f>
        <v>foreignNullable(</v>
      </c>
      <c r="D189" s="4" t="str">
        <f>IF(VLOOKUP(TableFields[Field],Columns[],3,0)&lt;&gt;"","'"&amp;VLOOKUP(TableFields[Field],Columns[],3,0)&amp;"'","")</f>
        <v>'product'</v>
      </c>
      <c r="E1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89" s="4" t="str">
        <f>IF(VLOOKUP(TableFields[Field],Columns[],5,0)=0,"","-&gt;"&amp;VLOOKUP(TableFields[Field],Columns[],5,0))</f>
        <v/>
      </c>
      <c r="G189" s="4" t="str">
        <f>IF(VLOOKUP(TableFields[Field],Columns[],6,0)=0,"","-&gt;"&amp;VLOOKUP(TableFields[Field],Columns[],6,0))</f>
        <v/>
      </c>
      <c r="H189" s="4" t="str">
        <f>IF(VLOOKUP(TableFields[Field],Columns[],7,0)=0,"","-&gt;"&amp;VLOOKUP(TableFields[Field],Columns[],7,0))</f>
        <v/>
      </c>
      <c r="I189" s="4" t="str">
        <f>IF(VLOOKUP(TableFields[Field],Columns[],8,0)=0,"","-&gt;"&amp;VLOOKUP(TableFields[Field],Columns[],8,0))</f>
        <v/>
      </c>
      <c r="J189" s="4" t="str">
        <f>IF(VLOOKUP(TableFields[Field],Columns[],9,0)=0,"","-&gt;"&amp;VLOOKUP(TableFields[Field],Columns[],9,0))</f>
        <v/>
      </c>
      <c r="K18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190" spans="1:11" x14ac:dyDescent="0.25">
      <c r="A190" s="4" t="s">
        <v>1698</v>
      </c>
      <c r="B190" s="4" t="s">
        <v>1699</v>
      </c>
      <c r="C190" s="4" t="str">
        <f>VLOOKUP(TableFields[Field],Columns[],2,0)&amp;"("</f>
        <v>string(</v>
      </c>
      <c r="D190" s="4" t="str">
        <f>IF(VLOOKUP(TableFields[Field],Columns[],3,0)&lt;&gt;"","'"&amp;VLOOKUP(TableFields[Field],Columns[],3,0)&amp;"'","")</f>
        <v>'image01'</v>
      </c>
      <c r="E1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0" s="4" t="str">
        <f>IF(VLOOKUP(TableFields[Field],Columns[],5,0)=0,"","-&gt;"&amp;VLOOKUP(TableFields[Field],Columns[],5,0))</f>
        <v>-&gt;nullable()</v>
      </c>
      <c r="G190" s="4" t="str">
        <f>IF(VLOOKUP(TableFields[Field],Columns[],6,0)=0,"","-&gt;"&amp;VLOOKUP(TableFields[Field],Columns[],6,0))</f>
        <v/>
      </c>
      <c r="H190" s="4" t="str">
        <f>IF(VLOOKUP(TableFields[Field],Columns[],7,0)=0,"","-&gt;"&amp;VLOOKUP(TableFields[Field],Columns[],7,0))</f>
        <v/>
      </c>
      <c r="I190" s="4" t="str">
        <f>IF(VLOOKUP(TableFields[Field],Columns[],8,0)=0,"","-&gt;"&amp;VLOOKUP(TableFields[Field],Columns[],8,0))</f>
        <v/>
      </c>
      <c r="J190" s="4" t="str">
        <f>IF(VLOOKUP(TableFields[Field],Columns[],9,0)=0,"","-&gt;"&amp;VLOOKUP(TableFields[Field],Columns[],9,0))</f>
        <v/>
      </c>
      <c r="K190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$table-&gt;string('image01', '1024')-&gt;nullable();</v>
      </c>
    </row>
    <row r="191" spans="1:11" x14ac:dyDescent="0.25">
      <c r="A191" s="4" t="s">
        <v>1698</v>
      </c>
      <c r="B191" s="4" t="s">
        <v>1700</v>
      </c>
      <c r="C191" s="4" t="str">
        <f>VLOOKUP(TableFields[Field],Columns[],2,0)&amp;"("</f>
        <v>string(</v>
      </c>
      <c r="D191" s="4" t="str">
        <f>IF(VLOOKUP(TableFields[Field],Columns[],3,0)&lt;&gt;"","'"&amp;VLOOKUP(TableFields[Field],Columns[],3,0)&amp;"'","")</f>
        <v>'image02'</v>
      </c>
      <c r="E1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1" s="4" t="str">
        <f>IF(VLOOKUP(TableFields[Field],Columns[],5,0)=0,"","-&gt;"&amp;VLOOKUP(TableFields[Field],Columns[],5,0))</f>
        <v>-&gt;nullable()</v>
      </c>
      <c r="G191" s="4" t="str">
        <f>IF(VLOOKUP(TableFields[Field],Columns[],6,0)=0,"","-&gt;"&amp;VLOOKUP(TableFields[Field],Columns[],6,0))</f>
        <v/>
      </c>
      <c r="H191" s="4" t="str">
        <f>IF(VLOOKUP(TableFields[Field],Columns[],7,0)=0,"","-&gt;"&amp;VLOOKUP(TableFields[Field],Columns[],7,0))</f>
        <v/>
      </c>
      <c r="I191" s="4" t="str">
        <f>IF(VLOOKUP(TableFields[Field],Columns[],8,0)=0,"","-&gt;"&amp;VLOOKUP(TableFields[Field],Columns[],8,0))</f>
        <v/>
      </c>
      <c r="J191" s="4" t="str">
        <f>IF(VLOOKUP(TableFields[Field],Columns[],9,0)=0,"","-&gt;"&amp;VLOOKUP(TableFields[Field],Columns[],9,0))</f>
        <v/>
      </c>
      <c r="K191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$table-&gt;string('image02', '1024')-&gt;nullable();</v>
      </c>
    </row>
    <row r="192" spans="1:11" x14ac:dyDescent="0.25">
      <c r="A192" s="4" t="s">
        <v>1698</v>
      </c>
      <c r="B192" s="4" t="s">
        <v>1701</v>
      </c>
      <c r="C192" s="4" t="str">
        <f>VLOOKUP(TableFields[Field],Columns[],2,0)&amp;"("</f>
        <v>string(</v>
      </c>
      <c r="D192" s="4" t="str">
        <f>IF(VLOOKUP(TableFields[Field],Columns[],3,0)&lt;&gt;"","'"&amp;VLOOKUP(TableFields[Field],Columns[],3,0)&amp;"'","")</f>
        <v>'image03'</v>
      </c>
      <c r="E1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2" s="4" t="str">
        <f>IF(VLOOKUP(TableFields[Field],Columns[],5,0)=0,"","-&gt;"&amp;VLOOKUP(TableFields[Field],Columns[],5,0))</f>
        <v>-&gt;nullable()</v>
      </c>
      <c r="G192" s="4" t="str">
        <f>IF(VLOOKUP(TableFields[Field],Columns[],6,0)=0,"","-&gt;"&amp;VLOOKUP(TableFields[Field],Columns[],6,0))</f>
        <v/>
      </c>
      <c r="H192" s="4" t="str">
        <f>IF(VLOOKUP(TableFields[Field],Columns[],7,0)=0,"","-&gt;"&amp;VLOOKUP(TableFields[Field],Columns[],7,0))</f>
        <v/>
      </c>
      <c r="I192" s="4" t="str">
        <f>IF(VLOOKUP(TableFields[Field],Columns[],8,0)=0,"","-&gt;"&amp;VLOOKUP(TableFields[Field],Columns[],8,0))</f>
        <v/>
      </c>
      <c r="J192" s="4" t="str">
        <f>IF(VLOOKUP(TableFields[Field],Columns[],9,0)=0,"","-&gt;"&amp;VLOOKUP(TableFields[Field],Columns[],9,0))</f>
        <v/>
      </c>
      <c r="K192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$table-&gt;string('image03', '1024')-&gt;nullable();</v>
      </c>
    </row>
    <row r="193" spans="1:11" x14ac:dyDescent="0.25">
      <c r="A193" s="4" t="s">
        <v>1698</v>
      </c>
      <c r="B193" s="4" t="s">
        <v>1702</v>
      </c>
      <c r="C193" s="4" t="str">
        <f>VLOOKUP(TableFields[Field],Columns[],2,0)&amp;"("</f>
        <v>string(</v>
      </c>
      <c r="D193" s="4" t="str">
        <f>IF(VLOOKUP(TableFields[Field],Columns[],3,0)&lt;&gt;"","'"&amp;VLOOKUP(TableFields[Field],Columns[],3,0)&amp;"'","")</f>
        <v>'image04'</v>
      </c>
      <c r="E1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3" s="4" t="str">
        <f>IF(VLOOKUP(TableFields[Field],Columns[],5,0)=0,"","-&gt;"&amp;VLOOKUP(TableFields[Field],Columns[],5,0))</f>
        <v>-&gt;nullable()</v>
      </c>
      <c r="G193" s="4" t="str">
        <f>IF(VLOOKUP(TableFields[Field],Columns[],6,0)=0,"","-&gt;"&amp;VLOOKUP(TableFields[Field],Columns[],6,0))</f>
        <v/>
      </c>
      <c r="H193" s="4" t="str">
        <f>IF(VLOOKUP(TableFields[Field],Columns[],7,0)=0,"","-&gt;"&amp;VLOOKUP(TableFields[Field],Columns[],7,0))</f>
        <v/>
      </c>
      <c r="I193" s="4" t="str">
        <f>IF(VLOOKUP(TableFields[Field],Columns[],8,0)=0,"","-&gt;"&amp;VLOOKUP(TableFields[Field],Columns[],8,0))</f>
        <v/>
      </c>
      <c r="J193" s="4" t="str">
        <f>IF(VLOOKUP(TableFields[Field],Columns[],9,0)=0,"","-&gt;"&amp;VLOOKUP(TableFields[Field],Columns[],9,0))</f>
        <v/>
      </c>
      <c r="K193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$table-&gt;string('image04', '1024')-&gt;nullable();</v>
      </c>
    </row>
    <row r="194" spans="1:11" x14ac:dyDescent="0.25">
      <c r="A194" s="4" t="s">
        <v>1698</v>
      </c>
      <c r="B194" s="4" t="s">
        <v>1703</v>
      </c>
      <c r="C194" s="4" t="str">
        <f>VLOOKUP(TableFields[Field],Columns[],2,0)&amp;"("</f>
        <v>string(</v>
      </c>
      <c r="D194" s="4" t="str">
        <f>IF(VLOOKUP(TableFields[Field],Columns[],3,0)&lt;&gt;"","'"&amp;VLOOKUP(TableFields[Field],Columns[],3,0)&amp;"'","")</f>
        <v>'image05'</v>
      </c>
      <c r="E1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4" s="4" t="str">
        <f>IF(VLOOKUP(TableFields[Field],Columns[],5,0)=0,"","-&gt;"&amp;VLOOKUP(TableFields[Field],Columns[],5,0))</f>
        <v>-&gt;nullable()</v>
      </c>
      <c r="G194" s="4" t="str">
        <f>IF(VLOOKUP(TableFields[Field],Columns[],6,0)=0,"","-&gt;"&amp;VLOOKUP(TableFields[Field],Columns[],6,0))</f>
        <v/>
      </c>
      <c r="H194" s="4" t="str">
        <f>IF(VLOOKUP(TableFields[Field],Columns[],7,0)=0,"","-&gt;"&amp;VLOOKUP(TableFields[Field],Columns[],7,0))</f>
        <v/>
      </c>
      <c r="I194" s="4" t="str">
        <f>IF(VLOOKUP(TableFields[Field],Columns[],8,0)=0,"","-&gt;"&amp;VLOOKUP(TableFields[Field],Columns[],8,0))</f>
        <v/>
      </c>
      <c r="J194" s="4" t="str">
        <f>IF(VLOOKUP(TableFields[Field],Columns[],9,0)=0,"","-&gt;"&amp;VLOOKUP(TableFields[Field],Columns[],9,0))</f>
        <v/>
      </c>
      <c r="K194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$table-&gt;string('image05', '1024')-&gt;nullable();</v>
      </c>
    </row>
    <row r="195" spans="1:11" x14ac:dyDescent="0.25">
      <c r="A195" s="4" t="s">
        <v>1698</v>
      </c>
      <c r="B195" s="4" t="s">
        <v>1704</v>
      </c>
      <c r="C195" s="4" t="str">
        <f>VLOOKUP(TableFields[Field],Columns[],2,0)&amp;"("</f>
        <v>enum(</v>
      </c>
      <c r="D195" s="4" t="str">
        <f>IF(VLOOKUP(TableFields[Field],Columns[],3,0)&lt;&gt;"","'"&amp;VLOOKUP(TableFields[Field],Columns[],3,0)&amp;"'","")</f>
        <v>'default'</v>
      </c>
      <c r="E1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['Image 01','Image 02','Image 03','Image 04','Image 05'])</v>
      </c>
      <c r="F195" s="4" t="str">
        <f>IF(VLOOKUP(TableFields[Field],Columns[],5,0)=0,"","-&gt;"&amp;VLOOKUP(TableFields[Field],Columns[],5,0))</f>
        <v>-&gt;nullable()</v>
      </c>
      <c r="G195" s="4" t="str">
        <f>IF(VLOOKUP(TableFields[Field],Columns[],6,0)=0,"","-&gt;"&amp;VLOOKUP(TableFields[Field],Columns[],6,0))</f>
        <v>-&gt;default('Image 01')</v>
      </c>
      <c r="H195" s="4" t="str">
        <f>IF(VLOOKUP(TableFields[Field],Columns[],7,0)=0,"","-&gt;"&amp;VLOOKUP(TableFields[Field],Columns[],7,0))</f>
        <v/>
      </c>
      <c r="I195" s="4" t="str">
        <f>IF(VLOOKUP(TableFields[Field],Columns[],8,0)=0,"","-&gt;"&amp;VLOOKUP(TableFields[Field],Columns[],8,0))</f>
        <v/>
      </c>
      <c r="J195" s="4" t="str">
        <f>IF(VLOOKUP(TableFields[Field],Columns[],9,0)=0,"","-&gt;"&amp;VLOOKUP(TableFields[Field],Columns[],9,0))</f>
        <v/>
      </c>
      <c r="K195" s="4" t="str">
        <f>"$table-&gt;"&amp;TableFields[Type]&amp;TableFields[Name]&amp;TableFields[Arg2]&amp;TableFields[Method1]&amp;TableFields[Method2]&amp;TableFields[Method3]&amp;TableFields[Method4]&amp;TableFields[Method5]&amp;";"</f>
        <v>$table-&gt;enum('default', ['Image 01','Image 02','Image 03','Image 04','Image 05'])-&gt;nullable()-&gt;default('Image 01');</v>
      </c>
    </row>
    <row r="196" spans="1:11" x14ac:dyDescent="0.25">
      <c r="A196" s="4" t="s">
        <v>1698</v>
      </c>
      <c r="B196" s="4" t="s">
        <v>288</v>
      </c>
      <c r="C196" s="4" t="str">
        <f>VLOOKUP(TableFields[Field],Columns[],2,0)&amp;"("</f>
        <v>audit(</v>
      </c>
      <c r="D196" s="4" t="str">
        <f>IF(VLOOKUP(TableFields[Field],Columns[],3,0)&lt;&gt;"","'"&amp;VLOOKUP(TableFields[Field],Columns[],3,0)&amp;"'","")</f>
        <v/>
      </c>
      <c r="E1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6" s="4" t="str">
        <f>IF(VLOOKUP(TableFields[Field],Columns[],5,0)=0,"","-&gt;"&amp;VLOOKUP(TableFields[Field],Columns[],5,0))</f>
        <v/>
      </c>
      <c r="G196" s="4" t="str">
        <f>IF(VLOOKUP(TableFields[Field],Columns[],6,0)=0,"","-&gt;"&amp;VLOOKUP(TableFields[Field],Columns[],6,0))</f>
        <v/>
      </c>
      <c r="H196" s="4" t="str">
        <f>IF(VLOOKUP(TableFields[Field],Columns[],7,0)=0,"","-&gt;"&amp;VLOOKUP(TableFields[Field],Columns[],7,0))</f>
        <v/>
      </c>
      <c r="I196" s="4" t="str">
        <f>IF(VLOOKUP(TableFields[Field],Columns[],8,0)=0,"","-&gt;"&amp;VLOOKUP(TableFields[Field],Columns[],8,0))</f>
        <v/>
      </c>
      <c r="J196" s="4" t="str">
        <f>IF(VLOOKUP(TableFields[Field],Columns[],9,0)=0,"","-&gt;"&amp;VLOOKUP(TableFields[Field],Columns[],9,0))</f>
        <v/>
      </c>
      <c r="K19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97" spans="1:11" x14ac:dyDescent="0.25">
      <c r="A197" s="4" t="s">
        <v>762</v>
      </c>
      <c r="B197" s="4" t="s">
        <v>21</v>
      </c>
      <c r="C197" s="4" t="str">
        <f>VLOOKUP(TableFields[Field],Columns[],2,0)&amp;"("</f>
        <v>bigIncrements(</v>
      </c>
      <c r="D197" s="4" t="str">
        <f>IF(VLOOKUP(TableFields[Field],Columns[],3,0)&lt;&gt;"","'"&amp;VLOOKUP(TableFields[Field],Columns[],3,0)&amp;"'","")</f>
        <v>'id'</v>
      </c>
      <c r="E1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7" s="4" t="str">
        <f>IF(VLOOKUP(TableFields[Field],Columns[],5,0)=0,"","-&gt;"&amp;VLOOKUP(TableFields[Field],Columns[],5,0))</f>
        <v/>
      </c>
      <c r="G197" s="4" t="str">
        <f>IF(VLOOKUP(TableFields[Field],Columns[],6,0)=0,"","-&gt;"&amp;VLOOKUP(TableFields[Field],Columns[],6,0))</f>
        <v/>
      </c>
      <c r="H197" s="4" t="str">
        <f>IF(VLOOKUP(TableFields[Field],Columns[],7,0)=0,"","-&gt;"&amp;VLOOKUP(TableFields[Field],Columns[],7,0))</f>
        <v/>
      </c>
      <c r="I197" s="4" t="str">
        <f>IF(VLOOKUP(TableFields[Field],Columns[],8,0)=0,"","-&gt;"&amp;VLOOKUP(TableFields[Field],Columns[],8,0))</f>
        <v/>
      </c>
      <c r="J197" s="4" t="str">
        <f>IF(VLOOKUP(TableFields[Field],Columns[],9,0)=0,"","-&gt;"&amp;VLOOKUP(TableFields[Field],Columns[],9,0))</f>
        <v/>
      </c>
      <c r="K19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98" spans="1:11" x14ac:dyDescent="0.25">
      <c r="A198" s="4" t="s">
        <v>762</v>
      </c>
      <c r="B198" s="4" t="s">
        <v>768</v>
      </c>
      <c r="C198" s="4" t="str">
        <f>VLOOKUP(TableFields[Field],Columns[],2,0)&amp;"("</f>
        <v>char(</v>
      </c>
      <c r="D198" s="4" t="str">
        <f>IF(VLOOKUP(TableFields[Field],Columns[],3,0)&lt;&gt;"","'"&amp;VLOOKUP(TableFields[Field],Columns[],3,0)&amp;"'","")</f>
        <v>'code'</v>
      </c>
      <c r="E1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98" s="4" t="str">
        <f>IF(VLOOKUP(TableFields[Field],Columns[],5,0)=0,"","-&gt;"&amp;VLOOKUP(TableFields[Field],Columns[],5,0))</f>
        <v>-&gt;nullable()</v>
      </c>
      <c r="G198" s="4" t="str">
        <f>IF(VLOOKUP(TableFields[Field],Columns[],6,0)=0,"","-&gt;"&amp;VLOOKUP(TableFields[Field],Columns[],6,0))</f>
        <v>-&gt;index()</v>
      </c>
      <c r="H198" s="4" t="str">
        <f>IF(VLOOKUP(TableFields[Field],Columns[],7,0)=0,"","-&gt;"&amp;VLOOKUP(TableFields[Field],Columns[],7,0))</f>
        <v/>
      </c>
      <c r="I198" s="4" t="str">
        <f>IF(VLOOKUP(TableFields[Field],Columns[],8,0)=0,"","-&gt;"&amp;VLOOKUP(TableFields[Field],Columns[],8,0))</f>
        <v/>
      </c>
      <c r="J198" s="4" t="str">
        <f>IF(VLOOKUP(TableFields[Field],Columns[],9,0)=0,"","-&gt;"&amp;VLOOKUP(TableFields[Field],Columns[],9,0))</f>
        <v/>
      </c>
      <c r="K198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99" spans="1:11" x14ac:dyDescent="0.25">
      <c r="A199" s="4" t="s">
        <v>762</v>
      </c>
      <c r="B199" s="4" t="s">
        <v>23</v>
      </c>
      <c r="C199" s="4" t="str">
        <f>VLOOKUP(TableFields[Field],Columns[],2,0)&amp;"("</f>
        <v>string(</v>
      </c>
      <c r="D199" s="4" t="str">
        <f>IF(VLOOKUP(TableFields[Field],Columns[],3,0)&lt;&gt;"","'"&amp;VLOOKUP(TableFields[Field],Columns[],3,0)&amp;"'","")</f>
        <v>'name'</v>
      </c>
      <c r="E1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99" s="4" t="str">
        <f>IF(VLOOKUP(TableFields[Field],Columns[],5,0)=0,"","-&gt;"&amp;VLOOKUP(TableFields[Field],Columns[],5,0))</f>
        <v>-&gt;nullable()</v>
      </c>
      <c r="G199" s="4" t="str">
        <f>IF(VLOOKUP(TableFields[Field],Columns[],6,0)=0,"","-&gt;"&amp;VLOOKUP(TableFields[Field],Columns[],6,0))</f>
        <v>-&gt;index()</v>
      </c>
      <c r="H199" s="4" t="str">
        <f>IF(VLOOKUP(TableFields[Field],Columns[],7,0)=0,"","-&gt;"&amp;VLOOKUP(TableFields[Field],Columns[],7,0))</f>
        <v/>
      </c>
      <c r="I199" s="4" t="str">
        <f>IF(VLOOKUP(TableFields[Field],Columns[],8,0)=0,"","-&gt;"&amp;VLOOKUP(TableFields[Field],Columns[],8,0))</f>
        <v/>
      </c>
      <c r="J199" s="4" t="str">
        <f>IF(VLOOKUP(TableFields[Field],Columns[],9,0)=0,"","-&gt;"&amp;VLOOKUP(TableFields[Field],Columns[],9,0))</f>
        <v/>
      </c>
      <c r="K19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200" spans="1:11" x14ac:dyDescent="0.25">
      <c r="A200" s="4" t="s">
        <v>762</v>
      </c>
      <c r="B200" s="4" t="s">
        <v>775</v>
      </c>
      <c r="C200" s="4" t="str">
        <f>VLOOKUP(TableFields[Field],Columns[],2,0)&amp;"("</f>
        <v>enum(</v>
      </c>
      <c r="D200" s="4" t="str">
        <f>IF(VLOOKUP(TableFields[Field],Columns[],3,0)&lt;&gt;"","'"&amp;VLOOKUP(TableFields[Field],Columns[],3,0)&amp;"'","")</f>
        <v>'status'</v>
      </c>
      <c r="E2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00" s="4" t="str">
        <f>IF(VLOOKUP(TableFields[Field],Columns[],5,0)=0,"","-&gt;"&amp;VLOOKUP(TableFields[Field],Columns[],5,0))</f>
        <v>-&gt;nullable()</v>
      </c>
      <c r="G200" s="4" t="str">
        <f>IF(VLOOKUP(TableFields[Field],Columns[],6,0)=0,"","-&gt;"&amp;VLOOKUP(TableFields[Field],Columns[],6,0))</f>
        <v>-&gt;default('Active')</v>
      </c>
      <c r="H200" s="4" t="str">
        <f>IF(VLOOKUP(TableFields[Field],Columns[],7,0)=0,"","-&gt;"&amp;VLOOKUP(TableFields[Field],Columns[],7,0))</f>
        <v/>
      </c>
      <c r="I200" s="4" t="str">
        <f>IF(VLOOKUP(TableFields[Field],Columns[],8,0)=0,"","-&gt;"&amp;VLOOKUP(TableFields[Field],Columns[],8,0))</f>
        <v/>
      </c>
      <c r="J200" s="4" t="str">
        <f>IF(VLOOKUP(TableFields[Field],Columns[],9,0)=0,"","-&gt;"&amp;VLOOKUP(TableFields[Field],Columns[],9,0))</f>
        <v/>
      </c>
      <c r="K200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01" spans="1:11" x14ac:dyDescent="0.25">
      <c r="A201" s="4" t="s">
        <v>762</v>
      </c>
      <c r="B201" s="4" t="s">
        <v>288</v>
      </c>
      <c r="C201" s="4" t="str">
        <f>VLOOKUP(TableFields[Field],Columns[],2,0)&amp;"("</f>
        <v>audit(</v>
      </c>
      <c r="D201" s="4" t="str">
        <f>IF(VLOOKUP(TableFields[Field],Columns[],3,0)&lt;&gt;"","'"&amp;VLOOKUP(TableFields[Field],Columns[],3,0)&amp;"'","")</f>
        <v/>
      </c>
      <c r="E2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1" s="4" t="str">
        <f>IF(VLOOKUP(TableFields[Field],Columns[],5,0)=0,"","-&gt;"&amp;VLOOKUP(TableFields[Field],Columns[],5,0))</f>
        <v/>
      </c>
      <c r="G201" s="4" t="str">
        <f>IF(VLOOKUP(TableFields[Field],Columns[],6,0)=0,"","-&gt;"&amp;VLOOKUP(TableFields[Field],Columns[],6,0))</f>
        <v/>
      </c>
      <c r="H201" s="4" t="str">
        <f>IF(VLOOKUP(TableFields[Field],Columns[],7,0)=0,"","-&gt;"&amp;VLOOKUP(TableFields[Field],Columns[],7,0))</f>
        <v/>
      </c>
      <c r="I201" s="4" t="str">
        <f>IF(VLOOKUP(TableFields[Field],Columns[],8,0)=0,"","-&gt;"&amp;VLOOKUP(TableFields[Field],Columns[],8,0))</f>
        <v/>
      </c>
      <c r="J201" s="4" t="str">
        <f>IF(VLOOKUP(TableFields[Field],Columns[],9,0)=0,"","-&gt;"&amp;VLOOKUP(TableFields[Field],Columns[],9,0))</f>
        <v/>
      </c>
      <c r="K20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02" spans="1:11" x14ac:dyDescent="0.25">
      <c r="A202" s="4" t="s">
        <v>763</v>
      </c>
      <c r="B202" s="4" t="s">
        <v>21</v>
      </c>
      <c r="C202" s="4" t="str">
        <f>VLOOKUP(TableFields[Field],Columns[],2,0)&amp;"("</f>
        <v>bigIncrements(</v>
      </c>
      <c r="D202" s="4" t="str">
        <f>IF(VLOOKUP(TableFields[Field],Columns[],3,0)&lt;&gt;"","'"&amp;VLOOKUP(TableFields[Field],Columns[],3,0)&amp;"'","")</f>
        <v>'id'</v>
      </c>
      <c r="E2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2" s="4" t="str">
        <f>IF(VLOOKUP(TableFields[Field],Columns[],5,0)=0,"","-&gt;"&amp;VLOOKUP(TableFields[Field],Columns[],5,0))</f>
        <v/>
      </c>
      <c r="G202" s="4" t="str">
        <f>IF(VLOOKUP(TableFields[Field],Columns[],6,0)=0,"","-&gt;"&amp;VLOOKUP(TableFields[Field],Columns[],6,0))</f>
        <v/>
      </c>
      <c r="H202" s="4" t="str">
        <f>IF(VLOOKUP(TableFields[Field],Columns[],7,0)=0,"","-&gt;"&amp;VLOOKUP(TableFields[Field],Columns[],7,0))</f>
        <v/>
      </c>
      <c r="I202" s="4" t="str">
        <f>IF(VLOOKUP(TableFields[Field],Columns[],8,0)=0,"","-&gt;"&amp;VLOOKUP(TableFields[Field],Columns[],8,0))</f>
        <v/>
      </c>
      <c r="J202" s="4" t="str">
        <f>IF(VLOOKUP(TableFields[Field],Columns[],9,0)=0,"","-&gt;"&amp;VLOOKUP(TableFields[Field],Columns[],9,0))</f>
        <v/>
      </c>
      <c r="K20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03" spans="1:11" x14ac:dyDescent="0.25">
      <c r="A203" s="4" t="s">
        <v>763</v>
      </c>
      <c r="B203" s="4" t="s">
        <v>811</v>
      </c>
      <c r="C203" s="4" t="str">
        <f>VLOOKUP(TableFields[Field],Columns[],2,0)&amp;"("</f>
        <v>foreignCascade(</v>
      </c>
      <c r="D203" s="4" t="str">
        <f>IF(VLOOKUP(TableFields[Field],Columns[],3,0)&lt;&gt;"","'"&amp;VLOOKUP(TableFields[Field],Columns[],3,0)&amp;"'","")</f>
        <v>'pricelist'</v>
      </c>
      <c r="E2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203" s="4" t="str">
        <f>IF(VLOOKUP(TableFields[Field],Columns[],5,0)=0,"","-&gt;"&amp;VLOOKUP(TableFields[Field],Columns[],5,0))</f>
        <v/>
      </c>
      <c r="G203" s="4" t="str">
        <f>IF(VLOOKUP(TableFields[Field],Columns[],6,0)=0,"","-&gt;"&amp;VLOOKUP(TableFields[Field],Columns[],6,0))</f>
        <v/>
      </c>
      <c r="H203" s="4" t="str">
        <f>IF(VLOOKUP(TableFields[Field],Columns[],7,0)=0,"","-&gt;"&amp;VLOOKUP(TableFields[Field],Columns[],7,0))</f>
        <v/>
      </c>
      <c r="I203" s="4" t="str">
        <f>IF(VLOOKUP(TableFields[Field],Columns[],8,0)=0,"","-&gt;"&amp;VLOOKUP(TableFields[Field],Columns[],8,0))</f>
        <v/>
      </c>
      <c r="J203" s="4" t="str">
        <f>IF(VLOOKUP(TableFields[Field],Columns[],9,0)=0,"","-&gt;"&amp;VLOOKUP(TableFields[Field],Columns[],9,0))</f>
        <v/>
      </c>
      <c r="K203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$table-&gt;foreignCascade('pricelist', 'pricelist');</v>
      </c>
    </row>
    <row r="204" spans="1:11" x14ac:dyDescent="0.25">
      <c r="A204" s="4" t="s">
        <v>763</v>
      </c>
      <c r="B204" s="4" t="s">
        <v>812</v>
      </c>
      <c r="C204" s="4" t="str">
        <f>VLOOKUP(TableFields[Field],Columns[],2,0)&amp;"("</f>
        <v>foreignCascade(</v>
      </c>
      <c r="D204" s="4" t="str">
        <f>IF(VLOOKUP(TableFields[Field],Columns[],3,0)&lt;&gt;"","'"&amp;VLOOKUP(TableFields[Field],Columns[],3,0)&amp;"'","")</f>
        <v>'product'</v>
      </c>
      <c r="E2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04" s="4" t="str">
        <f>IF(VLOOKUP(TableFields[Field],Columns[],5,0)=0,"","-&gt;"&amp;VLOOKUP(TableFields[Field],Columns[],5,0))</f>
        <v/>
      </c>
      <c r="G204" s="4" t="str">
        <f>IF(VLOOKUP(TableFields[Field],Columns[],6,0)=0,"","-&gt;"&amp;VLOOKUP(TableFields[Field],Columns[],6,0))</f>
        <v/>
      </c>
      <c r="H204" s="4" t="str">
        <f>IF(VLOOKUP(TableFields[Field],Columns[],7,0)=0,"","-&gt;"&amp;VLOOKUP(TableFields[Field],Columns[],7,0))</f>
        <v/>
      </c>
      <c r="I204" s="4" t="str">
        <f>IF(VLOOKUP(TableFields[Field],Columns[],8,0)=0,"","-&gt;"&amp;VLOOKUP(TableFields[Field],Columns[],8,0))</f>
        <v/>
      </c>
      <c r="J204" s="4" t="str">
        <f>IF(VLOOKUP(TableFields[Field],Columns[],9,0)=0,"","-&gt;"&amp;VLOOKUP(TableFields[Field],Columns[],9,0))</f>
        <v/>
      </c>
      <c r="K204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205" spans="1:11" x14ac:dyDescent="0.25">
      <c r="A205" s="4" t="s">
        <v>763</v>
      </c>
      <c r="B205" s="4" t="s">
        <v>814</v>
      </c>
      <c r="C205" s="4" t="str">
        <f>VLOOKUP(TableFields[Field],Columns[],2,0)&amp;"("</f>
        <v>decimal(</v>
      </c>
      <c r="D205" s="4" t="str">
        <f>IF(VLOOKUP(TableFields[Field],Columns[],3,0)&lt;&gt;"","'"&amp;VLOOKUP(TableFields[Field],Columns[],3,0)&amp;"'","")</f>
        <v>'price'</v>
      </c>
      <c r="E2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5" s="4" t="str">
        <f>IF(VLOOKUP(TableFields[Field],Columns[],5,0)=0,"","-&gt;"&amp;VLOOKUP(TableFields[Field],Columns[],5,0))</f>
        <v>-&gt;default(0)</v>
      </c>
      <c r="G205" s="4" t="str">
        <f>IF(VLOOKUP(TableFields[Field],Columns[],6,0)=0,"","-&gt;"&amp;VLOOKUP(TableFields[Field],Columns[],6,0))</f>
        <v/>
      </c>
      <c r="H205" s="4" t="str">
        <f>IF(VLOOKUP(TableFields[Field],Columns[],7,0)=0,"","-&gt;"&amp;VLOOKUP(TableFields[Field],Columns[],7,0))</f>
        <v/>
      </c>
      <c r="I205" s="4" t="str">
        <f>IF(VLOOKUP(TableFields[Field],Columns[],8,0)=0,"","-&gt;"&amp;VLOOKUP(TableFields[Field],Columns[],8,0))</f>
        <v/>
      </c>
      <c r="J205" s="4" t="str">
        <f>IF(VLOOKUP(TableFields[Field],Columns[],9,0)=0,"","-&gt;"&amp;VLOOKUP(TableFields[Field],Columns[],9,0))</f>
        <v/>
      </c>
      <c r="K205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$table-&gt;decimal('price', 30,10)-&gt;default(0);</v>
      </c>
    </row>
    <row r="206" spans="1:11" x14ac:dyDescent="0.25">
      <c r="A206" s="4" t="s">
        <v>763</v>
      </c>
      <c r="B206" s="4" t="s">
        <v>815</v>
      </c>
      <c r="C206" s="4" t="str">
        <f>VLOOKUP(TableFields[Field],Columns[],2,0)&amp;"("</f>
        <v>decimal(</v>
      </c>
      <c r="D206" s="4" t="str">
        <f>IF(VLOOKUP(TableFields[Field],Columns[],3,0)&lt;&gt;"","'"&amp;VLOOKUP(TableFields[Field],Columns[],3,0)&amp;"'","")</f>
        <v>'price_min'</v>
      </c>
      <c r="E2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6" s="4" t="str">
        <f>IF(VLOOKUP(TableFields[Field],Columns[],5,0)=0,"","-&gt;"&amp;VLOOKUP(TableFields[Field],Columns[],5,0))</f>
        <v>-&gt;default(0)</v>
      </c>
      <c r="G206" s="4" t="str">
        <f>IF(VLOOKUP(TableFields[Field],Columns[],6,0)=0,"","-&gt;"&amp;VLOOKUP(TableFields[Field],Columns[],6,0))</f>
        <v/>
      </c>
      <c r="H206" s="4" t="str">
        <f>IF(VLOOKUP(TableFields[Field],Columns[],7,0)=0,"","-&gt;"&amp;VLOOKUP(TableFields[Field],Columns[],7,0))</f>
        <v/>
      </c>
      <c r="I206" s="4" t="str">
        <f>IF(VLOOKUP(TableFields[Field],Columns[],8,0)=0,"","-&gt;"&amp;VLOOKUP(TableFields[Field],Columns[],8,0))</f>
        <v/>
      </c>
      <c r="J206" s="4" t="str">
        <f>IF(VLOOKUP(TableFields[Field],Columns[],9,0)=0,"","-&gt;"&amp;VLOOKUP(TableFields[Field],Columns[],9,0))</f>
        <v/>
      </c>
      <c r="K206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$table-&gt;decimal('price_min', 30,10)-&gt;default(0);</v>
      </c>
    </row>
    <row r="207" spans="1:11" x14ac:dyDescent="0.25">
      <c r="A207" s="4" t="s">
        <v>763</v>
      </c>
      <c r="B207" s="4" t="s">
        <v>816</v>
      </c>
      <c r="C207" s="4" t="str">
        <f>VLOOKUP(TableFields[Field],Columns[],2,0)&amp;"("</f>
        <v>decimal(</v>
      </c>
      <c r="D207" s="4" t="str">
        <f>IF(VLOOKUP(TableFields[Field],Columns[],3,0)&lt;&gt;"","'"&amp;VLOOKUP(TableFields[Field],Columns[],3,0)&amp;"'","")</f>
        <v>'price_max'</v>
      </c>
      <c r="E2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7" s="4" t="str">
        <f>IF(VLOOKUP(TableFields[Field],Columns[],5,0)=0,"","-&gt;"&amp;VLOOKUP(TableFields[Field],Columns[],5,0))</f>
        <v>-&gt;default(0)</v>
      </c>
      <c r="G207" s="4" t="str">
        <f>IF(VLOOKUP(TableFields[Field],Columns[],6,0)=0,"","-&gt;"&amp;VLOOKUP(TableFields[Field],Columns[],6,0))</f>
        <v/>
      </c>
      <c r="H207" s="4" t="str">
        <f>IF(VLOOKUP(TableFields[Field],Columns[],7,0)=0,"","-&gt;"&amp;VLOOKUP(TableFields[Field],Columns[],7,0))</f>
        <v/>
      </c>
      <c r="I207" s="4" t="str">
        <f>IF(VLOOKUP(TableFields[Field],Columns[],8,0)=0,"","-&gt;"&amp;VLOOKUP(TableFields[Field],Columns[],8,0))</f>
        <v/>
      </c>
      <c r="J207" s="4" t="str">
        <f>IF(VLOOKUP(TableFields[Field],Columns[],9,0)=0,"","-&gt;"&amp;VLOOKUP(TableFields[Field],Columns[],9,0))</f>
        <v/>
      </c>
      <c r="K207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$table-&gt;decimal('price_max', 30,10)-&gt;default(0);</v>
      </c>
    </row>
    <row r="208" spans="1:11" x14ac:dyDescent="0.25">
      <c r="A208" s="4" t="s">
        <v>763</v>
      </c>
      <c r="B208" s="4" t="s">
        <v>868</v>
      </c>
      <c r="C208" s="4" t="str">
        <f>VLOOKUP(TableFields[Field],Columns[],2,0)&amp;"("</f>
        <v>enum(</v>
      </c>
      <c r="D208" s="4" t="str">
        <f>IF(VLOOKUP(TableFields[Field],Columns[],3,0)&lt;&gt;"","'"&amp;VLOOKUP(TableFields[Field],Columns[],3,0)&amp;"'","")</f>
        <v>'discount1_type'</v>
      </c>
      <c r="E2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208" s="4" t="str">
        <f>IF(VLOOKUP(TableFields[Field],Columns[],5,0)=0,"","-&gt;"&amp;VLOOKUP(TableFields[Field],Columns[],5,0))</f>
        <v>-&gt;default('Amount')</v>
      </c>
      <c r="G208" s="4" t="str">
        <f>IF(VLOOKUP(TableFields[Field],Columns[],6,0)=0,"","-&gt;"&amp;VLOOKUP(TableFields[Field],Columns[],6,0))</f>
        <v/>
      </c>
      <c r="H208" s="4" t="str">
        <f>IF(VLOOKUP(TableFields[Field],Columns[],7,0)=0,"","-&gt;"&amp;VLOOKUP(TableFields[Field],Columns[],7,0))</f>
        <v/>
      </c>
      <c r="I208" s="4" t="str">
        <f>IF(VLOOKUP(TableFields[Field],Columns[],8,0)=0,"","-&gt;"&amp;VLOOKUP(TableFields[Field],Columns[],8,0))</f>
        <v/>
      </c>
      <c r="J208" s="4" t="str">
        <f>IF(VLOOKUP(TableFields[Field],Columns[],9,0)=0,"","-&gt;"&amp;VLOOKUP(TableFields[Field],Columns[],9,0))</f>
        <v/>
      </c>
      <c r="K208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$table-&gt;enum('discount1_type', ['Amount','Percentage'])-&gt;default('Amount');</v>
      </c>
    </row>
    <row r="209" spans="1:11" x14ac:dyDescent="0.25">
      <c r="A209" s="4" t="s">
        <v>763</v>
      </c>
      <c r="B209" s="4" t="s">
        <v>873</v>
      </c>
      <c r="C209" s="4" t="str">
        <f>VLOOKUP(TableFields[Field],Columns[],2,0)&amp;"("</f>
        <v>decimal(</v>
      </c>
      <c r="D209" s="4" t="str">
        <f>IF(VLOOKUP(TableFields[Field],Columns[],3,0)&lt;&gt;"","'"&amp;VLOOKUP(TableFields[Field],Columns[],3,0)&amp;"'","")</f>
        <v>'discount1_quantity'</v>
      </c>
      <c r="E2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209" s="4" t="str">
        <f>IF(VLOOKUP(TableFields[Field],Columns[],5,0)=0,"","-&gt;"&amp;VLOOKUP(TableFields[Field],Columns[],5,0))</f>
        <v>-&gt;default(0)</v>
      </c>
      <c r="G209" s="4" t="str">
        <f>IF(VLOOKUP(TableFields[Field],Columns[],6,0)=0,"","-&gt;"&amp;VLOOKUP(TableFields[Field],Columns[],6,0))</f>
        <v/>
      </c>
      <c r="H209" s="4" t="str">
        <f>IF(VLOOKUP(TableFields[Field],Columns[],7,0)=0,"","-&gt;"&amp;VLOOKUP(TableFields[Field],Columns[],7,0))</f>
        <v/>
      </c>
      <c r="I209" s="4" t="str">
        <f>IF(VLOOKUP(TableFields[Field],Columns[],8,0)=0,"","-&gt;"&amp;VLOOKUP(TableFields[Field],Columns[],8,0))</f>
        <v/>
      </c>
      <c r="J209" s="4" t="str">
        <f>IF(VLOOKUP(TableFields[Field],Columns[],9,0)=0,"","-&gt;"&amp;VLOOKUP(TableFields[Field],Columns[],9,0))</f>
        <v/>
      </c>
      <c r="K209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$table-&gt;decimal('discount1_quantity', 5,2)-&gt;default(0);</v>
      </c>
    </row>
    <row r="210" spans="1:11" x14ac:dyDescent="0.25">
      <c r="A210" s="4" t="s">
        <v>763</v>
      </c>
      <c r="B210" s="4" t="s">
        <v>869</v>
      </c>
      <c r="C210" s="4" t="str">
        <f>VLOOKUP(TableFields[Field],Columns[],2,0)&amp;"("</f>
        <v>enum(</v>
      </c>
      <c r="D210" s="4" t="str">
        <f>IF(VLOOKUP(TableFields[Field],Columns[],3,0)&lt;&gt;"","'"&amp;VLOOKUP(TableFields[Field],Columns[],3,0)&amp;"'","")</f>
        <v>'discount2_type'</v>
      </c>
      <c r="E2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210" s="4" t="str">
        <f>IF(VLOOKUP(TableFields[Field],Columns[],5,0)=0,"","-&gt;"&amp;VLOOKUP(TableFields[Field],Columns[],5,0))</f>
        <v>-&gt;default('Amount')</v>
      </c>
      <c r="G210" s="4" t="str">
        <f>IF(VLOOKUP(TableFields[Field],Columns[],6,0)=0,"","-&gt;"&amp;VLOOKUP(TableFields[Field],Columns[],6,0))</f>
        <v/>
      </c>
      <c r="H210" s="4" t="str">
        <f>IF(VLOOKUP(TableFields[Field],Columns[],7,0)=0,"","-&gt;"&amp;VLOOKUP(TableFields[Field],Columns[],7,0))</f>
        <v/>
      </c>
      <c r="I210" s="4" t="str">
        <f>IF(VLOOKUP(TableFields[Field],Columns[],8,0)=0,"","-&gt;"&amp;VLOOKUP(TableFields[Field],Columns[],8,0))</f>
        <v/>
      </c>
      <c r="J210" s="4" t="str">
        <f>IF(VLOOKUP(TableFields[Field],Columns[],9,0)=0,"","-&gt;"&amp;VLOOKUP(TableFields[Field],Columns[],9,0))</f>
        <v/>
      </c>
      <c r="K210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$table-&gt;enum('discount2_type', ['Amount','Percentage'])-&gt;default('Amount');</v>
      </c>
    </row>
    <row r="211" spans="1:11" x14ac:dyDescent="0.25">
      <c r="A211" s="4" t="s">
        <v>763</v>
      </c>
      <c r="B211" s="4" t="s">
        <v>874</v>
      </c>
      <c r="C211" s="4" t="str">
        <f>VLOOKUP(TableFields[Field],Columns[],2,0)&amp;"("</f>
        <v>decimal(</v>
      </c>
      <c r="D211" s="4" t="str">
        <f>IF(VLOOKUP(TableFields[Field],Columns[],3,0)&lt;&gt;"","'"&amp;VLOOKUP(TableFields[Field],Columns[],3,0)&amp;"'","")</f>
        <v>'discount2_quantity'</v>
      </c>
      <c r="E2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211" s="4" t="str">
        <f>IF(VLOOKUP(TableFields[Field],Columns[],5,0)=0,"","-&gt;"&amp;VLOOKUP(TableFields[Field],Columns[],5,0))</f>
        <v>-&gt;default(0)</v>
      </c>
      <c r="G211" s="4" t="str">
        <f>IF(VLOOKUP(TableFields[Field],Columns[],6,0)=0,"","-&gt;"&amp;VLOOKUP(TableFields[Field],Columns[],6,0))</f>
        <v/>
      </c>
      <c r="H211" s="4" t="str">
        <f>IF(VLOOKUP(TableFields[Field],Columns[],7,0)=0,"","-&gt;"&amp;VLOOKUP(TableFields[Field],Columns[],7,0))</f>
        <v/>
      </c>
      <c r="I211" s="4" t="str">
        <f>IF(VLOOKUP(TableFields[Field],Columns[],8,0)=0,"","-&gt;"&amp;VLOOKUP(TableFields[Field],Columns[],8,0))</f>
        <v/>
      </c>
      <c r="J211" s="4" t="str">
        <f>IF(VLOOKUP(TableFields[Field],Columns[],9,0)=0,"","-&gt;"&amp;VLOOKUP(TableFields[Field],Columns[],9,0))</f>
        <v/>
      </c>
      <c r="K211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$table-&gt;decimal('discount2_quantity', 5,2)-&gt;default(0);</v>
      </c>
    </row>
    <row r="212" spans="1:11" x14ac:dyDescent="0.25">
      <c r="A212" s="4" t="s">
        <v>763</v>
      </c>
      <c r="B212" s="4" t="s">
        <v>288</v>
      </c>
      <c r="C212" s="4" t="str">
        <f>VLOOKUP(TableFields[Field],Columns[],2,0)&amp;"("</f>
        <v>audit(</v>
      </c>
      <c r="D212" s="4" t="str">
        <f>IF(VLOOKUP(TableFields[Field],Columns[],3,0)&lt;&gt;"","'"&amp;VLOOKUP(TableFields[Field],Columns[],3,0)&amp;"'","")</f>
        <v/>
      </c>
      <c r="E2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2" s="4" t="str">
        <f>IF(VLOOKUP(TableFields[Field],Columns[],5,0)=0,"","-&gt;"&amp;VLOOKUP(TableFields[Field],Columns[],5,0))</f>
        <v/>
      </c>
      <c r="G212" s="4" t="str">
        <f>IF(VLOOKUP(TableFields[Field],Columns[],6,0)=0,"","-&gt;"&amp;VLOOKUP(TableFields[Field],Columns[],6,0))</f>
        <v/>
      </c>
      <c r="H212" s="4" t="str">
        <f>IF(VLOOKUP(TableFields[Field],Columns[],7,0)=0,"","-&gt;"&amp;VLOOKUP(TableFields[Field],Columns[],7,0))</f>
        <v/>
      </c>
      <c r="I212" s="4" t="str">
        <f>IF(VLOOKUP(TableFields[Field],Columns[],8,0)=0,"","-&gt;"&amp;VLOOKUP(TableFields[Field],Columns[],8,0))</f>
        <v/>
      </c>
      <c r="J212" s="4" t="str">
        <f>IF(VLOOKUP(TableFields[Field],Columns[],9,0)=0,"","-&gt;"&amp;VLOOKUP(TableFields[Field],Columns[],9,0))</f>
        <v/>
      </c>
      <c r="K21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13" spans="1:11" x14ac:dyDescent="0.25">
      <c r="A213" s="4" t="s">
        <v>896</v>
      </c>
      <c r="B213" s="4" t="s">
        <v>21</v>
      </c>
      <c r="C213" s="4" t="str">
        <f>VLOOKUP(TableFields[Field],Columns[],2,0)&amp;"("</f>
        <v>bigIncrements(</v>
      </c>
      <c r="D213" s="4" t="str">
        <f>IF(VLOOKUP(TableFields[Field],Columns[],3,0)&lt;&gt;"","'"&amp;VLOOKUP(TableFields[Field],Columns[],3,0)&amp;"'","")</f>
        <v>'id'</v>
      </c>
      <c r="E2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3" s="4" t="str">
        <f>IF(VLOOKUP(TableFields[Field],Columns[],5,0)=0,"","-&gt;"&amp;VLOOKUP(TableFields[Field],Columns[],5,0))</f>
        <v/>
      </c>
      <c r="G213" s="4" t="str">
        <f>IF(VLOOKUP(TableFields[Field],Columns[],6,0)=0,"","-&gt;"&amp;VLOOKUP(TableFields[Field],Columns[],6,0))</f>
        <v/>
      </c>
      <c r="H213" s="4" t="str">
        <f>IF(VLOOKUP(TableFields[Field],Columns[],7,0)=0,"","-&gt;"&amp;VLOOKUP(TableFields[Field],Columns[],7,0))</f>
        <v/>
      </c>
      <c r="I213" s="4" t="str">
        <f>IF(VLOOKUP(TableFields[Field],Columns[],8,0)=0,"","-&gt;"&amp;VLOOKUP(TableFields[Field],Columns[],8,0))</f>
        <v/>
      </c>
      <c r="J213" s="4" t="str">
        <f>IF(VLOOKUP(TableFields[Field],Columns[],9,0)=0,"","-&gt;"&amp;VLOOKUP(TableFields[Field],Columns[],9,0))</f>
        <v/>
      </c>
      <c r="K21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14" spans="1:11" x14ac:dyDescent="0.25">
      <c r="A214" s="4" t="s">
        <v>896</v>
      </c>
      <c r="B214" s="4" t="s">
        <v>1584</v>
      </c>
      <c r="C214" s="4" t="str">
        <f>VLOOKUP(TableFields[Field],Columns[],2,0)&amp;"("</f>
        <v>char(</v>
      </c>
      <c r="D214" s="4" t="str">
        <f>IF(VLOOKUP(TableFields[Field],Columns[],3,0)&lt;&gt;"","'"&amp;VLOOKUP(TableFields[Field],Columns[],3,0)&amp;"'","")</f>
        <v>'_ref'</v>
      </c>
      <c r="E2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14" s="4" t="str">
        <f>IF(VLOOKUP(TableFields[Field],Columns[],5,0)=0,"","-&gt;"&amp;VLOOKUP(TableFields[Field],Columns[],5,0))</f>
        <v>-&gt;nullable()</v>
      </c>
      <c r="G214" s="4" t="str">
        <f>IF(VLOOKUP(TableFields[Field],Columns[],6,0)=0,"","-&gt;"&amp;VLOOKUP(TableFields[Field],Columns[],6,0))</f>
        <v>-&gt;index()</v>
      </c>
      <c r="H214" s="4" t="str">
        <f>IF(VLOOKUP(TableFields[Field],Columns[],7,0)=0,"","-&gt;"&amp;VLOOKUP(TableFields[Field],Columns[],7,0))</f>
        <v/>
      </c>
      <c r="I214" s="4" t="str">
        <f>IF(VLOOKUP(TableFields[Field],Columns[],8,0)=0,"","-&gt;"&amp;VLOOKUP(TableFields[Field],Columns[],8,0))</f>
        <v/>
      </c>
      <c r="J214" s="4" t="str">
        <f>IF(VLOOKUP(TableFields[Field],Columns[],9,0)=0,"","-&gt;"&amp;VLOOKUP(TableFields[Field],Columns[],9,0))</f>
        <v/>
      </c>
      <c r="K214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15" spans="1:11" x14ac:dyDescent="0.25">
      <c r="A215" s="4" t="s">
        <v>896</v>
      </c>
      <c r="B215" s="4" t="s">
        <v>898</v>
      </c>
      <c r="C215" s="4" t="str">
        <f>VLOOKUP(TableFields[Field],Columns[],2,0)&amp;"("</f>
        <v>foreignNullable(</v>
      </c>
      <c r="D215" s="4" t="str">
        <f>IF(VLOOKUP(TableFields[Field],Columns[],3,0)&lt;&gt;"","'"&amp;VLOOKUP(TableFields[Field],Columns[],3,0)&amp;"'","")</f>
        <v>'user'</v>
      </c>
      <c r="E2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5" s="4" t="str">
        <f>IF(VLOOKUP(TableFields[Field],Columns[],5,0)=0,"","-&gt;"&amp;VLOOKUP(TableFields[Field],Columns[],5,0))</f>
        <v/>
      </c>
      <c r="G215" s="4" t="str">
        <f>IF(VLOOKUP(TableFields[Field],Columns[],6,0)=0,"","-&gt;"&amp;VLOOKUP(TableFields[Field],Columns[],6,0))</f>
        <v/>
      </c>
      <c r="H215" s="4" t="str">
        <f>IF(VLOOKUP(TableFields[Field],Columns[],7,0)=0,"","-&gt;"&amp;VLOOKUP(TableFields[Field],Columns[],7,0))</f>
        <v/>
      </c>
      <c r="I215" s="4" t="str">
        <f>IF(VLOOKUP(TableFields[Field],Columns[],8,0)=0,"","-&gt;"&amp;VLOOKUP(TableFields[Field],Columns[],8,0))</f>
        <v/>
      </c>
      <c r="J215" s="4" t="str">
        <f>IF(VLOOKUP(TableFields[Field],Columns[],9,0)=0,"","-&gt;"&amp;VLOOKUP(TableFields[Field],Columns[],9,0))</f>
        <v/>
      </c>
      <c r="K21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16" spans="1:11" x14ac:dyDescent="0.25">
      <c r="A216" s="4" t="s">
        <v>896</v>
      </c>
      <c r="B216" s="4" t="s">
        <v>820</v>
      </c>
      <c r="C216" s="4" t="str">
        <f>VLOOKUP(TableFields[Field],Columns[],2,0)&amp;"("</f>
        <v>foreignNullable(</v>
      </c>
      <c r="D216" s="4" t="str">
        <f>IF(VLOOKUP(TableFields[Field],Columns[],3,0)&lt;&gt;"","'"&amp;VLOOKUP(TableFields[Field],Columns[],3,0)&amp;"'","")</f>
        <v>'store'</v>
      </c>
      <c r="E2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16" s="4" t="str">
        <f>IF(VLOOKUP(TableFields[Field],Columns[],5,0)=0,"","-&gt;"&amp;VLOOKUP(TableFields[Field],Columns[],5,0))</f>
        <v/>
      </c>
      <c r="G216" s="4" t="str">
        <f>IF(VLOOKUP(TableFields[Field],Columns[],6,0)=0,"","-&gt;"&amp;VLOOKUP(TableFields[Field],Columns[],6,0))</f>
        <v/>
      </c>
      <c r="H216" s="4" t="str">
        <f>IF(VLOOKUP(TableFields[Field],Columns[],7,0)=0,"","-&gt;"&amp;VLOOKUP(TableFields[Field],Columns[],7,0))</f>
        <v/>
      </c>
      <c r="I216" s="4" t="str">
        <f>IF(VLOOKUP(TableFields[Field],Columns[],8,0)=0,"","-&gt;"&amp;VLOOKUP(TableFields[Field],Columns[],8,0))</f>
        <v/>
      </c>
      <c r="J216" s="4" t="str">
        <f>IF(VLOOKUP(TableFields[Field],Columns[],9,0)=0,"","-&gt;"&amp;VLOOKUP(TableFields[Field],Columns[],9,0))</f>
        <v/>
      </c>
      <c r="K21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17" spans="1:11" x14ac:dyDescent="0.25">
      <c r="A217" s="4" t="s">
        <v>896</v>
      </c>
      <c r="B217" s="4" t="s">
        <v>837</v>
      </c>
      <c r="C217" s="4" t="str">
        <f>VLOOKUP(TableFields[Field],Columns[],2,0)&amp;"("</f>
        <v>char(</v>
      </c>
      <c r="D217" s="4" t="str">
        <f>IF(VLOOKUP(TableFields[Field],Columns[],3,0)&lt;&gt;"","'"&amp;VLOOKUP(TableFields[Field],Columns[],3,0)&amp;"'","")</f>
        <v>'docno'</v>
      </c>
      <c r="E2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17" s="4" t="str">
        <f>IF(VLOOKUP(TableFields[Field],Columns[],5,0)=0,"","-&gt;"&amp;VLOOKUP(TableFields[Field],Columns[],5,0))</f>
        <v>-&gt;nullable()</v>
      </c>
      <c r="G217" s="4" t="str">
        <f>IF(VLOOKUP(TableFields[Field],Columns[],6,0)=0,"","-&gt;"&amp;VLOOKUP(TableFields[Field],Columns[],6,0))</f>
        <v>-&gt;index()</v>
      </c>
      <c r="H217" s="4" t="str">
        <f>IF(VLOOKUP(TableFields[Field],Columns[],7,0)=0,"","-&gt;"&amp;VLOOKUP(TableFields[Field],Columns[],7,0))</f>
        <v/>
      </c>
      <c r="I217" s="4" t="str">
        <f>IF(VLOOKUP(TableFields[Field],Columns[],8,0)=0,"","-&gt;"&amp;VLOOKUP(TableFields[Field],Columns[],8,0))</f>
        <v/>
      </c>
      <c r="J217" s="4" t="str">
        <f>IF(VLOOKUP(TableFields[Field],Columns[],9,0)=0,"","-&gt;"&amp;VLOOKUP(TableFields[Field],Columns[],9,0))</f>
        <v/>
      </c>
      <c r="K217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18" spans="1:11" x14ac:dyDescent="0.25">
      <c r="A218" s="4" t="s">
        <v>896</v>
      </c>
      <c r="B218" s="4" t="s">
        <v>831</v>
      </c>
      <c r="C218" s="4" t="str">
        <f>VLOOKUP(TableFields[Field],Columns[],2,0)&amp;"("</f>
        <v>timestamp(</v>
      </c>
      <c r="D218" s="4" t="str">
        <f>IF(VLOOKUP(TableFields[Field],Columns[],3,0)&lt;&gt;"","'"&amp;VLOOKUP(TableFields[Field],Columns[],3,0)&amp;"'","")</f>
        <v>'date'</v>
      </c>
      <c r="E2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8" s="4" t="str">
        <f>IF(VLOOKUP(TableFields[Field],Columns[],5,0)=0,"","-&gt;"&amp;VLOOKUP(TableFields[Field],Columns[],5,0))</f>
        <v>-&gt;default(DB::raw('CURRENT_TIMESTAMP'))</v>
      </c>
      <c r="G218" s="4" t="str">
        <f>IF(VLOOKUP(TableFields[Field],Columns[],6,0)=0,"","-&gt;"&amp;VLOOKUP(TableFields[Field],Columns[],6,0))</f>
        <v/>
      </c>
      <c r="H218" s="4" t="str">
        <f>IF(VLOOKUP(TableFields[Field],Columns[],7,0)=0,"","-&gt;"&amp;VLOOKUP(TableFields[Field],Columns[],7,0))</f>
        <v/>
      </c>
      <c r="I218" s="4" t="str">
        <f>IF(VLOOKUP(TableFields[Field],Columns[],8,0)=0,"","-&gt;"&amp;VLOOKUP(TableFields[Field],Columns[],8,0))</f>
        <v/>
      </c>
      <c r="J218" s="4" t="str">
        <f>IF(VLOOKUP(TableFields[Field],Columns[],9,0)=0,"","-&gt;"&amp;VLOOKUP(TableFields[Field],Columns[],9,0))</f>
        <v/>
      </c>
      <c r="K218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19" spans="1:11" x14ac:dyDescent="0.25">
      <c r="A219" s="4" t="s">
        <v>896</v>
      </c>
      <c r="B219" s="4" t="s">
        <v>949</v>
      </c>
      <c r="C219" s="4" t="str">
        <f>VLOOKUP(TableFields[Field],Columns[],2,0)&amp;"("</f>
        <v>foreignNullable(</v>
      </c>
      <c r="D219" s="4" t="str">
        <f>IF(VLOOKUP(TableFields[Field],Columns[],3,0)&lt;&gt;"","'"&amp;VLOOKUP(TableFields[Field],Columns[],3,0)&amp;"'","")</f>
        <v>'customer'</v>
      </c>
      <c r="E2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9" s="4" t="str">
        <f>IF(VLOOKUP(TableFields[Field],Columns[],5,0)=0,"","-&gt;"&amp;VLOOKUP(TableFields[Field],Columns[],5,0))</f>
        <v/>
      </c>
      <c r="G219" s="4" t="str">
        <f>IF(VLOOKUP(TableFields[Field],Columns[],6,0)=0,"","-&gt;"&amp;VLOOKUP(TableFields[Field],Columns[],6,0))</f>
        <v/>
      </c>
      <c r="H219" s="4" t="str">
        <f>IF(VLOOKUP(TableFields[Field],Columns[],7,0)=0,"","-&gt;"&amp;VLOOKUP(TableFields[Field],Columns[],7,0))</f>
        <v/>
      </c>
      <c r="I219" s="4" t="str">
        <f>IF(VLOOKUP(TableFields[Field],Columns[],8,0)=0,"","-&gt;"&amp;VLOOKUP(TableFields[Field],Columns[],8,0))</f>
        <v/>
      </c>
      <c r="J219" s="4" t="str">
        <f>IF(VLOOKUP(TableFields[Field],Columns[],9,0)=0,"","-&gt;"&amp;VLOOKUP(TableFields[Field],Columns[],9,0))</f>
        <v/>
      </c>
      <c r="K21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20" spans="1:11" x14ac:dyDescent="0.25">
      <c r="A220" s="4" t="s">
        <v>896</v>
      </c>
      <c r="B220" s="4" t="s">
        <v>903</v>
      </c>
      <c r="C220" s="4" t="str">
        <f>VLOOKUP(TableFields[Field],Columns[],2,0)&amp;"("</f>
        <v>char(</v>
      </c>
      <c r="D220" s="4" t="str">
        <f>IF(VLOOKUP(TableFields[Field],Columns[],3,0)&lt;&gt;"","'"&amp;VLOOKUP(TableFields[Field],Columns[],3,0)&amp;"'","")</f>
        <v>'fycode'</v>
      </c>
      <c r="E2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20" s="4" t="str">
        <f>IF(VLOOKUP(TableFields[Field],Columns[],5,0)=0,"","-&gt;"&amp;VLOOKUP(TableFields[Field],Columns[],5,0))</f>
        <v>-&gt;nullable()</v>
      </c>
      <c r="G220" s="4" t="str">
        <f>IF(VLOOKUP(TableFields[Field],Columns[],6,0)=0,"","-&gt;"&amp;VLOOKUP(TableFields[Field],Columns[],6,0))</f>
        <v>-&gt;index()</v>
      </c>
      <c r="H220" s="4" t="str">
        <f>IF(VLOOKUP(TableFields[Field],Columns[],7,0)=0,"","-&gt;"&amp;VLOOKUP(TableFields[Field],Columns[],7,0))</f>
        <v/>
      </c>
      <c r="I220" s="4" t="str">
        <f>IF(VLOOKUP(TableFields[Field],Columns[],8,0)=0,"","-&gt;"&amp;VLOOKUP(TableFields[Field],Columns[],8,0))</f>
        <v/>
      </c>
      <c r="J220" s="4" t="str">
        <f>IF(VLOOKUP(TableFields[Field],Columns[],9,0)=0,"","-&gt;"&amp;VLOOKUP(TableFields[Field],Columns[],9,0))</f>
        <v/>
      </c>
      <c r="K220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21" spans="1:11" x14ac:dyDescent="0.25">
      <c r="A221" s="4" t="s">
        <v>896</v>
      </c>
      <c r="B221" s="4" t="s">
        <v>858</v>
      </c>
      <c r="C221" s="4" t="str">
        <f>VLOOKUP(TableFields[Field],Columns[],2,0)&amp;"("</f>
        <v>char(</v>
      </c>
      <c r="D221" s="4" t="str">
        <f>IF(VLOOKUP(TableFields[Field],Columns[],3,0)&lt;&gt;"","'"&amp;VLOOKUP(TableFields[Field],Columns[],3,0)&amp;"'","")</f>
        <v>'fncode'</v>
      </c>
      <c r="E2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21" s="4" t="str">
        <f>IF(VLOOKUP(TableFields[Field],Columns[],5,0)=0,"","-&gt;"&amp;VLOOKUP(TableFields[Field],Columns[],5,0))</f>
        <v>-&gt;nullable()</v>
      </c>
      <c r="G221" s="4" t="str">
        <f>IF(VLOOKUP(TableFields[Field],Columns[],6,0)=0,"","-&gt;"&amp;VLOOKUP(TableFields[Field],Columns[],6,0))</f>
        <v>-&gt;index()</v>
      </c>
      <c r="H221" s="4" t="str">
        <f>IF(VLOOKUP(TableFields[Field],Columns[],7,0)=0,"","-&gt;"&amp;VLOOKUP(TableFields[Field],Columns[],7,0))</f>
        <v/>
      </c>
      <c r="I221" s="4" t="str">
        <f>IF(VLOOKUP(TableFields[Field],Columns[],8,0)=0,"","-&gt;"&amp;VLOOKUP(TableFields[Field],Columns[],8,0))</f>
        <v/>
      </c>
      <c r="J221" s="4" t="str">
        <f>IF(VLOOKUP(TableFields[Field],Columns[],9,0)=0,"","-&gt;"&amp;VLOOKUP(TableFields[Field],Columns[],9,0))</f>
        <v/>
      </c>
      <c r="K221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222" spans="1:11" x14ac:dyDescent="0.25">
      <c r="A222" s="4" t="s">
        <v>896</v>
      </c>
      <c r="B222" s="4" t="s">
        <v>1630</v>
      </c>
      <c r="C222" s="4" t="str">
        <f>VLOOKUP(TableFields[Field],Columns[],2,0)&amp;"("</f>
        <v>enum(</v>
      </c>
      <c r="D222" s="4" t="str">
        <f>IF(VLOOKUP(TableFields[Field],Columns[],3,0)&lt;&gt;"","'"&amp;VLOOKUP(TableFields[Field],Columns[],3,0)&amp;"'","")</f>
        <v>'payment_type'</v>
      </c>
      <c r="E2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22" s="4" t="str">
        <f>IF(VLOOKUP(TableFields[Field],Columns[],5,0)=0,"","-&gt;"&amp;VLOOKUP(TableFields[Field],Columns[],5,0))</f>
        <v>-&gt;nullable()</v>
      </c>
      <c r="G222" s="4" t="str">
        <f>IF(VLOOKUP(TableFields[Field],Columns[],6,0)=0,"","-&gt;"&amp;VLOOKUP(TableFields[Field],Columns[],6,0))</f>
        <v>-&gt;default('Cash')</v>
      </c>
      <c r="H222" s="4" t="str">
        <f>IF(VLOOKUP(TableFields[Field],Columns[],7,0)=0,"","-&gt;"&amp;VLOOKUP(TableFields[Field],Columns[],7,0))</f>
        <v/>
      </c>
      <c r="I222" s="4" t="str">
        <f>IF(VLOOKUP(TableFields[Field],Columns[],8,0)=0,"","-&gt;"&amp;VLOOKUP(TableFields[Field],Columns[],8,0))</f>
        <v/>
      </c>
      <c r="J222" s="4" t="str">
        <f>IF(VLOOKUP(TableFields[Field],Columns[],9,0)=0,"","-&gt;"&amp;VLOOKUP(TableFields[Field],Columns[],9,0))</f>
        <v/>
      </c>
      <c r="K222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23" spans="1:11" x14ac:dyDescent="0.25">
      <c r="A223" s="4" t="s">
        <v>896</v>
      </c>
      <c r="B223" s="4" t="s">
        <v>775</v>
      </c>
      <c r="C223" s="4" t="str">
        <f>VLOOKUP(TableFields[Field],Columns[],2,0)&amp;"("</f>
        <v>enum(</v>
      </c>
      <c r="D223" s="4" t="str">
        <f>IF(VLOOKUP(TableFields[Field],Columns[],3,0)&lt;&gt;"","'"&amp;VLOOKUP(TableFields[Field],Columns[],3,0)&amp;"'","")</f>
        <v>'status'</v>
      </c>
      <c r="E2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23" s="4" t="str">
        <f>IF(VLOOKUP(TableFields[Field],Columns[],5,0)=0,"","-&gt;"&amp;VLOOKUP(TableFields[Field],Columns[],5,0))</f>
        <v>-&gt;nullable()</v>
      </c>
      <c r="G223" s="4" t="str">
        <f>IF(VLOOKUP(TableFields[Field],Columns[],6,0)=0,"","-&gt;"&amp;VLOOKUP(TableFields[Field],Columns[],6,0))</f>
        <v>-&gt;default('Active')</v>
      </c>
      <c r="H223" s="4" t="str">
        <f>IF(VLOOKUP(TableFields[Field],Columns[],7,0)=0,"","-&gt;"&amp;VLOOKUP(TableFields[Field],Columns[],7,0))</f>
        <v/>
      </c>
      <c r="I223" s="4" t="str">
        <f>IF(VLOOKUP(TableFields[Field],Columns[],8,0)=0,"","-&gt;"&amp;VLOOKUP(TableFields[Field],Columns[],8,0))</f>
        <v/>
      </c>
      <c r="J223" s="4" t="str">
        <f>IF(VLOOKUP(TableFields[Field],Columns[],9,0)=0,"","-&gt;"&amp;VLOOKUP(TableFields[Field],Columns[],9,0))</f>
        <v/>
      </c>
      <c r="K223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24" spans="1:11" x14ac:dyDescent="0.25">
      <c r="A224" s="4" t="s">
        <v>896</v>
      </c>
      <c r="B224" s="4" t="s">
        <v>288</v>
      </c>
      <c r="C224" s="4" t="str">
        <f>VLOOKUP(TableFields[Field],Columns[],2,0)&amp;"("</f>
        <v>audit(</v>
      </c>
      <c r="D224" s="4" t="str">
        <f>IF(VLOOKUP(TableFields[Field],Columns[],3,0)&lt;&gt;"","'"&amp;VLOOKUP(TableFields[Field],Columns[],3,0)&amp;"'","")</f>
        <v/>
      </c>
      <c r="E2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4" s="4" t="str">
        <f>IF(VLOOKUP(TableFields[Field],Columns[],5,0)=0,"","-&gt;"&amp;VLOOKUP(TableFields[Field],Columns[],5,0))</f>
        <v/>
      </c>
      <c r="G224" s="4" t="str">
        <f>IF(VLOOKUP(TableFields[Field],Columns[],6,0)=0,"","-&gt;"&amp;VLOOKUP(TableFields[Field],Columns[],6,0))</f>
        <v/>
      </c>
      <c r="H224" s="4" t="str">
        <f>IF(VLOOKUP(TableFields[Field],Columns[],7,0)=0,"","-&gt;"&amp;VLOOKUP(TableFields[Field],Columns[],7,0))</f>
        <v/>
      </c>
      <c r="I224" s="4" t="str">
        <f>IF(VLOOKUP(TableFields[Field],Columns[],8,0)=0,"","-&gt;"&amp;VLOOKUP(TableFields[Field],Columns[],8,0))</f>
        <v/>
      </c>
      <c r="J224" s="4" t="str">
        <f>IF(VLOOKUP(TableFields[Field],Columns[],9,0)=0,"","-&gt;"&amp;VLOOKUP(TableFields[Field],Columns[],9,0))</f>
        <v/>
      </c>
      <c r="K22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25" spans="1:11" s="20" customFormat="1" x14ac:dyDescent="0.25">
      <c r="A225" s="4" t="s">
        <v>897</v>
      </c>
      <c r="B225" s="4" t="s">
        <v>21</v>
      </c>
      <c r="C225" s="4" t="str">
        <f>VLOOKUP(TableFields[Field],Columns[],2,0)&amp;"("</f>
        <v>bigIncrements(</v>
      </c>
      <c r="D225" s="4" t="str">
        <f>IF(VLOOKUP(TableFields[Field],Columns[],3,0)&lt;&gt;"","'"&amp;VLOOKUP(TableFields[Field],Columns[],3,0)&amp;"'","")</f>
        <v>'id'</v>
      </c>
      <c r="E2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5" s="4" t="str">
        <f>IF(VLOOKUP(TableFields[Field],Columns[],5,0)=0,"","-&gt;"&amp;VLOOKUP(TableFields[Field],Columns[],5,0))</f>
        <v/>
      </c>
      <c r="G225" s="4" t="str">
        <f>IF(VLOOKUP(TableFields[Field],Columns[],6,0)=0,"","-&gt;"&amp;VLOOKUP(TableFields[Field],Columns[],6,0))</f>
        <v/>
      </c>
      <c r="H225" s="4" t="str">
        <f>IF(VLOOKUP(TableFields[Field],Columns[],7,0)=0,"","-&gt;"&amp;VLOOKUP(TableFields[Field],Columns[],7,0))</f>
        <v/>
      </c>
      <c r="I225" s="4" t="str">
        <f>IF(VLOOKUP(TableFields[Field],Columns[],8,0)=0,"","-&gt;"&amp;VLOOKUP(TableFields[Field],Columns[],8,0))</f>
        <v/>
      </c>
      <c r="J225" s="4" t="str">
        <f>IF(VLOOKUP(TableFields[Field],Columns[],9,0)=0,"","-&gt;"&amp;VLOOKUP(TableFields[Field],Columns[],9,0))</f>
        <v/>
      </c>
      <c r="K22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26" spans="1:11" x14ac:dyDescent="0.25">
      <c r="A226" s="4" t="s">
        <v>897</v>
      </c>
      <c r="B226" s="4" t="s">
        <v>899</v>
      </c>
      <c r="C226" s="4" t="str">
        <f>VLOOKUP(TableFields[Field],Columns[],2,0)&amp;"("</f>
        <v>foreignCascade(</v>
      </c>
      <c r="D226" s="4" t="str">
        <f>IF(VLOOKUP(TableFields[Field],Columns[],3,0)&lt;&gt;"","'"&amp;VLOOKUP(TableFields[Field],Columns[],3,0)&amp;"'","")</f>
        <v>'transaction'</v>
      </c>
      <c r="E2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26" s="4" t="str">
        <f>IF(VLOOKUP(TableFields[Field],Columns[],5,0)=0,"","-&gt;"&amp;VLOOKUP(TableFields[Field],Columns[],5,0))</f>
        <v/>
      </c>
      <c r="G226" s="4" t="str">
        <f>IF(VLOOKUP(TableFields[Field],Columns[],6,0)=0,"","-&gt;"&amp;VLOOKUP(TableFields[Field],Columns[],6,0))</f>
        <v/>
      </c>
      <c r="H226" s="4" t="str">
        <f>IF(VLOOKUP(TableFields[Field],Columns[],7,0)=0,"","-&gt;"&amp;VLOOKUP(TableFields[Field],Columns[],7,0))</f>
        <v/>
      </c>
      <c r="I226" s="4" t="str">
        <f>IF(VLOOKUP(TableFields[Field],Columns[],8,0)=0,"","-&gt;"&amp;VLOOKUP(TableFields[Field],Columns[],8,0))</f>
        <v/>
      </c>
      <c r="J226" s="4" t="str">
        <f>IF(VLOOKUP(TableFields[Field],Columns[],9,0)=0,"","-&gt;"&amp;VLOOKUP(TableFields[Field],Columns[],9,0))</f>
        <v/>
      </c>
      <c r="K226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$table-&gt;foreignCascade('transaction', 'transactions');</v>
      </c>
    </row>
    <row r="227" spans="1:11" x14ac:dyDescent="0.25">
      <c r="A227" s="4" t="s">
        <v>897</v>
      </c>
      <c r="B227" s="4" t="s">
        <v>820</v>
      </c>
      <c r="C227" s="4" t="str">
        <f>VLOOKUP(TableFields[Field],Columns[],2,0)&amp;"("</f>
        <v>foreignNullable(</v>
      </c>
      <c r="D227" s="4" t="str">
        <f>IF(VLOOKUP(TableFields[Field],Columns[],3,0)&lt;&gt;"","'"&amp;VLOOKUP(TableFields[Field],Columns[],3,0)&amp;"'","")</f>
        <v>'store'</v>
      </c>
      <c r="E2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27" s="4" t="str">
        <f>IF(VLOOKUP(TableFields[Field],Columns[],5,0)=0,"","-&gt;"&amp;VLOOKUP(TableFields[Field],Columns[],5,0))</f>
        <v/>
      </c>
      <c r="G227" s="4" t="str">
        <f>IF(VLOOKUP(TableFields[Field],Columns[],6,0)=0,"","-&gt;"&amp;VLOOKUP(TableFields[Field],Columns[],6,0))</f>
        <v/>
      </c>
      <c r="H227" s="4" t="str">
        <f>IF(VLOOKUP(TableFields[Field],Columns[],7,0)=0,"","-&gt;"&amp;VLOOKUP(TableFields[Field],Columns[],7,0))</f>
        <v/>
      </c>
      <c r="I227" s="4" t="str">
        <f>IF(VLOOKUP(TableFields[Field],Columns[],8,0)=0,"","-&gt;"&amp;VLOOKUP(TableFields[Field],Columns[],8,0))</f>
        <v/>
      </c>
      <c r="J227" s="4" t="str">
        <f>IF(VLOOKUP(TableFields[Field],Columns[],9,0)=0,"","-&gt;"&amp;VLOOKUP(TableFields[Field],Columns[],9,0))</f>
        <v/>
      </c>
      <c r="K22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28" spans="1:11" x14ac:dyDescent="0.25">
      <c r="A228" s="4" t="s">
        <v>897</v>
      </c>
      <c r="B228" s="4" t="s">
        <v>821</v>
      </c>
      <c r="C228" s="4" t="str">
        <f>VLOOKUP(TableFields[Field],Columns[],2,0)&amp;"("</f>
        <v>foreignNullable(</v>
      </c>
      <c r="D228" s="4" t="str">
        <f>IF(VLOOKUP(TableFields[Field],Columns[],3,0)&lt;&gt;"","'"&amp;VLOOKUP(TableFields[Field],Columns[],3,0)&amp;"'","")</f>
        <v>'product'</v>
      </c>
      <c r="E2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28" s="4" t="str">
        <f>IF(VLOOKUP(TableFields[Field],Columns[],5,0)=0,"","-&gt;"&amp;VLOOKUP(TableFields[Field],Columns[],5,0))</f>
        <v/>
      </c>
      <c r="G228" s="4" t="str">
        <f>IF(VLOOKUP(TableFields[Field],Columns[],6,0)=0,"","-&gt;"&amp;VLOOKUP(TableFields[Field],Columns[],6,0))</f>
        <v/>
      </c>
      <c r="H228" s="4" t="str">
        <f>IF(VLOOKUP(TableFields[Field],Columns[],7,0)=0,"","-&gt;"&amp;VLOOKUP(TableFields[Field],Columns[],7,0))</f>
        <v/>
      </c>
      <c r="I228" s="4" t="str">
        <f>IF(VLOOKUP(TableFields[Field],Columns[],8,0)=0,"","-&gt;"&amp;VLOOKUP(TableFields[Field],Columns[],8,0))</f>
        <v/>
      </c>
      <c r="J228" s="4" t="str">
        <f>IF(VLOOKUP(TableFields[Field],Columns[],9,0)=0,"","-&gt;"&amp;VLOOKUP(TableFields[Field],Columns[],9,0))</f>
        <v/>
      </c>
      <c r="K22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29" spans="1:11" x14ac:dyDescent="0.25">
      <c r="A229" s="4" t="s">
        <v>897</v>
      </c>
      <c r="B229" s="4" t="s">
        <v>822</v>
      </c>
      <c r="C229" s="4" t="str">
        <f>VLOOKUP(TableFields[Field],Columns[],2,0)&amp;"("</f>
        <v>enum(</v>
      </c>
      <c r="D229" s="4" t="str">
        <f>IF(VLOOKUP(TableFields[Field],Columns[],3,0)&lt;&gt;"","'"&amp;VLOOKUP(TableFields[Field],Columns[],3,0)&amp;"'","")</f>
        <v>'direction'</v>
      </c>
      <c r="E2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229" s="4" t="str">
        <f>IF(VLOOKUP(TableFields[Field],Columns[],5,0)=0,"","-&gt;"&amp;VLOOKUP(TableFields[Field],Columns[],5,0))</f>
        <v>-&gt;default('Out')</v>
      </c>
      <c r="G229" s="4" t="str">
        <f>IF(VLOOKUP(TableFields[Field],Columns[],6,0)=0,"","-&gt;"&amp;VLOOKUP(TableFields[Field],Columns[],6,0))</f>
        <v/>
      </c>
      <c r="H229" s="4" t="str">
        <f>IF(VLOOKUP(TableFields[Field],Columns[],7,0)=0,"","-&gt;"&amp;VLOOKUP(TableFields[Field],Columns[],7,0))</f>
        <v/>
      </c>
      <c r="I229" s="4" t="str">
        <f>IF(VLOOKUP(TableFields[Field],Columns[],8,0)=0,"","-&gt;"&amp;VLOOKUP(TableFields[Field],Columns[],8,0))</f>
        <v/>
      </c>
      <c r="J229" s="4" t="str">
        <f>IF(VLOOKUP(TableFields[Field],Columns[],9,0)=0,"","-&gt;"&amp;VLOOKUP(TableFields[Field],Columns[],9,0))</f>
        <v/>
      </c>
      <c r="K229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230" spans="1:11" x14ac:dyDescent="0.25">
      <c r="A230" s="4" t="s">
        <v>897</v>
      </c>
      <c r="B230" s="4" t="s">
        <v>826</v>
      </c>
      <c r="C230" s="4" t="str">
        <f>VLOOKUP(TableFields[Field],Columns[],2,0)&amp;"("</f>
        <v>decimal(</v>
      </c>
      <c r="D230" s="4" t="str">
        <f>IF(VLOOKUP(TableFields[Field],Columns[],3,0)&lt;&gt;"","'"&amp;VLOOKUP(TableFields[Field],Columns[],3,0)&amp;"'","")</f>
        <v>'quantity'</v>
      </c>
      <c r="E2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0" s="4" t="str">
        <f>IF(VLOOKUP(TableFields[Field],Columns[],5,0)=0,"","-&gt;"&amp;VLOOKUP(TableFields[Field],Columns[],5,0))</f>
        <v>-&gt;default(1)</v>
      </c>
      <c r="G230" s="4" t="str">
        <f>IF(VLOOKUP(TableFields[Field],Columns[],6,0)=0,"","-&gt;"&amp;VLOOKUP(TableFields[Field],Columns[],6,0))</f>
        <v/>
      </c>
      <c r="H230" s="4" t="str">
        <f>IF(VLOOKUP(TableFields[Field],Columns[],7,0)=0,"","-&gt;"&amp;VLOOKUP(TableFields[Field],Columns[],7,0))</f>
        <v/>
      </c>
      <c r="I230" s="4" t="str">
        <f>IF(VLOOKUP(TableFields[Field],Columns[],8,0)=0,"","-&gt;"&amp;VLOOKUP(TableFields[Field],Columns[],8,0))</f>
        <v/>
      </c>
      <c r="J230" s="4" t="str">
        <f>IF(VLOOKUP(TableFields[Field],Columns[],9,0)=0,"","-&gt;"&amp;VLOOKUP(TableFields[Field],Columns[],9,0))</f>
        <v/>
      </c>
      <c r="K230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31" spans="1:11" x14ac:dyDescent="0.25">
      <c r="A231" s="4" t="s">
        <v>897</v>
      </c>
      <c r="B231" s="4" t="s">
        <v>956</v>
      </c>
      <c r="C231" s="4" t="str">
        <f>VLOOKUP(TableFields[Field],Columns[],2,0)&amp;"("</f>
        <v>decimal(</v>
      </c>
      <c r="D231" s="4" t="str">
        <f>IF(VLOOKUP(TableFields[Field],Columns[],3,0)&lt;&gt;"","'"&amp;VLOOKUP(TableFields[Field],Columns[],3,0)&amp;"'","")</f>
        <v>'rate'</v>
      </c>
      <c r="E2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1" s="4" t="str">
        <f>IF(VLOOKUP(TableFields[Field],Columns[],5,0)=0,"","-&gt;"&amp;VLOOKUP(TableFields[Field],Columns[],5,0))</f>
        <v>-&gt;default(0)</v>
      </c>
      <c r="G231" s="4" t="str">
        <f>IF(VLOOKUP(TableFields[Field],Columns[],6,0)=0,"","-&gt;"&amp;VLOOKUP(TableFields[Field],Columns[],6,0))</f>
        <v/>
      </c>
      <c r="H231" s="4" t="str">
        <f>IF(VLOOKUP(TableFields[Field],Columns[],7,0)=0,"","-&gt;"&amp;VLOOKUP(TableFields[Field],Columns[],7,0))</f>
        <v/>
      </c>
      <c r="I231" s="4" t="str">
        <f>IF(VLOOKUP(TableFields[Field],Columns[],8,0)=0,"","-&gt;"&amp;VLOOKUP(TableFields[Field],Columns[],8,0))</f>
        <v/>
      </c>
      <c r="J231" s="4" t="str">
        <f>IF(VLOOKUP(TableFields[Field],Columns[],9,0)=0,"","-&gt;"&amp;VLOOKUP(TableFields[Field],Columns[],9,0))</f>
        <v/>
      </c>
      <c r="K231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32" spans="1:11" x14ac:dyDescent="0.25">
      <c r="A232" s="4" t="s">
        <v>897</v>
      </c>
      <c r="B232" s="4" t="s">
        <v>914</v>
      </c>
      <c r="C232" s="4" t="str">
        <f>VLOOKUP(TableFields[Field],Columns[],2,0)&amp;"("</f>
        <v>char(</v>
      </c>
      <c r="D232" s="4" t="str">
        <f>IF(VLOOKUP(TableFields[Field],Columns[],3,0)&lt;&gt;"","'"&amp;VLOOKUP(TableFields[Field],Columns[],3,0)&amp;"'","")</f>
        <v>'taxrule'</v>
      </c>
      <c r="E2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32" s="4" t="str">
        <f>IF(VLOOKUP(TableFields[Field],Columns[],5,0)=0,"","-&gt;"&amp;VLOOKUP(TableFields[Field],Columns[],5,0))</f>
        <v>-&gt;nullable()</v>
      </c>
      <c r="G232" s="4" t="str">
        <f>IF(VLOOKUP(TableFields[Field],Columns[],6,0)=0,"","-&gt;"&amp;VLOOKUP(TableFields[Field],Columns[],6,0))</f>
        <v/>
      </c>
      <c r="H232" s="4" t="str">
        <f>IF(VLOOKUP(TableFields[Field],Columns[],7,0)=0,"","-&gt;"&amp;VLOOKUP(TableFields[Field],Columns[],7,0))</f>
        <v/>
      </c>
      <c r="I232" s="4" t="str">
        <f>IF(VLOOKUP(TableFields[Field],Columns[],8,0)=0,"","-&gt;"&amp;VLOOKUP(TableFields[Field],Columns[],8,0))</f>
        <v/>
      </c>
      <c r="J232" s="4" t="str">
        <f>IF(VLOOKUP(TableFields[Field],Columns[],9,0)=0,"","-&gt;"&amp;VLOOKUP(TableFields[Field],Columns[],9,0))</f>
        <v/>
      </c>
      <c r="K232" s="4" t="str">
        <f>"$table-&gt;"&amp;TableFields[Type]&amp;TableFields[Name]&amp;TableFields[Arg2]&amp;TableFields[Method1]&amp;TableFields[Method2]&amp;TableFields[Method3]&amp;TableFields[Method4]&amp;TableFields[Method5]&amp;";"</f>
        <v>$table-&gt;char('taxrule', '15')-&gt;nullable();</v>
      </c>
    </row>
    <row r="233" spans="1:11" x14ac:dyDescent="0.25">
      <c r="A233" s="4" t="s">
        <v>897</v>
      </c>
      <c r="B233" s="4" t="s">
        <v>901</v>
      </c>
      <c r="C233" s="4" t="str">
        <f>VLOOKUP(TableFields[Field],Columns[],2,0)&amp;"("</f>
        <v>decimal(</v>
      </c>
      <c r="D233" s="4" t="str">
        <f>IF(VLOOKUP(TableFields[Field],Columns[],3,0)&lt;&gt;"","'"&amp;VLOOKUP(TableFields[Field],Columns[],3,0)&amp;"'","")</f>
        <v>'tax'</v>
      </c>
      <c r="E2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3" s="4" t="str">
        <f>IF(VLOOKUP(TableFields[Field],Columns[],5,0)=0,"","-&gt;"&amp;VLOOKUP(TableFields[Field],Columns[],5,0))</f>
        <v>-&gt;default(0)</v>
      </c>
      <c r="G233" s="4" t="str">
        <f>IF(VLOOKUP(TableFields[Field],Columns[],6,0)=0,"","-&gt;"&amp;VLOOKUP(TableFields[Field],Columns[],6,0))</f>
        <v/>
      </c>
      <c r="H233" s="4" t="str">
        <f>IF(VLOOKUP(TableFields[Field],Columns[],7,0)=0,"","-&gt;"&amp;VLOOKUP(TableFields[Field],Columns[],7,0))</f>
        <v/>
      </c>
      <c r="I233" s="4" t="str">
        <f>IF(VLOOKUP(TableFields[Field],Columns[],8,0)=0,"","-&gt;"&amp;VLOOKUP(TableFields[Field],Columns[],8,0))</f>
        <v/>
      </c>
      <c r="J233" s="4" t="str">
        <f>IF(VLOOKUP(TableFields[Field],Columns[],9,0)=0,"","-&gt;"&amp;VLOOKUP(TableFields[Field],Columns[],9,0))</f>
        <v/>
      </c>
      <c r="K233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34" spans="1:11" x14ac:dyDescent="0.25">
      <c r="A234" s="4" t="s">
        <v>897</v>
      </c>
      <c r="B234" s="4" t="s">
        <v>934</v>
      </c>
      <c r="C234" s="4" t="str">
        <f>VLOOKUP(TableFields[Field],Columns[],2,0)&amp;"("</f>
        <v>decimal(</v>
      </c>
      <c r="D234" s="4" t="str">
        <f>IF(VLOOKUP(TableFields[Field],Columns[],3,0)&lt;&gt;"","'"&amp;VLOOKUP(TableFields[Field],Columns[],3,0)&amp;"'","")</f>
        <v>'discount01'</v>
      </c>
      <c r="E2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4" s="4" t="str">
        <f>IF(VLOOKUP(TableFields[Field],Columns[],5,0)=0,"","-&gt;"&amp;VLOOKUP(TableFields[Field],Columns[],5,0))</f>
        <v>-&gt;default(0)</v>
      </c>
      <c r="G234" s="4" t="str">
        <f>IF(VLOOKUP(TableFields[Field],Columns[],6,0)=0,"","-&gt;"&amp;VLOOKUP(TableFields[Field],Columns[],6,0))</f>
        <v/>
      </c>
      <c r="H234" s="4" t="str">
        <f>IF(VLOOKUP(TableFields[Field],Columns[],7,0)=0,"","-&gt;"&amp;VLOOKUP(TableFields[Field],Columns[],7,0))</f>
        <v/>
      </c>
      <c r="I234" s="4" t="str">
        <f>IF(VLOOKUP(TableFields[Field],Columns[],8,0)=0,"","-&gt;"&amp;VLOOKUP(TableFields[Field],Columns[],8,0))</f>
        <v/>
      </c>
      <c r="J234" s="4" t="str">
        <f>IF(VLOOKUP(TableFields[Field],Columns[],9,0)=0,"","-&gt;"&amp;VLOOKUP(TableFields[Field],Columns[],9,0))</f>
        <v/>
      </c>
      <c r="K234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$table-&gt;decimal('discount01', 30,10)-&gt;default(0);</v>
      </c>
    </row>
    <row r="235" spans="1:11" x14ac:dyDescent="0.25">
      <c r="A235" s="4" t="s">
        <v>897</v>
      </c>
      <c r="B235" s="4" t="s">
        <v>933</v>
      </c>
      <c r="C235" s="4" t="str">
        <f>VLOOKUP(TableFields[Field],Columns[],2,0)&amp;"("</f>
        <v>decimal(</v>
      </c>
      <c r="D235" s="4" t="str">
        <f>IF(VLOOKUP(TableFields[Field],Columns[],3,0)&lt;&gt;"","'"&amp;VLOOKUP(TableFields[Field],Columns[],3,0)&amp;"'","")</f>
        <v>'discount02'</v>
      </c>
      <c r="E2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5" s="4" t="str">
        <f>IF(VLOOKUP(TableFields[Field],Columns[],5,0)=0,"","-&gt;"&amp;VLOOKUP(TableFields[Field],Columns[],5,0))</f>
        <v>-&gt;default(0)</v>
      </c>
      <c r="G235" s="4" t="str">
        <f>IF(VLOOKUP(TableFields[Field],Columns[],6,0)=0,"","-&gt;"&amp;VLOOKUP(TableFields[Field],Columns[],6,0))</f>
        <v/>
      </c>
      <c r="H235" s="4" t="str">
        <f>IF(VLOOKUP(TableFields[Field],Columns[],7,0)=0,"","-&gt;"&amp;VLOOKUP(TableFields[Field],Columns[],7,0))</f>
        <v/>
      </c>
      <c r="I235" s="4" t="str">
        <f>IF(VLOOKUP(TableFields[Field],Columns[],8,0)=0,"","-&gt;"&amp;VLOOKUP(TableFields[Field],Columns[],8,0))</f>
        <v/>
      </c>
      <c r="J235" s="4" t="str">
        <f>IF(VLOOKUP(TableFields[Field],Columns[],9,0)=0,"","-&gt;"&amp;VLOOKUP(TableFields[Field],Columns[],9,0))</f>
        <v/>
      </c>
      <c r="K235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$table-&gt;decimal('discount02', 30,10)-&gt;default(0);</v>
      </c>
    </row>
    <row r="236" spans="1:11" x14ac:dyDescent="0.25">
      <c r="A236" s="4" t="s">
        <v>897</v>
      </c>
      <c r="B236" s="4" t="s">
        <v>2113</v>
      </c>
      <c r="C236" s="4" t="str">
        <f>VLOOKUP(TableFields[Field],Columns[],2,0)&amp;"("</f>
        <v>char(</v>
      </c>
      <c r="D236" s="4" t="str">
        <f>IF(VLOOKUP(TableFields[Field],Columns[],3,0)&lt;&gt;"","'"&amp;VLOOKUP(TableFields[Field],Columns[],3,0)&amp;"'","")</f>
        <v>'shift_docno'</v>
      </c>
      <c r="E2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36" s="4" t="str">
        <f>IF(VLOOKUP(TableFields[Field],Columns[],5,0)=0,"","-&gt;"&amp;VLOOKUP(TableFields[Field],Columns[],5,0))</f>
        <v>-&gt;nullable()</v>
      </c>
      <c r="G236" s="4" t="str">
        <f>IF(VLOOKUP(TableFields[Field],Columns[],6,0)=0,"","-&gt;"&amp;VLOOKUP(TableFields[Field],Columns[],6,0))</f>
        <v>-&gt;index()</v>
      </c>
      <c r="H236" s="4" t="str">
        <f>IF(VLOOKUP(TableFields[Field],Columns[],7,0)=0,"","-&gt;"&amp;VLOOKUP(TableFields[Field],Columns[],7,0))</f>
        <v/>
      </c>
      <c r="I236" s="4" t="str">
        <f>IF(VLOOKUP(TableFields[Field],Columns[],8,0)=0,"","-&gt;"&amp;VLOOKUP(TableFields[Field],Columns[],8,0))</f>
        <v/>
      </c>
      <c r="J236" s="4" t="str">
        <f>IF(VLOOKUP(TableFields[Field],Columns[],9,0)=0,"","-&gt;"&amp;VLOOKUP(TableFields[Field],Columns[],9,0))</f>
        <v/>
      </c>
      <c r="K236" s="4" t="str">
        <f>"$table-&gt;"&amp;TableFields[Type]&amp;TableFields[Name]&amp;TableFields[Arg2]&amp;TableFields[Method1]&amp;TableFields[Method2]&amp;TableFields[Method3]&amp;TableFields[Method4]&amp;TableFields[Method5]&amp;";"</f>
        <v>$table-&gt;char('shift_docno', '20')-&gt;nullable()-&gt;index();</v>
      </c>
    </row>
    <row r="237" spans="1:11" x14ac:dyDescent="0.25">
      <c r="A237" s="4" t="s">
        <v>897</v>
      </c>
      <c r="B237" s="2" t="s">
        <v>1870</v>
      </c>
      <c r="C237" s="4" t="str">
        <f>VLOOKUP(TableFields[Field],Columns[],2,0)&amp;"("</f>
        <v>foreignNullable(</v>
      </c>
      <c r="D237" s="4" t="str">
        <f>IF(VLOOKUP(TableFields[Field],Columns[],3,0)&lt;&gt;"","'"&amp;VLOOKUP(TableFields[Field],Columns[],3,0)&amp;"'","")</f>
        <v>'soi'</v>
      </c>
      <c r="E2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'sales_order_items')</v>
      </c>
      <c r="F237" s="4" t="str">
        <f>IF(VLOOKUP(TableFields[Field],Columns[],5,0)=0,"","-&gt;"&amp;VLOOKUP(TableFields[Field],Columns[],5,0))</f>
        <v/>
      </c>
      <c r="G237" s="4" t="str">
        <f>IF(VLOOKUP(TableFields[Field],Columns[],6,0)=0,"","-&gt;"&amp;VLOOKUP(TableFields[Field],Columns[],6,0))</f>
        <v/>
      </c>
      <c r="H237" s="4" t="str">
        <f>IF(VLOOKUP(TableFields[Field],Columns[],7,0)=0,"","-&gt;"&amp;VLOOKUP(TableFields[Field],Columns[],7,0))</f>
        <v/>
      </c>
      <c r="I237" s="4" t="str">
        <f>IF(VLOOKUP(TableFields[Field],Columns[],8,0)=0,"","-&gt;"&amp;VLOOKUP(TableFields[Field],Columns[],8,0))</f>
        <v/>
      </c>
      <c r="J237" s="4" t="str">
        <f>IF(VLOOKUP(TableFields[Field],Columns[],9,0)=0,"","-&gt;"&amp;VLOOKUP(TableFields[Field],Columns[],9,0))</f>
        <v/>
      </c>
      <c r="K23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$table-&gt;foreignNullable('soi', 'sales_order_items');</v>
      </c>
    </row>
    <row r="238" spans="1:11" x14ac:dyDescent="0.25">
      <c r="A238" s="4" t="s">
        <v>897</v>
      </c>
      <c r="B238" s="4" t="s">
        <v>288</v>
      </c>
      <c r="C238" s="4" t="str">
        <f>VLOOKUP(TableFields[Field],Columns[],2,0)&amp;"("</f>
        <v>audit(</v>
      </c>
      <c r="D238" s="4" t="str">
        <f>IF(VLOOKUP(TableFields[Field],Columns[],3,0)&lt;&gt;"","'"&amp;VLOOKUP(TableFields[Field],Columns[],3,0)&amp;"'","")</f>
        <v/>
      </c>
      <c r="E2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8" s="4" t="str">
        <f>IF(VLOOKUP(TableFields[Field],Columns[],5,0)=0,"","-&gt;"&amp;VLOOKUP(TableFields[Field],Columns[],5,0))</f>
        <v/>
      </c>
      <c r="G238" s="4" t="str">
        <f>IF(VLOOKUP(TableFields[Field],Columns[],6,0)=0,"","-&gt;"&amp;VLOOKUP(TableFields[Field],Columns[],6,0))</f>
        <v/>
      </c>
      <c r="H238" s="4" t="str">
        <f>IF(VLOOKUP(TableFields[Field],Columns[],7,0)=0,"","-&gt;"&amp;VLOOKUP(TableFields[Field],Columns[],7,0))</f>
        <v/>
      </c>
      <c r="I238" s="4" t="str">
        <f>IF(VLOOKUP(TableFields[Field],Columns[],8,0)=0,"","-&gt;"&amp;VLOOKUP(TableFields[Field],Columns[],8,0))</f>
        <v/>
      </c>
      <c r="J238" s="4" t="str">
        <f>IF(VLOOKUP(TableFields[Field],Columns[],9,0)=0,"","-&gt;"&amp;VLOOKUP(TableFields[Field],Columns[],9,0))</f>
        <v/>
      </c>
      <c r="K23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39" spans="1:11" x14ac:dyDescent="0.25">
      <c r="A239" s="4" t="s">
        <v>1052</v>
      </c>
      <c r="B239" s="4" t="s">
        <v>21</v>
      </c>
      <c r="C239" s="4" t="str">
        <f>VLOOKUP(TableFields[Field],Columns[],2,0)&amp;"("</f>
        <v>bigIncrements(</v>
      </c>
      <c r="D239" s="4" t="str">
        <f>IF(VLOOKUP(TableFields[Field],Columns[],3,0)&lt;&gt;"","'"&amp;VLOOKUP(TableFields[Field],Columns[],3,0)&amp;"'","")</f>
        <v>'id'</v>
      </c>
      <c r="E2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9" s="4" t="str">
        <f>IF(VLOOKUP(TableFields[Field],Columns[],5,0)=0,"","-&gt;"&amp;VLOOKUP(TableFields[Field],Columns[],5,0))</f>
        <v/>
      </c>
      <c r="G239" s="4" t="str">
        <f>IF(VLOOKUP(TableFields[Field],Columns[],6,0)=0,"","-&gt;"&amp;VLOOKUP(TableFields[Field],Columns[],6,0))</f>
        <v/>
      </c>
      <c r="H239" s="4" t="str">
        <f>IF(VLOOKUP(TableFields[Field],Columns[],7,0)=0,"","-&gt;"&amp;VLOOKUP(TableFields[Field],Columns[],7,0))</f>
        <v/>
      </c>
      <c r="I239" s="4" t="str">
        <f>IF(VLOOKUP(TableFields[Field],Columns[],8,0)=0,"","-&gt;"&amp;VLOOKUP(TableFields[Field],Columns[],8,0))</f>
        <v/>
      </c>
      <c r="J239" s="4" t="str">
        <f>IF(VLOOKUP(TableFields[Field],Columns[],9,0)=0,"","-&gt;"&amp;VLOOKUP(TableFields[Field],Columns[],9,0))</f>
        <v/>
      </c>
      <c r="K23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40" spans="1:11" x14ac:dyDescent="0.25">
      <c r="A240" s="4" t="s">
        <v>1052</v>
      </c>
      <c r="B240" s="4" t="s">
        <v>970</v>
      </c>
      <c r="C240" s="4" t="str">
        <f>VLOOKUP(TableFields[Field],Columns[],2,0)&amp;"("</f>
        <v>char(</v>
      </c>
      <c r="D240" s="4" t="str">
        <f>IF(VLOOKUP(TableFields[Field],Columns[],3,0)&lt;&gt;"","'"&amp;VLOOKUP(TableFields[Field],Columns[],3,0)&amp;"'","")</f>
        <v>'COCODE'</v>
      </c>
      <c r="E2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0" s="4" t="str">
        <f>IF(VLOOKUP(TableFields[Field],Columns[],5,0)=0,"","-&gt;"&amp;VLOOKUP(TableFields[Field],Columns[],5,0))</f>
        <v>-&gt;nullable()</v>
      </c>
      <c r="G240" s="4" t="str">
        <f>IF(VLOOKUP(TableFields[Field],Columns[],6,0)=0,"","-&gt;"&amp;VLOOKUP(TableFields[Field],Columns[],6,0))</f>
        <v/>
      </c>
      <c r="H240" s="4" t="str">
        <f>IF(VLOOKUP(TableFields[Field],Columns[],7,0)=0,"","-&gt;"&amp;VLOOKUP(TableFields[Field],Columns[],7,0))</f>
        <v/>
      </c>
      <c r="I240" s="4" t="str">
        <f>IF(VLOOKUP(TableFields[Field],Columns[],8,0)=0,"","-&gt;"&amp;VLOOKUP(TableFields[Field],Columns[],8,0))</f>
        <v/>
      </c>
      <c r="J240" s="4" t="str">
        <f>IF(VLOOKUP(TableFields[Field],Columns[],9,0)=0,"","-&gt;"&amp;VLOOKUP(TableFields[Field],Columns[],9,0))</f>
        <v/>
      </c>
      <c r="K240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'5')-&gt;nullable();</v>
      </c>
    </row>
    <row r="241" spans="1:11" x14ac:dyDescent="0.25">
      <c r="A241" s="4" t="s">
        <v>1052</v>
      </c>
      <c r="B241" s="4" t="s">
        <v>972</v>
      </c>
      <c r="C241" s="4" t="str">
        <f>VLOOKUP(TableFields[Field],Columns[],2,0)&amp;"("</f>
        <v>char(</v>
      </c>
      <c r="D241" s="4" t="str">
        <f>IF(VLOOKUP(TableFields[Field],Columns[],3,0)&lt;&gt;"","'"&amp;VLOOKUP(TableFields[Field],Columns[],3,0)&amp;"'","")</f>
        <v>'BRCODE'</v>
      </c>
      <c r="E2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1" s="4" t="str">
        <f>IF(VLOOKUP(TableFields[Field],Columns[],5,0)=0,"","-&gt;"&amp;VLOOKUP(TableFields[Field],Columns[],5,0))</f>
        <v>-&gt;nullable()</v>
      </c>
      <c r="G241" s="4" t="str">
        <f>IF(VLOOKUP(TableFields[Field],Columns[],6,0)=0,"","-&gt;"&amp;VLOOKUP(TableFields[Field],Columns[],6,0))</f>
        <v/>
      </c>
      <c r="H241" s="4" t="str">
        <f>IF(VLOOKUP(TableFields[Field],Columns[],7,0)=0,"","-&gt;"&amp;VLOOKUP(TableFields[Field],Columns[],7,0))</f>
        <v/>
      </c>
      <c r="I241" s="4" t="str">
        <f>IF(VLOOKUP(TableFields[Field],Columns[],8,0)=0,"","-&gt;"&amp;VLOOKUP(TableFields[Field],Columns[],8,0))</f>
        <v/>
      </c>
      <c r="J241" s="4" t="str">
        <f>IF(VLOOKUP(TableFields[Field],Columns[],9,0)=0,"","-&gt;"&amp;VLOOKUP(TableFields[Field],Columns[],9,0))</f>
        <v/>
      </c>
      <c r="K241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'5')-&gt;nullable();</v>
      </c>
    </row>
    <row r="242" spans="1:11" x14ac:dyDescent="0.25">
      <c r="A242" s="4" t="s">
        <v>1052</v>
      </c>
      <c r="B242" s="4" t="s">
        <v>974</v>
      </c>
      <c r="C242" s="4" t="str">
        <f>VLOOKUP(TableFields[Field],Columns[],2,0)&amp;"("</f>
        <v>char(</v>
      </c>
      <c r="D242" s="4" t="str">
        <f>IF(VLOOKUP(TableFields[Field],Columns[],3,0)&lt;&gt;"","'"&amp;VLOOKUP(TableFields[Field],Columns[],3,0)&amp;"'","")</f>
        <v>'FYCODE'</v>
      </c>
      <c r="E2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2" s="4" t="str">
        <f>IF(VLOOKUP(TableFields[Field],Columns[],5,0)=0,"","-&gt;"&amp;VLOOKUP(TableFields[Field],Columns[],5,0))</f>
        <v>-&gt;nullable()</v>
      </c>
      <c r="G242" s="4" t="str">
        <f>IF(VLOOKUP(TableFields[Field],Columns[],6,0)=0,"","-&gt;"&amp;VLOOKUP(TableFields[Field],Columns[],6,0))</f>
        <v/>
      </c>
      <c r="H242" s="4" t="str">
        <f>IF(VLOOKUP(TableFields[Field],Columns[],7,0)=0,"","-&gt;"&amp;VLOOKUP(TableFields[Field],Columns[],7,0))</f>
        <v/>
      </c>
      <c r="I242" s="4" t="str">
        <f>IF(VLOOKUP(TableFields[Field],Columns[],8,0)=0,"","-&gt;"&amp;VLOOKUP(TableFields[Field],Columns[],8,0))</f>
        <v/>
      </c>
      <c r="J242" s="4" t="str">
        <f>IF(VLOOKUP(TableFields[Field],Columns[],9,0)=0,"","-&gt;"&amp;VLOOKUP(TableFields[Field],Columns[],9,0))</f>
        <v/>
      </c>
      <c r="K242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'5')-&gt;nullable();</v>
      </c>
    </row>
    <row r="243" spans="1:11" x14ac:dyDescent="0.25">
      <c r="A243" s="4" t="s">
        <v>1052</v>
      </c>
      <c r="B243" s="4" t="s">
        <v>976</v>
      </c>
      <c r="C243" s="4" t="str">
        <f>VLOOKUP(TableFields[Field],Columns[],2,0)&amp;"("</f>
        <v>char(</v>
      </c>
      <c r="D243" s="4" t="str">
        <f>IF(VLOOKUP(TableFields[Field],Columns[],3,0)&lt;&gt;"","'"&amp;VLOOKUP(TableFields[Field],Columns[],3,0)&amp;"'","")</f>
        <v>'FNCODE'</v>
      </c>
      <c r="E2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3" s="4" t="str">
        <f>IF(VLOOKUP(TableFields[Field],Columns[],5,0)=0,"","-&gt;"&amp;VLOOKUP(TableFields[Field],Columns[],5,0))</f>
        <v>-&gt;nullable()</v>
      </c>
      <c r="G243" s="4" t="str">
        <f>IF(VLOOKUP(TableFields[Field],Columns[],6,0)=0,"","-&gt;"&amp;VLOOKUP(TableFields[Field],Columns[],6,0))</f>
        <v/>
      </c>
      <c r="H243" s="4" t="str">
        <f>IF(VLOOKUP(TableFields[Field],Columns[],7,0)=0,"","-&gt;"&amp;VLOOKUP(TableFields[Field],Columns[],7,0))</f>
        <v/>
      </c>
      <c r="I243" s="4" t="str">
        <f>IF(VLOOKUP(TableFields[Field],Columns[],8,0)=0,"","-&gt;"&amp;VLOOKUP(TableFields[Field],Columns[],8,0))</f>
        <v/>
      </c>
      <c r="J243" s="4" t="str">
        <f>IF(VLOOKUP(TableFields[Field],Columns[],9,0)=0,"","-&gt;"&amp;VLOOKUP(TableFields[Field],Columns[],9,0))</f>
        <v/>
      </c>
      <c r="K243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'5')-&gt;nullable();</v>
      </c>
    </row>
    <row r="244" spans="1:11" x14ac:dyDescent="0.25">
      <c r="A244" s="4" t="s">
        <v>1052</v>
      </c>
      <c r="B244" s="4" t="s">
        <v>978</v>
      </c>
      <c r="C244" s="4" t="str">
        <f>VLOOKUP(TableFields[Field],Columns[],2,0)&amp;"("</f>
        <v>char(</v>
      </c>
      <c r="D244" s="4" t="str">
        <f>IF(VLOOKUP(TableFields[Field],Columns[],3,0)&lt;&gt;"","'"&amp;VLOOKUP(TableFields[Field],Columns[],3,0)&amp;"'","")</f>
        <v>'DOCNO'</v>
      </c>
      <c r="E2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44" s="4" t="str">
        <f>IF(VLOOKUP(TableFields[Field],Columns[],5,0)=0,"","-&gt;"&amp;VLOOKUP(TableFields[Field],Columns[],5,0))</f>
        <v>-&gt;nullable()</v>
      </c>
      <c r="G244" s="4" t="str">
        <f>IF(VLOOKUP(TableFields[Field],Columns[],6,0)=0,"","-&gt;"&amp;VLOOKUP(TableFields[Field],Columns[],6,0))</f>
        <v/>
      </c>
      <c r="H244" s="4" t="str">
        <f>IF(VLOOKUP(TableFields[Field],Columns[],7,0)=0,"","-&gt;"&amp;VLOOKUP(TableFields[Field],Columns[],7,0))</f>
        <v/>
      </c>
      <c r="I244" s="4" t="str">
        <f>IF(VLOOKUP(TableFields[Field],Columns[],8,0)=0,"","-&gt;"&amp;VLOOKUP(TableFields[Field],Columns[],8,0))</f>
        <v/>
      </c>
      <c r="J244" s="4" t="str">
        <f>IF(VLOOKUP(TableFields[Field],Columns[],9,0)=0,"","-&gt;"&amp;VLOOKUP(TableFields[Field],Columns[],9,0))</f>
        <v/>
      </c>
      <c r="K244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'20')-&gt;nullable();</v>
      </c>
    </row>
    <row r="245" spans="1:11" x14ac:dyDescent="0.25">
      <c r="A245" s="4" t="s">
        <v>1052</v>
      </c>
      <c r="B245" s="4" t="s">
        <v>980</v>
      </c>
      <c r="C245" s="4" t="str">
        <f>VLOOKUP(TableFields[Field],Columns[],2,0)&amp;"("</f>
        <v>decimal(</v>
      </c>
      <c r="D245" s="4" t="str">
        <f>IF(VLOOKUP(TableFields[Field],Columns[],3,0)&lt;&gt;"","'"&amp;VLOOKUP(TableFields[Field],Columns[],3,0)&amp;"'","")</f>
        <v>'SRNO'</v>
      </c>
      <c r="E2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45" s="4" t="str">
        <f>IF(VLOOKUP(TableFields[Field],Columns[],5,0)=0,"","-&gt;"&amp;VLOOKUP(TableFields[Field],Columns[],5,0))</f>
        <v>-&gt;nullable()</v>
      </c>
      <c r="G245" s="4" t="str">
        <f>IF(VLOOKUP(TableFields[Field],Columns[],6,0)=0,"","-&gt;"&amp;VLOOKUP(TableFields[Field],Columns[],6,0))</f>
        <v/>
      </c>
      <c r="H245" s="4" t="str">
        <f>IF(VLOOKUP(TableFields[Field],Columns[],7,0)=0,"","-&gt;"&amp;VLOOKUP(TableFields[Field],Columns[],7,0))</f>
        <v/>
      </c>
      <c r="I245" s="4" t="str">
        <f>IF(VLOOKUP(TableFields[Field],Columns[],8,0)=0,"","-&gt;"&amp;VLOOKUP(TableFields[Field],Columns[],8,0))</f>
        <v/>
      </c>
      <c r="J245" s="4" t="str">
        <f>IF(VLOOKUP(TableFields[Field],Columns[],9,0)=0,"","-&gt;"&amp;VLOOKUP(TableFields[Field],Columns[],9,0))</f>
        <v/>
      </c>
      <c r="K245" s="4" t="str">
        <f>"$table-&gt;"&amp;TableFields[Type]&amp;TableFields[Name]&amp;TableFields[Arg2]&amp;TableFields[Method1]&amp;TableFields[Method2]&amp;TableFields[Method3]&amp;TableFields[Method4]&amp;TableFields[Method5]&amp;";"</f>
        <v>$table-&gt;decimal('SRNO', 10,0)-&gt;nullable();</v>
      </c>
    </row>
    <row r="246" spans="1:11" x14ac:dyDescent="0.25">
      <c r="A246" s="4" t="s">
        <v>1052</v>
      </c>
      <c r="B246" s="4" t="s">
        <v>1055</v>
      </c>
      <c r="C246" s="4" t="str">
        <f>VLOOKUP(TableFields[Field],Columns[],2,0)&amp;"("</f>
        <v>decimal(</v>
      </c>
      <c r="D246" s="4" t="str">
        <f>IF(VLOOKUP(TableFields[Field],Columns[],3,0)&lt;&gt;"","'"&amp;VLOOKUP(TableFields[Field],Columns[],3,0)&amp;"'","")</f>
        <v>'SLNO'</v>
      </c>
      <c r="E2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46" s="4" t="str">
        <f>IF(VLOOKUP(TableFields[Field],Columns[],5,0)=0,"","-&gt;"&amp;VLOOKUP(TableFields[Field],Columns[],5,0))</f>
        <v>-&gt;nullable()</v>
      </c>
      <c r="G246" s="4" t="str">
        <f>IF(VLOOKUP(TableFields[Field],Columns[],6,0)=0,"","-&gt;"&amp;VLOOKUP(TableFields[Field],Columns[],6,0))</f>
        <v/>
      </c>
      <c r="H246" s="4" t="str">
        <f>IF(VLOOKUP(TableFields[Field],Columns[],7,0)=0,"","-&gt;"&amp;VLOOKUP(TableFields[Field],Columns[],7,0))</f>
        <v/>
      </c>
      <c r="I246" s="4" t="str">
        <f>IF(VLOOKUP(TableFields[Field],Columns[],8,0)=0,"","-&gt;"&amp;VLOOKUP(TableFields[Field],Columns[],8,0))</f>
        <v/>
      </c>
      <c r="J246" s="4" t="str">
        <f>IF(VLOOKUP(TableFields[Field],Columns[],9,0)=0,"","-&gt;"&amp;VLOOKUP(TableFields[Field],Columns[],9,0))</f>
        <v/>
      </c>
      <c r="K246" s="4" t="str">
        <f>"$table-&gt;"&amp;TableFields[Type]&amp;TableFields[Name]&amp;TableFields[Arg2]&amp;TableFields[Method1]&amp;TableFields[Method2]&amp;TableFields[Method3]&amp;TableFields[Method4]&amp;TableFields[Method5]&amp;";"</f>
        <v>$table-&gt;decimal('SLNO', 10,0 )-&gt;nullable();</v>
      </c>
    </row>
    <row r="247" spans="1:11" x14ac:dyDescent="0.25">
      <c r="A247" s="4" t="s">
        <v>1052</v>
      </c>
      <c r="B247" s="4" t="s">
        <v>984</v>
      </c>
      <c r="C247" s="4" t="str">
        <f>VLOOKUP(TableFields[Field],Columns[],2,0)&amp;"("</f>
        <v>datetime(</v>
      </c>
      <c r="D247" s="4" t="str">
        <f>IF(VLOOKUP(TableFields[Field],Columns[],3,0)&lt;&gt;"","'"&amp;VLOOKUP(TableFields[Field],Columns[],3,0)&amp;"'","")</f>
        <v>'DOCDATE'</v>
      </c>
      <c r="E2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7" s="4" t="str">
        <f>IF(VLOOKUP(TableFields[Field],Columns[],5,0)=0,"","-&gt;"&amp;VLOOKUP(TableFields[Field],Columns[],5,0))</f>
        <v>-&gt;nullable()</v>
      </c>
      <c r="G247" s="4" t="str">
        <f>IF(VLOOKUP(TableFields[Field],Columns[],6,0)=0,"","-&gt;"&amp;VLOOKUP(TableFields[Field],Columns[],6,0))</f>
        <v/>
      </c>
      <c r="H247" s="4" t="str">
        <f>IF(VLOOKUP(TableFields[Field],Columns[],7,0)=0,"","-&gt;"&amp;VLOOKUP(TableFields[Field],Columns[],7,0))</f>
        <v/>
      </c>
      <c r="I247" s="4" t="str">
        <f>IF(VLOOKUP(TableFields[Field],Columns[],8,0)=0,"","-&gt;"&amp;VLOOKUP(TableFields[Field],Columns[],8,0))</f>
        <v/>
      </c>
      <c r="J247" s="4" t="str">
        <f>IF(VLOOKUP(TableFields[Field],Columns[],9,0)=0,"","-&gt;"&amp;VLOOKUP(TableFields[Field],Columns[],9,0))</f>
        <v/>
      </c>
      <c r="K247" s="4" t="str">
        <f>"$table-&gt;"&amp;TableFields[Type]&amp;TableFields[Name]&amp;TableFields[Arg2]&amp;TableFields[Method1]&amp;TableFields[Method2]&amp;TableFields[Method3]&amp;TableFields[Method4]&amp;TableFields[Method5]&amp;";"</f>
        <v>$table-&gt;datetime('DOCDATE')-&gt;nullable();</v>
      </c>
    </row>
    <row r="248" spans="1:11" x14ac:dyDescent="0.25">
      <c r="A248" s="4" t="s">
        <v>1052</v>
      </c>
      <c r="B248" s="4" t="s">
        <v>986</v>
      </c>
      <c r="C248" s="4" t="str">
        <f>VLOOKUP(TableFields[Field],Columns[],2,0)&amp;"("</f>
        <v>char(</v>
      </c>
      <c r="D248" s="4" t="str">
        <f>IF(VLOOKUP(TableFields[Field],Columns[],3,0)&lt;&gt;"","'"&amp;VLOOKUP(TableFields[Field],Columns[],3,0)&amp;"'","")</f>
        <v>'CO'</v>
      </c>
      <c r="E2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8" s="4" t="str">
        <f>IF(VLOOKUP(TableFields[Field],Columns[],5,0)=0,"","-&gt;"&amp;VLOOKUP(TableFields[Field],Columns[],5,0))</f>
        <v>-&gt;nullable()</v>
      </c>
      <c r="G248" s="4" t="str">
        <f>IF(VLOOKUP(TableFields[Field],Columns[],6,0)=0,"","-&gt;"&amp;VLOOKUP(TableFields[Field],Columns[],6,0))</f>
        <v/>
      </c>
      <c r="H248" s="4" t="str">
        <f>IF(VLOOKUP(TableFields[Field],Columns[],7,0)=0,"","-&gt;"&amp;VLOOKUP(TableFields[Field],Columns[],7,0))</f>
        <v/>
      </c>
      <c r="I248" s="4" t="str">
        <f>IF(VLOOKUP(TableFields[Field],Columns[],8,0)=0,"","-&gt;"&amp;VLOOKUP(TableFields[Field],Columns[],8,0))</f>
        <v/>
      </c>
      <c r="J248" s="4" t="str">
        <f>IF(VLOOKUP(TableFields[Field],Columns[],9,0)=0,"","-&gt;"&amp;VLOOKUP(TableFields[Field],Columns[],9,0))</f>
        <v/>
      </c>
      <c r="K248" s="4" t="str">
        <f>"$table-&gt;"&amp;TableFields[Type]&amp;TableFields[Name]&amp;TableFields[Arg2]&amp;TableFields[Method1]&amp;TableFields[Method2]&amp;TableFields[Method3]&amp;TableFields[Method4]&amp;TableFields[Method5]&amp;";"</f>
        <v>$table-&gt;char('CO', '5')-&gt;nullable();</v>
      </c>
    </row>
    <row r="249" spans="1:11" x14ac:dyDescent="0.25">
      <c r="A249" s="4" t="s">
        <v>1052</v>
      </c>
      <c r="B249" s="4" t="s">
        <v>988</v>
      </c>
      <c r="C249" s="4" t="str">
        <f>VLOOKUP(TableFields[Field],Columns[],2,0)&amp;"("</f>
        <v>char(</v>
      </c>
      <c r="D249" s="4" t="str">
        <f>IF(VLOOKUP(TableFields[Field],Columns[],3,0)&lt;&gt;"","'"&amp;VLOOKUP(TableFields[Field],Columns[],3,0)&amp;"'","")</f>
        <v>'BR'</v>
      </c>
      <c r="E2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9" s="4" t="str">
        <f>IF(VLOOKUP(TableFields[Field],Columns[],5,0)=0,"","-&gt;"&amp;VLOOKUP(TableFields[Field],Columns[],5,0))</f>
        <v>-&gt;nullable()</v>
      </c>
      <c r="G249" s="4" t="str">
        <f>IF(VLOOKUP(TableFields[Field],Columns[],6,0)=0,"","-&gt;"&amp;VLOOKUP(TableFields[Field],Columns[],6,0))</f>
        <v/>
      </c>
      <c r="H249" s="4" t="str">
        <f>IF(VLOOKUP(TableFields[Field],Columns[],7,0)=0,"","-&gt;"&amp;VLOOKUP(TableFields[Field],Columns[],7,0))</f>
        <v/>
      </c>
      <c r="I249" s="4" t="str">
        <f>IF(VLOOKUP(TableFields[Field],Columns[],8,0)=0,"","-&gt;"&amp;VLOOKUP(TableFields[Field],Columns[],8,0))</f>
        <v/>
      </c>
      <c r="J249" s="4" t="str">
        <f>IF(VLOOKUP(TableFields[Field],Columns[],9,0)=0,"","-&gt;"&amp;VLOOKUP(TableFields[Field],Columns[],9,0))</f>
        <v/>
      </c>
      <c r="K249" s="4" t="str">
        <f>"$table-&gt;"&amp;TableFields[Type]&amp;TableFields[Name]&amp;TableFields[Arg2]&amp;TableFields[Method1]&amp;TableFields[Method2]&amp;TableFields[Method3]&amp;TableFields[Method4]&amp;TableFields[Method5]&amp;";"</f>
        <v>$table-&gt;char('BR', '5')-&gt;nullable();</v>
      </c>
    </row>
    <row r="250" spans="1:11" x14ac:dyDescent="0.25">
      <c r="A250" s="4" t="s">
        <v>1052</v>
      </c>
      <c r="B250" s="4" t="s">
        <v>990</v>
      </c>
      <c r="C250" s="4" t="str">
        <f>VLOOKUP(TableFields[Field],Columns[],2,0)&amp;"("</f>
        <v>char(</v>
      </c>
      <c r="D250" s="4" t="str">
        <f>IF(VLOOKUP(TableFields[Field],Columns[],3,0)&lt;&gt;"","'"&amp;VLOOKUP(TableFields[Field],Columns[],3,0)&amp;"'","")</f>
        <v>'ACCCODE'</v>
      </c>
      <c r="E2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50" s="4" t="str">
        <f>IF(VLOOKUP(TableFields[Field],Columns[],5,0)=0,"","-&gt;"&amp;VLOOKUP(TableFields[Field],Columns[],5,0))</f>
        <v>-&gt;nullable()</v>
      </c>
      <c r="G250" s="4" t="str">
        <f>IF(VLOOKUP(TableFields[Field],Columns[],6,0)=0,"","-&gt;"&amp;VLOOKUP(TableFields[Field],Columns[],6,0))</f>
        <v/>
      </c>
      <c r="H250" s="4" t="str">
        <f>IF(VLOOKUP(TableFields[Field],Columns[],7,0)=0,"","-&gt;"&amp;VLOOKUP(TableFields[Field],Columns[],7,0))</f>
        <v/>
      </c>
      <c r="I250" s="4" t="str">
        <f>IF(VLOOKUP(TableFields[Field],Columns[],8,0)=0,"","-&gt;"&amp;VLOOKUP(TableFields[Field],Columns[],8,0))</f>
        <v/>
      </c>
      <c r="J250" s="4" t="str">
        <f>IF(VLOOKUP(TableFields[Field],Columns[],9,0)=0,"","-&gt;"&amp;VLOOKUP(TableFields[Field],Columns[],9,0))</f>
        <v/>
      </c>
      <c r="K250" s="4" t="str">
        <f>"$table-&gt;"&amp;TableFields[Type]&amp;TableFields[Name]&amp;TableFields[Arg2]&amp;TableFields[Method1]&amp;TableFields[Method2]&amp;TableFields[Method3]&amp;TableFields[Method4]&amp;TableFields[Method5]&amp;";"</f>
        <v>$table-&gt;char('ACCCODE', '15')-&gt;nullable();</v>
      </c>
    </row>
    <row r="251" spans="1:11" x14ac:dyDescent="0.25">
      <c r="A251" s="4" t="s">
        <v>1052</v>
      </c>
      <c r="B251" s="4" t="s">
        <v>1057</v>
      </c>
      <c r="C251" s="4" t="str">
        <f>VLOOKUP(TableFields[Field],Columns[],2,0)&amp;"("</f>
        <v>string(</v>
      </c>
      <c r="D251" s="4" t="str">
        <f>IF(VLOOKUP(TableFields[Field],Columns[],3,0)&lt;&gt;"","'"&amp;VLOOKUP(TableFields[Field],Columns[],3,0)&amp;"'","")</f>
        <v>'REFNO'</v>
      </c>
      <c r="E2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51" s="4" t="str">
        <f>IF(VLOOKUP(TableFields[Field],Columns[],5,0)=0,"","-&gt;"&amp;VLOOKUP(TableFields[Field],Columns[],5,0))</f>
        <v>-&gt;nullable()</v>
      </c>
      <c r="G251" s="4" t="str">
        <f>IF(VLOOKUP(TableFields[Field],Columns[],6,0)=0,"","-&gt;"&amp;VLOOKUP(TableFields[Field],Columns[],6,0))</f>
        <v/>
      </c>
      <c r="H251" s="4" t="str">
        <f>IF(VLOOKUP(TableFields[Field],Columns[],7,0)=0,"","-&gt;"&amp;VLOOKUP(TableFields[Field],Columns[],7,0))</f>
        <v/>
      </c>
      <c r="I251" s="4" t="str">
        <f>IF(VLOOKUP(TableFields[Field],Columns[],8,0)=0,"","-&gt;"&amp;VLOOKUP(TableFields[Field],Columns[],8,0))</f>
        <v/>
      </c>
      <c r="J251" s="4" t="str">
        <f>IF(VLOOKUP(TableFields[Field],Columns[],9,0)=0,"","-&gt;"&amp;VLOOKUP(TableFields[Field],Columns[],9,0))</f>
        <v/>
      </c>
      <c r="K251" s="4" t="str">
        <f>"$table-&gt;"&amp;TableFields[Type]&amp;TableFields[Name]&amp;TableFields[Arg2]&amp;TableFields[Method1]&amp;TableFields[Method2]&amp;TableFields[Method3]&amp;TableFields[Method4]&amp;TableFields[Method5]&amp;";"</f>
        <v>$table-&gt;string('REFNO', '60')-&gt;nullable();</v>
      </c>
    </row>
    <row r="252" spans="1:11" x14ac:dyDescent="0.25">
      <c r="A252" s="4" t="s">
        <v>1052</v>
      </c>
      <c r="B252" s="4" t="s">
        <v>1059</v>
      </c>
      <c r="C252" s="4" t="str">
        <f>VLOOKUP(TableFields[Field],Columns[],2,0)&amp;"("</f>
        <v>datetime(</v>
      </c>
      <c r="D252" s="4" t="str">
        <f>IF(VLOOKUP(TableFields[Field],Columns[],3,0)&lt;&gt;"","'"&amp;VLOOKUP(TableFields[Field],Columns[],3,0)&amp;"'","")</f>
        <v>'REFDATE'</v>
      </c>
      <c r="E2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52" s="4" t="str">
        <f>IF(VLOOKUP(TableFields[Field],Columns[],5,0)=0,"","-&gt;"&amp;VLOOKUP(TableFields[Field],Columns[],5,0))</f>
        <v>-&gt;nullable()</v>
      </c>
      <c r="G252" s="4" t="str">
        <f>IF(VLOOKUP(TableFields[Field],Columns[],6,0)=0,"","-&gt;"&amp;VLOOKUP(TableFields[Field],Columns[],6,0))</f>
        <v/>
      </c>
      <c r="H252" s="4" t="str">
        <f>IF(VLOOKUP(TableFields[Field],Columns[],7,0)=0,"","-&gt;"&amp;VLOOKUP(TableFields[Field],Columns[],7,0))</f>
        <v/>
      </c>
      <c r="I252" s="4" t="str">
        <f>IF(VLOOKUP(TableFields[Field],Columns[],8,0)=0,"","-&gt;"&amp;VLOOKUP(TableFields[Field],Columns[],8,0))</f>
        <v/>
      </c>
      <c r="J252" s="4" t="str">
        <f>IF(VLOOKUP(TableFields[Field],Columns[],9,0)=0,"","-&gt;"&amp;VLOOKUP(TableFields[Field],Columns[],9,0))</f>
        <v/>
      </c>
      <c r="K252" s="4" t="str">
        <f>"$table-&gt;"&amp;TableFields[Type]&amp;TableFields[Name]&amp;TableFields[Arg2]&amp;TableFields[Method1]&amp;TableFields[Method2]&amp;TableFields[Method3]&amp;TableFields[Method4]&amp;TableFields[Method5]&amp;";"</f>
        <v>$table-&gt;datetime('REFDATE')-&gt;nullable();</v>
      </c>
    </row>
    <row r="253" spans="1:11" x14ac:dyDescent="0.25">
      <c r="A253" s="4" t="s">
        <v>1052</v>
      </c>
      <c r="B253" s="4" t="s">
        <v>997</v>
      </c>
      <c r="C253" s="4" t="str">
        <f>VLOOKUP(TableFields[Field],Columns[],2,0)&amp;"("</f>
        <v>decimal(</v>
      </c>
      <c r="D253" s="4" t="str">
        <f>IF(VLOOKUP(TableFields[Field],Columns[],3,0)&lt;&gt;"","'"&amp;VLOOKUP(TableFields[Field],Columns[],3,0)&amp;"'","")</f>
        <v>'AMT'</v>
      </c>
      <c r="E2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53" s="4" t="str">
        <f>IF(VLOOKUP(TableFields[Field],Columns[],5,0)=0,"","-&gt;"&amp;VLOOKUP(TableFields[Field],Columns[],5,0))</f>
        <v>-&gt;default(0)</v>
      </c>
      <c r="G253" s="4" t="str">
        <f>IF(VLOOKUP(TableFields[Field],Columns[],6,0)=0,"","-&gt;"&amp;VLOOKUP(TableFields[Field],Columns[],6,0))</f>
        <v/>
      </c>
      <c r="H253" s="4" t="str">
        <f>IF(VLOOKUP(TableFields[Field],Columns[],7,0)=0,"","-&gt;"&amp;VLOOKUP(TableFields[Field],Columns[],7,0))</f>
        <v/>
      </c>
      <c r="I253" s="4" t="str">
        <f>IF(VLOOKUP(TableFields[Field],Columns[],8,0)=0,"","-&gt;"&amp;VLOOKUP(TableFields[Field],Columns[],8,0))</f>
        <v/>
      </c>
      <c r="J253" s="4" t="str">
        <f>IF(VLOOKUP(TableFields[Field],Columns[],9,0)=0,"","-&gt;"&amp;VLOOKUP(TableFields[Field],Columns[],9,0))</f>
        <v/>
      </c>
      <c r="K253" s="4" t="str">
        <f>"$table-&gt;"&amp;TableFields[Type]&amp;TableFields[Name]&amp;TableFields[Arg2]&amp;TableFields[Method1]&amp;TableFields[Method2]&amp;TableFields[Method3]&amp;TableFields[Method4]&amp;TableFields[Method5]&amp;";"</f>
        <v>$table-&gt;decimal('AMT', 30,10)-&gt;default(0);</v>
      </c>
    </row>
    <row r="254" spans="1:11" x14ac:dyDescent="0.25">
      <c r="A254" s="4" t="s">
        <v>1052</v>
      </c>
      <c r="B254" s="4" t="s">
        <v>999</v>
      </c>
      <c r="C254" s="4" t="str">
        <f>VLOOKUP(TableFields[Field],Columns[],2,0)&amp;"("</f>
        <v>decimal(</v>
      </c>
      <c r="D254" s="4" t="str">
        <f>IF(VLOOKUP(TableFields[Field],Columns[],3,0)&lt;&gt;"","'"&amp;VLOOKUP(TableFields[Field],Columns[],3,0)&amp;"'","")</f>
        <v>'SIGN'</v>
      </c>
      <c r="E2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254" s="4" t="str">
        <f>IF(VLOOKUP(TableFields[Field],Columns[],5,0)=0,"","-&gt;"&amp;VLOOKUP(TableFields[Field],Columns[],5,0))</f>
        <v>-&gt;default(1)</v>
      </c>
      <c r="G254" s="4" t="str">
        <f>IF(VLOOKUP(TableFields[Field],Columns[],6,0)=0,"","-&gt;"&amp;VLOOKUP(TableFields[Field],Columns[],6,0))</f>
        <v/>
      </c>
      <c r="H254" s="4" t="str">
        <f>IF(VLOOKUP(TableFields[Field],Columns[],7,0)=0,"","-&gt;"&amp;VLOOKUP(TableFields[Field],Columns[],7,0))</f>
        <v/>
      </c>
      <c r="I254" s="4" t="str">
        <f>IF(VLOOKUP(TableFields[Field],Columns[],8,0)=0,"","-&gt;"&amp;VLOOKUP(TableFields[Field],Columns[],8,0))</f>
        <v/>
      </c>
      <c r="J254" s="4" t="str">
        <f>IF(VLOOKUP(TableFields[Field],Columns[],9,0)=0,"","-&gt;"&amp;VLOOKUP(TableFields[Field],Columns[],9,0))</f>
        <v/>
      </c>
      <c r="K254" s="4" t="str">
        <f>"$table-&gt;"&amp;TableFields[Type]&amp;TableFields[Name]&amp;TableFields[Arg2]&amp;TableFields[Method1]&amp;TableFields[Method2]&amp;TableFields[Method3]&amp;TableFields[Method4]&amp;TableFields[Method5]&amp;";"</f>
        <v>$table-&gt;decimal('SIGN', 2,0)-&gt;default(1);</v>
      </c>
    </row>
    <row r="255" spans="1:11" x14ac:dyDescent="0.25">
      <c r="A255" s="4" t="s">
        <v>1052</v>
      </c>
      <c r="B255" s="4" t="s">
        <v>1061</v>
      </c>
      <c r="C255" s="4" t="str">
        <f>VLOOKUP(TableFields[Field],Columns[],2,0)&amp;"("</f>
        <v>string(</v>
      </c>
      <c r="D255" s="4" t="str">
        <f>IF(VLOOKUP(TableFields[Field],Columns[],3,0)&lt;&gt;"","'"&amp;VLOOKUP(TableFields[Field],Columns[],3,0)&amp;"'","")</f>
        <v>'NARRATION'</v>
      </c>
      <c r="E2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55" s="4" t="str">
        <f>IF(VLOOKUP(TableFields[Field],Columns[],5,0)=0,"","-&gt;"&amp;VLOOKUP(TableFields[Field],Columns[],5,0))</f>
        <v>-&gt;nullable()</v>
      </c>
      <c r="G255" s="4" t="str">
        <f>IF(VLOOKUP(TableFields[Field],Columns[],6,0)=0,"","-&gt;"&amp;VLOOKUP(TableFields[Field],Columns[],6,0))</f>
        <v/>
      </c>
      <c r="H255" s="4" t="str">
        <f>IF(VLOOKUP(TableFields[Field],Columns[],7,0)=0,"","-&gt;"&amp;VLOOKUP(TableFields[Field],Columns[],7,0))</f>
        <v/>
      </c>
      <c r="I255" s="4" t="str">
        <f>IF(VLOOKUP(TableFields[Field],Columns[],8,0)=0,"","-&gt;"&amp;VLOOKUP(TableFields[Field],Columns[],8,0))</f>
        <v/>
      </c>
      <c r="J255" s="4" t="str">
        <f>IF(VLOOKUP(TableFields[Field],Columns[],9,0)=0,"","-&gt;"&amp;VLOOKUP(TableFields[Field],Columns[],9,0))</f>
        <v/>
      </c>
      <c r="K255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'255')-&gt;nullable();</v>
      </c>
    </row>
    <row r="256" spans="1:11" x14ac:dyDescent="0.25">
      <c r="A256" s="4" t="s">
        <v>1052</v>
      </c>
      <c r="B256" s="4" t="s">
        <v>1063</v>
      </c>
      <c r="C256" s="4" t="str">
        <f>VLOOKUP(TableFields[Field],Columns[],2,0)&amp;"("</f>
        <v>string(</v>
      </c>
      <c r="D256" s="4" t="str">
        <f>IF(VLOOKUP(TableFields[Field],Columns[],3,0)&lt;&gt;"","'"&amp;VLOOKUP(TableFields[Field],Columns[],3,0)&amp;"'","")</f>
        <v>'NARRATION2'</v>
      </c>
      <c r="E2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56" s="4" t="str">
        <f>IF(VLOOKUP(TableFields[Field],Columns[],5,0)=0,"","-&gt;"&amp;VLOOKUP(TableFields[Field],Columns[],5,0))</f>
        <v>-&gt;nullable()</v>
      </c>
      <c r="G256" s="4" t="str">
        <f>IF(VLOOKUP(TableFields[Field],Columns[],6,0)=0,"","-&gt;"&amp;VLOOKUP(TableFields[Field],Columns[],6,0))</f>
        <v/>
      </c>
      <c r="H256" s="4" t="str">
        <f>IF(VLOOKUP(TableFields[Field],Columns[],7,0)=0,"","-&gt;"&amp;VLOOKUP(TableFields[Field],Columns[],7,0))</f>
        <v/>
      </c>
      <c r="I256" s="4" t="str">
        <f>IF(VLOOKUP(TableFields[Field],Columns[],8,0)=0,"","-&gt;"&amp;VLOOKUP(TableFields[Field],Columns[],8,0))</f>
        <v/>
      </c>
      <c r="J256" s="4" t="str">
        <f>IF(VLOOKUP(TableFields[Field],Columns[],9,0)=0,"","-&gt;"&amp;VLOOKUP(TableFields[Field],Columns[],9,0))</f>
        <v/>
      </c>
      <c r="K256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'255')-&gt;nullable();</v>
      </c>
    </row>
    <row r="257" spans="1:11" x14ac:dyDescent="0.25">
      <c r="A257" s="4" t="s">
        <v>1052</v>
      </c>
      <c r="B257" s="4" t="s">
        <v>1039</v>
      </c>
      <c r="C257" s="4" t="str">
        <f>VLOOKUP(TableFields[Field],Columns[],2,0)&amp;"("</f>
        <v>char(</v>
      </c>
      <c r="D257" s="4" t="str">
        <f>IF(VLOOKUP(TableFields[Field],Columns[],3,0)&lt;&gt;"","'"&amp;VLOOKUP(TableFields[Field],Columns[],3,0)&amp;"'","")</f>
        <v>'REFCOCODE'</v>
      </c>
      <c r="E2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7" s="4" t="str">
        <f>IF(VLOOKUP(TableFields[Field],Columns[],5,0)=0,"","-&gt;"&amp;VLOOKUP(TableFields[Field],Columns[],5,0))</f>
        <v>-&gt;nullable()</v>
      </c>
      <c r="G257" s="4" t="str">
        <f>IF(VLOOKUP(TableFields[Field],Columns[],6,0)=0,"","-&gt;"&amp;VLOOKUP(TableFields[Field],Columns[],6,0))</f>
        <v/>
      </c>
      <c r="H257" s="4" t="str">
        <f>IF(VLOOKUP(TableFields[Field],Columns[],7,0)=0,"","-&gt;"&amp;VLOOKUP(TableFields[Field],Columns[],7,0))</f>
        <v/>
      </c>
      <c r="I257" s="4" t="str">
        <f>IF(VLOOKUP(TableFields[Field],Columns[],8,0)=0,"","-&gt;"&amp;VLOOKUP(TableFields[Field],Columns[],8,0))</f>
        <v/>
      </c>
      <c r="J257" s="4" t="str">
        <f>IF(VLOOKUP(TableFields[Field],Columns[],9,0)=0,"","-&gt;"&amp;VLOOKUP(TableFields[Field],Columns[],9,0))</f>
        <v/>
      </c>
      <c r="K257" s="4" t="str">
        <f>"$table-&gt;"&amp;TableFields[Type]&amp;TableFields[Name]&amp;TableFields[Arg2]&amp;TableFields[Method1]&amp;TableFields[Method2]&amp;TableFields[Method3]&amp;TableFields[Method4]&amp;TableFields[Method5]&amp;";"</f>
        <v>$table-&gt;char('REFCOCODE', '5')-&gt;nullable();</v>
      </c>
    </row>
    <row r="258" spans="1:11" x14ac:dyDescent="0.25">
      <c r="A258" s="4" t="s">
        <v>1052</v>
      </c>
      <c r="B258" s="4" t="s">
        <v>1041</v>
      </c>
      <c r="C258" s="4" t="str">
        <f>VLOOKUP(TableFields[Field],Columns[],2,0)&amp;"("</f>
        <v>char(</v>
      </c>
      <c r="D258" s="4" t="str">
        <f>IF(VLOOKUP(TableFields[Field],Columns[],3,0)&lt;&gt;"","'"&amp;VLOOKUP(TableFields[Field],Columns[],3,0)&amp;"'","")</f>
        <v>'REFBRCODE'</v>
      </c>
      <c r="E2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8" s="4" t="str">
        <f>IF(VLOOKUP(TableFields[Field],Columns[],5,0)=0,"","-&gt;"&amp;VLOOKUP(TableFields[Field],Columns[],5,0))</f>
        <v>-&gt;nullable()</v>
      </c>
      <c r="G258" s="4" t="str">
        <f>IF(VLOOKUP(TableFields[Field],Columns[],6,0)=0,"","-&gt;"&amp;VLOOKUP(TableFields[Field],Columns[],6,0))</f>
        <v/>
      </c>
      <c r="H258" s="4" t="str">
        <f>IF(VLOOKUP(TableFields[Field],Columns[],7,0)=0,"","-&gt;"&amp;VLOOKUP(TableFields[Field],Columns[],7,0))</f>
        <v/>
      </c>
      <c r="I258" s="4" t="str">
        <f>IF(VLOOKUP(TableFields[Field],Columns[],8,0)=0,"","-&gt;"&amp;VLOOKUP(TableFields[Field],Columns[],8,0))</f>
        <v/>
      </c>
      <c r="J258" s="4" t="str">
        <f>IF(VLOOKUP(TableFields[Field],Columns[],9,0)=0,"","-&gt;"&amp;VLOOKUP(TableFields[Field],Columns[],9,0))</f>
        <v/>
      </c>
      <c r="K258" s="4" t="str">
        <f>"$table-&gt;"&amp;TableFields[Type]&amp;TableFields[Name]&amp;TableFields[Arg2]&amp;TableFields[Method1]&amp;TableFields[Method2]&amp;TableFields[Method3]&amp;TableFields[Method4]&amp;TableFields[Method5]&amp;";"</f>
        <v>$table-&gt;char('REFBRCODE', '5')-&gt;nullable();</v>
      </c>
    </row>
    <row r="259" spans="1:11" x14ac:dyDescent="0.25">
      <c r="A259" s="4" t="s">
        <v>1052</v>
      </c>
      <c r="B259" s="4" t="s">
        <v>1045</v>
      </c>
      <c r="C259" s="4" t="str">
        <f>VLOOKUP(TableFields[Field],Columns[],2,0)&amp;"("</f>
        <v>char(</v>
      </c>
      <c r="D259" s="4" t="str">
        <f>IF(VLOOKUP(TableFields[Field],Columns[],3,0)&lt;&gt;"","'"&amp;VLOOKUP(TableFields[Field],Columns[],3,0)&amp;"'","")</f>
        <v>'REFFYCODE'</v>
      </c>
      <c r="E2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9" s="4" t="str">
        <f>IF(VLOOKUP(TableFields[Field],Columns[],5,0)=0,"","-&gt;"&amp;VLOOKUP(TableFields[Field],Columns[],5,0))</f>
        <v>-&gt;nullable()</v>
      </c>
      <c r="G259" s="4" t="str">
        <f>IF(VLOOKUP(TableFields[Field],Columns[],6,0)=0,"","-&gt;"&amp;VLOOKUP(TableFields[Field],Columns[],6,0))</f>
        <v/>
      </c>
      <c r="H259" s="4" t="str">
        <f>IF(VLOOKUP(TableFields[Field],Columns[],7,0)=0,"","-&gt;"&amp;VLOOKUP(TableFields[Field],Columns[],7,0))</f>
        <v/>
      </c>
      <c r="I259" s="4" t="str">
        <f>IF(VLOOKUP(TableFields[Field],Columns[],8,0)=0,"","-&gt;"&amp;VLOOKUP(TableFields[Field],Columns[],8,0))</f>
        <v/>
      </c>
      <c r="J259" s="4" t="str">
        <f>IF(VLOOKUP(TableFields[Field],Columns[],9,0)=0,"","-&gt;"&amp;VLOOKUP(TableFields[Field],Columns[],9,0))</f>
        <v/>
      </c>
      <c r="K259" s="4" t="str">
        <f>"$table-&gt;"&amp;TableFields[Type]&amp;TableFields[Name]&amp;TableFields[Arg2]&amp;TableFields[Method1]&amp;TableFields[Method2]&amp;TableFields[Method3]&amp;TableFields[Method4]&amp;TableFields[Method5]&amp;";"</f>
        <v>$table-&gt;char('REFFYCODE', '5')-&gt;nullable();</v>
      </c>
    </row>
    <row r="260" spans="1:11" x14ac:dyDescent="0.25">
      <c r="A260" s="4" t="s">
        <v>1052</v>
      </c>
      <c r="B260" s="4" t="s">
        <v>1043</v>
      </c>
      <c r="C260" s="4" t="str">
        <f>VLOOKUP(TableFields[Field],Columns[],2,0)&amp;"("</f>
        <v>char(</v>
      </c>
      <c r="D260" s="4" t="str">
        <f>IF(VLOOKUP(TableFields[Field],Columns[],3,0)&lt;&gt;"","'"&amp;VLOOKUP(TableFields[Field],Columns[],3,0)&amp;"'","")</f>
        <v>'REFFNCODE'</v>
      </c>
      <c r="E2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60" s="4" t="str">
        <f>IF(VLOOKUP(TableFields[Field],Columns[],5,0)=0,"","-&gt;"&amp;VLOOKUP(TableFields[Field],Columns[],5,0))</f>
        <v>-&gt;nullable()</v>
      </c>
      <c r="G260" s="4" t="str">
        <f>IF(VLOOKUP(TableFields[Field],Columns[],6,0)=0,"","-&gt;"&amp;VLOOKUP(TableFields[Field],Columns[],6,0))</f>
        <v/>
      </c>
      <c r="H260" s="4" t="str">
        <f>IF(VLOOKUP(TableFields[Field],Columns[],7,0)=0,"","-&gt;"&amp;VLOOKUP(TableFields[Field],Columns[],7,0))</f>
        <v/>
      </c>
      <c r="I260" s="4" t="str">
        <f>IF(VLOOKUP(TableFields[Field],Columns[],8,0)=0,"","-&gt;"&amp;VLOOKUP(TableFields[Field],Columns[],8,0))</f>
        <v/>
      </c>
      <c r="J260" s="4" t="str">
        <f>IF(VLOOKUP(TableFields[Field],Columns[],9,0)=0,"","-&gt;"&amp;VLOOKUP(TableFields[Field],Columns[],9,0))</f>
        <v/>
      </c>
      <c r="K260" s="4" t="str">
        <f>"$table-&gt;"&amp;TableFields[Type]&amp;TableFields[Name]&amp;TableFields[Arg2]&amp;TableFields[Method1]&amp;TableFields[Method2]&amp;TableFields[Method3]&amp;TableFields[Method4]&amp;TableFields[Method5]&amp;";"</f>
        <v>$table-&gt;char('REFFNCODE', '5')-&gt;nullable();</v>
      </c>
    </row>
    <row r="261" spans="1:11" x14ac:dyDescent="0.25">
      <c r="A261" s="4" t="s">
        <v>1052</v>
      </c>
      <c r="B261" s="4" t="s">
        <v>1047</v>
      </c>
      <c r="C261" s="4" t="str">
        <f>VLOOKUP(TableFields[Field],Columns[],2,0)&amp;"("</f>
        <v>char(</v>
      </c>
      <c r="D261" s="4" t="str">
        <f>IF(VLOOKUP(TableFields[Field],Columns[],3,0)&lt;&gt;"","'"&amp;VLOOKUP(TableFields[Field],Columns[],3,0)&amp;"'","")</f>
        <v>'REFDOCNO'</v>
      </c>
      <c r="E2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61" s="4" t="str">
        <f>IF(VLOOKUP(TableFields[Field],Columns[],5,0)=0,"","-&gt;"&amp;VLOOKUP(TableFields[Field],Columns[],5,0))</f>
        <v>-&gt;nullable()</v>
      </c>
      <c r="G261" s="4" t="str">
        <f>IF(VLOOKUP(TableFields[Field],Columns[],6,0)=0,"","-&gt;"&amp;VLOOKUP(TableFields[Field],Columns[],6,0))</f>
        <v/>
      </c>
      <c r="H261" s="4" t="str">
        <f>IF(VLOOKUP(TableFields[Field],Columns[],7,0)=0,"","-&gt;"&amp;VLOOKUP(TableFields[Field],Columns[],7,0))</f>
        <v/>
      </c>
      <c r="I261" s="4" t="str">
        <f>IF(VLOOKUP(TableFields[Field],Columns[],8,0)=0,"","-&gt;"&amp;VLOOKUP(TableFields[Field],Columns[],8,0))</f>
        <v/>
      </c>
      <c r="J261" s="4" t="str">
        <f>IF(VLOOKUP(TableFields[Field],Columns[],9,0)=0,"","-&gt;"&amp;VLOOKUP(TableFields[Field],Columns[],9,0))</f>
        <v/>
      </c>
      <c r="K261" s="4" t="str">
        <f>"$table-&gt;"&amp;TableFields[Type]&amp;TableFields[Name]&amp;TableFields[Arg2]&amp;TableFields[Method1]&amp;TableFields[Method2]&amp;TableFields[Method3]&amp;TableFields[Method4]&amp;TableFields[Method5]&amp;";"</f>
        <v>$table-&gt;char('REFDOCNO', '20')-&gt;nullable();</v>
      </c>
    </row>
    <row r="262" spans="1:11" x14ac:dyDescent="0.25">
      <c r="A262" s="4" t="s">
        <v>1052</v>
      </c>
      <c r="B262" s="4" t="s">
        <v>1065</v>
      </c>
      <c r="C262" s="4" t="str">
        <f>VLOOKUP(TableFields[Field],Columns[],2,0)&amp;"("</f>
        <v>decimal(</v>
      </c>
      <c r="D262" s="4" t="str">
        <f>IF(VLOOKUP(TableFields[Field],Columns[],3,0)&lt;&gt;"","'"&amp;VLOOKUP(TableFields[Field],Columns[],3,0)&amp;"'","")</f>
        <v>'REFSRNO'</v>
      </c>
      <c r="E2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62" s="4" t="str">
        <f>IF(VLOOKUP(TableFields[Field],Columns[],5,0)=0,"","-&gt;"&amp;VLOOKUP(TableFields[Field],Columns[],5,0))</f>
        <v>-&gt;nullable()</v>
      </c>
      <c r="G262" s="4" t="str">
        <f>IF(VLOOKUP(TableFields[Field],Columns[],6,0)=0,"","-&gt;"&amp;VLOOKUP(TableFields[Field],Columns[],6,0))</f>
        <v/>
      </c>
      <c r="H262" s="4" t="str">
        <f>IF(VLOOKUP(TableFields[Field],Columns[],7,0)=0,"","-&gt;"&amp;VLOOKUP(TableFields[Field],Columns[],7,0))</f>
        <v/>
      </c>
      <c r="I262" s="4" t="str">
        <f>IF(VLOOKUP(TableFields[Field],Columns[],8,0)=0,"","-&gt;"&amp;VLOOKUP(TableFields[Field],Columns[],8,0))</f>
        <v/>
      </c>
      <c r="J262" s="4" t="str">
        <f>IF(VLOOKUP(TableFields[Field],Columns[],9,0)=0,"","-&gt;"&amp;VLOOKUP(TableFields[Field],Columns[],9,0))</f>
        <v/>
      </c>
      <c r="K262" s="4" t="str">
        <f>"$table-&gt;"&amp;TableFields[Type]&amp;TableFields[Name]&amp;TableFields[Arg2]&amp;TableFields[Method1]&amp;TableFields[Method2]&amp;TableFields[Method3]&amp;TableFields[Method4]&amp;TableFields[Method5]&amp;";"</f>
        <v>$table-&gt;decimal('REFSRNO', 10,0 )-&gt;nullable();</v>
      </c>
    </row>
    <row r="263" spans="1:11" x14ac:dyDescent="0.25">
      <c r="A263" s="4" t="s">
        <v>1052</v>
      </c>
      <c r="B263" s="4" t="s">
        <v>1003</v>
      </c>
      <c r="C263" s="4" t="str">
        <f>VLOOKUP(TableFields[Field],Columns[],2,0)&amp;"("</f>
        <v>enum(</v>
      </c>
      <c r="D263" s="4" t="str">
        <f>IF(VLOOKUP(TableFields[Field],Columns[],3,0)&lt;&gt;"","'"&amp;VLOOKUP(TableFields[Field],Columns[],3,0)&amp;"'","")</f>
        <v>'TYPE'</v>
      </c>
      <c r="E2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['System','Normal','PostDated'])</v>
      </c>
      <c r="F263" s="4" t="str">
        <f>IF(VLOOKUP(TableFields[Field],Columns[],5,0)=0,"","-&gt;"&amp;VLOOKUP(TableFields[Field],Columns[],5,0))</f>
        <v>-&gt;default('Normal')</v>
      </c>
      <c r="G263" s="4" t="str">
        <f>IF(VLOOKUP(TableFields[Field],Columns[],6,0)=0,"","-&gt;"&amp;VLOOKUP(TableFields[Field],Columns[],6,0))</f>
        <v/>
      </c>
      <c r="H263" s="4" t="str">
        <f>IF(VLOOKUP(TableFields[Field],Columns[],7,0)=0,"","-&gt;"&amp;VLOOKUP(TableFields[Field],Columns[],7,0))</f>
        <v/>
      </c>
      <c r="I263" s="4" t="str">
        <f>IF(VLOOKUP(TableFields[Field],Columns[],8,0)=0,"","-&gt;"&amp;VLOOKUP(TableFields[Field],Columns[],8,0))</f>
        <v/>
      </c>
      <c r="J263" s="4" t="str">
        <f>IF(VLOOKUP(TableFields[Field],Columns[],9,0)=0,"","-&gt;"&amp;VLOOKUP(TableFields[Field],Columns[],9,0))</f>
        <v/>
      </c>
      <c r="K263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['System','Normal','PostDated'])-&gt;default('Normal');</v>
      </c>
    </row>
    <row r="264" spans="1:11" x14ac:dyDescent="0.25">
      <c r="A264" s="4" t="s">
        <v>1052</v>
      </c>
      <c r="B264" s="4" t="s">
        <v>1005</v>
      </c>
      <c r="C264" s="4" t="str">
        <f>VLOOKUP(TableFields[Field],Columns[],2,0)&amp;"("</f>
        <v>enum(</v>
      </c>
      <c r="D264" s="4" t="str">
        <f>IF(VLOOKUP(TableFields[Field],Columns[],3,0)&lt;&gt;"","'"&amp;VLOOKUP(TableFields[Field],Columns[],3,0)&amp;"'","")</f>
        <v>'APPROVAL_STATUS'</v>
      </c>
      <c r="E2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['Approved','Pending','Rejected'])</v>
      </c>
      <c r="F264" s="4" t="str">
        <f>IF(VLOOKUP(TableFields[Field],Columns[],5,0)=0,"","-&gt;"&amp;VLOOKUP(TableFields[Field],Columns[],5,0))</f>
        <v>-&gt;nullable()</v>
      </c>
      <c r="G264" s="4" t="str">
        <f>IF(VLOOKUP(TableFields[Field],Columns[],6,0)=0,"","-&gt;"&amp;VLOOKUP(TableFields[Field],Columns[],6,0))</f>
        <v>-&gt;default('Pending')</v>
      </c>
      <c r="H264" s="4" t="str">
        <f>IF(VLOOKUP(TableFields[Field],Columns[],7,0)=0,"","-&gt;"&amp;VLOOKUP(TableFields[Field],Columns[],7,0))</f>
        <v/>
      </c>
      <c r="I264" s="4" t="str">
        <f>IF(VLOOKUP(TableFields[Field],Columns[],8,0)=0,"","-&gt;"&amp;VLOOKUP(TableFields[Field],Columns[],8,0))</f>
        <v/>
      </c>
      <c r="J264" s="4" t="str">
        <f>IF(VLOOKUP(TableFields[Field],Columns[],9,0)=0,"","-&gt;"&amp;VLOOKUP(TableFields[Field],Columns[],9,0))</f>
        <v/>
      </c>
      <c r="K264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$table-&gt;enum('APPROVAL_STATUS', ['Approved','Pending','Rejected'])-&gt;nullable()-&gt;default('Pending');</v>
      </c>
    </row>
    <row r="265" spans="1:11" x14ac:dyDescent="0.25">
      <c r="A265" s="4" t="s">
        <v>1052</v>
      </c>
      <c r="B265" s="4" t="s">
        <v>1007</v>
      </c>
      <c r="C265" s="4" t="str">
        <f>VLOOKUP(TableFields[Field],Columns[],2,0)&amp;"("</f>
        <v>enum(</v>
      </c>
      <c r="D265" s="4" t="str">
        <f>IF(VLOOKUP(TableFields[Field],Columns[],3,0)&lt;&gt;"","'"&amp;VLOOKUP(TableFields[Field],Columns[],3,0)&amp;"'","")</f>
        <v>'APPROVAL_MODE'</v>
      </c>
      <c r="E2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['Insert','Update','Delete'])</v>
      </c>
      <c r="F265" s="4" t="str">
        <f>IF(VLOOKUP(TableFields[Field],Columns[],5,0)=0,"","-&gt;"&amp;VLOOKUP(TableFields[Field],Columns[],5,0))</f>
        <v>-&gt;nullable()</v>
      </c>
      <c r="G265" s="4" t="str">
        <f>IF(VLOOKUP(TableFields[Field],Columns[],6,0)=0,"","-&gt;"&amp;VLOOKUP(TableFields[Field],Columns[],6,0))</f>
        <v>-&gt;default('Insert')</v>
      </c>
      <c r="H265" s="4" t="str">
        <f>IF(VLOOKUP(TableFields[Field],Columns[],7,0)=0,"","-&gt;"&amp;VLOOKUP(TableFields[Field],Columns[],7,0))</f>
        <v/>
      </c>
      <c r="I265" s="4" t="str">
        <f>IF(VLOOKUP(TableFields[Field],Columns[],8,0)=0,"","-&gt;"&amp;VLOOKUP(TableFields[Field],Columns[],8,0))</f>
        <v/>
      </c>
      <c r="J265" s="4" t="str">
        <f>IF(VLOOKUP(TableFields[Field],Columns[],9,0)=0,"","-&gt;"&amp;VLOOKUP(TableFields[Field],Columns[],9,0))</f>
        <v/>
      </c>
      <c r="K265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$table-&gt;enum('APPROVAL_MODE', ['Insert','Update','Delete'])-&gt;nullable()-&gt;default('Insert');</v>
      </c>
    </row>
    <row r="266" spans="1:11" x14ac:dyDescent="0.25">
      <c r="A266" s="4" t="s">
        <v>1052</v>
      </c>
      <c r="B266" s="4" t="s">
        <v>1009</v>
      </c>
      <c r="C266" s="4" t="str">
        <f>VLOOKUP(TableFields[Field],Columns[],2,0)&amp;"("</f>
        <v>enum(</v>
      </c>
      <c r="D266" s="4" t="str">
        <f>IF(VLOOKUP(TableFields[Field],Columns[],3,0)&lt;&gt;"","'"&amp;VLOOKUP(TableFields[Field],Columns[],3,0)&amp;"'","")</f>
        <v>'APPROVAL_TYPE'</v>
      </c>
      <c r="E2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['Default','User'])</v>
      </c>
      <c r="F266" s="4" t="str">
        <f>IF(VLOOKUP(TableFields[Field],Columns[],5,0)=0,"","-&gt;"&amp;VLOOKUP(TableFields[Field],Columns[],5,0))</f>
        <v>-&gt;nullable()</v>
      </c>
      <c r="G266" s="4" t="str">
        <f>IF(VLOOKUP(TableFields[Field],Columns[],6,0)=0,"","-&gt;"&amp;VLOOKUP(TableFields[Field],Columns[],6,0))</f>
        <v>-&gt;default('Default')</v>
      </c>
      <c r="H266" s="4" t="str">
        <f>IF(VLOOKUP(TableFields[Field],Columns[],7,0)=0,"","-&gt;"&amp;VLOOKUP(TableFields[Field],Columns[],7,0))</f>
        <v/>
      </c>
      <c r="I266" s="4" t="str">
        <f>IF(VLOOKUP(TableFields[Field],Columns[],8,0)=0,"","-&gt;"&amp;VLOOKUP(TableFields[Field],Columns[],8,0))</f>
        <v/>
      </c>
      <c r="J266" s="4" t="str">
        <f>IF(VLOOKUP(TableFields[Field],Columns[],9,0)=0,"","-&gt;"&amp;VLOOKUP(TableFields[Field],Columns[],9,0))</f>
        <v/>
      </c>
      <c r="K266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$table-&gt;enum('APPROVAL_TYPE', ['Default','User'])-&gt;nullable()-&gt;default('Default');</v>
      </c>
    </row>
    <row r="267" spans="1:11" x14ac:dyDescent="0.25">
      <c r="A267" s="4" t="s">
        <v>1052</v>
      </c>
      <c r="B267" s="4" t="s">
        <v>1011</v>
      </c>
      <c r="C267" s="4" t="str">
        <f>VLOOKUP(TableFields[Field],Columns[],2,0)&amp;"("</f>
        <v>enum(</v>
      </c>
      <c r="D267" s="4" t="str">
        <f>IF(VLOOKUP(TableFields[Field],Columns[],3,0)&lt;&gt;"","'"&amp;VLOOKUP(TableFields[Field],Columns[],3,0)&amp;"'","")</f>
        <v>'CANCEL'</v>
      </c>
      <c r="E2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67" s="4" t="str">
        <f>IF(VLOOKUP(TableFields[Field],Columns[],5,0)=0,"","-&gt;"&amp;VLOOKUP(TableFields[Field],Columns[],5,0))</f>
        <v>-&gt;default('No')</v>
      </c>
      <c r="G267" s="4" t="str">
        <f>IF(VLOOKUP(TableFields[Field],Columns[],6,0)=0,"","-&gt;"&amp;VLOOKUP(TableFields[Field],Columns[],6,0))</f>
        <v/>
      </c>
      <c r="H267" s="4" t="str">
        <f>IF(VLOOKUP(TableFields[Field],Columns[],7,0)=0,"","-&gt;"&amp;VLOOKUP(TableFields[Field],Columns[],7,0))</f>
        <v/>
      </c>
      <c r="I267" s="4" t="str">
        <f>IF(VLOOKUP(TableFields[Field],Columns[],8,0)=0,"","-&gt;"&amp;VLOOKUP(TableFields[Field],Columns[],8,0))</f>
        <v/>
      </c>
      <c r="J267" s="4" t="str">
        <f>IF(VLOOKUP(TableFields[Field],Columns[],9,0)=0,"","-&gt;"&amp;VLOOKUP(TableFields[Field],Columns[],9,0))</f>
        <v/>
      </c>
      <c r="K267" s="4" t="str">
        <f>"$table-&gt;"&amp;TableFields[Type]&amp;TableFields[Name]&amp;TableFields[Arg2]&amp;TableFields[Method1]&amp;TableFields[Method2]&amp;TableFields[Method3]&amp;TableFields[Method4]&amp;TableFields[Method5]&amp;";"</f>
        <v>$table-&gt;enum('CANCEL', ['Yes','No'])-&gt;default('No');</v>
      </c>
    </row>
    <row r="268" spans="1:11" x14ac:dyDescent="0.25">
      <c r="A268" s="4" t="s">
        <v>1052</v>
      </c>
      <c r="B268" s="4" t="s">
        <v>1013</v>
      </c>
      <c r="C268" s="4" t="str">
        <f>VLOOKUP(TableFields[Field],Columns[],2,0)&amp;"("</f>
        <v>decimal(</v>
      </c>
      <c r="D268" s="4" t="str">
        <f>IF(VLOOKUP(TableFields[Field],Columns[],3,0)&lt;&gt;"","'"&amp;VLOOKUP(TableFields[Field],Columns[],3,0)&amp;"'","")</f>
        <v>'VERSION'</v>
      </c>
      <c r="E2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68" s="4" t="str">
        <f>IF(VLOOKUP(TableFields[Field],Columns[],5,0)=0,"","-&gt;"&amp;VLOOKUP(TableFields[Field],Columns[],5,0))</f>
        <v>-&gt;default(1)</v>
      </c>
      <c r="G268" s="4" t="str">
        <f>IF(VLOOKUP(TableFields[Field],Columns[],6,0)=0,"","-&gt;"&amp;VLOOKUP(TableFields[Field],Columns[],6,0))</f>
        <v/>
      </c>
      <c r="H268" s="4" t="str">
        <f>IF(VLOOKUP(TableFields[Field],Columns[],7,0)=0,"","-&gt;"&amp;VLOOKUP(TableFields[Field],Columns[],7,0))</f>
        <v/>
      </c>
      <c r="I268" s="4" t="str">
        <f>IF(VLOOKUP(TableFields[Field],Columns[],8,0)=0,"","-&gt;"&amp;VLOOKUP(TableFields[Field],Columns[],8,0))</f>
        <v/>
      </c>
      <c r="J268" s="4" t="str">
        <f>IF(VLOOKUP(TableFields[Field],Columns[],9,0)=0,"","-&gt;"&amp;VLOOKUP(TableFields[Field],Columns[],9,0))</f>
        <v/>
      </c>
      <c r="K268" s="4" t="str">
        <f>"$table-&gt;"&amp;TableFields[Type]&amp;TableFields[Name]&amp;TableFields[Arg2]&amp;TableFields[Method1]&amp;TableFields[Method2]&amp;TableFields[Method3]&amp;TableFields[Method4]&amp;TableFields[Method5]&amp;";"</f>
        <v>$table-&gt;decimal('VERSION', 10,0)-&gt;default(1);</v>
      </c>
    </row>
    <row r="269" spans="1:11" x14ac:dyDescent="0.25">
      <c r="A269" s="4" t="s">
        <v>1052</v>
      </c>
      <c r="B269" s="4" t="s">
        <v>288</v>
      </c>
      <c r="C269" s="4" t="str">
        <f>VLOOKUP(TableFields[Field],Columns[],2,0)&amp;"("</f>
        <v>audit(</v>
      </c>
      <c r="D269" s="4" t="str">
        <f>IF(VLOOKUP(TableFields[Field],Columns[],3,0)&lt;&gt;"","'"&amp;VLOOKUP(TableFields[Field],Columns[],3,0)&amp;"'","")</f>
        <v/>
      </c>
      <c r="E2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9" s="4" t="str">
        <f>IF(VLOOKUP(TableFields[Field],Columns[],5,0)=0,"","-&gt;"&amp;VLOOKUP(TableFields[Field],Columns[],5,0))</f>
        <v/>
      </c>
      <c r="G269" s="4" t="str">
        <f>IF(VLOOKUP(TableFields[Field],Columns[],6,0)=0,"","-&gt;"&amp;VLOOKUP(TableFields[Field],Columns[],6,0))</f>
        <v/>
      </c>
      <c r="H269" s="4" t="str">
        <f>IF(VLOOKUP(TableFields[Field],Columns[],7,0)=0,"","-&gt;"&amp;VLOOKUP(TableFields[Field],Columns[],7,0))</f>
        <v/>
      </c>
      <c r="I269" s="4" t="str">
        <f>IF(VLOOKUP(TableFields[Field],Columns[],8,0)=0,"","-&gt;"&amp;VLOOKUP(TableFields[Field],Columns[],8,0))</f>
        <v/>
      </c>
      <c r="J269" s="4" t="str">
        <f>IF(VLOOKUP(TableFields[Field],Columns[],9,0)=0,"","-&gt;"&amp;VLOOKUP(TableFields[Field],Columns[],9,0))</f>
        <v/>
      </c>
      <c r="K26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70" spans="1:11" x14ac:dyDescent="0.25">
      <c r="A270" s="4" t="s">
        <v>947</v>
      </c>
      <c r="B270" s="4" t="s">
        <v>21</v>
      </c>
      <c r="C270" s="4" t="str">
        <f>VLOOKUP(TableFields[Field],Columns[],2,0)&amp;"("</f>
        <v>bigIncrements(</v>
      </c>
      <c r="D270" s="4" t="str">
        <f>IF(VLOOKUP(TableFields[Field],Columns[],3,0)&lt;&gt;"","'"&amp;VLOOKUP(TableFields[Field],Columns[],3,0)&amp;"'","")</f>
        <v>'id'</v>
      </c>
      <c r="E2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0" s="4" t="str">
        <f>IF(VLOOKUP(TableFields[Field],Columns[],5,0)=0,"","-&gt;"&amp;VLOOKUP(TableFields[Field],Columns[],5,0))</f>
        <v/>
      </c>
      <c r="G270" s="4" t="str">
        <f>IF(VLOOKUP(TableFields[Field],Columns[],6,0)=0,"","-&gt;"&amp;VLOOKUP(TableFields[Field],Columns[],6,0))</f>
        <v/>
      </c>
      <c r="H270" s="4" t="str">
        <f>IF(VLOOKUP(TableFields[Field],Columns[],7,0)=0,"","-&gt;"&amp;VLOOKUP(TableFields[Field],Columns[],7,0))</f>
        <v/>
      </c>
      <c r="I270" s="4" t="str">
        <f>IF(VLOOKUP(TableFields[Field],Columns[],8,0)=0,"","-&gt;"&amp;VLOOKUP(TableFields[Field],Columns[],8,0))</f>
        <v/>
      </c>
      <c r="J270" s="4" t="str">
        <f>IF(VLOOKUP(TableFields[Field],Columns[],9,0)=0,"","-&gt;"&amp;VLOOKUP(TableFields[Field],Columns[],9,0))</f>
        <v/>
      </c>
      <c r="K27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71" spans="1:11" x14ac:dyDescent="0.25">
      <c r="A271" s="4" t="s">
        <v>947</v>
      </c>
      <c r="B271" s="4" t="s">
        <v>837</v>
      </c>
      <c r="C271" s="4" t="str">
        <f>VLOOKUP(TableFields[Field],Columns[],2,0)&amp;"("</f>
        <v>char(</v>
      </c>
      <c r="D271" s="4" t="str">
        <f>IF(VLOOKUP(TableFields[Field],Columns[],3,0)&lt;&gt;"","'"&amp;VLOOKUP(TableFields[Field],Columns[],3,0)&amp;"'","")</f>
        <v>'docno'</v>
      </c>
      <c r="E2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71" s="4" t="str">
        <f>IF(VLOOKUP(TableFields[Field],Columns[],5,0)=0,"","-&gt;"&amp;VLOOKUP(TableFields[Field],Columns[],5,0))</f>
        <v>-&gt;nullable()</v>
      </c>
      <c r="G271" s="4" t="str">
        <f>IF(VLOOKUP(TableFields[Field],Columns[],6,0)=0,"","-&gt;"&amp;VLOOKUP(TableFields[Field],Columns[],6,0))</f>
        <v>-&gt;index()</v>
      </c>
      <c r="H271" s="4" t="str">
        <f>IF(VLOOKUP(TableFields[Field],Columns[],7,0)=0,"","-&gt;"&amp;VLOOKUP(TableFields[Field],Columns[],7,0))</f>
        <v/>
      </c>
      <c r="I271" s="4" t="str">
        <f>IF(VLOOKUP(TableFields[Field],Columns[],8,0)=0,"","-&gt;"&amp;VLOOKUP(TableFields[Field],Columns[],8,0))</f>
        <v/>
      </c>
      <c r="J271" s="4" t="str">
        <f>IF(VLOOKUP(TableFields[Field],Columns[],9,0)=0,"","-&gt;"&amp;VLOOKUP(TableFields[Field],Columns[],9,0))</f>
        <v/>
      </c>
      <c r="K271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72" spans="1:11" x14ac:dyDescent="0.25">
      <c r="A272" s="4" t="s">
        <v>947</v>
      </c>
      <c r="B272" s="4" t="s">
        <v>831</v>
      </c>
      <c r="C272" s="4" t="str">
        <f>VLOOKUP(TableFields[Field],Columns[],2,0)&amp;"("</f>
        <v>timestamp(</v>
      </c>
      <c r="D272" s="4" t="str">
        <f>IF(VLOOKUP(TableFields[Field],Columns[],3,0)&lt;&gt;"","'"&amp;VLOOKUP(TableFields[Field],Columns[],3,0)&amp;"'","")</f>
        <v>'date'</v>
      </c>
      <c r="E2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2" s="4" t="str">
        <f>IF(VLOOKUP(TableFields[Field],Columns[],5,0)=0,"","-&gt;"&amp;VLOOKUP(TableFields[Field],Columns[],5,0))</f>
        <v>-&gt;default(DB::raw('CURRENT_TIMESTAMP'))</v>
      </c>
      <c r="G272" s="4" t="str">
        <f>IF(VLOOKUP(TableFields[Field],Columns[],6,0)=0,"","-&gt;"&amp;VLOOKUP(TableFields[Field],Columns[],6,0))</f>
        <v/>
      </c>
      <c r="H272" s="4" t="str">
        <f>IF(VLOOKUP(TableFields[Field],Columns[],7,0)=0,"","-&gt;"&amp;VLOOKUP(TableFields[Field],Columns[],7,0))</f>
        <v/>
      </c>
      <c r="I272" s="4" t="str">
        <f>IF(VLOOKUP(TableFields[Field],Columns[],8,0)=0,"","-&gt;"&amp;VLOOKUP(TableFields[Field],Columns[],8,0))</f>
        <v/>
      </c>
      <c r="J272" s="4" t="str">
        <f>IF(VLOOKUP(TableFields[Field],Columns[],9,0)=0,"","-&gt;"&amp;VLOOKUP(TableFields[Field],Columns[],9,0))</f>
        <v/>
      </c>
      <c r="K272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73" spans="1:11" x14ac:dyDescent="0.25">
      <c r="A273" s="4" t="s">
        <v>947</v>
      </c>
      <c r="B273" s="4" t="s">
        <v>898</v>
      </c>
      <c r="C273" s="4" t="str">
        <f>VLOOKUP(TableFields[Field],Columns[],2,0)&amp;"("</f>
        <v>foreignNullable(</v>
      </c>
      <c r="D273" s="4" t="str">
        <f>IF(VLOOKUP(TableFields[Field],Columns[],3,0)&lt;&gt;"","'"&amp;VLOOKUP(TableFields[Field],Columns[],3,0)&amp;"'","")</f>
        <v>'user'</v>
      </c>
      <c r="E2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3" s="4" t="str">
        <f>IF(VLOOKUP(TableFields[Field],Columns[],5,0)=0,"","-&gt;"&amp;VLOOKUP(TableFields[Field],Columns[],5,0))</f>
        <v/>
      </c>
      <c r="G273" s="4" t="str">
        <f>IF(VLOOKUP(TableFields[Field],Columns[],6,0)=0,"","-&gt;"&amp;VLOOKUP(TableFields[Field],Columns[],6,0))</f>
        <v/>
      </c>
      <c r="H273" s="4" t="str">
        <f>IF(VLOOKUP(TableFields[Field],Columns[],7,0)=0,"","-&gt;"&amp;VLOOKUP(TableFields[Field],Columns[],7,0))</f>
        <v/>
      </c>
      <c r="I273" s="4" t="str">
        <f>IF(VLOOKUP(TableFields[Field],Columns[],8,0)=0,"","-&gt;"&amp;VLOOKUP(TableFields[Field],Columns[],8,0))</f>
        <v/>
      </c>
      <c r="J273" s="4" t="str">
        <f>IF(VLOOKUP(TableFields[Field],Columns[],9,0)=0,"","-&gt;"&amp;VLOOKUP(TableFields[Field],Columns[],9,0))</f>
        <v/>
      </c>
      <c r="K27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74" spans="1:11" x14ac:dyDescent="0.25">
      <c r="A274" s="4" t="s">
        <v>947</v>
      </c>
      <c r="B274" s="4" t="s">
        <v>949</v>
      </c>
      <c r="C274" s="4" t="str">
        <f>VLOOKUP(TableFields[Field],Columns[],2,0)&amp;"("</f>
        <v>foreignNullable(</v>
      </c>
      <c r="D274" s="4" t="str">
        <f>IF(VLOOKUP(TableFields[Field],Columns[],3,0)&lt;&gt;"","'"&amp;VLOOKUP(TableFields[Field],Columns[],3,0)&amp;"'","")</f>
        <v>'customer'</v>
      </c>
      <c r="E2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4" s="4" t="str">
        <f>IF(VLOOKUP(TableFields[Field],Columns[],5,0)=0,"","-&gt;"&amp;VLOOKUP(TableFields[Field],Columns[],5,0))</f>
        <v/>
      </c>
      <c r="G274" s="4" t="str">
        <f>IF(VLOOKUP(TableFields[Field],Columns[],6,0)=0,"","-&gt;"&amp;VLOOKUP(TableFields[Field],Columns[],6,0))</f>
        <v/>
      </c>
      <c r="H274" s="4" t="str">
        <f>IF(VLOOKUP(TableFields[Field],Columns[],7,0)=0,"","-&gt;"&amp;VLOOKUP(TableFields[Field],Columns[],7,0))</f>
        <v/>
      </c>
      <c r="I274" s="4" t="str">
        <f>IF(VLOOKUP(TableFields[Field],Columns[],8,0)=0,"","-&gt;"&amp;VLOOKUP(TableFields[Field],Columns[],8,0))</f>
        <v/>
      </c>
      <c r="J274" s="4" t="str">
        <f>IF(VLOOKUP(TableFields[Field],Columns[],9,0)=0,"","-&gt;"&amp;VLOOKUP(TableFields[Field],Columns[],9,0))</f>
        <v/>
      </c>
      <c r="K27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75" spans="1:11" x14ac:dyDescent="0.25">
      <c r="A275" s="4" t="s">
        <v>947</v>
      </c>
      <c r="B275" s="4" t="s">
        <v>820</v>
      </c>
      <c r="C275" s="4" t="str">
        <f>VLOOKUP(TableFields[Field],Columns[],2,0)&amp;"("</f>
        <v>foreignNullable(</v>
      </c>
      <c r="D275" s="4" t="str">
        <f>IF(VLOOKUP(TableFields[Field],Columns[],3,0)&lt;&gt;"","'"&amp;VLOOKUP(TableFields[Field],Columns[],3,0)&amp;"'","")</f>
        <v>'store'</v>
      </c>
      <c r="E2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75" s="4" t="str">
        <f>IF(VLOOKUP(TableFields[Field],Columns[],5,0)=0,"","-&gt;"&amp;VLOOKUP(TableFields[Field],Columns[],5,0))</f>
        <v/>
      </c>
      <c r="G275" s="4" t="str">
        <f>IF(VLOOKUP(TableFields[Field],Columns[],6,0)=0,"","-&gt;"&amp;VLOOKUP(TableFields[Field],Columns[],6,0))</f>
        <v/>
      </c>
      <c r="H275" s="4" t="str">
        <f>IF(VLOOKUP(TableFields[Field],Columns[],7,0)=0,"","-&gt;"&amp;VLOOKUP(TableFields[Field],Columns[],7,0))</f>
        <v/>
      </c>
      <c r="I275" s="4" t="str">
        <f>IF(VLOOKUP(TableFields[Field],Columns[],8,0)=0,"","-&gt;"&amp;VLOOKUP(TableFields[Field],Columns[],8,0))</f>
        <v/>
      </c>
      <c r="J275" s="4" t="str">
        <f>IF(VLOOKUP(TableFields[Field],Columns[],9,0)=0,"","-&gt;"&amp;VLOOKUP(TableFields[Field],Columns[],9,0))</f>
        <v/>
      </c>
      <c r="K27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76" spans="1:11" x14ac:dyDescent="0.25">
      <c r="A276" s="4" t="s">
        <v>947</v>
      </c>
      <c r="B276" s="4" t="s">
        <v>903</v>
      </c>
      <c r="C276" s="4" t="str">
        <f>VLOOKUP(TableFields[Field],Columns[],2,0)&amp;"("</f>
        <v>char(</v>
      </c>
      <c r="D276" s="4" t="str">
        <f>IF(VLOOKUP(TableFields[Field],Columns[],3,0)&lt;&gt;"","'"&amp;VLOOKUP(TableFields[Field],Columns[],3,0)&amp;"'","")</f>
        <v>'fycode'</v>
      </c>
      <c r="E2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76" s="4" t="str">
        <f>IF(VLOOKUP(TableFields[Field],Columns[],5,0)=0,"","-&gt;"&amp;VLOOKUP(TableFields[Field],Columns[],5,0))</f>
        <v>-&gt;nullable()</v>
      </c>
      <c r="G276" s="4" t="str">
        <f>IF(VLOOKUP(TableFields[Field],Columns[],6,0)=0,"","-&gt;"&amp;VLOOKUP(TableFields[Field],Columns[],6,0))</f>
        <v>-&gt;index()</v>
      </c>
      <c r="H276" s="4" t="str">
        <f>IF(VLOOKUP(TableFields[Field],Columns[],7,0)=0,"","-&gt;"&amp;VLOOKUP(TableFields[Field],Columns[],7,0))</f>
        <v/>
      </c>
      <c r="I276" s="4" t="str">
        <f>IF(VLOOKUP(TableFields[Field],Columns[],8,0)=0,"","-&gt;"&amp;VLOOKUP(TableFields[Field],Columns[],8,0))</f>
        <v/>
      </c>
      <c r="J276" s="4" t="str">
        <f>IF(VLOOKUP(TableFields[Field],Columns[],9,0)=0,"","-&gt;"&amp;VLOOKUP(TableFields[Field],Columns[],9,0))</f>
        <v/>
      </c>
      <c r="K276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77" spans="1:11" x14ac:dyDescent="0.25">
      <c r="A277" s="4" t="s">
        <v>947</v>
      </c>
      <c r="B277" s="4" t="s">
        <v>858</v>
      </c>
      <c r="C277" s="4" t="str">
        <f>VLOOKUP(TableFields[Field],Columns[],2,0)&amp;"("</f>
        <v>char(</v>
      </c>
      <c r="D277" s="4" t="str">
        <f>IF(VLOOKUP(TableFields[Field],Columns[],3,0)&lt;&gt;"","'"&amp;VLOOKUP(TableFields[Field],Columns[],3,0)&amp;"'","")</f>
        <v>'fncode'</v>
      </c>
      <c r="E2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77" s="4" t="str">
        <f>IF(VLOOKUP(TableFields[Field],Columns[],5,0)=0,"","-&gt;"&amp;VLOOKUP(TableFields[Field],Columns[],5,0))</f>
        <v>-&gt;nullable()</v>
      </c>
      <c r="G277" s="4" t="str">
        <f>IF(VLOOKUP(TableFields[Field],Columns[],6,0)=0,"","-&gt;"&amp;VLOOKUP(TableFields[Field],Columns[],6,0))</f>
        <v>-&gt;index()</v>
      </c>
      <c r="H277" s="4" t="str">
        <f>IF(VLOOKUP(TableFields[Field],Columns[],7,0)=0,"","-&gt;"&amp;VLOOKUP(TableFields[Field],Columns[],7,0))</f>
        <v/>
      </c>
      <c r="I277" s="4" t="str">
        <f>IF(VLOOKUP(TableFields[Field],Columns[],8,0)=0,"","-&gt;"&amp;VLOOKUP(TableFields[Field],Columns[],8,0))</f>
        <v/>
      </c>
      <c r="J277" s="4" t="str">
        <f>IF(VLOOKUP(TableFields[Field],Columns[],9,0)=0,"","-&gt;"&amp;VLOOKUP(TableFields[Field],Columns[],9,0))</f>
        <v/>
      </c>
      <c r="K277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278" spans="1:11" x14ac:dyDescent="0.25">
      <c r="A278" s="4" t="s">
        <v>947</v>
      </c>
      <c r="B278" s="4" t="s">
        <v>1630</v>
      </c>
      <c r="C278" s="4" t="str">
        <f>VLOOKUP(TableFields[Field],Columns[],2,0)&amp;"("</f>
        <v>enum(</v>
      </c>
      <c r="D278" s="4" t="str">
        <f>IF(VLOOKUP(TableFields[Field],Columns[],3,0)&lt;&gt;"","'"&amp;VLOOKUP(TableFields[Field],Columns[],3,0)&amp;"'","")</f>
        <v>'payment_type'</v>
      </c>
      <c r="E2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78" s="4" t="str">
        <f>IF(VLOOKUP(TableFields[Field],Columns[],5,0)=0,"","-&gt;"&amp;VLOOKUP(TableFields[Field],Columns[],5,0))</f>
        <v>-&gt;nullable()</v>
      </c>
      <c r="G278" s="4" t="str">
        <f>IF(VLOOKUP(TableFields[Field],Columns[],6,0)=0,"","-&gt;"&amp;VLOOKUP(TableFields[Field],Columns[],6,0))</f>
        <v>-&gt;default('Cash')</v>
      </c>
      <c r="H278" s="4" t="str">
        <f>IF(VLOOKUP(TableFields[Field],Columns[],7,0)=0,"","-&gt;"&amp;VLOOKUP(TableFields[Field],Columns[],7,0))</f>
        <v/>
      </c>
      <c r="I278" s="4" t="str">
        <f>IF(VLOOKUP(TableFields[Field],Columns[],8,0)=0,"","-&gt;"&amp;VLOOKUP(TableFields[Field],Columns[],8,0))</f>
        <v/>
      </c>
      <c r="J278" s="4" t="str">
        <f>IF(VLOOKUP(TableFields[Field],Columns[],9,0)=0,"","-&gt;"&amp;VLOOKUP(TableFields[Field],Columns[],9,0))</f>
        <v/>
      </c>
      <c r="K278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79" spans="1:11" x14ac:dyDescent="0.25">
      <c r="A279" s="4" t="s">
        <v>947</v>
      </c>
      <c r="B279" s="4" t="s">
        <v>951</v>
      </c>
      <c r="C279" s="4" t="str">
        <f>VLOOKUP(TableFields[Field],Columns[],2,0)&amp;"("</f>
        <v>enum(</v>
      </c>
      <c r="D279" s="4" t="str">
        <f>IF(VLOOKUP(TableFields[Field],Columns[],3,0)&lt;&gt;"","'"&amp;VLOOKUP(TableFields[Field],Columns[],3,0)&amp;"'","")</f>
        <v>'progress'</v>
      </c>
      <c r="E2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['Incomplete','Partial','Completed'])</v>
      </c>
      <c r="F279" s="4" t="str">
        <f>IF(VLOOKUP(TableFields[Field],Columns[],5,0)=0,"","-&gt;"&amp;VLOOKUP(TableFields[Field],Columns[],5,0))</f>
        <v>-&gt;nullable()</v>
      </c>
      <c r="G279" s="4" t="str">
        <f>IF(VLOOKUP(TableFields[Field],Columns[],6,0)=0,"","-&gt;"&amp;VLOOKUP(TableFields[Field],Columns[],6,0))</f>
        <v>-&gt;default('Incomplete')</v>
      </c>
      <c r="H279" s="4" t="str">
        <f>IF(VLOOKUP(TableFields[Field],Columns[],7,0)=0,"","-&gt;"&amp;VLOOKUP(TableFields[Field],Columns[],7,0))</f>
        <v/>
      </c>
      <c r="I279" s="4" t="str">
        <f>IF(VLOOKUP(TableFields[Field],Columns[],8,0)=0,"","-&gt;"&amp;VLOOKUP(TableFields[Field],Columns[],8,0))</f>
        <v/>
      </c>
      <c r="J279" s="4" t="str">
        <f>IF(VLOOKUP(TableFields[Field],Columns[],9,0)=0,"","-&gt;"&amp;VLOOKUP(TableFields[Field],Columns[],9,0))</f>
        <v/>
      </c>
      <c r="K279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['Incomplete','Partial','Completed'])-&gt;nullable()-&gt;default('Incomplete');</v>
      </c>
    </row>
    <row r="280" spans="1:11" s="20" customFormat="1" x14ac:dyDescent="0.25">
      <c r="A280" s="4" t="s">
        <v>947</v>
      </c>
      <c r="B280" s="4" t="s">
        <v>1584</v>
      </c>
      <c r="C280" s="4" t="str">
        <f>VLOOKUP(TableFields[Field],Columns[],2,0)&amp;"("</f>
        <v>char(</v>
      </c>
      <c r="D280" s="4" t="str">
        <f>IF(VLOOKUP(TableFields[Field],Columns[],3,0)&lt;&gt;"","'"&amp;VLOOKUP(TableFields[Field],Columns[],3,0)&amp;"'","")</f>
        <v>'_ref'</v>
      </c>
      <c r="E2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80" s="4" t="str">
        <f>IF(VLOOKUP(TableFields[Field],Columns[],5,0)=0,"","-&gt;"&amp;VLOOKUP(TableFields[Field],Columns[],5,0))</f>
        <v>-&gt;nullable()</v>
      </c>
      <c r="G280" s="4" t="str">
        <f>IF(VLOOKUP(TableFields[Field],Columns[],6,0)=0,"","-&gt;"&amp;VLOOKUP(TableFields[Field],Columns[],6,0))</f>
        <v>-&gt;index()</v>
      </c>
      <c r="H280" s="4" t="str">
        <f>IF(VLOOKUP(TableFields[Field],Columns[],7,0)=0,"","-&gt;"&amp;VLOOKUP(TableFields[Field],Columns[],7,0))</f>
        <v/>
      </c>
      <c r="I280" s="4" t="str">
        <f>IF(VLOOKUP(TableFields[Field],Columns[],8,0)=0,"","-&gt;"&amp;VLOOKUP(TableFields[Field],Columns[],8,0))</f>
        <v/>
      </c>
      <c r="J280" s="4" t="str">
        <f>IF(VLOOKUP(TableFields[Field],Columns[],9,0)=0,"","-&gt;"&amp;VLOOKUP(TableFields[Field],Columns[],9,0))</f>
        <v/>
      </c>
      <c r="K280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81" spans="1:11" x14ac:dyDescent="0.25">
      <c r="A281" s="4" t="s">
        <v>947</v>
      </c>
      <c r="B281" s="4" t="s">
        <v>775</v>
      </c>
      <c r="C281" s="4" t="str">
        <f>VLOOKUP(TableFields[Field],Columns[],2,0)&amp;"("</f>
        <v>enum(</v>
      </c>
      <c r="D281" s="4" t="str">
        <f>IF(VLOOKUP(TableFields[Field],Columns[],3,0)&lt;&gt;"","'"&amp;VLOOKUP(TableFields[Field],Columns[],3,0)&amp;"'","")</f>
        <v>'status'</v>
      </c>
      <c r="E2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81" s="4" t="str">
        <f>IF(VLOOKUP(TableFields[Field],Columns[],5,0)=0,"","-&gt;"&amp;VLOOKUP(TableFields[Field],Columns[],5,0))</f>
        <v>-&gt;nullable()</v>
      </c>
      <c r="G281" s="4" t="str">
        <f>IF(VLOOKUP(TableFields[Field],Columns[],6,0)=0,"","-&gt;"&amp;VLOOKUP(TableFields[Field],Columns[],6,0))</f>
        <v>-&gt;default('Active')</v>
      </c>
      <c r="H281" s="4" t="str">
        <f>IF(VLOOKUP(TableFields[Field],Columns[],7,0)=0,"","-&gt;"&amp;VLOOKUP(TableFields[Field],Columns[],7,0))</f>
        <v/>
      </c>
      <c r="I281" s="4" t="str">
        <f>IF(VLOOKUP(TableFields[Field],Columns[],8,0)=0,"","-&gt;"&amp;VLOOKUP(TableFields[Field],Columns[],8,0))</f>
        <v/>
      </c>
      <c r="J281" s="4" t="str">
        <f>IF(VLOOKUP(TableFields[Field],Columns[],9,0)=0,"","-&gt;"&amp;VLOOKUP(TableFields[Field],Columns[],9,0))</f>
        <v/>
      </c>
      <c r="K28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82" spans="1:11" x14ac:dyDescent="0.25">
      <c r="A282" s="4" t="s">
        <v>947</v>
      </c>
      <c r="B282" s="4" t="s">
        <v>288</v>
      </c>
      <c r="C282" s="4" t="str">
        <f>VLOOKUP(TableFields[Field],Columns[],2,0)&amp;"("</f>
        <v>audit(</v>
      </c>
      <c r="D282" s="4" t="str">
        <f>IF(VLOOKUP(TableFields[Field],Columns[],3,0)&lt;&gt;"","'"&amp;VLOOKUP(TableFields[Field],Columns[],3,0)&amp;"'","")</f>
        <v/>
      </c>
      <c r="E2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2" s="4" t="str">
        <f>IF(VLOOKUP(TableFields[Field],Columns[],5,0)=0,"","-&gt;"&amp;VLOOKUP(TableFields[Field],Columns[],5,0))</f>
        <v/>
      </c>
      <c r="G282" s="4" t="str">
        <f>IF(VLOOKUP(TableFields[Field],Columns[],6,0)=0,"","-&gt;"&amp;VLOOKUP(TableFields[Field],Columns[],6,0))</f>
        <v/>
      </c>
      <c r="H282" s="4" t="str">
        <f>IF(VLOOKUP(TableFields[Field],Columns[],7,0)=0,"","-&gt;"&amp;VLOOKUP(TableFields[Field],Columns[],7,0))</f>
        <v/>
      </c>
      <c r="I282" s="4" t="str">
        <f>IF(VLOOKUP(TableFields[Field],Columns[],8,0)=0,"","-&gt;"&amp;VLOOKUP(TableFields[Field],Columns[],8,0))</f>
        <v/>
      </c>
      <c r="J282" s="4" t="str">
        <f>IF(VLOOKUP(TableFields[Field],Columns[],9,0)=0,"","-&gt;"&amp;VLOOKUP(TableFields[Field],Columns[],9,0))</f>
        <v/>
      </c>
      <c r="K28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83" spans="1:11" x14ac:dyDescent="0.25">
      <c r="A283" s="4" t="s">
        <v>948</v>
      </c>
      <c r="B283" s="4" t="s">
        <v>21</v>
      </c>
      <c r="C283" s="4" t="str">
        <f>VLOOKUP(TableFields[Field],Columns[],2,0)&amp;"("</f>
        <v>bigIncrements(</v>
      </c>
      <c r="D283" s="4" t="str">
        <f>IF(VLOOKUP(TableFields[Field],Columns[],3,0)&lt;&gt;"","'"&amp;VLOOKUP(TableFields[Field],Columns[],3,0)&amp;"'","")</f>
        <v>'id'</v>
      </c>
      <c r="E2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3" s="4" t="str">
        <f>IF(VLOOKUP(TableFields[Field],Columns[],5,0)=0,"","-&gt;"&amp;VLOOKUP(TableFields[Field],Columns[],5,0))</f>
        <v/>
      </c>
      <c r="G283" s="4" t="str">
        <f>IF(VLOOKUP(TableFields[Field],Columns[],6,0)=0,"","-&gt;"&amp;VLOOKUP(TableFields[Field],Columns[],6,0))</f>
        <v/>
      </c>
      <c r="H283" s="4" t="str">
        <f>IF(VLOOKUP(TableFields[Field],Columns[],7,0)=0,"","-&gt;"&amp;VLOOKUP(TableFields[Field],Columns[],7,0))</f>
        <v/>
      </c>
      <c r="I283" s="4" t="str">
        <f>IF(VLOOKUP(TableFields[Field],Columns[],8,0)=0,"","-&gt;"&amp;VLOOKUP(TableFields[Field],Columns[],8,0))</f>
        <v/>
      </c>
      <c r="J283" s="4" t="str">
        <f>IF(VLOOKUP(TableFields[Field],Columns[],9,0)=0,"","-&gt;"&amp;VLOOKUP(TableFields[Field],Columns[],9,0))</f>
        <v/>
      </c>
      <c r="K28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84" spans="1:11" x14ac:dyDescent="0.25">
      <c r="A284" s="4" t="s">
        <v>948</v>
      </c>
      <c r="B284" s="4" t="s">
        <v>954</v>
      </c>
      <c r="C284" s="4" t="str">
        <f>VLOOKUP(TableFields[Field],Columns[],2,0)&amp;"("</f>
        <v>foreignNullable(</v>
      </c>
      <c r="D284" s="4" t="str">
        <f>IF(VLOOKUP(TableFields[Field],Columns[],3,0)&lt;&gt;"","'"&amp;VLOOKUP(TableFields[Field],Columns[],3,0)&amp;"'","")</f>
        <v>'so'</v>
      </c>
      <c r="E2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'sales_order')</v>
      </c>
      <c r="F284" s="4" t="str">
        <f>IF(VLOOKUP(TableFields[Field],Columns[],5,0)=0,"","-&gt;"&amp;VLOOKUP(TableFields[Field],Columns[],5,0))</f>
        <v/>
      </c>
      <c r="G284" s="4" t="str">
        <f>IF(VLOOKUP(TableFields[Field],Columns[],6,0)=0,"","-&gt;"&amp;VLOOKUP(TableFields[Field],Columns[],6,0))</f>
        <v/>
      </c>
      <c r="H284" s="4" t="str">
        <f>IF(VLOOKUP(TableFields[Field],Columns[],7,0)=0,"","-&gt;"&amp;VLOOKUP(TableFields[Field],Columns[],7,0))</f>
        <v/>
      </c>
      <c r="I284" s="4" t="str">
        <f>IF(VLOOKUP(TableFields[Field],Columns[],8,0)=0,"","-&gt;"&amp;VLOOKUP(TableFields[Field],Columns[],8,0))</f>
        <v/>
      </c>
      <c r="J284" s="4" t="str">
        <f>IF(VLOOKUP(TableFields[Field],Columns[],9,0)=0,"","-&gt;"&amp;VLOOKUP(TableFields[Field],Columns[],9,0))</f>
        <v/>
      </c>
      <c r="K28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$table-&gt;foreignNullable('so', 'sales_order');</v>
      </c>
    </row>
    <row r="285" spans="1:11" x14ac:dyDescent="0.25">
      <c r="A285" s="4" t="s">
        <v>948</v>
      </c>
      <c r="B285" s="4" t="s">
        <v>820</v>
      </c>
      <c r="C285" s="4" t="str">
        <f>VLOOKUP(TableFields[Field],Columns[],2,0)&amp;"("</f>
        <v>foreignNullable(</v>
      </c>
      <c r="D285" s="4" t="str">
        <f>IF(VLOOKUP(TableFields[Field],Columns[],3,0)&lt;&gt;"","'"&amp;VLOOKUP(TableFields[Field],Columns[],3,0)&amp;"'","")</f>
        <v>'store'</v>
      </c>
      <c r="E2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85" s="4" t="str">
        <f>IF(VLOOKUP(TableFields[Field],Columns[],5,0)=0,"","-&gt;"&amp;VLOOKUP(TableFields[Field],Columns[],5,0))</f>
        <v/>
      </c>
      <c r="G285" s="4" t="str">
        <f>IF(VLOOKUP(TableFields[Field],Columns[],6,0)=0,"","-&gt;"&amp;VLOOKUP(TableFields[Field],Columns[],6,0))</f>
        <v/>
      </c>
      <c r="H285" s="4" t="str">
        <f>IF(VLOOKUP(TableFields[Field],Columns[],7,0)=0,"","-&gt;"&amp;VLOOKUP(TableFields[Field],Columns[],7,0))</f>
        <v/>
      </c>
      <c r="I285" s="4" t="str">
        <f>IF(VLOOKUP(TableFields[Field],Columns[],8,0)=0,"","-&gt;"&amp;VLOOKUP(TableFields[Field],Columns[],8,0))</f>
        <v/>
      </c>
      <c r="J285" s="4" t="str">
        <f>IF(VLOOKUP(TableFields[Field],Columns[],9,0)=0,"","-&gt;"&amp;VLOOKUP(TableFields[Field],Columns[],9,0))</f>
        <v/>
      </c>
      <c r="K28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86" spans="1:11" x14ac:dyDescent="0.25">
      <c r="A286" s="4" t="s">
        <v>948</v>
      </c>
      <c r="B286" s="4" t="s">
        <v>903</v>
      </c>
      <c r="C286" s="4" t="str">
        <f>VLOOKUP(TableFields[Field],Columns[],2,0)&amp;"("</f>
        <v>char(</v>
      </c>
      <c r="D286" s="4" t="str">
        <f>IF(VLOOKUP(TableFields[Field],Columns[],3,0)&lt;&gt;"","'"&amp;VLOOKUP(TableFields[Field],Columns[],3,0)&amp;"'","")</f>
        <v>'fycode'</v>
      </c>
      <c r="E2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6" s="4" t="str">
        <f>IF(VLOOKUP(TableFields[Field],Columns[],5,0)=0,"","-&gt;"&amp;VLOOKUP(TableFields[Field],Columns[],5,0))</f>
        <v>-&gt;nullable()</v>
      </c>
      <c r="G286" s="4" t="str">
        <f>IF(VLOOKUP(TableFields[Field],Columns[],6,0)=0,"","-&gt;"&amp;VLOOKUP(TableFields[Field],Columns[],6,0))</f>
        <v>-&gt;index()</v>
      </c>
      <c r="H286" s="4" t="str">
        <f>IF(VLOOKUP(TableFields[Field],Columns[],7,0)=0,"","-&gt;"&amp;VLOOKUP(TableFields[Field],Columns[],7,0))</f>
        <v/>
      </c>
      <c r="I286" s="4" t="str">
        <f>IF(VLOOKUP(TableFields[Field],Columns[],8,0)=0,"","-&gt;"&amp;VLOOKUP(TableFields[Field],Columns[],8,0))</f>
        <v/>
      </c>
      <c r="J286" s="4" t="str">
        <f>IF(VLOOKUP(TableFields[Field],Columns[],9,0)=0,"","-&gt;"&amp;VLOOKUP(TableFields[Field],Columns[],9,0))</f>
        <v/>
      </c>
      <c r="K286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87" spans="1:11" x14ac:dyDescent="0.25">
      <c r="A287" s="4" t="s">
        <v>948</v>
      </c>
      <c r="B287" s="4" t="s">
        <v>858</v>
      </c>
      <c r="C287" s="4" t="str">
        <f>VLOOKUP(TableFields[Field],Columns[],2,0)&amp;"("</f>
        <v>char(</v>
      </c>
      <c r="D287" s="4" t="str">
        <f>IF(VLOOKUP(TableFields[Field],Columns[],3,0)&lt;&gt;"","'"&amp;VLOOKUP(TableFields[Field],Columns[],3,0)&amp;"'","")</f>
        <v>'fncode'</v>
      </c>
      <c r="E2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87" s="4" t="str">
        <f>IF(VLOOKUP(TableFields[Field],Columns[],5,0)=0,"","-&gt;"&amp;VLOOKUP(TableFields[Field],Columns[],5,0))</f>
        <v>-&gt;nullable()</v>
      </c>
      <c r="G287" s="4" t="str">
        <f>IF(VLOOKUP(TableFields[Field],Columns[],6,0)=0,"","-&gt;"&amp;VLOOKUP(TableFields[Field],Columns[],6,0))</f>
        <v>-&gt;index()</v>
      </c>
      <c r="H287" s="4" t="str">
        <f>IF(VLOOKUP(TableFields[Field],Columns[],7,0)=0,"","-&gt;"&amp;VLOOKUP(TableFields[Field],Columns[],7,0))</f>
        <v/>
      </c>
      <c r="I287" s="4" t="str">
        <f>IF(VLOOKUP(TableFields[Field],Columns[],8,0)=0,"","-&gt;"&amp;VLOOKUP(TableFields[Field],Columns[],8,0))</f>
        <v/>
      </c>
      <c r="J287" s="4" t="str">
        <f>IF(VLOOKUP(TableFields[Field],Columns[],9,0)=0,"","-&gt;"&amp;VLOOKUP(TableFields[Field],Columns[],9,0))</f>
        <v/>
      </c>
      <c r="K287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288" spans="1:11" x14ac:dyDescent="0.25">
      <c r="A288" s="4" t="s">
        <v>948</v>
      </c>
      <c r="B288" s="4" t="s">
        <v>821</v>
      </c>
      <c r="C288" s="4" t="str">
        <f>VLOOKUP(TableFields[Field],Columns[],2,0)&amp;"("</f>
        <v>foreignNullable(</v>
      </c>
      <c r="D288" s="4" t="str">
        <f>IF(VLOOKUP(TableFields[Field],Columns[],3,0)&lt;&gt;"","'"&amp;VLOOKUP(TableFields[Field],Columns[],3,0)&amp;"'","")</f>
        <v>'product'</v>
      </c>
      <c r="E2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88" s="4" t="str">
        <f>IF(VLOOKUP(TableFields[Field],Columns[],5,0)=0,"","-&gt;"&amp;VLOOKUP(TableFields[Field],Columns[],5,0))</f>
        <v/>
      </c>
      <c r="G288" s="4" t="str">
        <f>IF(VLOOKUP(TableFields[Field],Columns[],6,0)=0,"","-&gt;"&amp;VLOOKUP(TableFields[Field],Columns[],6,0))</f>
        <v/>
      </c>
      <c r="H288" s="4" t="str">
        <f>IF(VLOOKUP(TableFields[Field],Columns[],7,0)=0,"","-&gt;"&amp;VLOOKUP(TableFields[Field],Columns[],7,0))</f>
        <v/>
      </c>
      <c r="I288" s="4" t="str">
        <f>IF(VLOOKUP(TableFields[Field],Columns[],8,0)=0,"","-&gt;"&amp;VLOOKUP(TableFields[Field],Columns[],8,0))</f>
        <v/>
      </c>
      <c r="J288" s="4" t="str">
        <f>IF(VLOOKUP(TableFields[Field],Columns[],9,0)=0,"","-&gt;"&amp;VLOOKUP(TableFields[Field],Columns[],9,0))</f>
        <v/>
      </c>
      <c r="K28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89" spans="1:11" x14ac:dyDescent="0.25">
      <c r="A289" s="4" t="s">
        <v>948</v>
      </c>
      <c r="B289" s="4" t="s">
        <v>956</v>
      </c>
      <c r="C289" s="4" t="str">
        <f>VLOOKUP(TableFields[Field],Columns[],2,0)&amp;"("</f>
        <v>decimal(</v>
      </c>
      <c r="D289" s="4" t="str">
        <f>IF(VLOOKUP(TableFields[Field],Columns[],3,0)&lt;&gt;"","'"&amp;VLOOKUP(TableFields[Field],Columns[],3,0)&amp;"'","")</f>
        <v>'rate'</v>
      </c>
      <c r="E2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9" s="4" t="str">
        <f>IF(VLOOKUP(TableFields[Field],Columns[],5,0)=0,"","-&gt;"&amp;VLOOKUP(TableFields[Field],Columns[],5,0))</f>
        <v>-&gt;default(0)</v>
      </c>
      <c r="G289" s="4" t="str">
        <f>IF(VLOOKUP(TableFields[Field],Columns[],6,0)=0,"","-&gt;"&amp;VLOOKUP(TableFields[Field],Columns[],6,0))</f>
        <v/>
      </c>
      <c r="H289" s="4" t="str">
        <f>IF(VLOOKUP(TableFields[Field],Columns[],7,0)=0,"","-&gt;"&amp;VLOOKUP(TableFields[Field],Columns[],7,0))</f>
        <v/>
      </c>
      <c r="I289" s="4" t="str">
        <f>IF(VLOOKUP(TableFields[Field],Columns[],8,0)=0,"","-&gt;"&amp;VLOOKUP(TableFields[Field],Columns[],8,0))</f>
        <v/>
      </c>
      <c r="J289" s="4" t="str">
        <f>IF(VLOOKUP(TableFields[Field],Columns[],9,0)=0,"","-&gt;"&amp;VLOOKUP(TableFields[Field],Columns[],9,0))</f>
        <v/>
      </c>
      <c r="K289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90" spans="1:11" x14ac:dyDescent="0.25">
      <c r="A290" s="4" t="s">
        <v>948</v>
      </c>
      <c r="B290" s="4" t="s">
        <v>826</v>
      </c>
      <c r="C290" s="4" t="str">
        <f>VLOOKUP(TableFields[Field],Columns[],2,0)&amp;"("</f>
        <v>decimal(</v>
      </c>
      <c r="D290" s="4" t="str">
        <f>IF(VLOOKUP(TableFields[Field],Columns[],3,0)&lt;&gt;"","'"&amp;VLOOKUP(TableFields[Field],Columns[],3,0)&amp;"'","")</f>
        <v>'quantity'</v>
      </c>
      <c r="E2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0" s="4" t="str">
        <f>IF(VLOOKUP(TableFields[Field],Columns[],5,0)=0,"","-&gt;"&amp;VLOOKUP(TableFields[Field],Columns[],5,0))</f>
        <v>-&gt;default(1)</v>
      </c>
      <c r="G290" s="4" t="str">
        <f>IF(VLOOKUP(TableFields[Field],Columns[],6,0)=0,"","-&gt;"&amp;VLOOKUP(TableFields[Field],Columns[],6,0))</f>
        <v/>
      </c>
      <c r="H290" s="4" t="str">
        <f>IF(VLOOKUP(TableFields[Field],Columns[],7,0)=0,"","-&gt;"&amp;VLOOKUP(TableFields[Field],Columns[],7,0))</f>
        <v/>
      </c>
      <c r="I290" s="4" t="str">
        <f>IF(VLOOKUP(TableFields[Field],Columns[],8,0)=0,"","-&gt;"&amp;VLOOKUP(TableFields[Field],Columns[],8,0))</f>
        <v/>
      </c>
      <c r="J290" s="4" t="str">
        <f>IF(VLOOKUP(TableFields[Field],Columns[],9,0)=0,"","-&gt;"&amp;VLOOKUP(TableFields[Field],Columns[],9,0))</f>
        <v/>
      </c>
      <c r="K290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91" spans="1:11" x14ac:dyDescent="0.25">
      <c r="A291" s="4" t="s">
        <v>948</v>
      </c>
      <c r="B291" s="4" t="s">
        <v>914</v>
      </c>
      <c r="C291" s="4" t="str">
        <f>VLOOKUP(TableFields[Field],Columns[],2,0)&amp;"("</f>
        <v>char(</v>
      </c>
      <c r="D291" s="4" t="str">
        <f>IF(VLOOKUP(TableFields[Field],Columns[],3,0)&lt;&gt;"","'"&amp;VLOOKUP(TableFields[Field],Columns[],3,0)&amp;"'","")</f>
        <v>'taxrule'</v>
      </c>
      <c r="E2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91" s="4" t="str">
        <f>IF(VLOOKUP(TableFields[Field],Columns[],5,0)=0,"","-&gt;"&amp;VLOOKUP(TableFields[Field],Columns[],5,0))</f>
        <v>-&gt;nullable()</v>
      </c>
      <c r="G291" s="4" t="str">
        <f>IF(VLOOKUP(TableFields[Field],Columns[],6,0)=0,"","-&gt;"&amp;VLOOKUP(TableFields[Field],Columns[],6,0))</f>
        <v/>
      </c>
      <c r="H291" s="4" t="str">
        <f>IF(VLOOKUP(TableFields[Field],Columns[],7,0)=0,"","-&gt;"&amp;VLOOKUP(TableFields[Field],Columns[],7,0))</f>
        <v/>
      </c>
      <c r="I291" s="4" t="str">
        <f>IF(VLOOKUP(TableFields[Field],Columns[],8,0)=0,"","-&gt;"&amp;VLOOKUP(TableFields[Field],Columns[],8,0))</f>
        <v/>
      </c>
      <c r="J291" s="4" t="str">
        <f>IF(VLOOKUP(TableFields[Field],Columns[],9,0)=0,"","-&gt;"&amp;VLOOKUP(TableFields[Field],Columns[],9,0))</f>
        <v/>
      </c>
      <c r="K291" s="4" t="str">
        <f>"$table-&gt;"&amp;TableFields[Type]&amp;TableFields[Name]&amp;TableFields[Arg2]&amp;TableFields[Method1]&amp;TableFields[Method2]&amp;TableFields[Method3]&amp;TableFields[Method4]&amp;TableFields[Method5]&amp;";"</f>
        <v>$table-&gt;char('taxrule', '15')-&gt;nullable();</v>
      </c>
    </row>
    <row r="292" spans="1:11" x14ac:dyDescent="0.25">
      <c r="A292" s="4" t="s">
        <v>948</v>
      </c>
      <c r="B292" s="4" t="s">
        <v>901</v>
      </c>
      <c r="C292" s="4" t="str">
        <f>VLOOKUP(TableFields[Field],Columns[],2,0)&amp;"("</f>
        <v>decimal(</v>
      </c>
      <c r="D292" s="4" t="str">
        <f>IF(VLOOKUP(TableFields[Field],Columns[],3,0)&lt;&gt;"","'"&amp;VLOOKUP(TableFields[Field],Columns[],3,0)&amp;"'","")</f>
        <v>'tax'</v>
      </c>
      <c r="E2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2" s="4" t="str">
        <f>IF(VLOOKUP(TableFields[Field],Columns[],5,0)=0,"","-&gt;"&amp;VLOOKUP(TableFields[Field],Columns[],5,0))</f>
        <v>-&gt;default(0)</v>
      </c>
      <c r="G292" s="4" t="str">
        <f>IF(VLOOKUP(TableFields[Field],Columns[],6,0)=0,"","-&gt;"&amp;VLOOKUP(TableFields[Field],Columns[],6,0))</f>
        <v/>
      </c>
      <c r="H292" s="4" t="str">
        <f>IF(VLOOKUP(TableFields[Field],Columns[],7,0)=0,"","-&gt;"&amp;VLOOKUP(TableFields[Field],Columns[],7,0))</f>
        <v/>
      </c>
      <c r="I292" s="4" t="str">
        <f>IF(VLOOKUP(TableFields[Field],Columns[],8,0)=0,"","-&gt;"&amp;VLOOKUP(TableFields[Field],Columns[],8,0))</f>
        <v/>
      </c>
      <c r="J292" s="4" t="str">
        <f>IF(VLOOKUP(TableFields[Field],Columns[],9,0)=0,"","-&gt;"&amp;VLOOKUP(TableFields[Field],Columns[],9,0))</f>
        <v/>
      </c>
      <c r="K292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93" spans="1:11" x14ac:dyDescent="0.25">
      <c r="A293" s="4" t="s">
        <v>948</v>
      </c>
      <c r="B293" s="2" t="s">
        <v>934</v>
      </c>
      <c r="C293" s="4" t="str">
        <f>VLOOKUP(TableFields[Field],Columns[],2,0)&amp;"("</f>
        <v>decimal(</v>
      </c>
      <c r="D293" s="4" t="str">
        <f>IF(VLOOKUP(TableFields[Field],Columns[],3,0)&lt;&gt;"","'"&amp;VLOOKUP(TableFields[Field],Columns[],3,0)&amp;"'","")</f>
        <v>'discount01'</v>
      </c>
      <c r="E2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3" s="4" t="str">
        <f>IF(VLOOKUP(TableFields[Field],Columns[],5,0)=0,"","-&gt;"&amp;VLOOKUP(TableFields[Field],Columns[],5,0))</f>
        <v>-&gt;default(0)</v>
      </c>
      <c r="G293" s="4" t="str">
        <f>IF(VLOOKUP(TableFields[Field],Columns[],6,0)=0,"","-&gt;"&amp;VLOOKUP(TableFields[Field],Columns[],6,0))</f>
        <v/>
      </c>
      <c r="H293" s="4" t="str">
        <f>IF(VLOOKUP(TableFields[Field],Columns[],7,0)=0,"","-&gt;"&amp;VLOOKUP(TableFields[Field],Columns[],7,0))</f>
        <v/>
      </c>
      <c r="I293" s="4" t="str">
        <f>IF(VLOOKUP(TableFields[Field],Columns[],8,0)=0,"","-&gt;"&amp;VLOOKUP(TableFields[Field],Columns[],8,0))</f>
        <v/>
      </c>
      <c r="J293" s="4" t="str">
        <f>IF(VLOOKUP(TableFields[Field],Columns[],9,0)=0,"","-&gt;"&amp;VLOOKUP(TableFields[Field],Columns[],9,0))</f>
        <v/>
      </c>
      <c r="K293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$table-&gt;decimal('discount01', 30,10)-&gt;default(0);</v>
      </c>
    </row>
    <row r="294" spans="1:11" x14ac:dyDescent="0.25">
      <c r="A294" s="4" t="s">
        <v>948</v>
      </c>
      <c r="B294" s="2" t="s">
        <v>933</v>
      </c>
      <c r="C294" s="4" t="str">
        <f>VLOOKUP(TableFields[Field],Columns[],2,0)&amp;"("</f>
        <v>decimal(</v>
      </c>
      <c r="D294" s="4" t="str">
        <f>IF(VLOOKUP(TableFields[Field],Columns[],3,0)&lt;&gt;"","'"&amp;VLOOKUP(TableFields[Field],Columns[],3,0)&amp;"'","")</f>
        <v>'discount02'</v>
      </c>
      <c r="E2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4" s="4" t="str">
        <f>IF(VLOOKUP(TableFields[Field],Columns[],5,0)=0,"","-&gt;"&amp;VLOOKUP(TableFields[Field],Columns[],5,0))</f>
        <v>-&gt;default(0)</v>
      </c>
      <c r="G294" s="4" t="str">
        <f>IF(VLOOKUP(TableFields[Field],Columns[],6,0)=0,"","-&gt;"&amp;VLOOKUP(TableFields[Field],Columns[],6,0))</f>
        <v/>
      </c>
      <c r="H294" s="4" t="str">
        <f>IF(VLOOKUP(TableFields[Field],Columns[],7,0)=0,"","-&gt;"&amp;VLOOKUP(TableFields[Field],Columns[],7,0))</f>
        <v/>
      </c>
      <c r="I294" s="4" t="str">
        <f>IF(VLOOKUP(TableFields[Field],Columns[],8,0)=0,"","-&gt;"&amp;VLOOKUP(TableFields[Field],Columns[],8,0))</f>
        <v/>
      </c>
      <c r="J294" s="4" t="str">
        <f>IF(VLOOKUP(TableFields[Field],Columns[],9,0)=0,"","-&gt;"&amp;VLOOKUP(TableFields[Field],Columns[],9,0))</f>
        <v/>
      </c>
      <c r="K294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$table-&gt;decimal('discount02', 30,10)-&gt;default(0);</v>
      </c>
    </row>
    <row r="295" spans="1:11" x14ac:dyDescent="0.25">
      <c r="A295" s="4" t="s">
        <v>948</v>
      </c>
      <c r="B295" s="4" t="s">
        <v>1584</v>
      </c>
      <c r="C295" s="4" t="str">
        <f>VLOOKUP(TableFields[Field],Columns[],2,0)&amp;"("</f>
        <v>char(</v>
      </c>
      <c r="D295" s="4" t="str">
        <f>IF(VLOOKUP(TableFields[Field],Columns[],3,0)&lt;&gt;"","'"&amp;VLOOKUP(TableFields[Field],Columns[],3,0)&amp;"'","")</f>
        <v>'_ref'</v>
      </c>
      <c r="E2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95" s="4" t="str">
        <f>IF(VLOOKUP(TableFields[Field],Columns[],5,0)=0,"","-&gt;"&amp;VLOOKUP(TableFields[Field],Columns[],5,0))</f>
        <v>-&gt;nullable()</v>
      </c>
      <c r="G295" s="4" t="str">
        <f>IF(VLOOKUP(TableFields[Field],Columns[],6,0)=0,"","-&gt;"&amp;VLOOKUP(TableFields[Field],Columns[],6,0))</f>
        <v>-&gt;index()</v>
      </c>
      <c r="H295" s="4" t="str">
        <f>IF(VLOOKUP(TableFields[Field],Columns[],7,0)=0,"","-&gt;"&amp;VLOOKUP(TableFields[Field],Columns[],7,0))</f>
        <v/>
      </c>
      <c r="I295" s="4" t="str">
        <f>IF(VLOOKUP(TableFields[Field],Columns[],8,0)=0,"","-&gt;"&amp;VLOOKUP(TableFields[Field],Columns[],8,0))</f>
        <v/>
      </c>
      <c r="J295" s="4" t="str">
        <f>IF(VLOOKUP(TableFields[Field],Columns[],9,0)=0,"","-&gt;"&amp;VLOOKUP(TableFields[Field],Columns[],9,0))</f>
        <v/>
      </c>
      <c r="K295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96" spans="1:11" x14ac:dyDescent="0.25">
      <c r="A296" s="4" t="s">
        <v>948</v>
      </c>
      <c r="B296" s="4" t="s">
        <v>288</v>
      </c>
      <c r="C296" s="4" t="str">
        <f>VLOOKUP(TableFields[Field],Columns[],2,0)&amp;"("</f>
        <v>audit(</v>
      </c>
      <c r="D296" s="4" t="str">
        <f>IF(VLOOKUP(TableFields[Field],Columns[],3,0)&lt;&gt;"","'"&amp;VLOOKUP(TableFields[Field],Columns[],3,0)&amp;"'","")</f>
        <v/>
      </c>
      <c r="E2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6" s="4" t="str">
        <f>IF(VLOOKUP(TableFields[Field],Columns[],5,0)=0,"","-&gt;"&amp;VLOOKUP(TableFields[Field],Columns[],5,0))</f>
        <v/>
      </c>
      <c r="G296" s="4" t="str">
        <f>IF(VLOOKUP(TableFields[Field],Columns[],6,0)=0,"","-&gt;"&amp;VLOOKUP(TableFields[Field],Columns[],6,0))</f>
        <v/>
      </c>
      <c r="H296" s="4" t="str">
        <f>IF(VLOOKUP(TableFields[Field],Columns[],7,0)=0,"","-&gt;"&amp;VLOOKUP(TableFields[Field],Columns[],7,0))</f>
        <v/>
      </c>
      <c r="I296" s="4" t="str">
        <f>IF(VLOOKUP(TableFields[Field],Columns[],8,0)=0,"","-&gt;"&amp;VLOOKUP(TableFields[Field],Columns[],8,0))</f>
        <v/>
      </c>
      <c r="J296" s="4" t="str">
        <f>IF(VLOOKUP(TableFields[Field],Columns[],9,0)=0,"","-&gt;"&amp;VLOOKUP(TableFields[Field],Columns[],9,0))</f>
        <v/>
      </c>
      <c r="K29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7" spans="1:11" x14ac:dyDescent="0.25">
      <c r="A297" s="4" t="s">
        <v>904</v>
      </c>
      <c r="B297" s="4" t="s">
        <v>21</v>
      </c>
      <c r="C297" s="4" t="str">
        <f>VLOOKUP(TableFields[Field],Columns[],2,0)&amp;"("</f>
        <v>bigIncrements(</v>
      </c>
      <c r="D297" s="4" t="str">
        <f>IF(VLOOKUP(TableFields[Field],Columns[],3,0)&lt;&gt;"","'"&amp;VLOOKUP(TableFields[Field],Columns[],3,0)&amp;"'","")</f>
        <v>'id'</v>
      </c>
      <c r="E2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7" s="4" t="str">
        <f>IF(VLOOKUP(TableFields[Field],Columns[],5,0)=0,"","-&gt;"&amp;VLOOKUP(TableFields[Field],Columns[],5,0))</f>
        <v/>
      </c>
      <c r="G297" s="4" t="str">
        <f>IF(VLOOKUP(TableFields[Field],Columns[],6,0)=0,"","-&gt;"&amp;VLOOKUP(TableFields[Field],Columns[],6,0))</f>
        <v/>
      </c>
      <c r="H297" s="4" t="str">
        <f>IF(VLOOKUP(TableFields[Field],Columns[],7,0)=0,"","-&gt;"&amp;VLOOKUP(TableFields[Field],Columns[],7,0))</f>
        <v/>
      </c>
      <c r="I297" s="4" t="str">
        <f>IF(VLOOKUP(TableFields[Field],Columns[],8,0)=0,"","-&gt;"&amp;VLOOKUP(TableFields[Field],Columns[],8,0))</f>
        <v/>
      </c>
      <c r="J297" s="4" t="str">
        <f>IF(VLOOKUP(TableFields[Field],Columns[],9,0)=0,"","-&gt;"&amp;VLOOKUP(TableFields[Field],Columns[],9,0))</f>
        <v/>
      </c>
      <c r="K29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98" spans="1:11" x14ac:dyDescent="0.25">
      <c r="A298" s="4" t="s">
        <v>904</v>
      </c>
      <c r="B298" s="4" t="s">
        <v>907</v>
      </c>
      <c r="C298" s="4" t="str">
        <f>VLOOKUP(TableFields[Field],Columns[],2,0)&amp;"("</f>
        <v>foreignNullable(</v>
      </c>
      <c r="D298" s="4" t="str">
        <f>IF(VLOOKUP(TableFields[Field],Columns[],3,0)&lt;&gt;"","'"&amp;VLOOKUP(TableFields[Field],Columns[],3,0)&amp;"'","")</f>
        <v>'out'</v>
      </c>
      <c r="E2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98" s="4" t="str">
        <f>IF(VLOOKUP(TableFields[Field],Columns[],5,0)=0,"","-&gt;"&amp;VLOOKUP(TableFields[Field],Columns[],5,0))</f>
        <v/>
      </c>
      <c r="G298" s="4" t="str">
        <f>IF(VLOOKUP(TableFields[Field],Columns[],6,0)=0,"","-&gt;"&amp;VLOOKUP(TableFields[Field],Columns[],6,0))</f>
        <v/>
      </c>
      <c r="H298" s="4" t="str">
        <f>IF(VLOOKUP(TableFields[Field],Columns[],7,0)=0,"","-&gt;"&amp;VLOOKUP(TableFields[Field],Columns[],7,0))</f>
        <v/>
      </c>
      <c r="I298" s="4" t="str">
        <f>IF(VLOOKUP(TableFields[Field],Columns[],8,0)=0,"","-&gt;"&amp;VLOOKUP(TableFields[Field],Columns[],8,0))</f>
        <v/>
      </c>
      <c r="J298" s="4" t="str">
        <f>IF(VLOOKUP(TableFields[Field],Columns[],9,0)=0,"","-&gt;"&amp;VLOOKUP(TableFields[Field],Columns[],9,0))</f>
        <v/>
      </c>
      <c r="K29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$table-&gt;foreignNullable('out', 'transactions');</v>
      </c>
    </row>
    <row r="299" spans="1:11" x14ac:dyDescent="0.25">
      <c r="A299" s="4" t="s">
        <v>904</v>
      </c>
      <c r="B299" s="4" t="s">
        <v>905</v>
      </c>
      <c r="C299" s="4" t="str">
        <f>VLOOKUP(TableFields[Field],Columns[],2,0)&amp;"("</f>
        <v>foreignNullable(</v>
      </c>
      <c r="D299" s="4" t="str">
        <f>IF(VLOOKUP(TableFields[Field],Columns[],3,0)&lt;&gt;"","'"&amp;VLOOKUP(TableFields[Field],Columns[],3,0)&amp;"'","")</f>
        <v>'in'</v>
      </c>
      <c r="E2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99" s="4" t="str">
        <f>IF(VLOOKUP(TableFields[Field],Columns[],5,0)=0,"","-&gt;"&amp;VLOOKUP(TableFields[Field],Columns[],5,0))</f>
        <v/>
      </c>
      <c r="G299" s="4" t="str">
        <f>IF(VLOOKUP(TableFields[Field],Columns[],6,0)=0,"","-&gt;"&amp;VLOOKUP(TableFields[Field],Columns[],6,0))</f>
        <v/>
      </c>
      <c r="H299" s="4" t="str">
        <f>IF(VLOOKUP(TableFields[Field],Columns[],7,0)=0,"","-&gt;"&amp;VLOOKUP(TableFields[Field],Columns[],7,0))</f>
        <v/>
      </c>
      <c r="I299" s="4" t="str">
        <f>IF(VLOOKUP(TableFields[Field],Columns[],8,0)=0,"","-&gt;"&amp;VLOOKUP(TableFields[Field],Columns[],8,0))</f>
        <v/>
      </c>
      <c r="J299" s="4" t="str">
        <f>IF(VLOOKUP(TableFields[Field],Columns[],9,0)=0,"","-&gt;"&amp;VLOOKUP(TableFields[Field],Columns[],9,0))</f>
        <v/>
      </c>
      <c r="K29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$table-&gt;foreignNullable('in', 'transactions');</v>
      </c>
    </row>
    <row r="300" spans="1:11" x14ac:dyDescent="0.25">
      <c r="A300" s="4" t="s">
        <v>904</v>
      </c>
      <c r="B300" s="4" t="s">
        <v>909</v>
      </c>
      <c r="C300" s="4" t="str">
        <f>VLOOKUP(TableFields[Field],Columns[],2,0)&amp;"("</f>
        <v>foreignNullable(</v>
      </c>
      <c r="D300" s="4" t="str">
        <f>IF(VLOOKUP(TableFields[Field],Columns[],3,0)&lt;&gt;"","'"&amp;VLOOKUP(TableFields[Field],Columns[],3,0)&amp;"'","")</f>
        <v>'verified_by'</v>
      </c>
      <c r="E3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00" s="4" t="str">
        <f>IF(VLOOKUP(TableFields[Field],Columns[],5,0)=0,"","-&gt;"&amp;VLOOKUP(TableFields[Field],Columns[],5,0))</f>
        <v/>
      </c>
      <c r="G300" s="4" t="str">
        <f>IF(VLOOKUP(TableFields[Field],Columns[],6,0)=0,"","-&gt;"&amp;VLOOKUP(TableFields[Field],Columns[],6,0))</f>
        <v/>
      </c>
      <c r="H300" s="4" t="str">
        <f>IF(VLOOKUP(TableFields[Field],Columns[],7,0)=0,"","-&gt;"&amp;VLOOKUP(TableFields[Field],Columns[],7,0))</f>
        <v/>
      </c>
      <c r="I300" s="4" t="str">
        <f>IF(VLOOKUP(TableFields[Field],Columns[],8,0)=0,"","-&gt;"&amp;VLOOKUP(TableFields[Field],Columns[],8,0))</f>
        <v/>
      </c>
      <c r="J300" s="4" t="str">
        <f>IF(VLOOKUP(TableFields[Field],Columns[],9,0)=0,"","-&gt;"&amp;VLOOKUP(TableFields[Field],Columns[],9,0))</f>
        <v/>
      </c>
      <c r="K30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$table-&gt;foreignNullable('verified_by', 'users');</v>
      </c>
    </row>
    <row r="301" spans="1:11" x14ac:dyDescent="0.25">
      <c r="A301" s="4" t="s">
        <v>904</v>
      </c>
      <c r="B301" s="4" t="s">
        <v>910</v>
      </c>
      <c r="C301" s="4" t="str">
        <f>VLOOKUP(TableFields[Field],Columns[],2,0)&amp;"("</f>
        <v>timestamp(</v>
      </c>
      <c r="D301" s="4" t="str">
        <f>IF(VLOOKUP(TableFields[Field],Columns[],3,0)&lt;&gt;"","'"&amp;VLOOKUP(TableFields[Field],Columns[],3,0)&amp;"'","")</f>
        <v>'verified_at'</v>
      </c>
      <c r="E3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1" s="4" t="str">
        <f>IF(VLOOKUP(TableFields[Field],Columns[],5,0)=0,"","-&gt;"&amp;VLOOKUP(TableFields[Field],Columns[],5,0))</f>
        <v>-&gt;nullable()</v>
      </c>
      <c r="G301" s="4" t="str">
        <f>IF(VLOOKUP(TableFields[Field],Columns[],6,0)=0,"","-&gt;"&amp;VLOOKUP(TableFields[Field],Columns[],6,0))</f>
        <v/>
      </c>
      <c r="H301" s="4" t="str">
        <f>IF(VLOOKUP(TableFields[Field],Columns[],7,0)=0,"","-&gt;"&amp;VLOOKUP(TableFields[Field],Columns[],7,0))</f>
        <v/>
      </c>
      <c r="I301" s="4" t="str">
        <f>IF(VLOOKUP(TableFields[Field],Columns[],8,0)=0,"","-&gt;"&amp;VLOOKUP(TableFields[Field],Columns[],8,0))</f>
        <v/>
      </c>
      <c r="J301" s="4" t="str">
        <f>IF(VLOOKUP(TableFields[Field],Columns[],9,0)=0,"","-&gt;"&amp;VLOOKUP(TableFields[Field],Columns[],9,0))</f>
        <v/>
      </c>
      <c r="K301" s="4" t="str">
        <f>"$table-&gt;"&amp;TableFields[Type]&amp;TableFields[Name]&amp;TableFields[Arg2]&amp;TableFields[Method1]&amp;TableFields[Method2]&amp;TableFields[Method3]&amp;TableFields[Method4]&amp;TableFields[Method5]&amp;";"</f>
        <v>$table-&gt;timestamp('verified_at')-&gt;nullable();</v>
      </c>
    </row>
    <row r="302" spans="1:11" x14ac:dyDescent="0.25">
      <c r="A302" s="4" t="s">
        <v>904</v>
      </c>
      <c r="B302" s="4" t="s">
        <v>288</v>
      </c>
      <c r="C302" s="4" t="str">
        <f>VLOOKUP(TableFields[Field],Columns[],2,0)&amp;"("</f>
        <v>audit(</v>
      </c>
      <c r="D302" s="4" t="str">
        <f>IF(VLOOKUP(TableFields[Field],Columns[],3,0)&lt;&gt;"","'"&amp;VLOOKUP(TableFields[Field],Columns[],3,0)&amp;"'","")</f>
        <v/>
      </c>
      <c r="E3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2" s="4" t="str">
        <f>IF(VLOOKUP(TableFields[Field],Columns[],5,0)=0,"","-&gt;"&amp;VLOOKUP(TableFields[Field],Columns[],5,0))</f>
        <v/>
      </c>
      <c r="G302" s="4" t="str">
        <f>IF(VLOOKUP(TableFields[Field],Columns[],6,0)=0,"","-&gt;"&amp;VLOOKUP(TableFields[Field],Columns[],6,0))</f>
        <v/>
      </c>
      <c r="H302" s="4" t="str">
        <f>IF(VLOOKUP(TableFields[Field],Columns[],7,0)=0,"","-&gt;"&amp;VLOOKUP(TableFields[Field],Columns[],7,0))</f>
        <v/>
      </c>
      <c r="I302" s="4" t="str">
        <f>IF(VLOOKUP(TableFields[Field],Columns[],8,0)=0,"","-&gt;"&amp;VLOOKUP(TableFields[Field],Columns[],8,0))</f>
        <v/>
      </c>
      <c r="J302" s="4" t="str">
        <f>IF(VLOOKUP(TableFields[Field],Columns[],9,0)=0,"","-&gt;"&amp;VLOOKUP(TableFields[Field],Columns[],9,0))</f>
        <v/>
      </c>
      <c r="K30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3" spans="1:11" x14ac:dyDescent="0.25">
      <c r="A303" s="4" t="s">
        <v>882</v>
      </c>
      <c r="B303" s="4" t="s">
        <v>21</v>
      </c>
      <c r="C303" s="4" t="str">
        <f>VLOOKUP(TableFields[Field],Columns[],2,0)&amp;"("</f>
        <v>bigIncrements(</v>
      </c>
      <c r="D303" s="4" t="str">
        <f>IF(VLOOKUP(TableFields[Field],Columns[],3,0)&lt;&gt;"","'"&amp;VLOOKUP(TableFields[Field],Columns[],3,0)&amp;"'","")</f>
        <v>'id'</v>
      </c>
      <c r="E3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3" s="4" t="str">
        <f>IF(VLOOKUP(TableFields[Field],Columns[],5,0)=0,"","-&gt;"&amp;VLOOKUP(TableFields[Field],Columns[],5,0))</f>
        <v/>
      </c>
      <c r="G303" s="4" t="str">
        <f>IF(VLOOKUP(TableFields[Field],Columns[],6,0)=0,"","-&gt;"&amp;VLOOKUP(TableFields[Field],Columns[],6,0))</f>
        <v/>
      </c>
      <c r="H303" s="4" t="str">
        <f>IF(VLOOKUP(TableFields[Field],Columns[],7,0)=0,"","-&gt;"&amp;VLOOKUP(TableFields[Field],Columns[],7,0))</f>
        <v/>
      </c>
      <c r="I303" s="4" t="str">
        <f>IF(VLOOKUP(TableFields[Field],Columns[],8,0)=0,"","-&gt;"&amp;VLOOKUP(TableFields[Field],Columns[],8,0))</f>
        <v/>
      </c>
      <c r="J303" s="4" t="str">
        <f>IF(VLOOKUP(TableFields[Field],Columns[],9,0)=0,"","-&gt;"&amp;VLOOKUP(TableFields[Field],Columns[],9,0))</f>
        <v/>
      </c>
      <c r="K30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4" spans="1:11" x14ac:dyDescent="0.25">
      <c r="A304" s="4" t="s">
        <v>882</v>
      </c>
      <c r="B304" s="4" t="s">
        <v>883</v>
      </c>
      <c r="C304" s="4" t="str">
        <f>VLOOKUP(TableFields[Field],Columns[],2,0)&amp;"("</f>
        <v>unsignedTinyInteger(</v>
      </c>
      <c r="D304" s="4" t="str">
        <f>IF(VLOOKUP(TableFields[Field],Columns[],3,0)&lt;&gt;"","'"&amp;VLOOKUP(TableFields[Field],Columns[],3,0)&amp;"'","")</f>
        <v>'bin'</v>
      </c>
      <c r="E3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4" s="4" t="str">
        <f>IF(VLOOKUP(TableFields[Field],Columns[],5,0)=0,"","-&gt;"&amp;VLOOKUP(TableFields[Field],Columns[],5,0))</f>
        <v>-&gt;default(1)</v>
      </c>
      <c r="G304" s="4" t="str">
        <f>IF(VLOOKUP(TableFields[Field],Columns[],6,0)=0,"","-&gt;"&amp;VLOOKUP(TableFields[Field],Columns[],6,0))</f>
        <v/>
      </c>
      <c r="H304" s="4" t="str">
        <f>IF(VLOOKUP(TableFields[Field],Columns[],7,0)=0,"","-&gt;"&amp;VLOOKUP(TableFields[Field],Columns[],7,0))</f>
        <v/>
      </c>
      <c r="I304" s="4" t="str">
        <f>IF(VLOOKUP(TableFields[Field],Columns[],8,0)=0,"","-&gt;"&amp;VLOOKUP(TableFields[Field],Columns[],8,0))</f>
        <v/>
      </c>
      <c r="J304" s="4" t="str">
        <f>IF(VLOOKUP(TableFields[Field],Columns[],9,0)=0,"","-&gt;"&amp;VLOOKUP(TableFields[Field],Columns[],9,0))</f>
        <v/>
      </c>
      <c r="K304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$table-&gt;unsignedTinyInteger('bin')-&gt;default(1);</v>
      </c>
    </row>
    <row r="305" spans="1:11" x14ac:dyDescent="0.25">
      <c r="A305" s="4" t="s">
        <v>882</v>
      </c>
      <c r="B305" s="4" t="s">
        <v>288</v>
      </c>
      <c r="C305" s="4" t="str">
        <f>VLOOKUP(TableFields[Field],Columns[],2,0)&amp;"("</f>
        <v>audit(</v>
      </c>
      <c r="D305" s="4" t="str">
        <f>IF(VLOOKUP(TableFields[Field],Columns[],3,0)&lt;&gt;"","'"&amp;VLOOKUP(TableFields[Field],Columns[],3,0)&amp;"'","")</f>
        <v/>
      </c>
      <c r="E3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5" s="4" t="str">
        <f>IF(VLOOKUP(TableFields[Field],Columns[],5,0)=0,"","-&gt;"&amp;VLOOKUP(TableFields[Field],Columns[],5,0))</f>
        <v/>
      </c>
      <c r="G305" s="4" t="str">
        <f>IF(VLOOKUP(TableFields[Field],Columns[],6,0)=0,"","-&gt;"&amp;VLOOKUP(TableFields[Field],Columns[],6,0))</f>
        <v/>
      </c>
      <c r="H305" s="4" t="str">
        <f>IF(VLOOKUP(TableFields[Field],Columns[],7,0)=0,"","-&gt;"&amp;VLOOKUP(TableFields[Field],Columns[],7,0))</f>
        <v/>
      </c>
      <c r="I305" s="4" t="str">
        <f>IF(VLOOKUP(TableFields[Field],Columns[],8,0)=0,"","-&gt;"&amp;VLOOKUP(TableFields[Field],Columns[],8,0))</f>
        <v/>
      </c>
      <c r="J305" s="4" t="str">
        <f>IF(VLOOKUP(TableFields[Field],Columns[],9,0)=0,"","-&gt;"&amp;VLOOKUP(TableFields[Field],Columns[],9,0))</f>
        <v/>
      </c>
      <c r="K30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6" spans="1:11" x14ac:dyDescent="0.25">
      <c r="A306" s="4" t="s">
        <v>1270</v>
      </c>
      <c r="B306" s="4" t="s">
        <v>21</v>
      </c>
      <c r="C306" s="4" t="str">
        <f>VLOOKUP(TableFields[Field],Columns[],2,0)&amp;"("</f>
        <v>bigIncrements(</v>
      </c>
      <c r="D306" s="4" t="str">
        <f>IF(VLOOKUP(TableFields[Field],Columns[],3,0)&lt;&gt;"","'"&amp;VLOOKUP(TableFields[Field],Columns[],3,0)&amp;"'","")</f>
        <v>'id'</v>
      </c>
      <c r="E3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6" s="4" t="str">
        <f>IF(VLOOKUP(TableFields[Field],Columns[],5,0)=0,"","-&gt;"&amp;VLOOKUP(TableFields[Field],Columns[],5,0))</f>
        <v/>
      </c>
      <c r="G306" s="4" t="str">
        <f>IF(VLOOKUP(TableFields[Field],Columns[],6,0)=0,"","-&gt;"&amp;VLOOKUP(TableFields[Field],Columns[],6,0))</f>
        <v/>
      </c>
      <c r="H306" s="4" t="str">
        <f>IF(VLOOKUP(TableFields[Field],Columns[],7,0)=0,"","-&gt;"&amp;VLOOKUP(TableFields[Field],Columns[],7,0))</f>
        <v/>
      </c>
      <c r="I306" s="4" t="str">
        <f>IF(VLOOKUP(TableFields[Field],Columns[],8,0)=0,"","-&gt;"&amp;VLOOKUP(TableFields[Field],Columns[],8,0))</f>
        <v/>
      </c>
      <c r="J306" s="4" t="str">
        <f>IF(VLOOKUP(TableFields[Field],Columns[],9,0)=0,"","-&gt;"&amp;VLOOKUP(TableFields[Field],Columns[],9,0))</f>
        <v/>
      </c>
      <c r="K30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7" spans="1:11" x14ac:dyDescent="0.25">
      <c r="A307" s="4" t="s">
        <v>1270</v>
      </c>
      <c r="B307" s="4" t="s">
        <v>23</v>
      </c>
      <c r="C307" s="4" t="str">
        <f>VLOOKUP(TableFields[Field],Columns[],2,0)&amp;"("</f>
        <v>string(</v>
      </c>
      <c r="D307" s="4" t="str">
        <f>IF(VLOOKUP(TableFields[Field],Columns[],3,0)&lt;&gt;"","'"&amp;VLOOKUP(TableFields[Field],Columns[],3,0)&amp;"'","")</f>
        <v>'name'</v>
      </c>
      <c r="E3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07" s="4" t="str">
        <f>IF(VLOOKUP(TableFields[Field],Columns[],5,0)=0,"","-&gt;"&amp;VLOOKUP(TableFields[Field],Columns[],5,0))</f>
        <v>-&gt;nullable()</v>
      </c>
      <c r="G307" s="4" t="str">
        <f>IF(VLOOKUP(TableFields[Field],Columns[],6,0)=0,"","-&gt;"&amp;VLOOKUP(TableFields[Field],Columns[],6,0))</f>
        <v>-&gt;index()</v>
      </c>
      <c r="H307" s="4" t="str">
        <f>IF(VLOOKUP(TableFields[Field],Columns[],7,0)=0,"","-&gt;"&amp;VLOOKUP(TableFields[Field],Columns[],7,0))</f>
        <v/>
      </c>
      <c r="I307" s="4" t="str">
        <f>IF(VLOOKUP(TableFields[Field],Columns[],8,0)=0,"","-&gt;"&amp;VLOOKUP(TableFields[Field],Columns[],8,0))</f>
        <v/>
      </c>
      <c r="J307" s="4" t="str">
        <f>IF(VLOOKUP(TableFields[Field],Columns[],9,0)=0,"","-&gt;"&amp;VLOOKUP(TableFields[Field],Columns[],9,0))</f>
        <v/>
      </c>
      <c r="K307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308" spans="1:11" s="20" customFormat="1" x14ac:dyDescent="0.25">
      <c r="A308" s="4" t="s">
        <v>1270</v>
      </c>
      <c r="B308" s="4" t="s">
        <v>24</v>
      </c>
      <c r="C308" s="4" t="str">
        <f>VLOOKUP(TableFields[Field],Columns[],2,0)&amp;"("</f>
        <v>string(</v>
      </c>
      <c r="D308" s="4" t="str">
        <f>IF(VLOOKUP(TableFields[Field],Columns[],3,0)&lt;&gt;"","'"&amp;VLOOKUP(TableFields[Field],Columns[],3,0)&amp;"'","")</f>
        <v>'description'</v>
      </c>
      <c r="E3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08" s="4" t="str">
        <f>IF(VLOOKUP(TableFields[Field],Columns[],5,0)=0,"","-&gt;"&amp;VLOOKUP(TableFields[Field],Columns[],5,0))</f>
        <v>-&gt;nullable()</v>
      </c>
      <c r="G308" s="4" t="str">
        <f>IF(VLOOKUP(TableFields[Field],Columns[],6,0)=0,"","-&gt;"&amp;VLOOKUP(TableFields[Field],Columns[],6,0))</f>
        <v/>
      </c>
      <c r="H308" s="4" t="str">
        <f>IF(VLOOKUP(TableFields[Field],Columns[],7,0)=0,"","-&gt;"&amp;VLOOKUP(TableFields[Field],Columns[],7,0))</f>
        <v/>
      </c>
      <c r="I308" s="4" t="str">
        <f>IF(VLOOKUP(TableFields[Field],Columns[],8,0)=0,"","-&gt;"&amp;VLOOKUP(TableFields[Field],Columns[],8,0))</f>
        <v/>
      </c>
      <c r="J308" s="4" t="str">
        <f>IF(VLOOKUP(TableFields[Field],Columns[],9,0)=0,"","-&gt;"&amp;VLOOKUP(TableFields[Field],Columns[],9,0))</f>
        <v/>
      </c>
      <c r="K308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309" spans="1:11" x14ac:dyDescent="0.25">
      <c r="A309" s="4" t="s">
        <v>1270</v>
      </c>
      <c r="B309" s="4" t="s">
        <v>44</v>
      </c>
      <c r="C309" s="4" t="str">
        <f>VLOOKUP(TableFields[Field],Columns[],2,0)&amp;"("</f>
        <v>string(</v>
      </c>
      <c r="D309" s="4" t="str">
        <f>IF(VLOOKUP(TableFields[Field],Columns[],3,0)&lt;&gt;"","'"&amp;VLOOKUP(TableFields[Field],Columns[],3,0)&amp;"'","")</f>
        <v>'value'</v>
      </c>
      <c r="E3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09" s="4" t="str">
        <f>IF(VLOOKUP(TableFields[Field],Columns[],5,0)=0,"","-&gt;"&amp;VLOOKUP(TableFields[Field],Columns[],5,0))</f>
        <v>-&gt;nullable()</v>
      </c>
      <c r="G309" s="4" t="str">
        <f>IF(VLOOKUP(TableFields[Field],Columns[],6,0)=0,"","-&gt;"&amp;VLOOKUP(TableFields[Field],Columns[],6,0))</f>
        <v/>
      </c>
      <c r="H309" s="4" t="str">
        <f>IF(VLOOKUP(TableFields[Field],Columns[],7,0)=0,"","-&gt;"&amp;VLOOKUP(TableFields[Field],Columns[],7,0))</f>
        <v/>
      </c>
      <c r="I309" s="4" t="str">
        <f>IF(VLOOKUP(TableFields[Field],Columns[],8,0)=0,"","-&gt;"&amp;VLOOKUP(TableFields[Field],Columns[],8,0))</f>
        <v/>
      </c>
      <c r="J309" s="4" t="str">
        <f>IF(VLOOKUP(TableFields[Field],Columns[],9,0)=0,"","-&gt;"&amp;VLOOKUP(TableFields[Field],Columns[],9,0))</f>
        <v/>
      </c>
      <c r="K309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10" spans="1:11" x14ac:dyDescent="0.25">
      <c r="A310" s="4" t="s">
        <v>1270</v>
      </c>
      <c r="B310" s="4" t="s">
        <v>775</v>
      </c>
      <c r="C310" s="4" t="str">
        <f>VLOOKUP(TableFields[Field],Columns[],2,0)&amp;"("</f>
        <v>enum(</v>
      </c>
      <c r="D310" s="4" t="str">
        <f>IF(VLOOKUP(TableFields[Field],Columns[],3,0)&lt;&gt;"","'"&amp;VLOOKUP(TableFields[Field],Columns[],3,0)&amp;"'","")</f>
        <v>'status'</v>
      </c>
      <c r="E3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10" s="4" t="str">
        <f>IF(VLOOKUP(TableFields[Field],Columns[],5,0)=0,"","-&gt;"&amp;VLOOKUP(TableFields[Field],Columns[],5,0))</f>
        <v>-&gt;nullable()</v>
      </c>
      <c r="G310" s="4" t="str">
        <f>IF(VLOOKUP(TableFields[Field],Columns[],6,0)=0,"","-&gt;"&amp;VLOOKUP(TableFields[Field],Columns[],6,0))</f>
        <v>-&gt;default('Active')</v>
      </c>
      <c r="H310" s="4" t="str">
        <f>IF(VLOOKUP(TableFields[Field],Columns[],7,0)=0,"","-&gt;"&amp;VLOOKUP(TableFields[Field],Columns[],7,0))</f>
        <v/>
      </c>
      <c r="I310" s="4" t="str">
        <f>IF(VLOOKUP(TableFields[Field],Columns[],8,0)=0,"","-&gt;"&amp;VLOOKUP(TableFields[Field],Columns[],8,0))</f>
        <v/>
      </c>
      <c r="J310" s="4" t="str">
        <f>IF(VLOOKUP(TableFields[Field],Columns[],9,0)=0,"","-&gt;"&amp;VLOOKUP(TableFields[Field],Columns[],9,0))</f>
        <v/>
      </c>
      <c r="K310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11" spans="1:11" x14ac:dyDescent="0.25">
      <c r="A311" s="4" t="s">
        <v>1270</v>
      </c>
      <c r="B311" s="4" t="s">
        <v>288</v>
      </c>
      <c r="C311" s="4" t="str">
        <f>VLOOKUP(TableFields[Field],Columns[],2,0)&amp;"("</f>
        <v>audit(</v>
      </c>
      <c r="D311" s="4" t="str">
        <f>IF(VLOOKUP(TableFields[Field],Columns[],3,0)&lt;&gt;"","'"&amp;VLOOKUP(TableFields[Field],Columns[],3,0)&amp;"'","")</f>
        <v/>
      </c>
      <c r="E3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1" s="4" t="str">
        <f>IF(VLOOKUP(TableFields[Field],Columns[],5,0)=0,"","-&gt;"&amp;VLOOKUP(TableFields[Field],Columns[],5,0))</f>
        <v/>
      </c>
      <c r="G311" s="4" t="str">
        <f>IF(VLOOKUP(TableFields[Field],Columns[],6,0)=0,"","-&gt;"&amp;VLOOKUP(TableFields[Field],Columns[],6,0))</f>
        <v/>
      </c>
      <c r="H311" s="4" t="str">
        <f>IF(VLOOKUP(TableFields[Field],Columns[],7,0)=0,"","-&gt;"&amp;VLOOKUP(TableFields[Field],Columns[],7,0))</f>
        <v/>
      </c>
      <c r="I311" s="4" t="str">
        <f>IF(VLOOKUP(TableFields[Field],Columns[],8,0)=0,"","-&gt;"&amp;VLOOKUP(TableFields[Field],Columns[],8,0))</f>
        <v/>
      </c>
      <c r="J311" s="4" t="str">
        <f>IF(VLOOKUP(TableFields[Field],Columns[],9,0)=0,"","-&gt;"&amp;VLOOKUP(TableFields[Field],Columns[],9,0))</f>
        <v/>
      </c>
      <c r="K31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2" spans="1:11" x14ac:dyDescent="0.25">
      <c r="A312" s="4" t="s">
        <v>1271</v>
      </c>
      <c r="B312" s="4" t="s">
        <v>21</v>
      </c>
      <c r="C312" s="4" t="str">
        <f>VLOOKUP(TableFields[Field],Columns[],2,0)&amp;"("</f>
        <v>bigIncrements(</v>
      </c>
      <c r="D312" s="4" t="str">
        <f>IF(VLOOKUP(TableFields[Field],Columns[],3,0)&lt;&gt;"","'"&amp;VLOOKUP(TableFields[Field],Columns[],3,0)&amp;"'","")</f>
        <v>'id'</v>
      </c>
      <c r="E3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2" s="4" t="str">
        <f>IF(VLOOKUP(TableFields[Field],Columns[],5,0)=0,"","-&gt;"&amp;VLOOKUP(TableFields[Field],Columns[],5,0))</f>
        <v/>
      </c>
      <c r="G312" s="4" t="str">
        <f>IF(VLOOKUP(TableFields[Field],Columns[],6,0)=0,"","-&gt;"&amp;VLOOKUP(TableFields[Field],Columns[],6,0))</f>
        <v/>
      </c>
      <c r="H312" s="4" t="str">
        <f>IF(VLOOKUP(TableFields[Field],Columns[],7,0)=0,"","-&gt;"&amp;VLOOKUP(TableFields[Field],Columns[],7,0))</f>
        <v/>
      </c>
      <c r="I312" s="4" t="str">
        <f>IF(VLOOKUP(TableFields[Field],Columns[],8,0)=0,"","-&gt;"&amp;VLOOKUP(TableFields[Field],Columns[],8,0))</f>
        <v/>
      </c>
      <c r="J312" s="4" t="str">
        <f>IF(VLOOKUP(TableFields[Field],Columns[],9,0)=0,"","-&gt;"&amp;VLOOKUP(TableFields[Field],Columns[],9,0))</f>
        <v/>
      </c>
      <c r="K31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13" spans="1:11" x14ac:dyDescent="0.25">
      <c r="A313" s="4" t="s">
        <v>1271</v>
      </c>
      <c r="B313" s="4" t="s">
        <v>889</v>
      </c>
      <c r="C313" s="4" t="str">
        <f>VLOOKUP(TableFields[Field],Columns[],2,0)&amp;"("</f>
        <v>foreignCascade(</v>
      </c>
      <c r="D313" s="4" t="str">
        <f>IF(VLOOKUP(TableFields[Field],Columns[],3,0)&lt;&gt;"","'"&amp;VLOOKUP(TableFields[Field],Columns[],3,0)&amp;"'","")</f>
        <v>'user'</v>
      </c>
      <c r="E3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13" s="4" t="str">
        <f>IF(VLOOKUP(TableFields[Field],Columns[],5,0)=0,"","-&gt;"&amp;VLOOKUP(TableFields[Field],Columns[],5,0))</f>
        <v/>
      </c>
      <c r="G313" s="4" t="str">
        <f>IF(VLOOKUP(TableFields[Field],Columns[],6,0)=0,"","-&gt;"&amp;VLOOKUP(TableFields[Field],Columns[],6,0))</f>
        <v/>
      </c>
      <c r="H313" s="4" t="str">
        <f>IF(VLOOKUP(TableFields[Field],Columns[],7,0)=0,"","-&gt;"&amp;VLOOKUP(TableFields[Field],Columns[],7,0))</f>
        <v/>
      </c>
      <c r="I313" s="4" t="str">
        <f>IF(VLOOKUP(TableFields[Field],Columns[],8,0)=0,"","-&gt;"&amp;VLOOKUP(TableFields[Field],Columns[],8,0))</f>
        <v/>
      </c>
      <c r="J313" s="4" t="str">
        <f>IF(VLOOKUP(TableFields[Field],Columns[],9,0)=0,"","-&gt;"&amp;VLOOKUP(TableFields[Field],Columns[],9,0))</f>
        <v/>
      </c>
      <c r="K313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314" spans="1:11" x14ac:dyDescent="0.25">
      <c r="A314" s="4" t="s">
        <v>1271</v>
      </c>
      <c r="B314" s="4" t="s">
        <v>1274</v>
      </c>
      <c r="C314" s="4" t="str">
        <f>VLOOKUP(TableFields[Field],Columns[],2,0)&amp;"("</f>
        <v>foreignCascade(</v>
      </c>
      <c r="D314" s="4" t="str">
        <f>IF(VLOOKUP(TableFields[Field],Columns[],3,0)&lt;&gt;"","'"&amp;VLOOKUP(TableFields[Field],Columns[],3,0)&amp;"'","")</f>
        <v>'setting'</v>
      </c>
      <c r="E3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'settings')</v>
      </c>
      <c r="F314" s="4" t="str">
        <f>IF(VLOOKUP(TableFields[Field],Columns[],5,0)=0,"","-&gt;"&amp;VLOOKUP(TableFields[Field],Columns[],5,0))</f>
        <v/>
      </c>
      <c r="G314" s="4" t="str">
        <f>IF(VLOOKUP(TableFields[Field],Columns[],6,0)=0,"","-&gt;"&amp;VLOOKUP(TableFields[Field],Columns[],6,0))</f>
        <v/>
      </c>
      <c r="H314" s="4" t="str">
        <f>IF(VLOOKUP(TableFields[Field],Columns[],7,0)=0,"","-&gt;"&amp;VLOOKUP(TableFields[Field],Columns[],7,0))</f>
        <v/>
      </c>
      <c r="I314" s="4" t="str">
        <f>IF(VLOOKUP(TableFields[Field],Columns[],8,0)=0,"","-&gt;"&amp;VLOOKUP(TableFields[Field],Columns[],8,0))</f>
        <v/>
      </c>
      <c r="J314" s="4" t="str">
        <f>IF(VLOOKUP(TableFields[Field],Columns[],9,0)=0,"","-&gt;"&amp;VLOOKUP(TableFields[Field],Columns[],9,0))</f>
        <v/>
      </c>
      <c r="K314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$table-&gt;foreignCascade('setting', 'settings');</v>
      </c>
    </row>
    <row r="315" spans="1:11" x14ac:dyDescent="0.25">
      <c r="A315" s="4" t="s">
        <v>1271</v>
      </c>
      <c r="B315" s="4" t="s">
        <v>44</v>
      </c>
      <c r="C315" s="4" t="str">
        <f>VLOOKUP(TableFields[Field],Columns[],2,0)&amp;"("</f>
        <v>string(</v>
      </c>
      <c r="D315" s="4" t="str">
        <f>IF(VLOOKUP(TableFields[Field],Columns[],3,0)&lt;&gt;"","'"&amp;VLOOKUP(TableFields[Field],Columns[],3,0)&amp;"'","")</f>
        <v>'value'</v>
      </c>
      <c r="E3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15" s="4" t="str">
        <f>IF(VLOOKUP(TableFields[Field],Columns[],5,0)=0,"","-&gt;"&amp;VLOOKUP(TableFields[Field],Columns[],5,0))</f>
        <v>-&gt;nullable()</v>
      </c>
      <c r="G315" s="4" t="str">
        <f>IF(VLOOKUP(TableFields[Field],Columns[],6,0)=0,"","-&gt;"&amp;VLOOKUP(TableFields[Field],Columns[],6,0))</f>
        <v/>
      </c>
      <c r="H315" s="4" t="str">
        <f>IF(VLOOKUP(TableFields[Field],Columns[],7,0)=0,"","-&gt;"&amp;VLOOKUP(TableFields[Field],Columns[],7,0))</f>
        <v/>
      </c>
      <c r="I315" s="4" t="str">
        <f>IF(VLOOKUP(TableFields[Field],Columns[],8,0)=0,"","-&gt;"&amp;VLOOKUP(TableFields[Field],Columns[],8,0))</f>
        <v/>
      </c>
      <c r="J315" s="4" t="str">
        <f>IF(VLOOKUP(TableFields[Field],Columns[],9,0)=0,"","-&gt;"&amp;VLOOKUP(TableFields[Field],Columns[],9,0))</f>
        <v/>
      </c>
      <c r="K315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16" spans="1:11" x14ac:dyDescent="0.25">
      <c r="A316" s="4" t="s">
        <v>1271</v>
      </c>
      <c r="B316" s="4" t="s">
        <v>775</v>
      </c>
      <c r="C316" s="4" t="str">
        <f>VLOOKUP(TableFields[Field],Columns[],2,0)&amp;"("</f>
        <v>enum(</v>
      </c>
      <c r="D316" s="4" t="str">
        <f>IF(VLOOKUP(TableFields[Field],Columns[],3,0)&lt;&gt;"","'"&amp;VLOOKUP(TableFields[Field],Columns[],3,0)&amp;"'","")</f>
        <v>'status'</v>
      </c>
      <c r="E3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16" s="4" t="str">
        <f>IF(VLOOKUP(TableFields[Field],Columns[],5,0)=0,"","-&gt;"&amp;VLOOKUP(TableFields[Field],Columns[],5,0))</f>
        <v>-&gt;nullable()</v>
      </c>
      <c r="G316" s="4" t="str">
        <f>IF(VLOOKUP(TableFields[Field],Columns[],6,0)=0,"","-&gt;"&amp;VLOOKUP(TableFields[Field],Columns[],6,0))</f>
        <v>-&gt;default('Active')</v>
      </c>
      <c r="H316" s="4" t="str">
        <f>IF(VLOOKUP(TableFields[Field],Columns[],7,0)=0,"","-&gt;"&amp;VLOOKUP(TableFields[Field],Columns[],7,0))</f>
        <v/>
      </c>
      <c r="I316" s="4" t="str">
        <f>IF(VLOOKUP(TableFields[Field],Columns[],8,0)=0,"","-&gt;"&amp;VLOOKUP(TableFields[Field],Columns[],8,0))</f>
        <v/>
      </c>
      <c r="J316" s="4" t="str">
        <f>IF(VLOOKUP(TableFields[Field],Columns[],9,0)=0,"","-&gt;"&amp;VLOOKUP(TableFields[Field],Columns[],9,0))</f>
        <v/>
      </c>
      <c r="K31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17" spans="1:11" x14ac:dyDescent="0.25">
      <c r="A317" s="4" t="s">
        <v>1271</v>
      </c>
      <c r="B317" s="4" t="s">
        <v>288</v>
      </c>
      <c r="C317" s="4" t="str">
        <f>VLOOKUP(TableFields[Field],Columns[],2,0)&amp;"("</f>
        <v>audit(</v>
      </c>
      <c r="D317" s="4" t="str">
        <f>IF(VLOOKUP(TableFields[Field],Columns[],3,0)&lt;&gt;"","'"&amp;VLOOKUP(TableFields[Field],Columns[],3,0)&amp;"'","")</f>
        <v/>
      </c>
      <c r="E3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7" s="4" t="str">
        <f>IF(VLOOKUP(TableFields[Field],Columns[],5,0)=0,"","-&gt;"&amp;VLOOKUP(TableFields[Field],Columns[],5,0))</f>
        <v/>
      </c>
      <c r="G317" s="4" t="str">
        <f>IF(VLOOKUP(TableFields[Field],Columns[],6,0)=0,"","-&gt;"&amp;VLOOKUP(TableFields[Field],Columns[],6,0))</f>
        <v/>
      </c>
      <c r="H317" s="4" t="str">
        <f>IF(VLOOKUP(TableFields[Field],Columns[],7,0)=0,"","-&gt;"&amp;VLOOKUP(TableFields[Field],Columns[],7,0))</f>
        <v/>
      </c>
      <c r="I317" s="4" t="str">
        <f>IF(VLOOKUP(TableFields[Field],Columns[],8,0)=0,"","-&gt;"&amp;VLOOKUP(TableFields[Field],Columns[],8,0))</f>
        <v/>
      </c>
      <c r="J317" s="4" t="str">
        <f>IF(VLOOKUP(TableFields[Field],Columns[],9,0)=0,"","-&gt;"&amp;VLOOKUP(TableFields[Field],Columns[],9,0))</f>
        <v/>
      </c>
      <c r="K31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8" spans="1:11" x14ac:dyDescent="0.25">
      <c r="A318" s="4" t="s">
        <v>1610</v>
      </c>
      <c r="B318" s="4" t="s">
        <v>21</v>
      </c>
      <c r="C318" s="4" t="str">
        <f>VLOOKUP(TableFields[Field],Columns[],2,0)&amp;"("</f>
        <v>bigIncrements(</v>
      </c>
      <c r="D318" s="4" t="str">
        <f>IF(VLOOKUP(TableFields[Field],Columns[],3,0)&lt;&gt;"","'"&amp;VLOOKUP(TableFields[Field],Columns[],3,0)&amp;"'","")</f>
        <v>'id'</v>
      </c>
      <c r="E3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8" s="4" t="str">
        <f>IF(VLOOKUP(TableFields[Field],Columns[],5,0)=0,"","-&gt;"&amp;VLOOKUP(TableFields[Field],Columns[],5,0))</f>
        <v/>
      </c>
      <c r="G318" s="4" t="str">
        <f>IF(VLOOKUP(TableFields[Field],Columns[],6,0)=0,"","-&gt;"&amp;VLOOKUP(TableFields[Field],Columns[],6,0))</f>
        <v/>
      </c>
      <c r="H318" s="4" t="str">
        <f>IF(VLOOKUP(TableFields[Field],Columns[],7,0)=0,"","-&gt;"&amp;VLOOKUP(TableFields[Field],Columns[],7,0))</f>
        <v/>
      </c>
      <c r="I318" s="4" t="str">
        <f>IF(VLOOKUP(TableFields[Field],Columns[],8,0)=0,"","-&gt;"&amp;VLOOKUP(TableFields[Field],Columns[],8,0))</f>
        <v/>
      </c>
      <c r="J318" s="4" t="str">
        <f>IF(VLOOKUP(TableFields[Field],Columns[],9,0)=0,"","-&gt;"&amp;VLOOKUP(TableFields[Field],Columns[],9,0))</f>
        <v/>
      </c>
      <c r="K31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19" spans="1:11" x14ac:dyDescent="0.25">
      <c r="A319" s="4" t="s">
        <v>1610</v>
      </c>
      <c r="B319" s="4" t="s">
        <v>837</v>
      </c>
      <c r="C319" s="4" t="str">
        <f>VLOOKUP(TableFields[Field],Columns[],2,0)&amp;"("</f>
        <v>char(</v>
      </c>
      <c r="D319" s="4" t="str">
        <f>IF(VLOOKUP(TableFields[Field],Columns[],3,0)&lt;&gt;"","'"&amp;VLOOKUP(TableFields[Field],Columns[],3,0)&amp;"'","")</f>
        <v>'docno'</v>
      </c>
      <c r="E3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19" s="4" t="str">
        <f>IF(VLOOKUP(TableFields[Field],Columns[],5,0)=0,"","-&gt;"&amp;VLOOKUP(TableFields[Field],Columns[],5,0))</f>
        <v>-&gt;nullable()</v>
      </c>
      <c r="G319" s="4" t="str">
        <f>IF(VLOOKUP(TableFields[Field],Columns[],6,0)=0,"","-&gt;"&amp;VLOOKUP(TableFields[Field],Columns[],6,0))</f>
        <v>-&gt;index()</v>
      </c>
      <c r="H319" s="4" t="str">
        <f>IF(VLOOKUP(TableFields[Field],Columns[],7,0)=0,"","-&gt;"&amp;VLOOKUP(TableFields[Field],Columns[],7,0))</f>
        <v/>
      </c>
      <c r="I319" s="4" t="str">
        <f>IF(VLOOKUP(TableFields[Field],Columns[],8,0)=0,"","-&gt;"&amp;VLOOKUP(TableFields[Field],Columns[],8,0))</f>
        <v/>
      </c>
      <c r="J319" s="4" t="str">
        <f>IF(VLOOKUP(TableFields[Field],Columns[],9,0)=0,"","-&gt;"&amp;VLOOKUP(TableFields[Field],Columns[],9,0))</f>
        <v/>
      </c>
      <c r="K319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320" spans="1:11" x14ac:dyDescent="0.25">
      <c r="A320" s="4" t="s">
        <v>1610</v>
      </c>
      <c r="B320" s="4" t="s">
        <v>820</v>
      </c>
      <c r="C320" s="4" t="str">
        <f>VLOOKUP(TableFields[Field],Columns[],2,0)&amp;"("</f>
        <v>foreignNullable(</v>
      </c>
      <c r="D320" s="4" t="str">
        <f>IF(VLOOKUP(TableFields[Field],Columns[],3,0)&lt;&gt;"","'"&amp;VLOOKUP(TableFields[Field],Columns[],3,0)&amp;"'","")</f>
        <v>'store'</v>
      </c>
      <c r="E3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20" s="4" t="str">
        <f>IF(VLOOKUP(TableFields[Field],Columns[],5,0)=0,"","-&gt;"&amp;VLOOKUP(TableFields[Field],Columns[],5,0))</f>
        <v/>
      </c>
      <c r="G320" s="4" t="str">
        <f>IF(VLOOKUP(TableFields[Field],Columns[],6,0)=0,"","-&gt;"&amp;VLOOKUP(TableFields[Field],Columns[],6,0))</f>
        <v/>
      </c>
      <c r="H320" s="4" t="str">
        <f>IF(VLOOKUP(TableFields[Field],Columns[],7,0)=0,"","-&gt;"&amp;VLOOKUP(TableFields[Field],Columns[],7,0))</f>
        <v/>
      </c>
      <c r="I320" s="4" t="str">
        <f>IF(VLOOKUP(TableFields[Field],Columns[],8,0)=0,"","-&gt;"&amp;VLOOKUP(TableFields[Field],Columns[],8,0))</f>
        <v/>
      </c>
      <c r="J320" s="4" t="str">
        <f>IF(VLOOKUP(TableFields[Field],Columns[],9,0)=0,"","-&gt;"&amp;VLOOKUP(TableFields[Field],Columns[],9,0))</f>
        <v/>
      </c>
      <c r="K32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21" spans="1:11" x14ac:dyDescent="0.25">
      <c r="A321" s="4" t="s">
        <v>1610</v>
      </c>
      <c r="B321" s="4" t="s">
        <v>903</v>
      </c>
      <c r="C321" s="4" t="str">
        <f>VLOOKUP(TableFields[Field],Columns[],2,0)&amp;"("</f>
        <v>char(</v>
      </c>
      <c r="D321" s="4" t="str">
        <f>IF(VLOOKUP(TableFields[Field],Columns[],3,0)&lt;&gt;"","'"&amp;VLOOKUP(TableFields[Field],Columns[],3,0)&amp;"'","")</f>
        <v>'fycode'</v>
      </c>
      <c r="E3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21" s="4" t="str">
        <f>IF(VLOOKUP(TableFields[Field],Columns[],5,0)=0,"","-&gt;"&amp;VLOOKUP(TableFields[Field],Columns[],5,0))</f>
        <v>-&gt;nullable()</v>
      </c>
      <c r="G321" s="4" t="str">
        <f>IF(VLOOKUP(TableFields[Field],Columns[],6,0)=0,"","-&gt;"&amp;VLOOKUP(TableFields[Field],Columns[],6,0))</f>
        <v>-&gt;index()</v>
      </c>
      <c r="H321" s="4" t="str">
        <f>IF(VLOOKUP(TableFields[Field],Columns[],7,0)=0,"","-&gt;"&amp;VLOOKUP(TableFields[Field],Columns[],7,0))</f>
        <v/>
      </c>
      <c r="I321" s="4" t="str">
        <f>IF(VLOOKUP(TableFields[Field],Columns[],8,0)=0,"","-&gt;"&amp;VLOOKUP(TableFields[Field],Columns[],8,0))</f>
        <v/>
      </c>
      <c r="J321" s="4" t="str">
        <f>IF(VLOOKUP(TableFields[Field],Columns[],9,0)=0,"","-&gt;"&amp;VLOOKUP(TableFields[Field],Columns[],9,0))</f>
        <v/>
      </c>
      <c r="K321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322" spans="1:11" x14ac:dyDescent="0.25">
      <c r="A322" s="4" t="s">
        <v>1610</v>
      </c>
      <c r="B322" s="4" t="s">
        <v>858</v>
      </c>
      <c r="C322" s="4" t="str">
        <f>VLOOKUP(TableFields[Field],Columns[],2,0)&amp;"("</f>
        <v>char(</v>
      </c>
      <c r="D322" s="4" t="str">
        <f>IF(VLOOKUP(TableFields[Field],Columns[],3,0)&lt;&gt;"","'"&amp;VLOOKUP(TableFields[Field],Columns[],3,0)&amp;"'","")</f>
        <v>'fncode'</v>
      </c>
      <c r="E3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22" s="4" t="str">
        <f>IF(VLOOKUP(TableFields[Field],Columns[],5,0)=0,"","-&gt;"&amp;VLOOKUP(TableFields[Field],Columns[],5,0))</f>
        <v>-&gt;nullable()</v>
      </c>
      <c r="G322" s="4" t="str">
        <f>IF(VLOOKUP(TableFields[Field],Columns[],6,0)=0,"","-&gt;"&amp;VLOOKUP(TableFields[Field],Columns[],6,0))</f>
        <v>-&gt;index()</v>
      </c>
      <c r="H322" s="4" t="str">
        <f>IF(VLOOKUP(TableFields[Field],Columns[],7,0)=0,"","-&gt;"&amp;VLOOKUP(TableFields[Field],Columns[],7,0))</f>
        <v/>
      </c>
      <c r="I322" s="4" t="str">
        <f>IF(VLOOKUP(TableFields[Field],Columns[],8,0)=0,"","-&gt;"&amp;VLOOKUP(TableFields[Field],Columns[],8,0))</f>
        <v/>
      </c>
      <c r="J322" s="4" t="str">
        <f>IF(VLOOKUP(TableFields[Field],Columns[],9,0)=0,"","-&gt;"&amp;VLOOKUP(TableFields[Field],Columns[],9,0))</f>
        <v/>
      </c>
      <c r="K322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323" spans="1:11" x14ac:dyDescent="0.25">
      <c r="A323" s="4" t="s">
        <v>1610</v>
      </c>
      <c r="B323" s="4" t="s">
        <v>898</v>
      </c>
      <c r="C323" s="4" t="str">
        <f>VLOOKUP(TableFields[Field],Columns[],2,0)&amp;"("</f>
        <v>foreignNullable(</v>
      </c>
      <c r="D323" s="4" t="str">
        <f>IF(VLOOKUP(TableFields[Field],Columns[],3,0)&lt;&gt;"","'"&amp;VLOOKUP(TableFields[Field],Columns[],3,0)&amp;"'","")</f>
        <v>'user'</v>
      </c>
      <c r="E3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23" s="4" t="str">
        <f>IF(VLOOKUP(TableFields[Field],Columns[],5,0)=0,"","-&gt;"&amp;VLOOKUP(TableFields[Field],Columns[],5,0))</f>
        <v/>
      </c>
      <c r="G323" s="4" t="str">
        <f>IF(VLOOKUP(TableFields[Field],Columns[],6,0)=0,"","-&gt;"&amp;VLOOKUP(TableFields[Field],Columns[],6,0))</f>
        <v/>
      </c>
      <c r="H323" s="4" t="str">
        <f>IF(VLOOKUP(TableFields[Field],Columns[],7,0)=0,"","-&gt;"&amp;VLOOKUP(TableFields[Field],Columns[],7,0))</f>
        <v/>
      </c>
      <c r="I323" s="4" t="str">
        <f>IF(VLOOKUP(TableFields[Field],Columns[],8,0)=0,"","-&gt;"&amp;VLOOKUP(TableFields[Field],Columns[],8,0))</f>
        <v/>
      </c>
      <c r="J323" s="4" t="str">
        <f>IF(VLOOKUP(TableFields[Field],Columns[],9,0)=0,"","-&gt;"&amp;VLOOKUP(TableFields[Field],Columns[],9,0))</f>
        <v/>
      </c>
      <c r="K32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24" spans="1:11" x14ac:dyDescent="0.25">
      <c r="A324" s="4" t="s">
        <v>1610</v>
      </c>
      <c r="B324" s="4" t="s">
        <v>1612</v>
      </c>
      <c r="C324" s="4" t="str">
        <f>VLOOKUP(TableFields[Field],Columns[],2,0)&amp;"("</f>
        <v>enum(</v>
      </c>
      <c r="D324" s="4" t="str">
        <f>IF(VLOOKUP(TableFields[Field],Columns[],3,0)&lt;&gt;"","'"&amp;VLOOKUP(TableFields[Field],Columns[],3,0)&amp;"'","")</f>
        <v>'mode'</v>
      </c>
      <c r="E3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['Cash','Cheque'])</v>
      </c>
      <c r="F324" s="4" t="str">
        <f>IF(VLOOKUP(TableFields[Field],Columns[],5,0)=0,"","-&gt;"&amp;VLOOKUP(TableFields[Field],Columns[],5,0))</f>
        <v>-&gt;nullable()</v>
      </c>
      <c r="G324" s="4" t="str">
        <f>IF(VLOOKUP(TableFields[Field],Columns[],6,0)=0,"","-&gt;"&amp;VLOOKUP(TableFields[Field],Columns[],6,0))</f>
        <v>-&gt;default('Cash')</v>
      </c>
      <c r="H324" s="4" t="str">
        <f>IF(VLOOKUP(TableFields[Field],Columns[],7,0)=0,"","-&gt;"&amp;VLOOKUP(TableFields[Field],Columns[],7,0))</f>
        <v/>
      </c>
      <c r="I324" s="4" t="str">
        <f>IF(VLOOKUP(TableFields[Field],Columns[],8,0)=0,"","-&gt;"&amp;VLOOKUP(TableFields[Field],Columns[],8,0))</f>
        <v/>
      </c>
      <c r="J324" s="4" t="str">
        <f>IF(VLOOKUP(TableFields[Field],Columns[],9,0)=0,"","-&gt;"&amp;VLOOKUP(TableFields[Field],Columns[],9,0))</f>
        <v/>
      </c>
      <c r="K324" s="4" t="str">
        <f>"$table-&gt;"&amp;TableFields[Type]&amp;TableFields[Name]&amp;TableFields[Arg2]&amp;TableFields[Method1]&amp;TableFields[Method2]&amp;TableFields[Method3]&amp;TableFields[Method4]&amp;TableFields[Method5]&amp;";"</f>
        <v>$table-&gt;enum('mode', ['Cash','Cheque'])-&gt;nullable()-&gt;default('Cash');</v>
      </c>
    </row>
    <row r="325" spans="1:11" x14ac:dyDescent="0.25">
      <c r="A325" s="4" t="s">
        <v>1610</v>
      </c>
      <c r="B325" s="4" t="s">
        <v>949</v>
      </c>
      <c r="C325" s="4" t="str">
        <f>VLOOKUP(TableFields[Field],Columns[],2,0)&amp;"("</f>
        <v>foreignNullable(</v>
      </c>
      <c r="D325" s="4" t="str">
        <f>IF(VLOOKUP(TableFields[Field],Columns[],3,0)&lt;&gt;"","'"&amp;VLOOKUP(TableFields[Field],Columns[],3,0)&amp;"'","")</f>
        <v>'customer'</v>
      </c>
      <c r="E3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25" s="4" t="str">
        <f>IF(VLOOKUP(TableFields[Field],Columns[],5,0)=0,"","-&gt;"&amp;VLOOKUP(TableFields[Field],Columns[],5,0))</f>
        <v/>
      </c>
      <c r="G325" s="4" t="str">
        <f>IF(VLOOKUP(TableFields[Field],Columns[],6,0)=0,"","-&gt;"&amp;VLOOKUP(TableFields[Field],Columns[],6,0))</f>
        <v/>
      </c>
      <c r="H325" s="4" t="str">
        <f>IF(VLOOKUP(TableFields[Field],Columns[],7,0)=0,"","-&gt;"&amp;VLOOKUP(TableFields[Field],Columns[],7,0))</f>
        <v/>
      </c>
      <c r="I325" s="4" t="str">
        <f>IF(VLOOKUP(TableFields[Field],Columns[],8,0)=0,"","-&gt;"&amp;VLOOKUP(TableFields[Field],Columns[],8,0))</f>
        <v/>
      </c>
      <c r="J325" s="4" t="str">
        <f>IF(VLOOKUP(TableFields[Field],Columns[],9,0)=0,"","-&gt;"&amp;VLOOKUP(TableFields[Field],Columns[],9,0))</f>
        <v/>
      </c>
      <c r="K32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326" spans="1:11" x14ac:dyDescent="0.25">
      <c r="A326" s="4" t="s">
        <v>1610</v>
      </c>
      <c r="B326" s="4" t="s">
        <v>831</v>
      </c>
      <c r="C326" s="4" t="str">
        <f>VLOOKUP(TableFields[Field],Columns[],2,0)&amp;"("</f>
        <v>timestamp(</v>
      </c>
      <c r="D326" s="4" t="str">
        <f>IF(VLOOKUP(TableFields[Field],Columns[],3,0)&lt;&gt;"","'"&amp;VLOOKUP(TableFields[Field],Columns[],3,0)&amp;"'","")</f>
        <v>'date'</v>
      </c>
      <c r="E3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6" s="4" t="str">
        <f>IF(VLOOKUP(TableFields[Field],Columns[],5,0)=0,"","-&gt;"&amp;VLOOKUP(TableFields[Field],Columns[],5,0))</f>
        <v>-&gt;default(DB::raw('CURRENT_TIMESTAMP'))</v>
      </c>
      <c r="G326" s="4" t="str">
        <f>IF(VLOOKUP(TableFields[Field],Columns[],6,0)=0,"","-&gt;"&amp;VLOOKUP(TableFields[Field],Columns[],6,0))</f>
        <v/>
      </c>
      <c r="H326" s="4" t="str">
        <f>IF(VLOOKUP(TableFields[Field],Columns[],7,0)=0,"","-&gt;"&amp;VLOOKUP(TableFields[Field],Columns[],7,0))</f>
        <v/>
      </c>
      <c r="I326" s="4" t="str">
        <f>IF(VLOOKUP(TableFields[Field],Columns[],8,0)=0,"","-&gt;"&amp;VLOOKUP(TableFields[Field],Columns[],8,0))</f>
        <v/>
      </c>
      <c r="J326" s="4" t="str">
        <f>IF(VLOOKUP(TableFields[Field],Columns[],9,0)=0,"","-&gt;"&amp;VLOOKUP(TableFields[Field],Columns[],9,0))</f>
        <v/>
      </c>
      <c r="K326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327" spans="1:11" x14ac:dyDescent="0.25">
      <c r="A327" s="4" t="s">
        <v>1610</v>
      </c>
      <c r="B327" s="4" t="s">
        <v>965</v>
      </c>
      <c r="C327" s="4" t="str">
        <f>VLOOKUP(TableFields[Field],Columns[],2,0)&amp;"("</f>
        <v>decimal(</v>
      </c>
      <c r="D327" s="4" t="str">
        <f>IF(VLOOKUP(TableFields[Field],Columns[],3,0)&lt;&gt;"","'"&amp;VLOOKUP(TableFields[Field],Columns[],3,0)&amp;"'","")</f>
        <v>'amount'</v>
      </c>
      <c r="E3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27" s="4" t="str">
        <f>IF(VLOOKUP(TableFields[Field],Columns[],5,0)=0,"","-&gt;"&amp;VLOOKUP(TableFields[Field],Columns[],5,0))</f>
        <v>-&gt;default(0)</v>
      </c>
      <c r="G327" s="4" t="str">
        <f>IF(VLOOKUP(TableFields[Field],Columns[],6,0)=0,"","-&gt;"&amp;VLOOKUP(TableFields[Field],Columns[],6,0))</f>
        <v/>
      </c>
      <c r="H327" s="4" t="str">
        <f>IF(VLOOKUP(TableFields[Field],Columns[],7,0)=0,"","-&gt;"&amp;VLOOKUP(TableFields[Field],Columns[],7,0))</f>
        <v/>
      </c>
      <c r="I327" s="4" t="str">
        <f>IF(VLOOKUP(TableFields[Field],Columns[],8,0)=0,"","-&gt;"&amp;VLOOKUP(TableFields[Field],Columns[],8,0))</f>
        <v/>
      </c>
      <c r="J327" s="4" t="str">
        <f>IF(VLOOKUP(TableFields[Field],Columns[],9,0)=0,"","-&gt;"&amp;VLOOKUP(TableFields[Field],Columns[],9,0))</f>
        <v/>
      </c>
      <c r="K327" s="4" t="str">
        <f>"$table-&gt;"&amp;TableFields[Type]&amp;TableFields[Name]&amp;TableFields[Arg2]&amp;TableFields[Method1]&amp;TableFields[Method2]&amp;TableFields[Method3]&amp;TableFields[Method4]&amp;TableFields[Method5]&amp;";"</f>
        <v>$table-&gt;decimal('amount', 30,10)-&gt;default(0);</v>
      </c>
    </row>
    <row r="328" spans="1:11" x14ac:dyDescent="0.25">
      <c r="A328" s="4" t="s">
        <v>1610</v>
      </c>
      <c r="B328" s="5" t="s">
        <v>1615</v>
      </c>
      <c r="C328" s="5" t="str">
        <f>VLOOKUP(TableFields[Field],Columns[],2,0)&amp;"("</f>
        <v>string(</v>
      </c>
      <c r="D328" s="5" t="str">
        <f>IF(VLOOKUP(TableFields[Field],Columns[],3,0)&lt;&gt;"","'"&amp;VLOOKUP(TableFields[Field],Columns[],3,0)&amp;"'","")</f>
        <v>'bank'</v>
      </c>
      <c r="E32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28" s="5" t="str">
        <f>IF(VLOOKUP(TableFields[Field],Columns[],5,0)=0,"","-&gt;"&amp;VLOOKUP(TableFields[Field],Columns[],5,0))</f>
        <v>-&gt;nullable()</v>
      </c>
      <c r="G328" s="5" t="str">
        <f>IF(VLOOKUP(TableFields[Field],Columns[],6,0)=0,"","-&gt;"&amp;VLOOKUP(TableFields[Field],Columns[],6,0))</f>
        <v/>
      </c>
      <c r="H328" s="5" t="str">
        <f>IF(VLOOKUP(TableFields[Field],Columns[],7,0)=0,"","-&gt;"&amp;VLOOKUP(TableFields[Field],Columns[],7,0))</f>
        <v/>
      </c>
      <c r="I328" s="5" t="str">
        <f>IF(VLOOKUP(TableFields[Field],Columns[],8,0)=0,"","-&gt;"&amp;VLOOKUP(TableFields[Field],Columns[],8,0))</f>
        <v/>
      </c>
      <c r="J328" s="5" t="str">
        <f>IF(VLOOKUP(TableFields[Field],Columns[],9,0)=0,"","-&gt;"&amp;VLOOKUP(TableFields[Field],Columns[],9,0))</f>
        <v/>
      </c>
      <c r="K328" s="5" t="str">
        <f>"$table-&gt;"&amp;TableFields[Type]&amp;TableFields[Name]&amp;TableFields[Arg2]&amp;TableFields[Method1]&amp;TableFields[Method2]&amp;TableFields[Method3]&amp;TableFields[Method4]&amp;TableFields[Method5]&amp;";"</f>
        <v>$table-&gt;string('bank', '60')-&gt;nullable();</v>
      </c>
    </row>
    <row r="329" spans="1:11" x14ac:dyDescent="0.25">
      <c r="A329" s="4" t="s">
        <v>1610</v>
      </c>
      <c r="B329" s="5" t="s">
        <v>1616</v>
      </c>
      <c r="C329" s="5" t="str">
        <f>VLOOKUP(TableFields[Field],Columns[],2,0)&amp;"("</f>
        <v>string(</v>
      </c>
      <c r="D329" s="5" t="str">
        <f>IF(VLOOKUP(TableFields[Field],Columns[],3,0)&lt;&gt;"","'"&amp;VLOOKUP(TableFields[Field],Columns[],3,0)&amp;"'","")</f>
        <v>'cheque'</v>
      </c>
      <c r="E32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29" s="5" t="str">
        <f>IF(VLOOKUP(TableFields[Field],Columns[],5,0)=0,"","-&gt;"&amp;VLOOKUP(TableFields[Field],Columns[],5,0))</f>
        <v>-&gt;nullable()</v>
      </c>
      <c r="G329" s="5" t="str">
        <f>IF(VLOOKUP(TableFields[Field],Columns[],6,0)=0,"","-&gt;"&amp;VLOOKUP(TableFields[Field],Columns[],6,0))</f>
        <v/>
      </c>
      <c r="H329" s="5" t="str">
        <f>IF(VLOOKUP(TableFields[Field],Columns[],7,0)=0,"","-&gt;"&amp;VLOOKUP(TableFields[Field],Columns[],7,0))</f>
        <v/>
      </c>
      <c r="I329" s="5" t="str">
        <f>IF(VLOOKUP(TableFields[Field],Columns[],8,0)=0,"","-&gt;"&amp;VLOOKUP(TableFields[Field],Columns[],8,0))</f>
        <v/>
      </c>
      <c r="J329" s="5" t="str">
        <f>IF(VLOOKUP(TableFields[Field],Columns[],9,0)=0,"","-&gt;"&amp;VLOOKUP(TableFields[Field],Columns[],9,0))</f>
        <v/>
      </c>
      <c r="K329" s="5" t="str">
        <f>"$table-&gt;"&amp;TableFields[Type]&amp;TableFields[Name]&amp;TableFields[Arg2]&amp;TableFields[Method1]&amp;TableFields[Method2]&amp;TableFields[Method3]&amp;TableFields[Method4]&amp;TableFields[Method5]&amp;";"</f>
        <v>$table-&gt;string('cheque', '60')-&gt;nullable();</v>
      </c>
    </row>
    <row r="330" spans="1:11" x14ac:dyDescent="0.25">
      <c r="A330" s="4" t="s">
        <v>1610</v>
      </c>
      <c r="B330" s="4" t="s">
        <v>1617</v>
      </c>
      <c r="C330" s="4" t="str">
        <f>VLOOKUP(TableFields[Field],Columns[],2,0)&amp;"("</f>
        <v>datetime(</v>
      </c>
      <c r="D330" s="4" t="str">
        <f>IF(VLOOKUP(TableFields[Field],Columns[],3,0)&lt;&gt;"","'"&amp;VLOOKUP(TableFields[Field],Columns[],3,0)&amp;"'","")</f>
        <v>'cheque_date'</v>
      </c>
      <c r="E3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0" s="4" t="str">
        <f>IF(VLOOKUP(TableFields[Field],Columns[],5,0)=0,"","-&gt;"&amp;VLOOKUP(TableFields[Field],Columns[],5,0))</f>
        <v>-&gt;nullable()</v>
      </c>
      <c r="G330" s="4" t="str">
        <f>IF(VLOOKUP(TableFields[Field],Columns[],6,0)=0,"","-&gt;"&amp;VLOOKUP(TableFields[Field],Columns[],6,0))</f>
        <v/>
      </c>
      <c r="H330" s="4" t="str">
        <f>IF(VLOOKUP(TableFields[Field],Columns[],7,0)=0,"","-&gt;"&amp;VLOOKUP(TableFields[Field],Columns[],7,0))</f>
        <v/>
      </c>
      <c r="I330" s="4" t="str">
        <f>IF(VLOOKUP(TableFields[Field],Columns[],8,0)=0,"","-&gt;"&amp;VLOOKUP(TableFields[Field],Columns[],8,0))</f>
        <v/>
      </c>
      <c r="J330" s="4" t="str">
        <f>IF(VLOOKUP(TableFields[Field],Columns[],9,0)=0,"","-&gt;"&amp;VLOOKUP(TableFields[Field],Columns[],9,0))</f>
        <v/>
      </c>
      <c r="K330" s="4" t="str">
        <f>"$table-&gt;"&amp;TableFields[Type]&amp;TableFields[Name]&amp;TableFields[Arg2]&amp;TableFields[Method1]&amp;TableFields[Method2]&amp;TableFields[Method3]&amp;TableFields[Method4]&amp;TableFields[Method5]&amp;";"</f>
        <v>$table-&gt;datetime('cheque_date')-&gt;nullable();</v>
      </c>
    </row>
    <row r="331" spans="1:11" x14ac:dyDescent="0.25">
      <c r="A331" s="4" t="s">
        <v>1610</v>
      </c>
      <c r="B331" s="4" t="s">
        <v>1876</v>
      </c>
      <c r="C331" s="4" t="str">
        <f>VLOOKUP(TableFields[Field],Columns[],2,0)&amp;"("</f>
        <v>enum(</v>
      </c>
      <c r="D331" s="4" t="str">
        <f>IF(VLOOKUP(TableFields[Field],Columns[],3,0)&lt;&gt;"","'"&amp;VLOOKUP(TableFields[Field],Columns[],3,0)&amp;"'","")</f>
        <v>'source'</v>
      </c>
      <c r="E3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['ePlus','SS'])</v>
      </c>
      <c r="F331" s="4" t="str">
        <f>IF(VLOOKUP(TableFields[Field],Columns[],5,0)=0,"","-&gt;"&amp;VLOOKUP(TableFields[Field],Columns[],5,0))</f>
        <v>-&gt;nullable()</v>
      </c>
      <c r="G331" s="4" t="str">
        <f>IF(VLOOKUP(TableFields[Field],Columns[],6,0)=0,"","-&gt;"&amp;VLOOKUP(TableFields[Field],Columns[],6,0))</f>
        <v>-&gt;default('ePlus')</v>
      </c>
      <c r="H331" s="4" t="str">
        <f>IF(VLOOKUP(TableFields[Field],Columns[],7,0)=0,"","-&gt;"&amp;VLOOKUP(TableFields[Field],Columns[],7,0))</f>
        <v/>
      </c>
      <c r="I331" s="4" t="str">
        <f>IF(VLOOKUP(TableFields[Field],Columns[],8,0)=0,"","-&gt;"&amp;VLOOKUP(TableFields[Field],Columns[],8,0))</f>
        <v/>
      </c>
      <c r="J331" s="4" t="str">
        <f>IF(VLOOKUP(TableFields[Field],Columns[],9,0)=0,"","-&gt;"&amp;VLOOKUP(TableFields[Field],Columns[],9,0))</f>
        <v/>
      </c>
      <c r="K331" s="4" t="str">
        <f>"$table-&gt;"&amp;TableFields[Type]&amp;TableFields[Name]&amp;TableFields[Arg2]&amp;TableFields[Method1]&amp;TableFields[Method2]&amp;TableFields[Method3]&amp;TableFields[Method4]&amp;TableFields[Method5]&amp;";"</f>
        <v>$table-&gt;enum('source', ['ePlus','SS'])-&gt;nullable()-&gt;default('ePlus');</v>
      </c>
    </row>
    <row r="332" spans="1:11" x14ac:dyDescent="0.25">
      <c r="A332" s="4" t="s">
        <v>1610</v>
      </c>
      <c r="B332" s="4" t="s">
        <v>1584</v>
      </c>
      <c r="C332" s="4" t="str">
        <f>VLOOKUP(TableFields[Field],Columns[],2,0)&amp;"("</f>
        <v>char(</v>
      </c>
      <c r="D332" s="4" t="str">
        <f>IF(VLOOKUP(TableFields[Field],Columns[],3,0)&lt;&gt;"","'"&amp;VLOOKUP(TableFields[Field],Columns[],3,0)&amp;"'","")</f>
        <v>'_ref'</v>
      </c>
      <c r="E3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32" s="4" t="str">
        <f>IF(VLOOKUP(TableFields[Field],Columns[],5,0)=0,"","-&gt;"&amp;VLOOKUP(TableFields[Field],Columns[],5,0))</f>
        <v>-&gt;nullable()</v>
      </c>
      <c r="G332" s="4" t="str">
        <f>IF(VLOOKUP(TableFields[Field],Columns[],6,0)=0,"","-&gt;"&amp;VLOOKUP(TableFields[Field],Columns[],6,0))</f>
        <v>-&gt;index()</v>
      </c>
      <c r="H332" s="4" t="str">
        <f>IF(VLOOKUP(TableFields[Field],Columns[],7,0)=0,"","-&gt;"&amp;VLOOKUP(TableFields[Field],Columns[],7,0))</f>
        <v/>
      </c>
      <c r="I332" s="4" t="str">
        <f>IF(VLOOKUP(TableFields[Field],Columns[],8,0)=0,"","-&gt;"&amp;VLOOKUP(TableFields[Field],Columns[],8,0))</f>
        <v/>
      </c>
      <c r="J332" s="4" t="str">
        <f>IF(VLOOKUP(TableFields[Field],Columns[],9,0)=0,"","-&gt;"&amp;VLOOKUP(TableFields[Field],Columns[],9,0))</f>
        <v/>
      </c>
      <c r="K332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333" spans="1:11" x14ac:dyDescent="0.25">
      <c r="A333" s="4" t="s">
        <v>1610</v>
      </c>
      <c r="B333" s="4" t="s">
        <v>2113</v>
      </c>
      <c r="C333" s="4" t="str">
        <f>VLOOKUP(TableFields[Field],Columns[],2,0)&amp;"("</f>
        <v>char(</v>
      </c>
      <c r="D333" s="4" t="str">
        <f>IF(VLOOKUP(TableFields[Field],Columns[],3,0)&lt;&gt;"","'"&amp;VLOOKUP(TableFields[Field],Columns[],3,0)&amp;"'","")</f>
        <v>'shift_docno'</v>
      </c>
      <c r="E3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33" s="4" t="str">
        <f>IF(VLOOKUP(TableFields[Field],Columns[],5,0)=0,"","-&gt;"&amp;VLOOKUP(TableFields[Field],Columns[],5,0))</f>
        <v>-&gt;nullable()</v>
      </c>
      <c r="G333" s="4" t="str">
        <f>IF(VLOOKUP(TableFields[Field],Columns[],6,0)=0,"","-&gt;"&amp;VLOOKUP(TableFields[Field],Columns[],6,0))</f>
        <v>-&gt;index()</v>
      </c>
      <c r="H333" s="4" t="str">
        <f>IF(VLOOKUP(TableFields[Field],Columns[],7,0)=0,"","-&gt;"&amp;VLOOKUP(TableFields[Field],Columns[],7,0))</f>
        <v/>
      </c>
      <c r="I333" s="4" t="str">
        <f>IF(VLOOKUP(TableFields[Field],Columns[],8,0)=0,"","-&gt;"&amp;VLOOKUP(TableFields[Field],Columns[],8,0))</f>
        <v/>
      </c>
      <c r="J333" s="4" t="str">
        <f>IF(VLOOKUP(TableFields[Field],Columns[],9,0)=0,"","-&gt;"&amp;VLOOKUP(TableFields[Field],Columns[],9,0))</f>
        <v/>
      </c>
      <c r="K333" s="4" t="str">
        <f>"$table-&gt;"&amp;TableFields[Type]&amp;TableFields[Name]&amp;TableFields[Arg2]&amp;TableFields[Method1]&amp;TableFields[Method2]&amp;TableFields[Method3]&amp;TableFields[Method4]&amp;TableFields[Method5]&amp;";"</f>
        <v>$table-&gt;char('shift_docno', '20')-&gt;nullable()-&gt;index();</v>
      </c>
    </row>
    <row r="334" spans="1:11" s="20" customFormat="1" x14ac:dyDescent="0.25">
      <c r="A334" s="4" t="s">
        <v>1610</v>
      </c>
      <c r="B334" s="4" t="s">
        <v>775</v>
      </c>
      <c r="C334" s="4" t="str">
        <f>VLOOKUP(TableFields[Field],Columns[],2,0)&amp;"("</f>
        <v>enum(</v>
      </c>
      <c r="D334" s="4" t="str">
        <f>IF(VLOOKUP(TableFields[Field],Columns[],3,0)&lt;&gt;"","'"&amp;VLOOKUP(TableFields[Field],Columns[],3,0)&amp;"'","")</f>
        <v>'status'</v>
      </c>
      <c r="E3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34" s="4" t="str">
        <f>IF(VLOOKUP(TableFields[Field],Columns[],5,0)=0,"","-&gt;"&amp;VLOOKUP(TableFields[Field],Columns[],5,0))</f>
        <v>-&gt;nullable()</v>
      </c>
      <c r="G334" s="4" t="str">
        <f>IF(VLOOKUP(TableFields[Field],Columns[],6,0)=0,"","-&gt;"&amp;VLOOKUP(TableFields[Field],Columns[],6,0))</f>
        <v>-&gt;default('Active')</v>
      </c>
      <c r="H334" s="4" t="str">
        <f>IF(VLOOKUP(TableFields[Field],Columns[],7,0)=0,"","-&gt;"&amp;VLOOKUP(TableFields[Field],Columns[],7,0))</f>
        <v/>
      </c>
      <c r="I334" s="4" t="str">
        <f>IF(VLOOKUP(TableFields[Field],Columns[],8,0)=0,"","-&gt;"&amp;VLOOKUP(TableFields[Field],Columns[],8,0))</f>
        <v/>
      </c>
      <c r="J334" s="4" t="str">
        <f>IF(VLOOKUP(TableFields[Field],Columns[],9,0)=0,"","-&gt;"&amp;VLOOKUP(TableFields[Field],Columns[],9,0))</f>
        <v/>
      </c>
      <c r="K33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35" spans="1:11" s="20" customFormat="1" x14ac:dyDescent="0.25">
      <c r="A335" s="4" t="s">
        <v>1610</v>
      </c>
      <c r="B335" s="4" t="s">
        <v>288</v>
      </c>
      <c r="C335" s="5" t="str">
        <f>VLOOKUP(TableFields[Field],Columns[],2,0)&amp;"("</f>
        <v>audit(</v>
      </c>
      <c r="D335" s="5" t="str">
        <f>IF(VLOOKUP(TableFields[Field],Columns[],3,0)&lt;&gt;"","'"&amp;VLOOKUP(TableFields[Field],Columns[],3,0)&amp;"'","")</f>
        <v/>
      </c>
      <c r="E33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5" s="5" t="str">
        <f>IF(VLOOKUP(TableFields[Field],Columns[],5,0)=0,"","-&gt;"&amp;VLOOKUP(TableFields[Field],Columns[],5,0))</f>
        <v/>
      </c>
      <c r="G335" s="5" t="str">
        <f>IF(VLOOKUP(TableFields[Field],Columns[],6,0)=0,"","-&gt;"&amp;VLOOKUP(TableFields[Field],Columns[],6,0))</f>
        <v/>
      </c>
      <c r="H335" s="5" t="str">
        <f>IF(VLOOKUP(TableFields[Field],Columns[],7,0)=0,"","-&gt;"&amp;VLOOKUP(TableFields[Field],Columns[],7,0))</f>
        <v/>
      </c>
      <c r="I335" s="5" t="str">
        <f>IF(VLOOKUP(TableFields[Field],Columns[],8,0)=0,"","-&gt;"&amp;VLOOKUP(TableFields[Field],Columns[],8,0))</f>
        <v/>
      </c>
      <c r="J335" s="5" t="str">
        <f>IF(VLOOKUP(TableFields[Field],Columns[],9,0)=0,"","-&gt;"&amp;VLOOKUP(TableFields[Field],Columns[],9,0))</f>
        <v/>
      </c>
      <c r="K335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36" spans="1:11" x14ac:dyDescent="0.25">
      <c r="A336" s="4" t="s">
        <v>1620</v>
      </c>
      <c r="B336" s="4" t="s">
        <v>21</v>
      </c>
      <c r="C336" s="4" t="str">
        <f>VLOOKUP(TableFields[Field],Columns[],2,0)&amp;"("</f>
        <v>bigIncrements(</v>
      </c>
      <c r="D336" s="4" t="str">
        <f>IF(VLOOKUP(TableFields[Field],Columns[],3,0)&lt;&gt;"","'"&amp;VLOOKUP(TableFields[Field],Columns[],3,0)&amp;"'","")</f>
        <v>'id'</v>
      </c>
      <c r="E3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6" s="4" t="str">
        <f>IF(VLOOKUP(TableFields[Field],Columns[],5,0)=0,"","-&gt;"&amp;VLOOKUP(TableFields[Field],Columns[],5,0))</f>
        <v/>
      </c>
      <c r="G336" s="4" t="str">
        <f>IF(VLOOKUP(TableFields[Field],Columns[],6,0)=0,"","-&gt;"&amp;VLOOKUP(TableFields[Field],Columns[],6,0))</f>
        <v/>
      </c>
      <c r="H336" s="4" t="str">
        <f>IF(VLOOKUP(TableFields[Field],Columns[],7,0)=0,"","-&gt;"&amp;VLOOKUP(TableFields[Field],Columns[],7,0))</f>
        <v/>
      </c>
      <c r="I336" s="4" t="str">
        <f>IF(VLOOKUP(TableFields[Field],Columns[],8,0)=0,"","-&gt;"&amp;VLOOKUP(TableFields[Field],Columns[],8,0))</f>
        <v/>
      </c>
      <c r="J336" s="4" t="str">
        <f>IF(VLOOKUP(TableFields[Field],Columns[],9,0)=0,"","-&gt;"&amp;VLOOKUP(TableFields[Field],Columns[],9,0))</f>
        <v/>
      </c>
      <c r="K33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37" spans="1:11" x14ac:dyDescent="0.25">
      <c r="A337" s="4" t="s">
        <v>1620</v>
      </c>
      <c r="B337" s="4" t="s">
        <v>858</v>
      </c>
      <c r="C337" s="4" t="str">
        <f>VLOOKUP(TableFields[Field],Columns[],2,0)&amp;"("</f>
        <v>char(</v>
      </c>
      <c r="D337" s="4" t="str">
        <f>IF(VLOOKUP(TableFields[Field],Columns[],3,0)&lt;&gt;"","'"&amp;VLOOKUP(TableFields[Field],Columns[],3,0)&amp;"'","")</f>
        <v>'fncode'</v>
      </c>
      <c r="E3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37" s="4" t="str">
        <f>IF(VLOOKUP(TableFields[Field],Columns[],5,0)=0,"","-&gt;"&amp;VLOOKUP(TableFields[Field],Columns[],5,0))</f>
        <v>-&gt;nullable()</v>
      </c>
      <c r="G337" s="4" t="str">
        <f>IF(VLOOKUP(TableFields[Field],Columns[],6,0)=0,"","-&gt;"&amp;VLOOKUP(TableFields[Field],Columns[],6,0))</f>
        <v>-&gt;index()</v>
      </c>
      <c r="H337" s="4" t="str">
        <f>IF(VLOOKUP(TableFields[Field],Columns[],7,0)=0,"","-&gt;"&amp;VLOOKUP(TableFields[Field],Columns[],7,0))</f>
        <v/>
      </c>
      <c r="I337" s="4" t="str">
        <f>IF(VLOOKUP(TableFields[Field],Columns[],8,0)=0,"","-&gt;"&amp;VLOOKUP(TableFields[Field],Columns[],8,0))</f>
        <v/>
      </c>
      <c r="J337" s="4" t="str">
        <f>IF(VLOOKUP(TableFields[Field],Columns[],9,0)=0,"","-&gt;"&amp;VLOOKUP(TableFields[Field],Columns[],9,0))</f>
        <v/>
      </c>
      <c r="K337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338" spans="1:11" x14ac:dyDescent="0.25">
      <c r="A338" s="4" t="s">
        <v>1620</v>
      </c>
      <c r="B338" s="4" t="s">
        <v>898</v>
      </c>
      <c r="C338" s="4" t="str">
        <f>VLOOKUP(TableFields[Field],Columns[],2,0)&amp;"("</f>
        <v>foreignNullable(</v>
      </c>
      <c r="D338" s="4" t="str">
        <f>IF(VLOOKUP(TableFields[Field],Columns[],3,0)&lt;&gt;"","'"&amp;VLOOKUP(TableFields[Field],Columns[],3,0)&amp;"'","")</f>
        <v>'user'</v>
      </c>
      <c r="E3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38" s="4" t="str">
        <f>IF(VLOOKUP(TableFields[Field],Columns[],5,0)=0,"","-&gt;"&amp;VLOOKUP(TableFields[Field],Columns[],5,0))</f>
        <v/>
      </c>
      <c r="G338" s="4" t="str">
        <f>IF(VLOOKUP(TableFields[Field],Columns[],6,0)=0,"","-&gt;"&amp;VLOOKUP(TableFields[Field],Columns[],6,0))</f>
        <v/>
      </c>
      <c r="H338" s="4" t="str">
        <f>IF(VLOOKUP(TableFields[Field],Columns[],7,0)=0,"","-&gt;"&amp;VLOOKUP(TableFields[Field],Columns[],7,0))</f>
        <v/>
      </c>
      <c r="I338" s="4" t="str">
        <f>IF(VLOOKUP(TableFields[Field],Columns[],8,0)=0,"","-&gt;"&amp;VLOOKUP(TableFields[Field],Columns[],8,0))</f>
        <v/>
      </c>
      <c r="J338" s="4" t="str">
        <f>IF(VLOOKUP(TableFields[Field],Columns[],9,0)=0,"","-&gt;"&amp;VLOOKUP(TableFields[Field],Columns[],9,0))</f>
        <v/>
      </c>
      <c r="K33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39" spans="1:11" x14ac:dyDescent="0.25">
      <c r="A339" s="4" t="s">
        <v>1620</v>
      </c>
      <c r="B339" s="4" t="s">
        <v>820</v>
      </c>
      <c r="C339" s="4" t="str">
        <f>VLOOKUP(TableFields[Field],Columns[],2,0)&amp;"("</f>
        <v>foreignNullable(</v>
      </c>
      <c r="D339" s="4" t="str">
        <f>IF(VLOOKUP(TableFields[Field],Columns[],3,0)&lt;&gt;"","'"&amp;VLOOKUP(TableFields[Field],Columns[],3,0)&amp;"'","")</f>
        <v>'store'</v>
      </c>
      <c r="E3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39" s="4" t="str">
        <f>IF(VLOOKUP(TableFields[Field],Columns[],5,0)=0,"","-&gt;"&amp;VLOOKUP(TableFields[Field],Columns[],5,0))</f>
        <v/>
      </c>
      <c r="G339" s="4" t="str">
        <f>IF(VLOOKUP(TableFields[Field],Columns[],6,0)=0,"","-&gt;"&amp;VLOOKUP(TableFields[Field],Columns[],6,0))</f>
        <v/>
      </c>
      <c r="H339" s="4" t="str">
        <f>IF(VLOOKUP(TableFields[Field],Columns[],7,0)=0,"","-&gt;"&amp;VLOOKUP(TableFields[Field],Columns[],7,0))</f>
        <v/>
      </c>
      <c r="I339" s="4" t="str">
        <f>IF(VLOOKUP(TableFields[Field],Columns[],8,0)=0,"","-&gt;"&amp;VLOOKUP(TableFields[Field],Columns[],8,0))</f>
        <v/>
      </c>
      <c r="J339" s="4" t="str">
        <f>IF(VLOOKUP(TableFields[Field],Columns[],9,0)=0,"","-&gt;"&amp;VLOOKUP(TableFields[Field],Columns[],9,0))</f>
        <v/>
      </c>
      <c r="K33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40" spans="1:11" x14ac:dyDescent="0.25">
      <c r="A340" s="4" t="s">
        <v>1620</v>
      </c>
      <c r="B340" s="4" t="s">
        <v>1621</v>
      </c>
      <c r="C340" s="5" t="str">
        <f>VLOOKUP(TableFields[Field],Columns[],2,0)&amp;"("</f>
        <v>unsignedInteger(</v>
      </c>
      <c r="D340" s="5" t="str">
        <f>IF(VLOOKUP(TableFields[Field],Columns[],3,0)&lt;&gt;"","'"&amp;VLOOKUP(TableFields[Field],Columns[],3,0)&amp;"'","")</f>
        <v>'start_num'</v>
      </c>
      <c r="E34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0" s="5" t="str">
        <f>IF(VLOOKUP(TableFields[Field],Columns[],5,0)=0,"","-&gt;"&amp;VLOOKUP(TableFields[Field],Columns[],5,0))</f>
        <v>-&gt;nullable()</v>
      </c>
      <c r="G340" s="5" t="str">
        <f>IF(VLOOKUP(TableFields[Field],Columns[],6,0)=0,"","-&gt;"&amp;VLOOKUP(TableFields[Field],Columns[],6,0))</f>
        <v/>
      </c>
      <c r="H340" s="5" t="str">
        <f>IF(VLOOKUP(TableFields[Field],Columns[],7,0)=0,"","-&gt;"&amp;VLOOKUP(TableFields[Field],Columns[],7,0))</f>
        <v/>
      </c>
      <c r="I340" s="5" t="str">
        <f>IF(VLOOKUP(TableFields[Field],Columns[],8,0)=0,"","-&gt;"&amp;VLOOKUP(TableFields[Field],Columns[],8,0))</f>
        <v/>
      </c>
      <c r="J340" s="5" t="str">
        <f>IF(VLOOKUP(TableFields[Field],Columns[],9,0)=0,"","-&gt;"&amp;VLOOKUP(TableFields[Field],Columns[],9,0))</f>
        <v/>
      </c>
      <c r="K340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$table-&gt;unsignedInteger('start_num')-&gt;nullable();</v>
      </c>
    </row>
    <row r="341" spans="1:11" s="20" customFormat="1" x14ac:dyDescent="0.25">
      <c r="A341" s="4" t="s">
        <v>1620</v>
      </c>
      <c r="B341" s="4" t="s">
        <v>1622</v>
      </c>
      <c r="C341" s="4" t="str">
        <f>VLOOKUP(TableFields[Field],Columns[],2,0)&amp;"("</f>
        <v>unsignedInteger(</v>
      </c>
      <c r="D341" s="4" t="str">
        <f>IF(VLOOKUP(TableFields[Field],Columns[],3,0)&lt;&gt;"","'"&amp;VLOOKUP(TableFields[Field],Columns[],3,0)&amp;"'","")</f>
        <v>'end_num'</v>
      </c>
      <c r="E3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1" s="4" t="str">
        <f>IF(VLOOKUP(TableFields[Field],Columns[],5,0)=0,"","-&gt;"&amp;VLOOKUP(TableFields[Field],Columns[],5,0))</f>
        <v>-&gt;nullable()</v>
      </c>
      <c r="G341" s="4" t="str">
        <f>IF(VLOOKUP(TableFields[Field],Columns[],6,0)=0,"","-&gt;"&amp;VLOOKUP(TableFields[Field],Columns[],6,0))</f>
        <v/>
      </c>
      <c r="H341" s="4" t="str">
        <f>IF(VLOOKUP(TableFields[Field],Columns[],7,0)=0,"","-&gt;"&amp;VLOOKUP(TableFields[Field],Columns[],7,0))</f>
        <v/>
      </c>
      <c r="I341" s="4" t="str">
        <f>IF(VLOOKUP(TableFields[Field],Columns[],8,0)=0,"","-&gt;"&amp;VLOOKUP(TableFields[Field],Columns[],8,0))</f>
        <v/>
      </c>
      <c r="J341" s="4" t="str">
        <f>IF(VLOOKUP(TableFields[Field],Columns[],9,0)=0,"","-&gt;"&amp;VLOOKUP(TableFields[Field],Columns[],9,0))</f>
        <v/>
      </c>
      <c r="K34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$table-&gt;unsignedInteger('end_num')-&gt;nullable();</v>
      </c>
    </row>
    <row r="342" spans="1:11" x14ac:dyDescent="0.25">
      <c r="A342" s="4" t="s">
        <v>1620</v>
      </c>
      <c r="B342" s="4" t="s">
        <v>826</v>
      </c>
      <c r="C342" s="4" t="str">
        <f>VLOOKUP(TableFields[Field],Columns[],2,0)&amp;"("</f>
        <v>decimal(</v>
      </c>
      <c r="D342" s="4" t="str">
        <f>IF(VLOOKUP(TableFields[Field],Columns[],3,0)&lt;&gt;"","'"&amp;VLOOKUP(TableFields[Field],Columns[],3,0)&amp;"'","")</f>
        <v>'quantity'</v>
      </c>
      <c r="E3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42" s="4" t="str">
        <f>IF(VLOOKUP(TableFields[Field],Columns[],5,0)=0,"","-&gt;"&amp;VLOOKUP(TableFields[Field],Columns[],5,0))</f>
        <v>-&gt;default(1)</v>
      </c>
      <c r="G342" s="4" t="str">
        <f>IF(VLOOKUP(TableFields[Field],Columns[],6,0)=0,"","-&gt;"&amp;VLOOKUP(TableFields[Field],Columns[],6,0))</f>
        <v/>
      </c>
      <c r="H342" s="4" t="str">
        <f>IF(VLOOKUP(TableFields[Field],Columns[],7,0)=0,"","-&gt;"&amp;VLOOKUP(TableFields[Field],Columns[],7,0))</f>
        <v/>
      </c>
      <c r="I342" s="4" t="str">
        <f>IF(VLOOKUP(TableFields[Field],Columns[],8,0)=0,"","-&gt;"&amp;VLOOKUP(TableFields[Field],Columns[],8,0))</f>
        <v/>
      </c>
      <c r="J342" s="4" t="str">
        <f>IF(VLOOKUP(TableFields[Field],Columns[],9,0)=0,"","-&gt;"&amp;VLOOKUP(TableFields[Field],Columns[],9,0))</f>
        <v/>
      </c>
      <c r="K342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343" spans="1:11" x14ac:dyDescent="0.25">
      <c r="A343" s="4" t="s">
        <v>1620</v>
      </c>
      <c r="B343" s="4" t="s">
        <v>1638</v>
      </c>
      <c r="C343" s="4" t="str">
        <f>VLOOKUP(TableFields[Field],Columns[],2,0)&amp;"("</f>
        <v>unsignedInteger(</v>
      </c>
      <c r="D343" s="4" t="str">
        <f>IF(VLOOKUP(TableFields[Field],Columns[],3,0)&lt;&gt;"","'"&amp;VLOOKUP(TableFields[Field],Columns[],3,0)&amp;"'","")</f>
        <v>'current'</v>
      </c>
      <c r="E3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3" s="4" t="str">
        <f>IF(VLOOKUP(TableFields[Field],Columns[],5,0)=0,"","-&gt;"&amp;VLOOKUP(TableFields[Field],Columns[],5,0))</f>
        <v>-&gt;nullable()</v>
      </c>
      <c r="G343" s="4" t="str">
        <f>IF(VLOOKUP(TableFields[Field],Columns[],6,0)=0,"","-&gt;"&amp;VLOOKUP(TableFields[Field],Columns[],6,0))</f>
        <v>-&gt;default(0)</v>
      </c>
      <c r="H343" s="4" t="str">
        <f>IF(VLOOKUP(TableFields[Field],Columns[],7,0)=0,"","-&gt;"&amp;VLOOKUP(TableFields[Field],Columns[],7,0))</f>
        <v/>
      </c>
      <c r="I343" s="4" t="str">
        <f>IF(VLOOKUP(TableFields[Field],Columns[],8,0)=0,"","-&gt;"&amp;VLOOKUP(TableFields[Field],Columns[],8,0))</f>
        <v/>
      </c>
      <c r="J343" s="4" t="str">
        <f>IF(VLOOKUP(TableFields[Field],Columns[],9,0)=0,"","-&gt;"&amp;VLOOKUP(TableFields[Field],Columns[],9,0))</f>
        <v/>
      </c>
      <c r="K34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$table-&gt;unsignedInteger('current')-&gt;nullable()-&gt;default(0);</v>
      </c>
    </row>
    <row r="344" spans="1:11" x14ac:dyDescent="0.25">
      <c r="A344" s="4" t="s">
        <v>1620</v>
      </c>
      <c r="B344" s="4" t="s">
        <v>1624</v>
      </c>
      <c r="C344" s="4" t="str">
        <f>VLOOKUP(TableFields[Field],Columns[],2,0)&amp;"("</f>
        <v>enum(</v>
      </c>
      <c r="D344" s="4" t="str">
        <f>IF(VLOOKUP(TableFields[Field],Columns[],3,0)&lt;&gt;"","'"&amp;VLOOKUP(TableFields[Field],Columns[],3,0)&amp;"'","")</f>
        <v>'progress'</v>
      </c>
      <c r="E3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['Awaiting','Processing','Completed'])</v>
      </c>
      <c r="F344" s="4" t="str">
        <f>IF(VLOOKUP(TableFields[Field],Columns[],5,0)=0,"","-&gt;"&amp;VLOOKUP(TableFields[Field],Columns[],5,0))</f>
        <v>-&gt;nullable()</v>
      </c>
      <c r="G344" s="4" t="str">
        <f>IF(VLOOKUP(TableFields[Field],Columns[],6,0)=0,"","-&gt;"&amp;VLOOKUP(TableFields[Field],Columns[],6,0))</f>
        <v>-&gt;default('Awaiting')</v>
      </c>
      <c r="H344" s="4" t="str">
        <f>IF(VLOOKUP(TableFields[Field],Columns[],7,0)=0,"","-&gt;"&amp;VLOOKUP(TableFields[Field],Columns[],7,0))</f>
        <v/>
      </c>
      <c r="I344" s="4" t="str">
        <f>IF(VLOOKUP(TableFields[Field],Columns[],8,0)=0,"","-&gt;"&amp;VLOOKUP(TableFields[Field],Columns[],8,0))</f>
        <v/>
      </c>
      <c r="J344" s="4" t="str">
        <f>IF(VLOOKUP(TableFields[Field],Columns[],9,0)=0,"","-&gt;"&amp;VLOOKUP(TableFields[Field],Columns[],9,0))</f>
        <v/>
      </c>
      <c r="K344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['Awaiting','Processing','Completed'])-&gt;nullable()-&gt;default('Awaiting');</v>
      </c>
    </row>
    <row r="345" spans="1:11" x14ac:dyDescent="0.25">
      <c r="A345" s="4" t="s">
        <v>1620</v>
      </c>
      <c r="B345" s="4" t="s">
        <v>775</v>
      </c>
      <c r="C345" s="4" t="str">
        <f>VLOOKUP(TableFields[Field],Columns[],2,0)&amp;"("</f>
        <v>enum(</v>
      </c>
      <c r="D345" s="4" t="str">
        <f>IF(VLOOKUP(TableFields[Field],Columns[],3,0)&lt;&gt;"","'"&amp;VLOOKUP(TableFields[Field],Columns[],3,0)&amp;"'","")</f>
        <v>'status'</v>
      </c>
      <c r="E3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45" s="4" t="str">
        <f>IF(VLOOKUP(TableFields[Field],Columns[],5,0)=0,"","-&gt;"&amp;VLOOKUP(TableFields[Field],Columns[],5,0))</f>
        <v>-&gt;nullable()</v>
      </c>
      <c r="G345" s="4" t="str">
        <f>IF(VLOOKUP(TableFields[Field],Columns[],6,0)=0,"","-&gt;"&amp;VLOOKUP(TableFields[Field],Columns[],6,0))</f>
        <v>-&gt;default('Active')</v>
      </c>
      <c r="H345" s="4" t="str">
        <f>IF(VLOOKUP(TableFields[Field],Columns[],7,0)=0,"","-&gt;"&amp;VLOOKUP(TableFields[Field],Columns[],7,0))</f>
        <v/>
      </c>
      <c r="I345" s="4" t="str">
        <f>IF(VLOOKUP(TableFields[Field],Columns[],8,0)=0,"","-&gt;"&amp;VLOOKUP(TableFields[Field],Columns[],8,0))</f>
        <v/>
      </c>
      <c r="J345" s="4" t="str">
        <f>IF(VLOOKUP(TableFields[Field],Columns[],9,0)=0,"","-&gt;"&amp;VLOOKUP(TableFields[Field],Columns[],9,0))</f>
        <v/>
      </c>
      <c r="K34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46" spans="1:11" x14ac:dyDescent="0.25">
      <c r="A346" s="4" t="s">
        <v>1620</v>
      </c>
      <c r="B346" s="4" t="s">
        <v>288</v>
      </c>
      <c r="C346" s="4" t="str">
        <f>VLOOKUP(TableFields[Field],Columns[],2,0)&amp;"("</f>
        <v>audit(</v>
      </c>
      <c r="D346" s="4" t="str">
        <f>IF(VLOOKUP(TableFields[Field],Columns[],3,0)&lt;&gt;"","'"&amp;VLOOKUP(TableFields[Field],Columns[],3,0)&amp;"'","")</f>
        <v/>
      </c>
      <c r="E3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6" s="4" t="str">
        <f>IF(VLOOKUP(TableFields[Field],Columns[],5,0)=0,"","-&gt;"&amp;VLOOKUP(TableFields[Field],Columns[],5,0))</f>
        <v/>
      </c>
      <c r="G346" s="4" t="str">
        <f>IF(VLOOKUP(TableFields[Field],Columns[],6,0)=0,"","-&gt;"&amp;VLOOKUP(TableFields[Field],Columns[],6,0))</f>
        <v/>
      </c>
      <c r="H346" s="4" t="str">
        <f>IF(VLOOKUP(TableFields[Field],Columns[],7,0)=0,"","-&gt;"&amp;VLOOKUP(TableFields[Field],Columns[],7,0))</f>
        <v/>
      </c>
      <c r="I346" s="4" t="str">
        <f>IF(VLOOKUP(TableFields[Field],Columns[],8,0)=0,"","-&gt;"&amp;VLOOKUP(TableFields[Field],Columns[],8,0))</f>
        <v/>
      </c>
      <c r="J346" s="4" t="str">
        <f>IF(VLOOKUP(TableFields[Field],Columns[],9,0)=0,"","-&gt;"&amp;VLOOKUP(TableFields[Field],Columns[],9,0))</f>
        <v/>
      </c>
      <c r="K34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47" spans="1:11" x14ac:dyDescent="0.25">
      <c r="A347" s="4" t="s">
        <v>1940</v>
      </c>
      <c r="B347" s="5" t="s">
        <v>21</v>
      </c>
      <c r="C347" s="5" t="str">
        <f>VLOOKUP(TableFields[Field],Columns[],2,0)&amp;"("</f>
        <v>bigIncrements(</v>
      </c>
      <c r="D347" s="5" t="str">
        <f>IF(VLOOKUP(TableFields[Field],Columns[],3,0)&lt;&gt;"","'"&amp;VLOOKUP(TableFields[Field],Columns[],3,0)&amp;"'","")</f>
        <v>'id'</v>
      </c>
      <c r="E34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7" s="5" t="str">
        <f>IF(VLOOKUP(TableFields[Field],Columns[],5,0)=0,"","-&gt;"&amp;VLOOKUP(TableFields[Field],Columns[],5,0))</f>
        <v/>
      </c>
      <c r="G347" s="5" t="str">
        <f>IF(VLOOKUP(TableFields[Field],Columns[],6,0)=0,"","-&gt;"&amp;VLOOKUP(TableFields[Field],Columns[],6,0))</f>
        <v/>
      </c>
      <c r="H347" s="5" t="str">
        <f>IF(VLOOKUP(TableFields[Field],Columns[],7,0)=0,"","-&gt;"&amp;VLOOKUP(TableFields[Field],Columns[],7,0))</f>
        <v/>
      </c>
      <c r="I347" s="5" t="str">
        <f>IF(VLOOKUP(TableFields[Field],Columns[],8,0)=0,"","-&gt;"&amp;VLOOKUP(TableFields[Field],Columns[],8,0))</f>
        <v/>
      </c>
      <c r="J347" s="5" t="str">
        <f>IF(VLOOKUP(TableFields[Field],Columns[],9,0)=0,"","-&gt;"&amp;VLOOKUP(TableFields[Field],Columns[],9,0))</f>
        <v/>
      </c>
      <c r="K347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48" spans="1:11" x14ac:dyDescent="0.25">
      <c r="A348" s="4" t="s">
        <v>1940</v>
      </c>
      <c r="B348" s="5" t="s">
        <v>1941</v>
      </c>
      <c r="C348" s="5" t="str">
        <f>VLOOKUP(TableFields[Field],Columns[],2,0)&amp;"("</f>
        <v>foreignNullable(</v>
      </c>
      <c r="D348" s="5" t="str">
        <f>IF(VLOOKUP(TableFields[Field],Columns[],3,0)&lt;&gt;"","'"&amp;VLOOKUP(TableFields[Field],Columns[],3,0)&amp;"'","")</f>
        <v>'login_user'</v>
      </c>
      <c r="E34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48" s="5" t="str">
        <f>IF(VLOOKUP(TableFields[Field],Columns[],5,0)=0,"","-&gt;"&amp;VLOOKUP(TableFields[Field],Columns[],5,0))</f>
        <v/>
      </c>
      <c r="G348" s="5" t="str">
        <f>IF(VLOOKUP(TableFields[Field],Columns[],6,0)=0,"","-&gt;"&amp;VLOOKUP(TableFields[Field],Columns[],6,0))</f>
        <v/>
      </c>
      <c r="H348" s="5" t="str">
        <f>IF(VLOOKUP(TableFields[Field],Columns[],7,0)=0,"","-&gt;"&amp;VLOOKUP(TableFields[Field],Columns[],7,0))</f>
        <v/>
      </c>
      <c r="I348" s="5" t="str">
        <f>IF(VLOOKUP(TableFields[Field],Columns[],8,0)=0,"","-&gt;"&amp;VLOOKUP(TableFields[Field],Columns[],8,0))</f>
        <v/>
      </c>
      <c r="J348" s="5" t="str">
        <f>IF(VLOOKUP(TableFields[Field],Columns[],9,0)=0,"","-&gt;"&amp;VLOOKUP(TableFields[Field],Columns[],9,0))</f>
        <v/>
      </c>
      <c r="K348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$table-&gt;foreignNullable('login_user', 'users');</v>
      </c>
    </row>
    <row r="349" spans="1:11" s="20" customFormat="1" x14ac:dyDescent="0.25">
      <c r="A349" s="4" t="s">
        <v>1940</v>
      </c>
      <c r="B349" s="5" t="s">
        <v>1942</v>
      </c>
      <c r="C349" s="5" t="str">
        <f>VLOOKUP(TableFields[Field],Columns[],2,0)&amp;"("</f>
        <v>foreignNullable(</v>
      </c>
      <c r="D349" s="5" t="str">
        <f>IF(VLOOKUP(TableFields[Field],Columns[],3,0)&lt;&gt;"","'"&amp;VLOOKUP(TableFields[Field],Columns[],3,0)&amp;"'","")</f>
        <v>'executive_user'</v>
      </c>
      <c r="E34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49" s="5" t="str">
        <f>IF(VLOOKUP(TableFields[Field],Columns[],5,0)=0,"","-&gt;"&amp;VLOOKUP(TableFields[Field],Columns[],5,0))</f>
        <v/>
      </c>
      <c r="G349" s="5" t="str">
        <f>IF(VLOOKUP(TableFields[Field],Columns[],6,0)=0,"","-&gt;"&amp;VLOOKUP(TableFields[Field],Columns[],6,0))</f>
        <v/>
      </c>
      <c r="H349" s="5" t="str">
        <f>IF(VLOOKUP(TableFields[Field],Columns[],7,0)=0,"","-&gt;"&amp;VLOOKUP(TableFields[Field],Columns[],7,0))</f>
        <v/>
      </c>
      <c r="I349" s="5" t="str">
        <f>IF(VLOOKUP(TableFields[Field],Columns[],8,0)=0,"","-&gt;"&amp;VLOOKUP(TableFields[Field],Columns[],8,0))</f>
        <v/>
      </c>
      <c r="J349" s="5" t="str">
        <f>IF(VLOOKUP(TableFields[Field],Columns[],9,0)=0,"","-&gt;"&amp;VLOOKUP(TableFields[Field],Columns[],9,0))</f>
        <v/>
      </c>
      <c r="K349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$table-&gt;foreignNullable('executive_user', 'users');</v>
      </c>
    </row>
    <row r="350" spans="1:11" x14ac:dyDescent="0.25">
      <c r="A350" s="4" t="s">
        <v>1940</v>
      </c>
      <c r="B350" s="5" t="s">
        <v>288</v>
      </c>
      <c r="C350" s="5" t="str">
        <f>VLOOKUP(TableFields[Field],Columns[],2,0)&amp;"("</f>
        <v>audit(</v>
      </c>
      <c r="D350" s="5" t="str">
        <f>IF(VLOOKUP(TableFields[Field],Columns[],3,0)&lt;&gt;"","'"&amp;VLOOKUP(TableFields[Field],Columns[],3,0)&amp;"'","")</f>
        <v/>
      </c>
      <c r="E35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50" s="5" t="str">
        <f>IF(VLOOKUP(TableFields[Field],Columns[],5,0)=0,"","-&gt;"&amp;VLOOKUP(TableFields[Field],Columns[],5,0))</f>
        <v/>
      </c>
      <c r="G350" s="5" t="str">
        <f>IF(VLOOKUP(TableFields[Field],Columns[],6,0)=0,"","-&gt;"&amp;VLOOKUP(TableFields[Field],Columns[],6,0))</f>
        <v/>
      </c>
      <c r="H350" s="5" t="str">
        <f>IF(VLOOKUP(TableFields[Field],Columns[],7,0)=0,"","-&gt;"&amp;VLOOKUP(TableFields[Field],Columns[],7,0))</f>
        <v/>
      </c>
      <c r="I350" s="5" t="str">
        <f>IF(VLOOKUP(TableFields[Field],Columns[],8,0)=0,"","-&gt;"&amp;VLOOKUP(TableFields[Field],Columns[],8,0))</f>
        <v/>
      </c>
      <c r="J350" s="5" t="str">
        <f>IF(VLOOKUP(TableFields[Field],Columns[],9,0)=0,"","-&gt;"&amp;VLOOKUP(TableFields[Field],Columns[],9,0))</f>
        <v/>
      </c>
      <c r="K350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51" spans="1:11" x14ac:dyDescent="0.25">
      <c r="A351" s="4" t="s">
        <v>2000</v>
      </c>
      <c r="B351" s="5" t="s">
        <v>21</v>
      </c>
      <c r="C351" s="5" t="str">
        <f>VLOOKUP(TableFields[Field],Columns[],2,0)&amp;"("</f>
        <v>bigIncrements(</v>
      </c>
      <c r="D351" s="5" t="str">
        <f>IF(VLOOKUP(TableFields[Field],Columns[],3,0)&lt;&gt;"","'"&amp;VLOOKUP(TableFields[Field],Columns[],3,0)&amp;"'","")</f>
        <v>'id'</v>
      </c>
      <c r="E35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51" s="5" t="str">
        <f>IF(VLOOKUP(TableFields[Field],Columns[],5,0)=0,"","-&gt;"&amp;VLOOKUP(TableFields[Field],Columns[],5,0))</f>
        <v/>
      </c>
      <c r="G351" s="5" t="str">
        <f>IF(VLOOKUP(TableFields[Field],Columns[],6,0)=0,"","-&gt;"&amp;VLOOKUP(TableFields[Field],Columns[],6,0))</f>
        <v/>
      </c>
      <c r="H351" s="5" t="str">
        <f>IF(VLOOKUP(TableFields[Field],Columns[],7,0)=0,"","-&gt;"&amp;VLOOKUP(TableFields[Field],Columns[],7,0))</f>
        <v/>
      </c>
      <c r="I351" s="5" t="str">
        <f>IF(VLOOKUP(TableFields[Field],Columns[],8,0)=0,"","-&gt;"&amp;VLOOKUP(TableFields[Field],Columns[],8,0))</f>
        <v/>
      </c>
      <c r="J351" s="5" t="str">
        <f>IF(VLOOKUP(TableFields[Field],Columns[],9,0)=0,"","-&gt;"&amp;VLOOKUP(TableFields[Field],Columns[],9,0))</f>
        <v/>
      </c>
      <c r="K351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52" spans="1:11" x14ac:dyDescent="0.25">
      <c r="A352" s="4" t="s">
        <v>2000</v>
      </c>
      <c r="B352" s="5" t="s">
        <v>23</v>
      </c>
      <c r="C352" s="5" t="str">
        <f>VLOOKUP(TableFields[Field],Columns[],2,0)&amp;"("</f>
        <v>string(</v>
      </c>
      <c r="D352" s="5" t="str">
        <f>IF(VLOOKUP(TableFields[Field],Columns[],3,0)&lt;&gt;"","'"&amp;VLOOKUP(TableFields[Field],Columns[],3,0)&amp;"'","")</f>
        <v>'name'</v>
      </c>
      <c r="E35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52" s="5" t="str">
        <f>IF(VLOOKUP(TableFields[Field],Columns[],5,0)=0,"","-&gt;"&amp;VLOOKUP(TableFields[Field],Columns[],5,0))</f>
        <v>-&gt;nullable()</v>
      </c>
      <c r="G352" s="5" t="str">
        <f>IF(VLOOKUP(TableFields[Field],Columns[],6,0)=0,"","-&gt;"&amp;VLOOKUP(TableFields[Field],Columns[],6,0))</f>
        <v>-&gt;index()</v>
      </c>
      <c r="H352" s="5" t="str">
        <f>IF(VLOOKUP(TableFields[Field],Columns[],7,0)=0,"","-&gt;"&amp;VLOOKUP(TableFields[Field],Columns[],7,0))</f>
        <v/>
      </c>
      <c r="I352" s="5" t="str">
        <f>IF(VLOOKUP(TableFields[Field],Columns[],8,0)=0,"","-&gt;"&amp;VLOOKUP(TableFields[Field],Columns[],8,0))</f>
        <v/>
      </c>
      <c r="J352" s="5" t="str">
        <f>IF(VLOOKUP(TableFields[Field],Columns[],9,0)=0,"","-&gt;"&amp;VLOOKUP(TableFields[Field],Columns[],9,0))</f>
        <v/>
      </c>
      <c r="K352" s="5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353" spans="1:11" x14ac:dyDescent="0.25">
      <c r="A353" s="4" t="s">
        <v>2000</v>
      </c>
      <c r="B353" s="5" t="s">
        <v>24</v>
      </c>
      <c r="C353" s="5" t="str">
        <f>VLOOKUP(TableFields[Field],Columns[],2,0)&amp;"("</f>
        <v>string(</v>
      </c>
      <c r="D353" s="5" t="str">
        <f>IF(VLOOKUP(TableFields[Field],Columns[],3,0)&lt;&gt;"","'"&amp;VLOOKUP(TableFields[Field],Columns[],3,0)&amp;"'","")</f>
        <v>'description'</v>
      </c>
      <c r="E35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53" s="5" t="str">
        <f>IF(VLOOKUP(TableFields[Field],Columns[],5,0)=0,"","-&gt;"&amp;VLOOKUP(TableFields[Field],Columns[],5,0))</f>
        <v>-&gt;nullable()</v>
      </c>
      <c r="G353" s="5" t="str">
        <f>IF(VLOOKUP(TableFields[Field],Columns[],6,0)=0,"","-&gt;"&amp;VLOOKUP(TableFields[Field],Columns[],6,0))</f>
        <v/>
      </c>
      <c r="H353" s="5" t="str">
        <f>IF(VLOOKUP(TableFields[Field],Columns[],7,0)=0,"","-&gt;"&amp;VLOOKUP(TableFields[Field],Columns[],7,0))</f>
        <v/>
      </c>
      <c r="I353" s="5" t="str">
        <f>IF(VLOOKUP(TableFields[Field],Columns[],8,0)=0,"","-&gt;"&amp;VLOOKUP(TableFields[Field],Columns[],8,0))</f>
        <v/>
      </c>
      <c r="J353" s="5" t="str">
        <f>IF(VLOOKUP(TableFields[Field],Columns[],9,0)=0,"","-&gt;"&amp;VLOOKUP(TableFields[Field],Columns[],9,0))</f>
        <v/>
      </c>
      <c r="K353" s="5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354" spans="1:11" x14ac:dyDescent="0.25">
      <c r="A354" s="4" t="s">
        <v>2000</v>
      </c>
      <c r="B354" s="5" t="s">
        <v>858</v>
      </c>
      <c r="C354" s="5" t="str">
        <f>VLOOKUP(TableFields[Field],Columns[],2,0)&amp;"("</f>
        <v>char(</v>
      </c>
      <c r="D354" s="5" t="str">
        <f>IF(VLOOKUP(TableFields[Field],Columns[],3,0)&lt;&gt;"","'"&amp;VLOOKUP(TableFields[Field],Columns[],3,0)&amp;"'","")</f>
        <v>'fncode'</v>
      </c>
      <c r="E35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54" s="5" t="str">
        <f>IF(VLOOKUP(TableFields[Field],Columns[],5,0)=0,"","-&gt;"&amp;VLOOKUP(TableFields[Field],Columns[],5,0))</f>
        <v>-&gt;nullable()</v>
      </c>
      <c r="G354" s="5" t="str">
        <f>IF(VLOOKUP(TableFields[Field],Columns[],6,0)=0,"","-&gt;"&amp;VLOOKUP(TableFields[Field],Columns[],6,0))</f>
        <v>-&gt;index()</v>
      </c>
      <c r="H354" s="5" t="str">
        <f>IF(VLOOKUP(TableFields[Field],Columns[],7,0)=0,"","-&gt;"&amp;VLOOKUP(TableFields[Field],Columns[],7,0))</f>
        <v/>
      </c>
      <c r="I354" s="5" t="str">
        <f>IF(VLOOKUP(TableFields[Field],Columns[],8,0)=0,"","-&gt;"&amp;VLOOKUP(TableFields[Field],Columns[],8,0))</f>
        <v/>
      </c>
      <c r="J354" s="5" t="str">
        <f>IF(VLOOKUP(TableFields[Field],Columns[],9,0)=0,"","-&gt;"&amp;VLOOKUP(TableFields[Field],Columns[],9,0))</f>
        <v/>
      </c>
      <c r="K354" s="5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355" spans="1:11" x14ac:dyDescent="0.25">
      <c r="A355" s="4" t="s">
        <v>2000</v>
      </c>
      <c r="B355" s="5" t="s">
        <v>1986</v>
      </c>
      <c r="C355" s="5" t="str">
        <f>VLOOKUP(TableFields[Field],Columns[],2,0)&amp;"("</f>
        <v>string(</v>
      </c>
      <c r="D355" s="5" t="str">
        <f>IF(VLOOKUP(TableFields[Field],Columns[],3,0)&lt;&gt;"","'"&amp;VLOOKUP(TableFields[Field],Columns[],3,0)&amp;"'","")</f>
        <v>'query1'</v>
      </c>
      <c r="E35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'2048')</v>
      </c>
      <c r="F355" s="5" t="str">
        <f>IF(VLOOKUP(TableFields[Field],Columns[],5,0)=0,"","-&gt;"&amp;VLOOKUP(TableFields[Field],Columns[],5,0))</f>
        <v>-&gt;nullable()</v>
      </c>
      <c r="G355" s="5" t="str">
        <f>IF(VLOOKUP(TableFields[Field],Columns[],6,0)=0,"","-&gt;"&amp;VLOOKUP(TableFields[Field],Columns[],6,0))</f>
        <v/>
      </c>
      <c r="H355" s="5" t="str">
        <f>IF(VLOOKUP(TableFields[Field],Columns[],7,0)=0,"","-&gt;"&amp;VLOOKUP(TableFields[Field],Columns[],7,0))</f>
        <v/>
      </c>
      <c r="I355" s="5" t="str">
        <f>IF(VLOOKUP(TableFields[Field],Columns[],8,0)=0,"","-&gt;"&amp;VLOOKUP(TableFields[Field],Columns[],8,0))</f>
        <v/>
      </c>
      <c r="J355" s="5" t="str">
        <f>IF(VLOOKUP(TableFields[Field],Columns[],9,0)=0,"","-&gt;"&amp;VLOOKUP(TableFields[Field],Columns[],9,0))</f>
        <v/>
      </c>
      <c r="K355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$table-&gt;string('query1', '2048')-&gt;nullable();</v>
      </c>
    </row>
    <row r="356" spans="1:11" x14ac:dyDescent="0.25">
      <c r="A356" s="4" t="s">
        <v>2000</v>
      </c>
      <c r="B356" s="5" t="s">
        <v>1987</v>
      </c>
      <c r="C356" s="5" t="str">
        <f>VLOOKUP(TableFields[Field],Columns[],2,0)&amp;"("</f>
        <v>string(</v>
      </c>
      <c r="D356" s="5" t="str">
        <f>IF(VLOOKUP(TableFields[Field],Columns[],3,0)&lt;&gt;"","'"&amp;VLOOKUP(TableFields[Field],Columns[],3,0)&amp;"'","")</f>
        <v>'query2'</v>
      </c>
      <c r="E35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'2048')</v>
      </c>
      <c r="F356" s="5" t="str">
        <f>IF(VLOOKUP(TableFields[Field],Columns[],5,0)=0,"","-&gt;"&amp;VLOOKUP(TableFields[Field],Columns[],5,0))</f>
        <v>-&gt;nullable()</v>
      </c>
      <c r="G356" s="5" t="str">
        <f>IF(VLOOKUP(TableFields[Field],Columns[],6,0)=0,"","-&gt;"&amp;VLOOKUP(TableFields[Field],Columns[],6,0))</f>
        <v/>
      </c>
      <c r="H356" s="5" t="str">
        <f>IF(VLOOKUP(TableFields[Field],Columns[],7,0)=0,"","-&gt;"&amp;VLOOKUP(TableFields[Field],Columns[],7,0))</f>
        <v/>
      </c>
      <c r="I356" s="5" t="str">
        <f>IF(VLOOKUP(TableFields[Field],Columns[],8,0)=0,"","-&gt;"&amp;VLOOKUP(TableFields[Field],Columns[],8,0))</f>
        <v/>
      </c>
      <c r="J356" s="5" t="str">
        <f>IF(VLOOKUP(TableFields[Field],Columns[],9,0)=0,"","-&gt;"&amp;VLOOKUP(TableFields[Field],Columns[],9,0))</f>
        <v/>
      </c>
      <c r="K356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$table-&gt;string('query2', '2048')-&gt;nullable();</v>
      </c>
    </row>
    <row r="357" spans="1:11" x14ac:dyDescent="0.25">
      <c r="A357" s="4" t="s">
        <v>2000</v>
      </c>
      <c r="B357" s="5" t="s">
        <v>1988</v>
      </c>
      <c r="C357" s="5" t="str">
        <f>VLOOKUP(TableFields[Field],Columns[],2,0)&amp;"("</f>
        <v>string(</v>
      </c>
      <c r="D357" s="5" t="str">
        <f>IF(VLOOKUP(TableFields[Field],Columns[],3,0)&lt;&gt;"","'"&amp;VLOOKUP(TableFields[Field],Columns[],3,0)&amp;"'","")</f>
        <v>'query3'</v>
      </c>
      <c r="E35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'2048')</v>
      </c>
      <c r="F357" s="5" t="str">
        <f>IF(VLOOKUP(TableFields[Field],Columns[],5,0)=0,"","-&gt;"&amp;VLOOKUP(TableFields[Field],Columns[],5,0))</f>
        <v>-&gt;nullable()</v>
      </c>
      <c r="G357" s="5" t="str">
        <f>IF(VLOOKUP(TableFields[Field],Columns[],6,0)=0,"","-&gt;"&amp;VLOOKUP(TableFields[Field],Columns[],6,0))</f>
        <v/>
      </c>
      <c r="H357" s="5" t="str">
        <f>IF(VLOOKUP(TableFields[Field],Columns[],7,0)=0,"","-&gt;"&amp;VLOOKUP(TableFields[Field],Columns[],7,0))</f>
        <v/>
      </c>
      <c r="I357" s="5" t="str">
        <f>IF(VLOOKUP(TableFields[Field],Columns[],8,0)=0,"","-&gt;"&amp;VLOOKUP(TableFields[Field],Columns[],8,0))</f>
        <v/>
      </c>
      <c r="J357" s="5" t="str">
        <f>IF(VLOOKUP(TableFields[Field],Columns[],9,0)=0,"","-&gt;"&amp;VLOOKUP(TableFields[Field],Columns[],9,0))</f>
        <v/>
      </c>
      <c r="K357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$table-&gt;string('query3', '2048')-&gt;nullable();</v>
      </c>
    </row>
    <row r="358" spans="1:11" x14ac:dyDescent="0.25">
      <c r="A358" s="4" t="s">
        <v>2000</v>
      </c>
      <c r="B358" s="5" t="s">
        <v>1992</v>
      </c>
      <c r="C358" s="5" t="str">
        <f>VLOOKUP(TableFields[Field],Columns[],2,0)&amp;"("</f>
        <v>string(</v>
      </c>
      <c r="D358" s="5" t="str">
        <f>IF(VLOOKUP(TableFields[Field],Columns[],3,0)&lt;&gt;"","'"&amp;VLOOKUP(TableFields[Field],Columns[],3,0)&amp;"'","")</f>
        <v>'query1_props'</v>
      </c>
      <c r="E35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8" s="5" t="str">
        <f>IF(VLOOKUP(TableFields[Field],Columns[],5,0)=0,"","-&gt;"&amp;VLOOKUP(TableFields[Field],Columns[],5,0))</f>
        <v>-&gt;nullable()</v>
      </c>
      <c r="G358" s="5" t="str">
        <f>IF(VLOOKUP(TableFields[Field],Columns[],6,0)=0,"","-&gt;"&amp;VLOOKUP(TableFields[Field],Columns[],6,0))</f>
        <v/>
      </c>
      <c r="H358" s="5" t="str">
        <f>IF(VLOOKUP(TableFields[Field],Columns[],7,0)=0,"","-&gt;"&amp;VLOOKUP(TableFields[Field],Columns[],7,0))</f>
        <v/>
      </c>
      <c r="I358" s="5" t="str">
        <f>IF(VLOOKUP(TableFields[Field],Columns[],8,0)=0,"","-&gt;"&amp;VLOOKUP(TableFields[Field],Columns[],8,0))</f>
        <v/>
      </c>
      <c r="J358" s="5" t="str">
        <f>IF(VLOOKUP(TableFields[Field],Columns[],9,0)=0,"","-&gt;"&amp;VLOOKUP(TableFields[Field],Columns[],9,0))</f>
        <v/>
      </c>
      <c r="K358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$table-&gt;string('query1_props', '512')-&gt;nullable();</v>
      </c>
    </row>
    <row r="359" spans="1:11" x14ac:dyDescent="0.25">
      <c r="A359" s="4" t="s">
        <v>2000</v>
      </c>
      <c r="B359" s="5" t="s">
        <v>1993</v>
      </c>
      <c r="C359" s="5" t="str">
        <f>VLOOKUP(TableFields[Field],Columns[],2,0)&amp;"("</f>
        <v>string(</v>
      </c>
      <c r="D359" s="5" t="str">
        <f>IF(VLOOKUP(TableFields[Field],Columns[],3,0)&lt;&gt;"","'"&amp;VLOOKUP(TableFields[Field],Columns[],3,0)&amp;"'","")</f>
        <v>'query2_props'</v>
      </c>
      <c r="E35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9" s="5" t="str">
        <f>IF(VLOOKUP(TableFields[Field],Columns[],5,0)=0,"","-&gt;"&amp;VLOOKUP(TableFields[Field],Columns[],5,0))</f>
        <v>-&gt;nullable()</v>
      </c>
      <c r="G359" s="5" t="str">
        <f>IF(VLOOKUP(TableFields[Field],Columns[],6,0)=0,"","-&gt;"&amp;VLOOKUP(TableFields[Field],Columns[],6,0))</f>
        <v/>
      </c>
      <c r="H359" s="5" t="str">
        <f>IF(VLOOKUP(TableFields[Field],Columns[],7,0)=0,"","-&gt;"&amp;VLOOKUP(TableFields[Field],Columns[],7,0))</f>
        <v/>
      </c>
      <c r="I359" s="5" t="str">
        <f>IF(VLOOKUP(TableFields[Field],Columns[],8,0)=0,"","-&gt;"&amp;VLOOKUP(TableFields[Field],Columns[],8,0))</f>
        <v/>
      </c>
      <c r="J359" s="5" t="str">
        <f>IF(VLOOKUP(TableFields[Field],Columns[],9,0)=0,"","-&gt;"&amp;VLOOKUP(TableFields[Field],Columns[],9,0))</f>
        <v/>
      </c>
      <c r="K359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$table-&gt;string('query2_props', '512')-&gt;nullable();</v>
      </c>
    </row>
    <row r="360" spans="1:11" x14ac:dyDescent="0.25">
      <c r="A360" s="4" t="s">
        <v>2000</v>
      </c>
      <c r="B360" s="5" t="s">
        <v>1994</v>
      </c>
      <c r="C360" s="5" t="str">
        <f>VLOOKUP(TableFields[Field],Columns[],2,0)&amp;"("</f>
        <v>string(</v>
      </c>
      <c r="D360" s="5" t="str">
        <f>IF(VLOOKUP(TableFields[Field],Columns[],3,0)&lt;&gt;"","'"&amp;VLOOKUP(TableFields[Field],Columns[],3,0)&amp;"'","")</f>
        <v>'query3_props'</v>
      </c>
      <c r="E36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0" s="5" t="str">
        <f>IF(VLOOKUP(TableFields[Field],Columns[],5,0)=0,"","-&gt;"&amp;VLOOKUP(TableFields[Field],Columns[],5,0))</f>
        <v>-&gt;nullable()</v>
      </c>
      <c r="G360" s="5" t="str">
        <f>IF(VLOOKUP(TableFields[Field],Columns[],6,0)=0,"","-&gt;"&amp;VLOOKUP(TableFields[Field],Columns[],6,0))</f>
        <v/>
      </c>
      <c r="H360" s="5" t="str">
        <f>IF(VLOOKUP(TableFields[Field],Columns[],7,0)=0,"","-&gt;"&amp;VLOOKUP(TableFields[Field],Columns[],7,0))</f>
        <v/>
      </c>
      <c r="I360" s="5" t="str">
        <f>IF(VLOOKUP(TableFields[Field],Columns[],8,0)=0,"","-&gt;"&amp;VLOOKUP(TableFields[Field],Columns[],8,0))</f>
        <v/>
      </c>
      <c r="J360" s="5" t="str">
        <f>IF(VLOOKUP(TableFields[Field],Columns[],9,0)=0,"","-&gt;"&amp;VLOOKUP(TableFields[Field],Columns[],9,0))</f>
        <v/>
      </c>
      <c r="K360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$table-&gt;string('query3_props', '512')-&gt;nullable();</v>
      </c>
    </row>
    <row r="361" spans="1:11" x14ac:dyDescent="0.25">
      <c r="A361" s="4" t="s">
        <v>2000</v>
      </c>
      <c r="B361" s="5" t="s">
        <v>1989</v>
      </c>
      <c r="C361" s="5" t="str">
        <f>VLOOKUP(TableFields[Field],Columns[],2,0)&amp;"("</f>
        <v>string(</v>
      </c>
      <c r="D361" s="5" t="str">
        <f>IF(VLOOKUP(TableFields[Field],Columns[],3,0)&lt;&gt;"","'"&amp;VLOOKUP(TableFields[Field],Columns[],3,0)&amp;"'","")</f>
        <v>'header1'</v>
      </c>
      <c r="E36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1" s="5" t="str">
        <f>IF(VLOOKUP(TableFields[Field],Columns[],5,0)=0,"","-&gt;"&amp;VLOOKUP(TableFields[Field],Columns[],5,0))</f>
        <v>-&gt;nullable()</v>
      </c>
      <c r="G361" s="5" t="str">
        <f>IF(VLOOKUP(TableFields[Field],Columns[],6,0)=0,"","-&gt;"&amp;VLOOKUP(TableFields[Field],Columns[],6,0))</f>
        <v/>
      </c>
      <c r="H361" s="5" t="str">
        <f>IF(VLOOKUP(TableFields[Field],Columns[],7,0)=0,"","-&gt;"&amp;VLOOKUP(TableFields[Field],Columns[],7,0))</f>
        <v/>
      </c>
      <c r="I361" s="5" t="str">
        <f>IF(VLOOKUP(TableFields[Field],Columns[],8,0)=0,"","-&gt;"&amp;VLOOKUP(TableFields[Field],Columns[],8,0))</f>
        <v/>
      </c>
      <c r="J361" s="5" t="str">
        <f>IF(VLOOKUP(TableFields[Field],Columns[],9,0)=0,"","-&gt;"&amp;VLOOKUP(TableFields[Field],Columns[],9,0))</f>
        <v/>
      </c>
      <c r="K361" s="5" t="str">
        <f>"$table-&gt;"&amp;TableFields[Type]&amp;TableFields[Name]&amp;TableFields[Arg2]&amp;TableFields[Method1]&amp;TableFields[Method2]&amp;TableFields[Method3]&amp;TableFields[Method4]&amp;TableFields[Method5]&amp;";"</f>
        <v>$table-&gt;string('header1', '512')-&gt;nullable();</v>
      </c>
    </row>
    <row r="362" spans="1:11" s="20" customFormat="1" x14ac:dyDescent="0.25">
      <c r="A362" s="4" t="s">
        <v>2000</v>
      </c>
      <c r="B362" s="5" t="s">
        <v>1990</v>
      </c>
      <c r="C362" s="5" t="str">
        <f>VLOOKUP(TableFields[Field],Columns[],2,0)&amp;"("</f>
        <v>string(</v>
      </c>
      <c r="D362" s="5" t="str">
        <f>IF(VLOOKUP(TableFields[Field],Columns[],3,0)&lt;&gt;"","'"&amp;VLOOKUP(TableFields[Field],Columns[],3,0)&amp;"'","")</f>
        <v>'header2'</v>
      </c>
      <c r="E36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2" s="5" t="str">
        <f>IF(VLOOKUP(TableFields[Field],Columns[],5,0)=0,"","-&gt;"&amp;VLOOKUP(TableFields[Field],Columns[],5,0))</f>
        <v>-&gt;nullable()</v>
      </c>
      <c r="G362" s="5" t="str">
        <f>IF(VLOOKUP(TableFields[Field],Columns[],6,0)=0,"","-&gt;"&amp;VLOOKUP(TableFields[Field],Columns[],6,0))</f>
        <v/>
      </c>
      <c r="H362" s="5" t="str">
        <f>IF(VLOOKUP(TableFields[Field],Columns[],7,0)=0,"","-&gt;"&amp;VLOOKUP(TableFields[Field],Columns[],7,0))</f>
        <v/>
      </c>
      <c r="I362" s="5" t="str">
        <f>IF(VLOOKUP(TableFields[Field],Columns[],8,0)=0,"","-&gt;"&amp;VLOOKUP(TableFields[Field],Columns[],8,0))</f>
        <v/>
      </c>
      <c r="J362" s="5" t="str">
        <f>IF(VLOOKUP(TableFields[Field],Columns[],9,0)=0,"","-&gt;"&amp;VLOOKUP(TableFields[Field],Columns[],9,0))</f>
        <v/>
      </c>
      <c r="K362" s="5" t="str">
        <f>"$table-&gt;"&amp;TableFields[Type]&amp;TableFields[Name]&amp;TableFields[Arg2]&amp;TableFields[Method1]&amp;TableFields[Method2]&amp;TableFields[Method3]&amp;TableFields[Method4]&amp;TableFields[Method5]&amp;";"</f>
        <v>$table-&gt;string('header2', '512')-&gt;nullable();</v>
      </c>
    </row>
    <row r="363" spans="1:11" x14ac:dyDescent="0.25">
      <c r="A363" s="4" t="s">
        <v>2000</v>
      </c>
      <c r="B363" s="5" t="s">
        <v>1991</v>
      </c>
      <c r="C363" s="5" t="str">
        <f>VLOOKUP(TableFields[Field],Columns[],2,0)&amp;"("</f>
        <v>string(</v>
      </c>
      <c r="D363" s="5" t="str">
        <f>IF(VLOOKUP(TableFields[Field],Columns[],3,0)&lt;&gt;"","'"&amp;VLOOKUP(TableFields[Field],Columns[],3,0)&amp;"'","")</f>
        <v>'header3'</v>
      </c>
      <c r="E36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3" s="5" t="str">
        <f>IF(VLOOKUP(TableFields[Field],Columns[],5,0)=0,"","-&gt;"&amp;VLOOKUP(TableFields[Field],Columns[],5,0))</f>
        <v>-&gt;nullable()</v>
      </c>
      <c r="G363" s="5" t="str">
        <f>IF(VLOOKUP(TableFields[Field],Columns[],6,0)=0,"","-&gt;"&amp;VLOOKUP(TableFields[Field],Columns[],6,0))</f>
        <v/>
      </c>
      <c r="H363" s="5" t="str">
        <f>IF(VLOOKUP(TableFields[Field],Columns[],7,0)=0,"","-&gt;"&amp;VLOOKUP(TableFields[Field],Columns[],7,0))</f>
        <v/>
      </c>
      <c r="I363" s="5" t="str">
        <f>IF(VLOOKUP(TableFields[Field],Columns[],8,0)=0,"","-&gt;"&amp;VLOOKUP(TableFields[Field],Columns[],8,0))</f>
        <v/>
      </c>
      <c r="J363" s="5" t="str">
        <f>IF(VLOOKUP(TableFields[Field],Columns[],9,0)=0,"","-&gt;"&amp;VLOOKUP(TableFields[Field],Columns[],9,0))</f>
        <v/>
      </c>
      <c r="K363" s="5" t="str">
        <f>"$table-&gt;"&amp;TableFields[Type]&amp;TableFields[Name]&amp;TableFields[Arg2]&amp;TableFields[Method1]&amp;TableFields[Method2]&amp;TableFields[Method3]&amp;TableFields[Method4]&amp;TableFields[Method5]&amp;";"</f>
        <v>$table-&gt;string('header3', '512')-&gt;nullable();</v>
      </c>
    </row>
    <row r="364" spans="1:11" x14ac:dyDescent="0.25">
      <c r="A364" s="4" t="s">
        <v>2000</v>
      </c>
      <c r="B364" s="5" t="s">
        <v>1995</v>
      </c>
      <c r="C364" s="5" t="str">
        <f>VLOOKUP(TableFields[Field],Columns[],2,0)&amp;"("</f>
        <v>string(</v>
      </c>
      <c r="D364" s="5" t="str">
        <f>IF(VLOOKUP(TableFields[Field],Columns[],3,0)&lt;&gt;"","'"&amp;VLOOKUP(TableFields[Field],Columns[],3,0)&amp;"'","")</f>
        <v>'footer1'</v>
      </c>
      <c r="E36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4" s="5" t="str">
        <f>IF(VLOOKUP(TableFields[Field],Columns[],5,0)=0,"","-&gt;"&amp;VLOOKUP(TableFields[Field],Columns[],5,0))</f>
        <v>-&gt;nullable()</v>
      </c>
      <c r="G364" s="5" t="str">
        <f>IF(VLOOKUP(TableFields[Field],Columns[],6,0)=0,"","-&gt;"&amp;VLOOKUP(TableFields[Field],Columns[],6,0))</f>
        <v/>
      </c>
      <c r="H364" s="5" t="str">
        <f>IF(VLOOKUP(TableFields[Field],Columns[],7,0)=0,"","-&gt;"&amp;VLOOKUP(TableFields[Field],Columns[],7,0))</f>
        <v/>
      </c>
      <c r="I364" s="5" t="str">
        <f>IF(VLOOKUP(TableFields[Field],Columns[],8,0)=0,"","-&gt;"&amp;VLOOKUP(TableFields[Field],Columns[],8,0))</f>
        <v/>
      </c>
      <c r="J364" s="5" t="str">
        <f>IF(VLOOKUP(TableFields[Field],Columns[],9,0)=0,"","-&gt;"&amp;VLOOKUP(TableFields[Field],Columns[],9,0))</f>
        <v/>
      </c>
      <c r="K364" s="5" t="str">
        <f>"$table-&gt;"&amp;TableFields[Type]&amp;TableFields[Name]&amp;TableFields[Arg2]&amp;TableFields[Method1]&amp;TableFields[Method2]&amp;TableFields[Method3]&amp;TableFields[Method4]&amp;TableFields[Method5]&amp;";"</f>
        <v>$table-&gt;string('footer1', '512')-&gt;nullable();</v>
      </c>
    </row>
    <row r="365" spans="1:11" x14ac:dyDescent="0.25">
      <c r="A365" s="4" t="s">
        <v>2000</v>
      </c>
      <c r="B365" s="5" t="s">
        <v>1996</v>
      </c>
      <c r="C365" s="5" t="str">
        <f>VLOOKUP(TableFields[Field],Columns[],2,0)&amp;"("</f>
        <v>string(</v>
      </c>
      <c r="D365" s="5" t="str">
        <f>IF(VLOOKUP(TableFields[Field],Columns[],3,0)&lt;&gt;"","'"&amp;VLOOKUP(TableFields[Field],Columns[],3,0)&amp;"'","")</f>
        <v>'footer2'</v>
      </c>
      <c r="E36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5" s="5" t="str">
        <f>IF(VLOOKUP(TableFields[Field],Columns[],5,0)=0,"","-&gt;"&amp;VLOOKUP(TableFields[Field],Columns[],5,0))</f>
        <v>-&gt;nullable()</v>
      </c>
      <c r="G365" s="5" t="str">
        <f>IF(VLOOKUP(TableFields[Field],Columns[],6,0)=0,"","-&gt;"&amp;VLOOKUP(TableFields[Field],Columns[],6,0))</f>
        <v/>
      </c>
      <c r="H365" s="5" t="str">
        <f>IF(VLOOKUP(TableFields[Field],Columns[],7,0)=0,"","-&gt;"&amp;VLOOKUP(TableFields[Field],Columns[],7,0))</f>
        <v/>
      </c>
      <c r="I365" s="5" t="str">
        <f>IF(VLOOKUP(TableFields[Field],Columns[],8,0)=0,"","-&gt;"&amp;VLOOKUP(TableFields[Field],Columns[],8,0))</f>
        <v/>
      </c>
      <c r="J365" s="5" t="str">
        <f>IF(VLOOKUP(TableFields[Field],Columns[],9,0)=0,"","-&gt;"&amp;VLOOKUP(TableFields[Field],Columns[],9,0))</f>
        <v/>
      </c>
      <c r="K365" s="5" t="str">
        <f>"$table-&gt;"&amp;TableFields[Type]&amp;TableFields[Name]&amp;TableFields[Arg2]&amp;TableFields[Method1]&amp;TableFields[Method2]&amp;TableFields[Method3]&amp;TableFields[Method4]&amp;TableFields[Method5]&amp;";"</f>
        <v>$table-&gt;string('footer2', '512')-&gt;nullable();</v>
      </c>
    </row>
    <row r="366" spans="1:11" x14ac:dyDescent="0.25">
      <c r="A366" s="4" t="s">
        <v>2000</v>
      </c>
      <c r="B366" s="5" t="s">
        <v>1997</v>
      </c>
      <c r="C366" s="5" t="str">
        <f>VLOOKUP(TableFields[Field],Columns[],2,0)&amp;"("</f>
        <v>string(</v>
      </c>
      <c r="D366" s="5" t="str">
        <f>IF(VLOOKUP(TableFields[Field],Columns[],3,0)&lt;&gt;"","'"&amp;VLOOKUP(TableFields[Field],Columns[],3,0)&amp;"'","")</f>
        <v>'footer3'</v>
      </c>
      <c r="E36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6" s="5" t="str">
        <f>IF(VLOOKUP(TableFields[Field],Columns[],5,0)=0,"","-&gt;"&amp;VLOOKUP(TableFields[Field],Columns[],5,0))</f>
        <v>-&gt;nullable()</v>
      </c>
      <c r="G366" s="5" t="str">
        <f>IF(VLOOKUP(TableFields[Field],Columns[],6,0)=0,"","-&gt;"&amp;VLOOKUP(TableFields[Field],Columns[],6,0))</f>
        <v/>
      </c>
      <c r="H366" s="5" t="str">
        <f>IF(VLOOKUP(TableFields[Field],Columns[],7,0)=0,"","-&gt;"&amp;VLOOKUP(TableFields[Field],Columns[],7,0))</f>
        <v/>
      </c>
      <c r="I366" s="5" t="str">
        <f>IF(VLOOKUP(TableFields[Field],Columns[],8,0)=0,"","-&gt;"&amp;VLOOKUP(TableFields[Field],Columns[],8,0))</f>
        <v/>
      </c>
      <c r="J366" s="5" t="str">
        <f>IF(VLOOKUP(TableFields[Field],Columns[],9,0)=0,"","-&gt;"&amp;VLOOKUP(TableFields[Field],Columns[],9,0))</f>
        <v/>
      </c>
      <c r="K366" s="5" t="str">
        <f>"$table-&gt;"&amp;TableFields[Type]&amp;TableFields[Name]&amp;TableFields[Arg2]&amp;TableFields[Method1]&amp;TableFields[Method2]&amp;TableFields[Method3]&amp;TableFields[Method4]&amp;TableFields[Method5]&amp;";"</f>
        <v>$table-&gt;string('footer3', '512')-&gt;nullable();</v>
      </c>
    </row>
    <row r="367" spans="1:11" x14ac:dyDescent="0.25">
      <c r="A367" s="4" t="s">
        <v>2000</v>
      </c>
      <c r="B367" s="5" t="s">
        <v>2005</v>
      </c>
      <c r="C367" s="5" t="str">
        <f>VLOOKUP(TableFields[Field],Columns[],2,0)&amp;"("</f>
        <v>text(</v>
      </c>
      <c r="D367" s="5" t="str">
        <f>IF(VLOOKUP(TableFields[Field],Columns[],3,0)&lt;&gt;"","'"&amp;VLOOKUP(TableFields[Field],Columns[],3,0)&amp;"'","")</f>
        <v>'template'</v>
      </c>
      <c r="E36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7" s="5" t="str">
        <f>IF(VLOOKUP(TableFields[Field],Columns[],5,0)=0,"","-&gt;"&amp;VLOOKUP(TableFields[Field],Columns[],5,0))</f>
        <v>-&gt;nullable()</v>
      </c>
      <c r="G367" s="5" t="str">
        <f>IF(VLOOKUP(TableFields[Field],Columns[],6,0)=0,"","-&gt;"&amp;VLOOKUP(TableFields[Field],Columns[],6,0))</f>
        <v/>
      </c>
      <c r="H367" s="5" t="str">
        <f>IF(VLOOKUP(TableFields[Field],Columns[],7,0)=0,"","-&gt;"&amp;VLOOKUP(TableFields[Field],Columns[],7,0))</f>
        <v/>
      </c>
      <c r="I367" s="5" t="str">
        <f>IF(VLOOKUP(TableFields[Field],Columns[],8,0)=0,"","-&gt;"&amp;VLOOKUP(TableFields[Field],Columns[],8,0))</f>
        <v/>
      </c>
      <c r="J367" s="5" t="str">
        <f>IF(VLOOKUP(TableFields[Field],Columns[],9,0)=0,"","-&gt;"&amp;VLOOKUP(TableFields[Field],Columns[],9,0))</f>
        <v/>
      </c>
      <c r="K367" s="5" t="str">
        <f>"$table-&gt;"&amp;TableFields[Type]&amp;TableFields[Name]&amp;TableFields[Arg2]&amp;TableFields[Method1]&amp;TableFields[Method2]&amp;TableFields[Method3]&amp;TableFields[Method4]&amp;TableFields[Method5]&amp;";"</f>
        <v>$table-&gt;text('template')-&gt;nullable();</v>
      </c>
    </row>
    <row r="368" spans="1:11" x14ac:dyDescent="0.25">
      <c r="A368" s="4" t="s">
        <v>2000</v>
      </c>
      <c r="B368" s="5" t="s">
        <v>1998</v>
      </c>
      <c r="C368" s="5" t="str">
        <f>VLOOKUP(TableFields[Field],Columns[],2,0)&amp;"("</f>
        <v>text(</v>
      </c>
      <c r="D368" s="5" t="str">
        <f>IF(VLOOKUP(TableFields[Field],Columns[],3,0)&lt;&gt;"","'"&amp;VLOOKUP(TableFields[Field],Columns[],3,0)&amp;"'","")</f>
        <v>'object'</v>
      </c>
      <c r="E36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8" s="5" t="str">
        <f>IF(VLOOKUP(TableFields[Field],Columns[],5,0)=0,"","-&gt;"&amp;VLOOKUP(TableFields[Field],Columns[],5,0))</f>
        <v>-&gt;nullable()</v>
      </c>
      <c r="G368" s="5" t="str">
        <f>IF(VLOOKUP(TableFields[Field],Columns[],6,0)=0,"","-&gt;"&amp;VLOOKUP(TableFields[Field],Columns[],6,0))</f>
        <v/>
      </c>
      <c r="H368" s="5" t="str">
        <f>IF(VLOOKUP(TableFields[Field],Columns[],7,0)=0,"","-&gt;"&amp;VLOOKUP(TableFields[Field],Columns[],7,0))</f>
        <v/>
      </c>
      <c r="I368" s="5" t="str">
        <f>IF(VLOOKUP(TableFields[Field],Columns[],8,0)=0,"","-&gt;"&amp;VLOOKUP(TableFields[Field],Columns[],8,0))</f>
        <v/>
      </c>
      <c r="J368" s="5" t="str">
        <f>IF(VLOOKUP(TableFields[Field],Columns[],9,0)=0,"","-&gt;"&amp;VLOOKUP(TableFields[Field],Columns[],9,0))</f>
        <v/>
      </c>
      <c r="K368" s="5" t="str">
        <f>"$table-&gt;"&amp;TableFields[Type]&amp;TableFields[Name]&amp;TableFields[Arg2]&amp;TableFields[Method1]&amp;TableFields[Method2]&amp;TableFields[Method3]&amp;TableFields[Method4]&amp;TableFields[Method5]&amp;";"</f>
        <v>$table-&gt;text('object')-&gt;nullable();</v>
      </c>
    </row>
    <row r="369" spans="1:11" x14ac:dyDescent="0.25">
      <c r="A369" s="4" t="s">
        <v>2000</v>
      </c>
      <c r="B369" s="5" t="s">
        <v>2025</v>
      </c>
      <c r="C369" s="5" t="str">
        <f>VLOOKUP(TableFields[Field],Columns[],2,0)&amp;"("</f>
        <v>unsignedBigInteger(</v>
      </c>
      <c r="D369" s="5" t="str">
        <f>IF(VLOOKUP(TableFields[Field],Columns[],3,0)&lt;&gt;"","'"&amp;VLOOKUP(TableFields[Field],Columns[],3,0)&amp;"'","")</f>
        <v>'file'</v>
      </c>
      <c r="E36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9" s="5" t="str">
        <f>IF(VLOOKUP(TableFields[Field],Columns[],5,0)=0,"","-&gt;"&amp;VLOOKUP(TableFields[Field],Columns[],5,0))</f>
        <v>-&gt;nullable()</v>
      </c>
      <c r="G369" s="5" t="str">
        <f>IF(VLOOKUP(TableFields[Field],Columns[],6,0)=0,"","-&gt;"&amp;VLOOKUP(TableFields[Field],Columns[],6,0))</f>
        <v/>
      </c>
      <c r="H369" s="5" t="str">
        <f>IF(VLOOKUP(TableFields[Field],Columns[],7,0)=0,"","-&gt;"&amp;VLOOKUP(TableFields[Field],Columns[],7,0))</f>
        <v/>
      </c>
      <c r="I369" s="5" t="str">
        <f>IF(VLOOKUP(TableFields[Field],Columns[],8,0)=0,"","-&gt;"&amp;VLOOKUP(TableFields[Field],Columns[],8,0))</f>
        <v/>
      </c>
      <c r="J369" s="5" t="str">
        <f>IF(VLOOKUP(TableFields[Field],Columns[],9,0)=0,"","-&gt;"&amp;VLOOKUP(TableFields[Field],Columns[],9,0))</f>
        <v/>
      </c>
      <c r="K369" s="5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$table-&gt;unsignedBigInteger('file')-&gt;nullable();</v>
      </c>
    </row>
    <row r="370" spans="1:11" x14ac:dyDescent="0.25">
      <c r="A370" s="4" t="s">
        <v>2000</v>
      </c>
      <c r="B370" s="5" t="s">
        <v>775</v>
      </c>
      <c r="C370" s="5" t="str">
        <f>VLOOKUP(TableFields[Field],Columns[],2,0)&amp;"("</f>
        <v>enum(</v>
      </c>
      <c r="D370" s="5" t="str">
        <f>IF(VLOOKUP(TableFields[Field],Columns[],3,0)&lt;&gt;"","'"&amp;VLOOKUP(TableFields[Field],Columns[],3,0)&amp;"'","")</f>
        <v>'status'</v>
      </c>
      <c r="E37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70" s="5" t="str">
        <f>IF(VLOOKUP(TableFields[Field],Columns[],5,0)=0,"","-&gt;"&amp;VLOOKUP(TableFields[Field],Columns[],5,0))</f>
        <v>-&gt;nullable()</v>
      </c>
      <c r="G370" s="5" t="str">
        <f>IF(VLOOKUP(TableFields[Field],Columns[],6,0)=0,"","-&gt;"&amp;VLOOKUP(TableFields[Field],Columns[],6,0))</f>
        <v>-&gt;default('Active')</v>
      </c>
      <c r="H370" s="5" t="str">
        <f>IF(VLOOKUP(TableFields[Field],Columns[],7,0)=0,"","-&gt;"&amp;VLOOKUP(TableFields[Field],Columns[],7,0))</f>
        <v/>
      </c>
      <c r="I370" s="5" t="str">
        <f>IF(VLOOKUP(TableFields[Field],Columns[],8,0)=0,"","-&gt;"&amp;VLOOKUP(TableFields[Field],Columns[],8,0))</f>
        <v/>
      </c>
      <c r="J370" s="5" t="str">
        <f>IF(VLOOKUP(TableFields[Field],Columns[],9,0)=0,"","-&gt;"&amp;VLOOKUP(TableFields[Field],Columns[],9,0))</f>
        <v/>
      </c>
      <c r="K370" s="5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71" spans="1:11" x14ac:dyDescent="0.25">
      <c r="A371" s="4" t="s">
        <v>2000</v>
      </c>
      <c r="B371" s="5" t="s">
        <v>288</v>
      </c>
      <c r="C371" s="5" t="str">
        <f>VLOOKUP(TableFields[Field],Columns[],2,0)&amp;"("</f>
        <v>audit(</v>
      </c>
      <c r="D371" s="5" t="str">
        <f>IF(VLOOKUP(TableFields[Field],Columns[],3,0)&lt;&gt;"","'"&amp;VLOOKUP(TableFields[Field],Columns[],3,0)&amp;"'","")</f>
        <v/>
      </c>
      <c r="E37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71" s="5" t="str">
        <f>IF(VLOOKUP(TableFields[Field],Columns[],5,0)=0,"","-&gt;"&amp;VLOOKUP(TableFields[Field],Columns[],5,0))</f>
        <v/>
      </c>
      <c r="G371" s="5" t="str">
        <f>IF(VLOOKUP(TableFields[Field],Columns[],6,0)=0,"","-&gt;"&amp;VLOOKUP(TableFields[Field],Columns[],6,0))</f>
        <v/>
      </c>
      <c r="H371" s="5" t="str">
        <f>IF(VLOOKUP(TableFields[Field],Columns[],7,0)=0,"","-&gt;"&amp;VLOOKUP(TableFields[Field],Columns[],7,0))</f>
        <v/>
      </c>
      <c r="I371" s="5" t="str">
        <f>IF(VLOOKUP(TableFields[Field],Columns[],8,0)=0,"","-&gt;"&amp;VLOOKUP(TableFields[Field],Columns[],8,0))</f>
        <v/>
      </c>
      <c r="J371" s="5" t="str">
        <f>IF(VLOOKUP(TableFields[Field],Columns[],9,0)=0,"","-&gt;"&amp;VLOOKUP(TableFields[Field],Columns[],9,0))</f>
        <v/>
      </c>
      <c r="K371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72" spans="1:11" x14ac:dyDescent="0.25">
      <c r="A372" s="4" t="s">
        <v>2084</v>
      </c>
      <c r="B372" s="5" t="s">
        <v>21</v>
      </c>
      <c r="C372" s="5" t="str">
        <f>VLOOKUP(TableFields[Field],Columns[],2,0)&amp;"("</f>
        <v>bigIncrements(</v>
      </c>
      <c r="D372" s="5" t="str">
        <f>IF(VLOOKUP(TableFields[Field],Columns[],3,0)&lt;&gt;"","'"&amp;VLOOKUP(TableFields[Field],Columns[],3,0)&amp;"'","")</f>
        <v>'id'</v>
      </c>
      <c r="E37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72" s="5" t="str">
        <f>IF(VLOOKUP(TableFields[Field],Columns[],5,0)=0,"","-&gt;"&amp;VLOOKUP(TableFields[Field],Columns[],5,0))</f>
        <v/>
      </c>
      <c r="G372" s="5" t="str">
        <f>IF(VLOOKUP(TableFields[Field],Columns[],6,0)=0,"","-&gt;"&amp;VLOOKUP(TableFields[Field],Columns[],6,0))</f>
        <v/>
      </c>
      <c r="H372" s="5" t="str">
        <f>IF(VLOOKUP(TableFields[Field],Columns[],7,0)=0,"","-&gt;"&amp;VLOOKUP(TableFields[Field],Columns[],7,0))</f>
        <v/>
      </c>
      <c r="I372" s="5" t="str">
        <f>IF(VLOOKUP(TableFields[Field],Columns[],8,0)=0,"","-&gt;"&amp;VLOOKUP(TableFields[Field],Columns[],8,0))</f>
        <v/>
      </c>
      <c r="J372" s="5" t="str">
        <f>IF(VLOOKUP(TableFields[Field],Columns[],9,0)=0,"","-&gt;"&amp;VLOOKUP(TableFields[Field],Columns[],9,0))</f>
        <v/>
      </c>
      <c r="K372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73" spans="1:11" x14ac:dyDescent="0.25">
      <c r="A373" s="4" t="s">
        <v>2084</v>
      </c>
      <c r="B373" s="5" t="s">
        <v>1584</v>
      </c>
      <c r="C373" s="5" t="str">
        <f>VLOOKUP(TableFields[Field],Columns[],2,0)&amp;"("</f>
        <v>char(</v>
      </c>
      <c r="D373" s="5" t="str">
        <f>IF(VLOOKUP(TableFields[Field],Columns[],3,0)&lt;&gt;"","'"&amp;VLOOKUP(TableFields[Field],Columns[],3,0)&amp;"'","")</f>
        <v>'_ref'</v>
      </c>
      <c r="E37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73" s="5" t="str">
        <f>IF(VLOOKUP(TableFields[Field],Columns[],5,0)=0,"","-&gt;"&amp;VLOOKUP(TableFields[Field],Columns[],5,0))</f>
        <v>-&gt;nullable()</v>
      </c>
      <c r="G373" s="5" t="str">
        <f>IF(VLOOKUP(TableFields[Field],Columns[],6,0)=0,"","-&gt;"&amp;VLOOKUP(TableFields[Field],Columns[],6,0))</f>
        <v>-&gt;index()</v>
      </c>
      <c r="H373" s="5" t="str">
        <f>IF(VLOOKUP(TableFields[Field],Columns[],7,0)=0,"","-&gt;"&amp;VLOOKUP(TableFields[Field],Columns[],7,0))</f>
        <v/>
      </c>
      <c r="I373" s="5" t="str">
        <f>IF(VLOOKUP(TableFields[Field],Columns[],8,0)=0,"","-&gt;"&amp;VLOOKUP(TableFields[Field],Columns[],8,0))</f>
        <v/>
      </c>
      <c r="J373" s="5" t="str">
        <f>IF(VLOOKUP(TableFields[Field],Columns[],9,0)=0,"","-&gt;"&amp;VLOOKUP(TableFields[Field],Columns[],9,0))</f>
        <v/>
      </c>
      <c r="K373" s="5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374" spans="1:11" x14ac:dyDescent="0.25">
      <c r="A374" s="4" t="s">
        <v>2084</v>
      </c>
      <c r="B374" s="4" t="s">
        <v>875</v>
      </c>
      <c r="C374" s="5" t="str">
        <f>VLOOKUP(TableFields[Field],Columns[],2,0)&amp;"("</f>
        <v>char(</v>
      </c>
      <c r="D374" s="5" t="str">
        <f>IF(VLOOKUP(TableFields[Field],Columns[],3,0)&lt;&gt;"","'"&amp;VLOOKUP(TableFields[Field],Columns[],3,0)&amp;"'","")</f>
        <v>'cocode'</v>
      </c>
      <c r="E37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74" s="5" t="str">
        <f>IF(VLOOKUP(TableFields[Field],Columns[],5,0)=0,"","-&gt;"&amp;VLOOKUP(TableFields[Field],Columns[],5,0))</f>
        <v>-&gt;nullable()</v>
      </c>
      <c r="G374" s="5" t="str">
        <f>IF(VLOOKUP(TableFields[Field],Columns[],6,0)=0,"","-&gt;"&amp;VLOOKUP(TableFields[Field],Columns[],6,0))</f>
        <v>-&gt;index()</v>
      </c>
      <c r="H374" s="5" t="str">
        <f>IF(VLOOKUP(TableFields[Field],Columns[],7,0)=0,"","-&gt;"&amp;VLOOKUP(TableFields[Field],Columns[],7,0))</f>
        <v/>
      </c>
      <c r="I374" s="5" t="str">
        <f>IF(VLOOKUP(TableFields[Field],Columns[],8,0)=0,"","-&gt;"&amp;VLOOKUP(TableFields[Field],Columns[],8,0))</f>
        <v/>
      </c>
      <c r="J374" s="5" t="str">
        <f>IF(VLOOKUP(TableFields[Field],Columns[],9,0)=0,"","-&gt;"&amp;VLOOKUP(TableFields[Field],Columns[],9,0))</f>
        <v/>
      </c>
      <c r="K374" s="5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375" spans="1:11" x14ac:dyDescent="0.25">
      <c r="A375" s="4" t="s">
        <v>2084</v>
      </c>
      <c r="B375" s="4" t="s">
        <v>876</v>
      </c>
      <c r="C375" s="5" t="str">
        <f>VLOOKUP(TableFields[Field],Columns[],2,0)&amp;"("</f>
        <v>char(</v>
      </c>
      <c r="D375" s="5" t="str">
        <f>IF(VLOOKUP(TableFields[Field],Columns[],3,0)&lt;&gt;"","'"&amp;VLOOKUP(TableFields[Field],Columns[],3,0)&amp;"'","")</f>
        <v>'brcode'</v>
      </c>
      <c r="E37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'6')</v>
      </c>
      <c r="F375" s="5" t="str">
        <f>IF(VLOOKUP(TableFields[Field],Columns[],5,0)=0,"","-&gt;"&amp;VLOOKUP(TableFields[Field],Columns[],5,0))</f>
        <v>-&gt;nullable()</v>
      </c>
      <c r="G375" s="5" t="str">
        <f>IF(VLOOKUP(TableFields[Field],Columns[],6,0)=0,"","-&gt;"&amp;VLOOKUP(TableFields[Field],Columns[],6,0))</f>
        <v>-&gt;index()</v>
      </c>
      <c r="H375" s="5" t="str">
        <f>IF(VLOOKUP(TableFields[Field],Columns[],7,0)=0,"","-&gt;"&amp;VLOOKUP(TableFields[Field],Columns[],7,0))</f>
        <v/>
      </c>
      <c r="I375" s="5" t="str">
        <f>IF(VLOOKUP(TableFields[Field],Columns[],8,0)=0,"","-&gt;"&amp;VLOOKUP(TableFields[Field],Columns[],8,0))</f>
        <v/>
      </c>
      <c r="J375" s="5" t="str">
        <f>IF(VLOOKUP(TableFields[Field],Columns[],9,0)=0,"","-&gt;"&amp;VLOOKUP(TableFields[Field],Columns[],9,0))</f>
        <v/>
      </c>
      <c r="K375" s="5" t="str">
        <f>"$table-&gt;"&amp;TableFields[Type]&amp;TableFields[Name]&amp;TableFields[Arg2]&amp;TableFields[Method1]&amp;TableFields[Method2]&amp;TableFields[Method3]&amp;TableFields[Method4]&amp;TableFields[Method5]&amp;";"</f>
        <v>$table-&gt;char('brcode', '6')-&gt;nullable()-&gt;index();</v>
      </c>
    </row>
    <row r="376" spans="1:11" x14ac:dyDescent="0.25">
      <c r="A376" s="4" t="s">
        <v>2084</v>
      </c>
      <c r="B376" s="4" t="s">
        <v>903</v>
      </c>
      <c r="C376" s="5" t="str">
        <f>VLOOKUP(TableFields[Field],Columns[],2,0)&amp;"("</f>
        <v>char(</v>
      </c>
      <c r="D376" s="5" t="str">
        <f>IF(VLOOKUP(TableFields[Field],Columns[],3,0)&lt;&gt;"","'"&amp;VLOOKUP(TableFields[Field],Columns[],3,0)&amp;"'","")</f>
        <v>'fycode'</v>
      </c>
      <c r="E37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76" s="5" t="str">
        <f>IF(VLOOKUP(TableFields[Field],Columns[],5,0)=0,"","-&gt;"&amp;VLOOKUP(TableFields[Field],Columns[],5,0))</f>
        <v>-&gt;nullable()</v>
      </c>
      <c r="G376" s="5" t="str">
        <f>IF(VLOOKUP(TableFields[Field],Columns[],6,0)=0,"","-&gt;"&amp;VLOOKUP(TableFields[Field],Columns[],6,0))</f>
        <v>-&gt;index()</v>
      </c>
      <c r="H376" s="5" t="str">
        <f>IF(VLOOKUP(TableFields[Field],Columns[],7,0)=0,"","-&gt;"&amp;VLOOKUP(TableFields[Field],Columns[],7,0))</f>
        <v/>
      </c>
      <c r="I376" s="5" t="str">
        <f>IF(VLOOKUP(TableFields[Field],Columns[],8,0)=0,"","-&gt;"&amp;VLOOKUP(TableFields[Field],Columns[],8,0))</f>
        <v/>
      </c>
      <c r="J376" s="5" t="str">
        <f>IF(VLOOKUP(TableFields[Field],Columns[],9,0)=0,"","-&gt;"&amp;VLOOKUP(TableFields[Field],Columns[],9,0))</f>
        <v/>
      </c>
      <c r="K376" s="5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377" spans="1:11" x14ac:dyDescent="0.25">
      <c r="A377" s="4" t="s">
        <v>2084</v>
      </c>
      <c r="B377" s="4" t="s">
        <v>858</v>
      </c>
      <c r="C377" s="5" t="str">
        <f>VLOOKUP(TableFields[Field],Columns[],2,0)&amp;"("</f>
        <v>char(</v>
      </c>
      <c r="D377" s="5" t="str">
        <f>IF(VLOOKUP(TableFields[Field],Columns[],3,0)&lt;&gt;"","'"&amp;VLOOKUP(TableFields[Field],Columns[],3,0)&amp;"'","")</f>
        <v>'fncode'</v>
      </c>
      <c r="E37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77" s="5" t="str">
        <f>IF(VLOOKUP(TableFields[Field],Columns[],5,0)=0,"","-&gt;"&amp;VLOOKUP(TableFields[Field],Columns[],5,0))</f>
        <v>-&gt;nullable()</v>
      </c>
      <c r="G377" s="5" t="str">
        <f>IF(VLOOKUP(TableFields[Field],Columns[],6,0)=0,"","-&gt;"&amp;VLOOKUP(TableFields[Field],Columns[],6,0))</f>
        <v>-&gt;index()</v>
      </c>
      <c r="H377" s="5" t="str">
        <f>IF(VLOOKUP(TableFields[Field],Columns[],7,0)=0,"","-&gt;"&amp;VLOOKUP(TableFields[Field],Columns[],7,0))</f>
        <v/>
      </c>
      <c r="I377" s="5" t="str">
        <f>IF(VLOOKUP(TableFields[Field],Columns[],8,0)=0,"","-&gt;"&amp;VLOOKUP(TableFields[Field],Columns[],8,0))</f>
        <v/>
      </c>
      <c r="J377" s="5" t="str">
        <f>IF(VLOOKUP(TableFields[Field],Columns[],9,0)=0,"","-&gt;"&amp;VLOOKUP(TableFields[Field],Columns[],9,0))</f>
        <v/>
      </c>
      <c r="K377" s="5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378" spans="1:11" x14ac:dyDescent="0.25">
      <c r="A378" s="4" t="s">
        <v>2084</v>
      </c>
      <c r="B378" s="4" t="s">
        <v>837</v>
      </c>
      <c r="C378" s="5" t="str">
        <f>VLOOKUP(TableFields[Field],Columns[],2,0)&amp;"("</f>
        <v>char(</v>
      </c>
      <c r="D378" s="5" t="str">
        <f>IF(VLOOKUP(TableFields[Field],Columns[],3,0)&lt;&gt;"","'"&amp;VLOOKUP(TableFields[Field],Columns[],3,0)&amp;"'","")</f>
        <v>'docno'</v>
      </c>
      <c r="E37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78" s="5" t="str">
        <f>IF(VLOOKUP(TableFields[Field],Columns[],5,0)=0,"","-&gt;"&amp;VLOOKUP(TableFields[Field],Columns[],5,0))</f>
        <v>-&gt;nullable()</v>
      </c>
      <c r="G378" s="5" t="str">
        <f>IF(VLOOKUP(TableFields[Field],Columns[],6,0)=0,"","-&gt;"&amp;VLOOKUP(TableFields[Field],Columns[],6,0))</f>
        <v>-&gt;index()</v>
      </c>
      <c r="H378" s="5" t="str">
        <f>IF(VLOOKUP(TableFields[Field],Columns[],7,0)=0,"","-&gt;"&amp;VLOOKUP(TableFields[Field],Columns[],7,0))</f>
        <v/>
      </c>
      <c r="I378" s="5" t="str">
        <f>IF(VLOOKUP(TableFields[Field],Columns[],8,0)=0,"","-&gt;"&amp;VLOOKUP(TableFields[Field],Columns[],8,0))</f>
        <v/>
      </c>
      <c r="J378" s="5" t="str">
        <f>IF(VLOOKUP(TableFields[Field],Columns[],9,0)=0,"","-&gt;"&amp;VLOOKUP(TableFields[Field],Columns[],9,0))</f>
        <v/>
      </c>
      <c r="K378" s="5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379" spans="1:11" x14ac:dyDescent="0.25">
      <c r="A379" s="4" t="s">
        <v>2084</v>
      </c>
      <c r="B379" s="5" t="s">
        <v>898</v>
      </c>
      <c r="C379" s="5" t="str">
        <f>VLOOKUP(TableFields[Field],Columns[],2,0)&amp;"("</f>
        <v>foreignNullable(</v>
      </c>
      <c r="D379" s="5" t="str">
        <f>IF(VLOOKUP(TableFields[Field],Columns[],3,0)&lt;&gt;"","'"&amp;VLOOKUP(TableFields[Field],Columns[],3,0)&amp;"'","")</f>
        <v>'user'</v>
      </c>
      <c r="E37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79" s="5" t="str">
        <f>IF(VLOOKUP(TableFields[Field],Columns[],5,0)=0,"","-&gt;"&amp;VLOOKUP(TableFields[Field],Columns[],5,0))</f>
        <v/>
      </c>
      <c r="G379" s="5" t="str">
        <f>IF(VLOOKUP(TableFields[Field],Columns[],6,0)=0,"","-&gt;"&amp;VLOOKUP(TableFields[Field],Columns[],6,0))</f>
        <v/>
      </c>
      <c r="H379" s="5" t="str">
        <f>IF(VLOOKUP(TableFields[Field],Columns[],7,0)=0,"","-&gt;"&amp;VLOOKUP(TableFields[Field],Columns[],7,0))</f>
        <v/>
      </c>
      <c r="I379" s="5" t="str">
        <f>IF(VLOOKUP(TableFields[Field],Columns[],8,0)=0,"","-&gt;"&amp;VLOOKUP(TableFields[Field],Columns[],8,0))</f>
        <v/>
      </c>
      <c r="J379" s="5" t="str">
        <f>IF(VLOOKUP(TableFields[Field],Columns[],9,0)=0,"","-&gt;"&amp;VLOOKUP(TableFields[Field],Columns[],9,0))</f>
        <v/>
      </c>
      <c r="K379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80" spans="1:11" x14ac:dyDescent="0.25">
      <c r="A380" s="4" t="s">
        <v>2084</v>
      </c>
      <c r="B380" s="5" t="s">
        <v>2085</v>
      </c>
      <c r="C380" s="5" t="str">
        <f>VLOOKUP(TableFields[Field],Columns[],2,0)&amp;"("</f>
        <v>decimal(</v>
      </c>
      <c r="D380" s="5" t="str">
        <f>IF(VLOOKUP(TableFields[Field],Columns[],3,0)&lt;&gt;"","'"&amp;VLOOKUP(TableFields[Field],Columns[],3,0)&amp;"'","")</f>
        <v>'opening'</v>
      </c>
      <c r="E38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80" s="5" t="str">
        <f>IF(VLOOKUP(TableFields[Field],Columns[],5,0)=0,"","-&gt;"&amp;VLOOKUP(TableFields[Field],Columns[],5,0))</f>
        <v>-&gt;default(0)</v>
      </c>
      <c r="G380" s="5" t="str">
        <f>IF(VLOOKUP(TableFields[Field],Columns[],6,0)=0,"","-&gt;"&amp;VLOOKUP(TableFields[Field],Columns[],6,0))</f>
        <v/>
      </c>
      <c r="H380" s="5" t="str">
        <f>IF(VLOOKUP(TableFields[Field],Columns[],7,0)=0,"","-&gt;"&amp;VLOOKUP(TableFields[Field],Columns[],7,0))</f>
        <v/>
      </c>
      <c r="I380" s="5" t="str">
        <f>IF(VLOOKUP(TableFields[Field],Columns[],8,0)=0,"","-&gt;"&amp;VLOOKUP(TableFields[Field],Columns[],8,0))</f>
        <v/>
      </c>
      <c r="J380" s="5" t="str">
        <f>IF(VLOOKUP(TableFields[Field],Columns[],9,0)=0,"","-&gt;"&amp;VLOOKUP(TableFields[Field],Columns[],9,0))</f>
        <v/>
      </c>
      <c r="K380" s="5" t="str">
        <f>"$table-&gt;"&amp;TableFields[Type]&amp;TableFields[Name]&amp;TableFields[Arg2]&amp;TableFields[Method1]&amp;TableFields[Method2]&amp;TableFields[Method3]&amp;TableFields[Method4]&amp;TableFields[Method5]&amp;";"</f>
        <v>$table-&gt;decimal('opening', 30,10)-&gt;default(0);</v>
      </c>
    </row>
    <row r="381" spans="1:11" x14ac:dyDescent="0.25">
      <c r="A381" s="4" t="s">
        <v>2084</v>
      </c>
      <c r="B381" s="5" t="s">
        <v>2086</v>
      </c>
      <c r="C381" s="5" t="str">
        <f>VLOOKUP(TableFields[Field],Columns[],2,0)&amp;"("</f>
        <v>decimal(</v>
      </c>
      <c r="D381" s="5" t="str">
        <f>IF(VLOOKUP(TableFields[Field],Columns[],3,0)&lt;&gt;"","'"&amp;VLOOKUP(TableFields[Field],Columns[],3,0)&amp;"'","")</f>
        <v>'closing'</v>
      </c>
      <c r="E38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81" s="5" t="str">
        <f>IF(VLOOKUP(TableFields[Field],Columns[],5,0)=0,"","-&gt;"&amp;VLOOKUP(TableFields[Field],Columns[],5,0))</f>
        <v>-&gt;default(0)</v>
      </c>
      <c r="G381" s="5" t="str">
        <f>IF(VLOOKUP(TableFields[Field],Columns[],6,0)=0,"","-&gt;"&amp;VLOOKUP(TableFields[Field],Columns[],6,0))</f>
        <v/>
      </c>
      <c r="H381" s="5" t="str">
        <f>IF(VLOOKUP(TableFields[Field],Columns[],7,0)=0,"","-&gt;"&amp;VLOOKUP(TableFields[Field],Columns[],7,0))</f>
        <v/>
      </c>
      <c r="I381" s="5" t="str">
        <f>IF(VLOOKUP(TableFields[Field],Columns[],8,0)=0,"","-&gt;"&amp;VLOOKUP(TableFields[Field],Columns[],8,0))</f>
        <v/>
      </c>
      <c r="J381" s="5" t="str">
        <f>IF(VLOOKUP(TableFields[Field],Columns[],9,0)=0,"","-&gt;"&amp;VLOOKUP(TableFields[Field],Columns[],9,0))</f>
        <v/>
      </c>
      <c r="K381" s="5" t="str">
        <f>"$table-&gt;"&amp;TableFields[Type]&amp;TableFields[Name]&amp;TableFields[Arg2]&amp;TableFields[Method1]&amp;TableFields[Method2]&amp;TableFields[Method3]&amp;TableFields[Method4]&amp;TableFields[Method5]&amp;";"</f>
        <v>$table-&gt;decimal('closing', 30,10)-&gt;default(0);</v>
      </c>
    </row>
    <row r="382" spans="1:11" x14ac:dyDescent="0.25">
      <c r="A382" s="4" t="s">
        <v>2084</v>
      </c>
      <c r="B382" s="5" t="s">
        <v>2087</v>
      </c>
      <c r="C382" s="5" t="str">
        <f>VLOOKUP(TableFields[Field],Columns[],2,0)&amp;"("</f>
        <v>decimal(</v>
      </c>
      <c r="D382" s="5" t="str">
        <f>IF(VLOOKUP(TableFields[Field],Columns[],3,0)&lt;&gt;"","'"&amp;VLOOKUP(TableFields[Field],Columns[],3,0)&amp;"'","")</f>
        <v>'difference'</v>
      </c>
      <c r="E38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82" s="5" t="str">
        <f>IF(VLOOKUP(TableFields[Field],Columns[],5,0)=0,"","-&gt;"&amp;VLOOKUP(TableFields[Field],Columns[],5,0))</f>
        <v>-&gt;default(0)</v>
      </c>
      <c r="G382" s="5" t="str">
        <f>IF(VLOOKUP(TableFields[Field],Columns[],6,0)=0,"","-&gt;"&amp;VLOOKUP(TableFields[Field],Columns[],6,0))</f>
        <v/>
      </c>
      <c r="H382" s="5" t="str">
        <f>IF(VLOOKUP(TableFields[Field],Columns[],7,0)=0,"","-&gt;"&amp;VLOOKUP(TableFields[Field],Columns[],7,0))</f>
        <v/>
      </c>
      <c r="I382" s="5" t="str">
        <f>IF(VLOOKUP(TableFields[Field],Columns[],8,0)=0,"","-&gt;"&amp;VLOOKUP(TableFields[Field],Columns[],8,0))</f>
        <v/>
      </c>
      <c r="J382" s="5" t="str">
        <f>IF(VLOOKUP(TableFields[Field],Columns[],9,0)=0,"","-&gt;"&amp;VLOOKUP(TableFields[Field],Columns[],9,0))</f>
        <v/>
      </c>
      <c r="K382" s="5" t="str">
        <f>"$table-&gt;"&amp;TableFields[Type]&amp;TableFields[Name]&amp;TableFields[Arg2]&amp;TableFields[Method1]&amp;TableFields[Method2]&amp;TableFields[Method3]&amp;TableFields[Method4]&amp;TableFields[Method5]&amp;";"</f>
        <v>$table-&gt;decimal('difference', 30,10)-&gt;default(0);</v>
      </c>
    </row>
    <row r="383" spans="1:11" x14ac:dyDescent="0.25">
      <c r="A383" s="4" t="s">
        <v>2084</v>
      </c>
      <c r="B383" s="5" t="s">
        <v>2093</v>
      </c>
      <c r="C383" s="5" t="str">
        <f>VLOOKUP(TableFields[Field],Columns[],2,0)&amp;"("</f>
        <v>datetime(</v>
      </c>
      <c r="D383" s="5" t="str">
        <f>IF(VLOOKUP(TableFields[Field],Columns[],3,0)&lt;&gt;"","'"&amp;VLOOKUP(TableFields[Field],Columns[],3,0)&amp;"'","")</f>
        <v>'start_date'</v>
      </c>
      <c r="E38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83" s="5" t="str">
        <f>IF(VLOOKUP(TableFields[Field],Columns[],5,0)=0,"","-&gt;"&amp;VLOOKUP(TableFields[Field],Columns[],5,0))</f>
        <v>-&gt;nullable()</v>
      </c>
      <c r="G383" s="5" t="str">
        <f>IF(VLOOKUP(TableFields[Field],Columns[],6,0)=0,"","-&gt;"&amp;VLOOKUP(TableFields[Field],Columns[],6,0))</f>
        <v/>
      </c>
      <c r="H383" s="5" t="str">
        <f>IF(VLOOKUP(TableFields[Field],Columns[],7,0)=0,"","-&gt;"&amp;VLOOKUP(TableFields[Field],Columns[],7,0))</f>
        <v/>
      </c>
      <c r="I383" s="5" t="str">
        <f>IF(VLOOKUP(TableFields[Field],Columns[],8,0)=0,"","-&gt;"&amp;VLOOKUP(TableFields[Field],Columns[],8,0))</f>
        <v/>
      </c>
      <c r="J383" s="5" t="str">
        <f>IF(VLOOKUP(TableFields[Field],Columns[],9,0)=0,"","-&gt;"&amp;VLOOKUP(TableFields[Field],Columns[],9,0))</f>
        <v/>
      </c>
      <c r="K383" s="5" t="str">
        <f>"$table-&gt;"&amp;TableFields[Type]&amp;TableFields[Name]&amp;TableFields[Arg2]&amp;TableFields[Method1]&amp;TableFields[Method2]&amp;TableFields[Method3]&amp;TableFields[Method4]&amp;TableFields[Method5]&amp;";"</f>
        <v>$table-&gt;datetime('start_date')-&gt;nullable();</v>
      </c>
    </row>
    <row r="384" spans="1:11" x14ac:dyDescent="0.25">
      <c r="A384" s="4" t="s">
        <v>2084</v>
      </c>
      <c r="B384" s="5" t="s">
        <v>2094</v>
      </c>
      <c r="C384" s="5" t="str">
        <f>VLOOKUP(TableFields[Field],Columns[],2,0)&amp;"("</f>
        <v>datetime(</v>
      </c>
      <c r="D384" s="5" t="str">
        <f>IF(VLOOKUP(TableFields[Field],Columns[],3,0)&lt;&gt;"","'"&amp;VLOOKUP(TableFields[Field],Columns[],3,0)&amp;"'","")</f>
        <v>'end_date'</v>
      </c>
      <c r="E38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84" s="5" t="str">
        <f>IF(VLOOKUP(TableFields[Field],Columns[],5,0)=0,"","-&gt;"&amp;VLOOKUP(TableFields[Field],Columns[],5,0))</f>
        <v>-&gt;nullable()</v>
      </c>
      <c r="G384" s="5" t="str">
        <f>IF(VLOOKUP(TableFields[Field],Columns[],6,0)=0,"","-&gt;"&amp;VLOOKUP(TableFields[Field],Columns[],6,0))</f>
        <v/>
      </c>
      <c r="H384" s="5" t="str">
        <f>IF(VLOOKUP(TableFields[Field],Columns[],7,0)=0,"","-&gt;"&amp;VLOOKUP(TableFields[Field],Columns[],7,0))</f>
        <v/>
      </c>
      <c r="I384" s="5" t="str">
        <f>IF(VLOOKUP(TableFields[Field],Columns[],8,0)=0,"","-&gt;"&amp;VLOOKUP(TableFields[Field],Columns[],8,0))</f>
        <v/>
      </c>
      <c r="J384" s="5" t="str">
        <f>IF(VLOOKUP(TableFields[Field],Columns[],9,0)=0,"","-&gt;"&amp;VLOOKUP(TableFields[Field],Columns[],9,0))</f>
        <v/>
      </c>
      <c r="K384" s="5" t="str">
        <f>"$table-&gt;"&amp;TableFields[Type]&amp;TableFields[Name]&amp;TableFields[Arg2]&amp;TableFields[Method1]&amp;TableFields[Method2]&amp;TableFields[Method3]&amp;TableFields[Method4]&amp;TableFields[Method5]&amp;";"</f>
        <v>$table-&gt;datetime('end_date')-&gt;nullable();</v>
      </c>
    </row>
    <row r="385" spans="1:11" x14ac:dyDescent="0.25">
      <c r="A385" s="4" t="s">
        <v>2084</v>
      </c>
      <c r="B385" s="5" t="s">
        <v>2098</v>
      </c>
      <c r="C385" s="5" t="str">
        <f>VLOOKUP(TableFields[Field],Columns[],2,0)&amp;"("</f>
        <v>enum(</v>
      </c>
      <c r="D385" s="5" t="str">
        <f>IF(VLOOKUP(TableFields[Field],Columns[],3,0)&lt;&gt;"","'"&amp;VLOOKUP(TableFields[Field],Columns[],3,0)&amp;"'","")</f>
        <v>'allow_difference'</v>
      </c>
      <c r="E38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85" s="5" t="str">
        <f>IF(VLOOKUP(TableFields[Field],Columns[],5,0)=0,"","-&gt;"&amp;VLOOKUP(TableFields[Field],Columns[],5,0))</f>
        <v>-&gt;default('Yes')</v>
      </c>
      <c r="G385" s="5" t="str">
        <f>IF(VLOOKUP(TableFields[Field],Columns[],6,0)=0,"","-&gt;"&amp;VLOOKUP(TableFields[Field],Columns[],6,0))</f>
        <v/>
      </c>
      <c r="H385" s="5" t="str">
        <f>IF(VLOOKUP(TableFields[Field],Columns[],7,0)=0,"","-&gt;"&amp;VLOOKUP(TableFields[Field],Columns[],7,0))</f>
        <v/>
      </c>
      <c r="I385" s="5" t="str">
        <f>IF(VLOOKUP(TableFields[Field],Columns[],8,0)=0,"","-&gt;"&amp;VLOOKUP(TableFields[Field],Columns[],8,0))</f>
        <v/>
      </c>
      <c r="J385" s="5" t="str">
        <f>IF(VLOOKUP(TableFields[Field],Columns[],9,0)=0,"","-&gt;"&amp;VLOOKUP(TableFields[Field],Columns[],9,0))</f>
        <v/>
      </c>
      <c r="K385" s="5" t="str">
        <f>"$table-&gt;"&amp;TableFields[Type]&amp;TableFields[Name]&amp;TableFields[Arg2]&amp;TableFields[Method1]&amp;TableFields[Method2]&amp;TableFields[Method3]&amp;TableFields[Method4]&amp;TableFields[Method5]&amp;";"</f>
        <v>$table-&gt;enum('allow_difference', ['Yes','No'])-&gt;default('Yes');</v>
      </c>
    </row>
    <row r="386" spans="1:11" x14ac:dyDescent="0.25">
      <c r="A386" s="4" t="s">
        <v>2084</v>
      </c>
      <c r="B386" s="5" t="s">
        <v>2096</v>
      </c>
      <c r="C386" s="5" t="str">
        <f>VLOOKUP(TableFields[Field],Columns[],2,0)&amp;"("</f>
        <v>enum(</v>
      </c>
      <c r="D386" s="5" t="str">
        <f>IF(VLOOKUP(TableFields[Field],Columns[],3,0)&lt;&gt;"","'"&amp;VLOOKUP(TableFields[Field],Columns[],3,0)&amp;"'","")</f>
        <v>'allow_cheque'</v>
      </c>
      <c r="E38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386" s="5" t="str">
        <f>IF(VLOOKUP(TableFields[Field],Columns[],5,0)=0,"","-&gt;"&amp;VLOOKUP(TableFields[Field],Columns[],5,0))</f>
        <v>-&gt;default('No')</v>
      </c>
      <c r="G386" s="5" t="str">
        <f>IF(VLOOKUP(TableFields[Field],Columns[],6,0)=0,"","-&gt;"&amp;VLOOKUP(TableFields[Field],Columns[],6,0))</f>
        <v/>
      </c>
      <c r="H386" s="5" t="str">
        <f>IF(VLOOKUP(TableFields[Field],Columns[],7,0)=0,"","-&gt;"&amp;VLOOKUP(TableFields[Field],Columns[],7,0))</f>
        <v/>
      </c>
      <c r="I386" s="5" t="str">
        <f>IF(VLOOKUP(TableFields[Field],Columns[],8,0)=0,"","-&gt;"&amp;VLOOKUP(TableFields[Field],Columns[],8,0))</f>
        <v/>
      </c>
      <c r="J386" s="5" t="str">
        <f>IF(VLOOKUP(TableFields[Field],Columns[],9,0)=0,"","-&gt;"&amp;VLOOKUP(TableFields[Field],Columns[],9,0))</f>
        <v/>
      </c>
      <c r="K386" s="5" t="str">
        <f>"$table-&gt;"&amp;TableFields[Type]&amp;TableFields[Name]&amp;TableFields[Arg2]&amp;TableFields[Method1]&amp;TableFields[Method2]&amp;TableFields[Method3]&amp;TableFields[Method4]&amp;TableFields[Method5]&amp;";"</f>
        <v>$table-&gt;enum('allow_cheque', ['No','Yes'])-&gt;default('No');</v>
      </c>
    </row>
    <row r="387" spans="1:11" x14ac:dyDescent="0.25">
      <c r="A387" s="4" t="s">
        <v>2084</v>
      </c>
      <c r="B387" s="5" t="s">
        <v>2091</v>
      </c>
      <c r="C387" s="5" t="str">
        <f>VLOOKUP(TableFields[Field],Columns[],2,0)&amp;"("</f>
        <v>enum(</v>
      </c>
      <c r="D387" s="5" t="str">
        <f>IF(VLOOKUP(TableFields[Field],Columns[],3,0)&lt;&gt;"","'"&amp;VLOOKUP(TableFields[Field],Columns[],3,0)&amp;"'","")</f>
        <v>'cancel'</v>
      </c>
      <c r="E38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387" s="5" t="str">
        <f>IF(VLOOKUP(TableFields[Field],Columns[],5,0)=0,"","-&gt;"&amp;VLOOKUP(TableFields[Field],Columns[],5,0))</f>
        <v>-&gt;default('No')</v>
      </c>
      <c r="G387" s="5" t="str">
        <f>IF(VLOOKUP(TableFields[Field],Columns[],6,0)=0,"","-&gt;"&amp;VLOOKUP(TableFields[Field],Columns[],6,0))</f>
        <v/>
      </c>
      <c r="H387" s="5" t="str">
        <f>IF(VLOOKUP(TableFields[Field],Columns[],7,0)=0,"","-&gt;"&amp;VLOOKUP(TableFields[Field],Columns[],7,0))</f>
        <v/>
      </c>
      <c r="I387" s="5" t="str">
        <f>IF(VLOOKUP(TableFields[Field],Columns[],8,0)=0,"","-&gt;"&amp;VLOOKUP(TableFields[Field],Columns[],8,0))</f>
        <v/>
      </c>
      <c r="J387" s="5" t="str">
        <f>IF(VLOOKUP(TableFields[Field],Columns[],9,0)=0,"","-&gt;"&amp;VLOOKUP(TableFields[Field],Columns[],9,0))</f>
        <v/>
      </c>
      <c r="K387" s="5" t="str">
        <f>"$table-&gt;"&amp;TableFields[Type]&amp;TableFields[Name]&amp;TableFields[Arg2]&amp;TableFields[Method1]&amp;TableFields[Method2]&amp;TableFields[Method3]&amp;TableFields[Method4]&amp;TableFields[Method5]&amp;";"</f>
        <v>$table-&gt;enum('cancel', ['No','Yes'])-&gt;default('No');</v>
      </c>
    </row>
    <row r="388" spans="1:11" x14ac:dyDescent="0.25">
      <c r="A388" s="4" t="s">
        <v>2084</v>
      </c>
      <c r="B388" s="5" t="s">
        <v>2088</v>
      </c>
      <c r="C388" s="5" t="str">
        <f>VLOOKUP(TableFields[Field],Columns[],2,0)&amp;"("</f>
        <v>enum(</v>
      </c>
      <c r="D388" s="5" t="str">
        <f>IF(VLOOKUP(TableFields[Field],Columns[],3,0)&lt;&gt;"","'"&amp;VLOOKUP(TableFields[Field],Columns[],3,0)&amp;"'","")</f>
        <v>'status'</v>
      </c>
      <c r="E38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['Approved','Pending','Rejected','Completed','Cancelled'])</v>
      </c>
      <c r="F388" s="5" t="str">
        <f>IF(VLOOKUP(TableFields[Field],Columns[],5,0)=0,"","-&gt;"&amp;VLOOKUP(TableFields[Field],Columns[],5,0))</f>
        <v>-&gt;default('Approved')</v>
      </c>
      <c r="G388" s="5" t="str">
        <f>IF(VLOOKUP(TableFields[Field],Columns[],6,0)=0,"","-&gt;"&amp;VLOOKUP(TableFields[Field],Columns[],6,0))</f>
        <v/>
      </c>
      <c r="H388" s="5" t="str">
        <f>IF(VLOOKUP(TableFields[Field],Columns[],7,0)=0,"","-&gt;"&amp;VLOOKUP(TableFields[Field],Columns[],7,0))</f>
        <v/>
      </c>
      <c r="I388" s="5" t="str">
        <f>IF(VLOOKUP(TableFields[Field],Columns[],8,0)=0,"","-&gt;"&amp;VLOOKUP(TableFields[Field],Columns[],8,0))</f>
        <v/>
      </c>
      <c r="J388" s="5" t="str">
        <f>IF(VLOOKUP(TableFields[Field],Columns[],9,0)=0,"","-&gt;"&amp;VLOOKUP(TableFields[Field],Columns[],9,0))</f>
        <v/>
      </c>
      <c r="K388" s="5" t="str">
        <f>"$table-&gt;"&amp;TableFields[Type]&amp;TableFields[Name]&amp;TableFields[Arg2]&amp;TableFields[Method1]&amp;TableFields[Method2]&amp;TableFields[Method3]&amp;TableFields[Method4]&amp;TableFields[Method5]&amp;";"</f>
        <v>$table-&gt;enum('status', ['Approved','Pending','Rejected','Completed','Cancelled'])-&gt;default('Approved');</v>
      </c>
    </row>
    <row r="389" spans="1:11" x14ac:dyDescent="0.25">
      <c r="A389" s="4" t="s">
        <v>2084</v>
      </c>
      <c r="B389" s="5" t="s">
        <v>2099</v>
      </c>
      <c r="C389" s="5" t="str">
        <f>VLOOKUP(TableFields[Field],Columns[],2,0)&amp;"("</f>
        <v>enum(</v>
      </c>
      <c r="D389" s="5" t="str">
        <f>IF(VLOOKUP(TableFields[Field],Columns[],3,0)&lt;&gt;"","'"&amp;VLOOKUP(TableFields[Field],Columns[],3,0)&amp;"'","")</f>
        <v>'ssinit'</v>
      </c>
      <c r="E38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389" s="5" t="str">
        <f>IF(VLOOKUP(TableFields[Field],Columns[],5,0)=0,"","-&gt;"&amp;VLOOKUP(TableFields[Field],Columns[],5,0))</f>
        <v>-&gt;default('No')</v>
      </c>
      <c r="G389" s="5" t="str">
        <f>IF(VLOOKUP(TableFields[Field],Columns[],6,0)=0,"","-&gt;"&amp;VLOOKUP(TableFields[Field],Columns[],6,0))</f>
        <v/>
      </c>
      <c r="H389" s="5" t="str">
        <f>IF(VLOOKUP(TableFields[Field],Columns[],7,0)=0,"","-&gt;"&amp;VLOOKUP(TableFields[Field],Columns[],7,0))</f>
        <v/>
      </c>
      <c r="I389" s="5" t="str">
        <f>IF(VLOOKUP(TableFields[Field],Columns[],8,0)=0,"","-&gt;"&amp;VLOOKUP(TableFields[Field],Columns[],8,0))</f>
        <v/>
      </c>
      <c r="J389" s="5" t="str">
        <f>IF(VLOOKUP(TableFields[Field],Columns[],9,0)=0,"","-&gt;"&amp;VLOOKUP(TableFields[Field],Columns[],9,0))</f>
        <v/>
      </c>
      <c r="K389" s="5" t="str">
        <f>"$table-&gt;"&amp;TableFields[Type]&amp;TableFields[Name]&amp;TableFields[Arg2]&amp;TableFields[Method1]&amp;TableFields[Method2]&amp;TableFields[Method3]&amp;TableFields[Method4]&amp;TableFields[Method5]&amp;";"</f>
        <v>$table-&gt;enum('ssinit', ['No','Yes'])-&gt;default('No');</v>
      </c>
    </row>
    <row r="390" spans="1:11" x14ac:dyDescent="0.25">
      <c r="A390" s="4" t="s">
        <v>2084</v>
      </c>
      <c r="B390" s="5" t="s">
        <v>288</v>
      </c>
      <c r="C390" s="5" t="str">
        <f>VLOOKUP(TableFields[Field],Columns[],2,0)&amp;"("</f>
        <v>audit(</v>
      </c>
      <c r="D390" s="5" t="str">
        <f>IF(VLOOKUP(TableFields[Field],Columns[],3,0)&lt;&gt;"","'"&amp;VLOOKUP(TableFields[Field],Columns[],3,0)&amp;"'","")</f>
        <v/>
      </c>
      <c r="E39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90" s="5" t="str">
        <f>IF(VLOOKUP(TableFields[Field],Columns[],5,0)=0,"","-&gt;"&amp;VLOOKUP(TableFields[Field],Columns[],5,0))</f>
        <v/>
      </c>
      <c r="G390" s="5" t="str">
        <f>IF(VLOOKUP(TableFields[Field],Columns[],6,0)=0,"","-&gt;"&amp;VLOOKUP(TableFields[Field],Columns[],6,0))</f>
        <v/>
      </c>
      <c r="H390" s="5" t="str">
        <f>IF(VLOOKUP(TableFields[Field],Columns[],7,0)=0,"","-&gt;"&amp;VLOOKUP(TableFields[Field],Columns[],7,0))</f>
        <v/>
      </c>
      <c r="I390" s="5" t="str">
        <f>IF(VLOOKUP(TableFields[Field],Columns[],8,0)=0,"","-&gt;"&amp;VLOOKUP(TableFields[Field],Columns[],8,0))</f>
        <v/>
      </c>
      <c r="J390" s="5" t="str">
        <f>IF(VLOOKUP(TableFields[Field],Columns[],9,0)=0,"","-&gt;"&amp;VLOOKUP(TableFields[Field],Columns[],9,0))</f>
        <v/>
      </c>
      <c r="K390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91" spans="1:11" x14ac:dyDescent="0.25">
      <c r="A391" s="4" t="s">
        <v>2100</v>
      </c>
      <c r="B391" s="5" t="s">
        <v>21</v>
      </c>
      <c r="C391" s="5" t="str">
        <f>VLOOKUP(TableFields[Field],Columns[],2,0)&amp;"("</f>
        <v>bigIncrements(</v>
      </c>
      <c r="D391" s="5" t="str">
        <f>IF(VLOOKUP(TableFields[Field],Columns[],3,0)&lt;&gt;"","'"&amp;VLOOKUP(TableFields[Field],Columns[],3,0)&amp;"'","")</f>
        <v>'id'</v>
      </c>
      <c r="E39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91" s="5" t="str">
        <f>IF(VLOOKUP(TableFields[Field],Columns[],5,0)=0,"","-&gt;"&amp;VLOOKUP(TableFields[Field],Columns[],5,0))</f>
        <v/>
      </c>
      <c r="G391" s="5" t="str">
        <f>IF(VLOOKUP(TableFields[Field],Columns[],6,0)=0,"","-&gt;"&amp;VLOOKUP(TableFields[Field],Columns[],6,0))</f>
        <v/>
      </c>
      <c r="H391" s="5" t="str">
        <f>IF(VLOOKUP(TableFields[Field],Columns[],7,0)=0,"","-&gt;"&amp;VLOOKUP(TableFields[Field],Columns[],7,0))</f>
        <v/>
      </c>
      <c r="I391" s="5" t="str">
        <f>IF(VLOOKUP(TableFields[Field],Columns[],8,0)=0,"","-&gt;"&amp;VLOOKUP(TableFields[Field],Columns[],8,0))</f>
        <v/>
      </c>
      <c r="J391" s="5" t="str">
        <f>IF(VLOOKUP(TableFields[Field],Columns[],9,0)=0,"","-&gt;"&amp;VLOOKUP(TableFields[Field],Columns[],9,0))</f>
        <v/>
      </c>
      <c r="K391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92" spans="1:11" x14ac:dyDescent="0.25">
      <c r="A392" s="4" t="s">
        <v>2100</v>
      </c>
      <c r="B392" s="5" t="s">
        <v>2101</v>
      </c>
      <c r="C392" s="5" t="str">
        <f>VLOOKUP(TableFields[Field],Columns[],2,0)&amp;"("</f>
        <v>foreignCascade(</v>
      </c>
      <c r="D392" s="5" t="str">
        <f>IF(VLOOKUP(TableFields[Field],Columns[],3,0)&lt;&gt;"","'"&amp;VLOOKUP(TableFields[Field],Columns[],3,0)&amp;"'","")</f>
        <v>'shift'</v>
      </c>
      <c r="E39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'shift')</v>
      </c>
      <c r="F392" s="5" t="str">
        <f>IF(VLOOKUP(TableFields[Field],Columns[],5,0)=0,"","-&gt;"&amp;VLOOKUP(TableFields[Field],Columns[],5,0))</f>
        <v/>
      </c>
      <c r="G392" s="5" t="str">
        <f>IF(VLOOKUP(TableFields[Field],Columns[],6,0)=0,"","-&gt;"&amp;VLOOKUP(TableFields[Field],Columns[],6,0))</f>
        <v/>
      </c>
      <c r="H392" s="5" t="str">
        <f>IF(VLOOKUP(TableFields[Field],Columns[],7,0)=0,"","-&gt;"&amp;VLOOKUP(TableFields[Field],Columns[],7,0))</f>
        <v/>
      </c>
      <c r="I392" s="5" t="str">
        <f>IF(VLOOKUP(TableFields[Field],Columns[],8,0)=0,"","-&gt;"&amp;VLOOKUP(TableFields[Field],Columns[],8,0))</f>
        <v/>
      </c>
      <c r="J392" s="5" t="str">
        <f>IF(VLOOKUP(TableFields[Field],Columns[],9,0)=0,"","-&gt;"&amp;VLOOKUP(TableFields[Field],Columns[],9,0))</f>
        <v/>
      </c>
      <c r="K392" s="5" t="str">
        <f>"$table-&gt;"&amp;TableFields[Type]&amp;TableFields[Name]&amp;TableFields[Arg2]&amp;TableFields[Method1]&amp;TableFields[Method2]&amp;TableFields[Method3]&amp;TableFields[Method4]&amp;TableFields[Method5]&amp;";"</f>
        <v>$table-&gt;foreignCascade('shift', 'shift');</v>
      </c>
    </row>
    <row r="393" spans="1:11" x14ac:dyDescent="0.25">
      <c r="A393" s="4" t="s">
        <v>2100</v>
      </c>
      <c r="B393" s="5" t="s">
        <v>858</v>
      </c>
      <c r="C393" s="5" t="str">
        <f>VLOOKUP(TableFields[Field],Columns[],2,0)&amp;"("</f>
        <v>char(</v>
      </c>
      <c r="D393" s="5" t="str">
        <f>IF(VLOOKUP(TableFields[Field],Columns[],3,0)&lt;&gt;"","'"&amp;VLOOKUP(TableFields[Field],Columns[],3,0)&amp;"'","")</f>
        <v>'fncode'</v>
      </c>
      <c r="E39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93" s="5" t="str">
        <f>IF(VLOOKUP(TableFields[Field],Columns[],5,0)=0,"","-&gt;"&amp;VLOOKUP(TableFields[Field],Columns[],5,0))</f>
        <v>-&gt;nullable()</v>
      </c>
      <c r="G393" s="5" t="str">
        <f>IF(VLOOKUP(TableFields[Field],Columns[],6,0)=0,"","-&gt;"&amp;VLOOKUP(TableFields[Field],Columns[],6,0))</f>
        <v>-&gt;index()</v>
      </c>
      <c r="H393" s="5" t="str">
        <f>IF(VLOOKUP(TableFields[Field],Columns[],7,0)=0,"","-&gt;"&amp;VLOOKUP(TableFields[Field],Columns[],7,0))</f>
        <v/>
      </c>
      <c r="I393" s="5" t="str">
        <f>IF(VLOOKUP(TableFields[Field],Columns[],8,0)=0,"","-&gt;"&amp;VLOOKUP(TableFields[Field],Columns[],8,0))</f>
        <v/>
      </c>
      <c r="J393" s="5" t="str">
        <f>IF(VLOOKUP(TableFields[Field],Columns[],9,0)=0,"","-&gt;"&amp;VLOOKUP(TableFields[Field],Columns[],9,0))</f>
        <v/>
      </c>
      <c r="K393" s="5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394" spans="1:11" x14ac:dyDescent="0.25">
      <c r="A394" s="4" t="s">
        <v>2100</v>
      </c>
      <c r="B394" s="5" t="s">
        <v>837</v>
      </c>
      <c r="C394" s="5" t="str">
        <f>VLOOKUP(TableFields[Field],Columns[],2,0)&amp;"("</f>
        <v>char(</v>
      </c>
      <c r="D394" s="5" t="str">
        <f>IF(VLOOKUP(TableFields[Field],Columns[],3,0)&lt;&gt;"","'"&amp;VLOOKUP(TableFields[Field],Columns[],3,0)&amp;"'","")</f>
        <v>'docno'</v>
      </c>
      <c r="E39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94" s="5" t="str">
        <f>IF(VLOOKUP(TableFields[Field],Columns[],5,0)=0,"","-&gt;"&amp;VLOOKUP(TableFields[Field],Columns[],5,0))</f>
        <v>-&gt;nullable()</v>
      </c>
      <c r="G394" s="5" t="str">
        <f>IF(VLOOKUP(TableFields[Field],Columns[],6,0)=0,"","-&gt;"&amp;VLOOKUP(TableFields[Field],Columns[],6,0))</f>
        <v>-&gt;index()</v>
      </c>
      <c r="H394" s="5" t="str">
        <f>IF(VLOOKUP(TableFields[Field],Columns[],7,0)=0,"","-&gt;"&amp;VLOOKUP(TableFields[Field],Columns[],7,0))</f>
        <v/>
      </c>
      <c r="I394" s="5" t="str">
        <f>IF(VLOOKUP(TableFields[Field],Columns[],8,0)=0,"","-&gt;"&amp;VLOOKUP(TableFields[Field],Columns[],8,0))</f>
        <v/>
      </c>
      <c r="J394" s="5" t="str">
        <f>IF(VLOOKUP(TableFields[Field],Columns[],9,0)=0,"","-&gt;"&amp;VLOOKUP(TableFields[Field],Columns[],9,0))</f>
        <v/>
      </c>
      <c r="K394" s="5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395" spans="1:11" x14ac:dyDescent="0.25">
      <c r="A395" s="4" t="s">
        <v>2100</v>
      </c>
      <c r="B395" s="5" t="s">
        <v>2091</v>
      </c>
      <c r="C395" s="5" t="str">
        <f>VLOOKUP(TableFields[Field],Columns[],2,0)&amp;"("</f>
        <v>enum(</v>
      </c>
      <c r="D395" s="5" t="str">
        <f>IF(VLOOKUP(TableFields[Field],Columns[],3,0)&lt;&gt;"","'"&amp;VLOOKUP(TableFields[Field],Columns[],3,0)&amp;"'","")</f>
        <v>'cancel'</v>
      </c>
      <c r="E39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395" s="5" t="str">
        <f>IF(VLOOKUP(TableFields[Field],Columns[],5,0)=0,"","-&gt;"&amp;VLOOKUP(TableFields[Field],Columns[],5,0))</f>
        <v>-&gt;default('No')</v>
      </c>
      <c r="G395" s="5" t="str">
        <f>IF(VLOOKUP(TableFields[Field],Columns[],6,0)=0,"","-&gt;"&amp;VLOOKUP(TableFields[Field],Columns[],6,0))</f>
        <v/>
      </c>
      <c r="H395" s="5" t="str">
        <f>IF(VLOOKUP(TableFields[Field],Columns[],7,0)=0,"","-&gt;"&amp;VLOOKUP(TableFields[Field],Columns[],7,0))</f>
        <v/>
      </c>
      <c r="I395" s="5" t="str">
        <f>IF(VLOOKUP(TableFields[Field],Columns[],8,0)=0,"","-&gt;"&amp;VLOOKUP(TableFields[Field],Columns[],8,0))</f>
        <v/>
      </c>
      <c r="J395" s="5" t="str">
        <f>IF(VLOOKUP(TableFields[Field],Columns[],9,0)=0,"","-&gt;"&amp;VLOOKUP(TableFields[Field],Columns[],9,0))</f>
        <v/>
      </c>
      <c r="K395" s="5" t="str">
        <f>"$table-&gt;"&amp;TableFields[Type]&amp;TableFields[Name]&amp;TableFields[Arg2]&amp;TableFields[Method1]&amp;TableFields[Method2]&amp;TableFields[Method3]&amp;TableFields[Method4]&amp;TableFields[Method5]&amp;";"</f>
        <v>$table-&gt;enum('cancel', ['No','Yes'])-&gt;default('No');</v>
      </c>
    </row>
    <row r="396" spans="1:11" x14ac:dyDescent="0.25">
      <c r="A396" s="4" t="s">
        <v>2100</v>
      </c>
      <c r="B396" s="5" t="s">
        <v>2103</v>
      </c>
      <c r="C396" s="5" t="str">
        <f>VLOOKUP(TableFields[Field],Columns[],2,0)&amp;"("</f>
        <v>decimal(</v>
      </c>
      <c r="D396" s="5" t="str">
        <f>IF(VLOOKUP(TableFields[Field],Columns[],3,0)&lt;&gt;"","'"&amp;VLOOKUP(TableFields[Field],Columns[],3,0)&amp;"'","")</f>
        <v>'cash'</v>
      </c>
      <c r="E39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96" s="5" t="str">
        <f>IF(VLOOKUP(TableFields[Field],Columns[],5,0)=0,"","-&gt;"&amp;VLOOKUP(TableFields[Field],Columns[],5,0))</f>
        <v>-&gt;default(0)</v>
      </c>
      <c r="G396" s="5" t="str">
        <f>IF(VLOOKUP(TableFields[Field],Columns[],6,0)=0,"","-&gt;"&amp;VLOOKUP(TableFields[Field],Columns[],6,0))</f>
        <v/>
      </c>
      <c r="H396" s="5" t="str">
        <f>IF(VLOOKUP(TableFields[Field],Columns[],7,0)=0,"","-&gt;"&amp;VLOOKUP(TableFields[Field],Columns[],7,0))</f>
        <v/>
      </c>
      <c r="I396" s="5" t="str">
        <f>IF(VLOOKUP(TableFields[Field],Columns[],8,0)=0,"","-&gt;"&amp;VLOOKUP(TableFields[Field],Columns[],8,0))</f>
        <v/>
      </c>
      <c r="J396" s="5" t="str">
        <f>IF(VLOOKUP(TableFields[Field],Columns[],9,0)=0,"","-&gt;"&amp;VLOOKUP(TableFields[Field],Columns[],9,0))</f>
        <v/>
      </c>
      <c r="K396" s="5" t="str">
        <f>"$table-&gt;"&amp;TableFields[Type]&amp;TableFields[Name]&amp;TableFields[Arg2]&amp;TableFields[Method1]&amp;TableFields[Method2]&amp;TableFields[Method3]&amp;TableFields[Method4]&amp;TableFields[Method5]&amp;";"</f>
        <v>$table-&gt;decimal('cash', 30,10)-&gt;default(0);</v>
      </c>
    </row>
    <row r="397" spans="1:11" x14ac:dyDescent="0.25">
      <c r="A397" s="4" t="s">
        <v>2100</v>
      </c>
      <c r="B397" s="5" t="s">
        <v>2104</v>
      </c>
      <c r="C397" s="5" t="str">
        <f>VLOOKUP(TableFields[Field],Columns[],2,0)&amp;"("</f>
        <v>decimal(</v>
      </c>
      <c r="D397" s="5" t="str">
        <f>IF(VLOOKUP(TableFields[Field],Columns[],3,0)&lt;&gt;"","'"&amp;VLOOKUP(TableFields[Field],Columns[],3,0)&amp;"'","")</f>
        <v>'credit'</v>
      </c>
      <c r="E39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97" s="5" t="str">
        <f>IF(VLOOKUP(TableFields[Field],Columns[],5,0)=0,"","-&gt;"&amp;VLOOKUP(TableFields[Field],Columns[],5,0))</f>
        <v>-&gt;default(0)</v>
      </c>
      <c r="G397" s="5" t="str">
        <f>IF(VLOOKUP(TableFields[Field],Columns[],6,0)=0,"","-&gt;"&amp;VLOOKUP(TableFields[Field],Columns[],6,0))</f>
        <v/>
      </c>
      <c r="H397" s="5" t="str">
        <f>IF(VLOOKUP(TableFields[Field],Columns[],7,0)=0,"","-&gt;"&amp;VLOOKUP(TableFields[Field],Columns[],7,0))</f>
        <v/>
      </c>
      <c r="I397" s="5" t="str">
        <f>IF(VLOOKUP(TableFields[Field],Columns[],8,0)=0,"","-&gt;"&amp;VLOOKUP(TableFields[Field],Columns[],8,0))</f>
        <v/>
      </c>
      <c r="J397" s="5" t="str">
        <f>IF(VLOOKUP(TableFields[Field],Columns[],9,0)=0,"","-&gt;"&amp;VLOOKUP(TableFields[Field],Columns[],9,0))</f>
        <v/>
      </c>
      <c r="K397" s="5" t="str">
        <f>"$table-&gt;"&amp;TableFields[Type]&amp;TableFields[Name]&amp;TableFields[Arg2]&amp;TableFields[Method1]&amp;TableFields[Method2]&amp;TableFields[Method3]&amp;TableFields[Method4]&amp;TableFields[Method5]&amp;";"</f>
        <v>$table-&gt;decimal('credit', 30,10)-&gt;default(0);</v>
      </c>
    </row>
    <row r="398" spans="1:11" x14ac:dyDescent="0.25">
      <c r="A398" s="4" t="s">
        <v>2100</v>
      </c>
      <c r="B398" s="5" t="s">
        <v>2105</v>
      </c>
      <c r="C398" s="5" t="str">
        <f>VLOOKUP(TableFields[Field],Columns[],2,0)&amp;"("</f>
        <v>decimal(</v>
      </c>
      <c r="D398" s="5" t="str">
        <f>IF(VLOOKUP(TableFields[Field],Columns[],3,0)&lt;&gt;"","'"&amp;VLOOKUP(TableFields[Field],Columns[],3,0)&amp;"'","")</f>
        <v>'card'</v>
      </c>
      <c r="E39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98" s="5" t="str">
        <f>IF(VLOOKUP(TableFields[Field],Columns[],5,0)=0,"","-&gt;"&amp;VLOOKUP(TableFields[Field],Columns[],5,0))</f>
        <v>-&gt;default(0)</v>
      </c>
      <c r="G398" s="5" t="str">
        <f>IF(VLOOKUP(TableFields[Field],Columns[],6,0)=0,"","-&gt;"&amp;VLOOKUP(TableFields[Field],Columns[],6,0))</f>
        <v/>
      </c>
      <c r="H398" s="5" t="str">
        <f>IF(VLOOKUP(TableFields[Field],Columns[],7,0)=0,"","-&gt;"&amp;VLOOKUP(TableFields[Field],Columns[],7,0))</f>
        <v/>
      </c>
      <c r="I398" s="5" t="str">
        <f>IF(VLOOKUP(TableFields[Field],Columns[],8,0)=0,"","-&gt;"&amp;VLOOKUP(TableFields[Field],Columns[],8,0))</f>
        <v/>
      </c>
      <c r="J398" s="5" t="str">
        <f>IF(VLOOKUP(TableFields[Field],Columns[],9,0)=0,"","-&gt;"&amp;VLOOKUP(TableFields[Field],Columns[],9,0))</f>
        <v/>
      </c>
      <c r="K398" s="5" t="str">
        <f>"$table-&gt;"&amp;TableFields[Type]&amp;TableFields[Name]&amp;TableFields[Arg2]&amp;TableFields[Method1]&amp;TableFields[Method2]&amp;TableFields[Method3]&amp;TableFields[Method4]&amp;TableFields[Method5]&amp;";"</f>
        <v>$table-&gt;decimal('card', 30,10)-&gt;default(0);</v>
      </c>
    </row>
    <row r="399" spans="1:11" x14ac:dyDescent="0.25">
      <c r="A399" s="4" t="s">
        <v>2100</v>
      </c>
      <c r="B399" s="5" t="s">
        <v>2106</v>
      </c>
      <c r="C399" s="5" t="str">
        <f>VLOOKUP(TableFields[Field],Columns[],2,0)&amp;"("</f>
        <v>decimal(</v>
      </c>
      <c r="D399" s="5" t="str">
        <f>IF(VLOOKUP(TableFields[Field],Columns[],3,0)&lt;&gt;"","'"&amp;VLOOKUP(TableFields[Field],Columns[],3,0)&amp;"'","")</f>
        <v>'cheque'</v>
      </c>
      <c r="E39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99" s="5" t="str">
        <f>IF(VLOOKUP(TableFields[Field],Columns[],5,0)=0,"","-&gt;"&amp;VLOOKUP(TableFields[Field],Columns[],5,0))</f>
        <v>-&gt;default(0)</v>
      </c>
      <c r="G399" s="5" t="str">
        <f>IF(VLOOKUP(TableFields[Field],Columns[],6,0)=0,"","-&gt;"&amp;VLOOKUP(TableFields[Field],Columns[],6,0))</f>
        <v/>
      </c>
      <c r="H399" s="5" t="str">
        <f>IF(VLOOKUP(TableFields[Field],Columns[],7,0)=0,"","-&gt;"&amp;VLOOKUP(TableFields[Field],Columns[],7,0))</f>
        <v/>
      </c>
      <c r="I399" s="5" t="str">
        <f>IF(VLOOKUP(TableFields[Field],Columns[],8,0)=0,"","-&gt;"&amp;VLOOKUP(TableFields[Field],Columns[],8,0))</f>
        <v/>
      </c>
      <c r="J399" s="5" t="str">
        <f>IF(VLOOKUP(TableFields[Field],Columns[],9,0)=0,"","-&gt;"&amp;VLOOKUP(TableFields[Field],Columns[],9,0))</f>
        <v/>
      </c>
      <c r="K399" s="5" t="str">
        <f>"$table-&gt;"&amp;TableFields[Type]&amp;TableFields[Name]&amp;TableFields[Arg2]&amp;TableFields[Method1]&amp;TableFields[Method2]&amp;TableFields[Method3]&amp;TableFields[Method4]&amp;TableFields[Method5]&amp;";"</f>
        <v>$table-&gt;decimal('cheque', 30,10)-&gt;default(0);</v>
      </c>
    </row>
    <row r="400" spans="1:11" x14ac:dyDescent="0.25">
      <c r="A400" s="4" t="s">
        <v>2100</v>
      </c>
      <c r="B400" s="5" t="s">
        <v>2107</v>
      </c>
      <c r="C400" s="5" t="str">
        <f>VLOOKUP(TableFields[Field],Columns[],2,0)&amp;"("</f>
        <v>decimal(</v>
      </c>
      <c r="D400" s="5" t="str">
        <f>IF(VLOOKUP(TableFields[Field],Columns[],3,0)&lt;&gt;"","'"&amp;VLOOKUP(TableFields[Field],Columns[],3,0)&amp;"'","")</f>
        <v>'digitalwallet'</v>
      </c>
      <c r="E40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400" s="5" t="str">
        <f>IF(VLOOKUP(TableFields[Field],Columns[],5,0)=0,"","-&gt;"&amp;VLOOKUP(TableFields[Field],Columns[],5,0))</f>
        <v>-&gt;default(0)</v>
      </c>
      <c r="G400" s="5" t="str">
        <f>IF(VLOOKUP(TableFields[Field],Columns[],6,0)=0,"","-&gt;"&amp;VLOOKUP(TableFields[Field],Columns[],6,0))</f>
        <v/>
      </c>
      <c r="H400" s="5" t="str">
        <f>IF(VLOOKUP(TableFields[Field],Columns[],7,0)=0,"","-&gt;"&amp;VLOOKUP(TableFields[Field],Columns[],7,0))</f>
        <v/>
      </c>
      <c r="I400" s="5" t="str">
        <f>IF(VLOOKUP(TableFields[Field],Columns[],8,0)=0,"","-&gt;"&amp;VLOOKUP(TableFields[Field],Columns[],8,0))</f>
        <v/>
      </c>
      <c r="J400" s="5" t="str">
        <f>IF(VLOOKUP(TableFields[Field],Columns[],9,0)=0,"","-&gt;"&amp;VLOOKUP(TableFields[Field],Columns[],9,0))</f>
        <v/>
      </c>
      <c r="K400" s="5" t="str">
        <f>"$table-&gt;"&amp;TableFields[Type]&amp;TableFields[Name]&amp;TableFields[Arg2]&amp;TableFields[Method1]&amp;TableFields[Method2]&amp;TableFields[Method3]&amp;TableFields[Method4]&amp;TableFields[Method5]&amp;";"</f>
        <v>$table-&gt;decimal('digitalwallet', 30,10)-&gt;default(0);</v>
      </c>
    </row>
    <row r="401" spans="1:11" x14ac:dyDescent="0.25">
      <c r="A401" s="4" t="s">
        <v>2100</v>
      </c>
      <c r="B401" s="5" t="s">
        <v>2099</v>
      </c>
      <c r="C401" s="5" t="str">
        <f>VLOOKUP(TableFields[Field],Columns[],2,0)&amp;"("</f>
        <v>enum(</v>
      </c>
      <c r="D401" s="5" t="str">
        <f>IF(VLOOKUP(TableFields[Field],Columns[],3,0)&lt;&gt;"","'"&amp;VLOOKUP(TableFields[Field],Columns[],3,0)&amp;"'","")</f>
        <v>'ssinit'</v>
      </c>
      <c r="E40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401" s="5" t="str">
        <f>IF(VLOOKUP(TableFields[Field],Columns[],5,0)=0,"","-&gt;"&amp;VLOOKUP(TableFields[Field],Columns[],5,0))</f>
        <v>-&gt;default('No')</v>
      </c>
      <c r="G401" s="5" t="str">
        <f>IF(VLOOKUP(TableFields[Field],Columns[],6,0)=0,"","-&gt;"&amp;VLOOKUP(TableFields[Field],Columns[],6,0))</f>
        <v/>
      </c>
      <c r="H401" s="5" t="str">
        <f>IF(VLOOKUP(TableFields[Field],Columns[],7,0)=0,"","-&gt;"&amp;VLOOKUP(TableFields[Field],Columns[],7,0))</f>
        <v/>
      </c>
      <c r="I401" s="5" t="str">
        <f>IF(VLOOKUP(TableFields[Field],Columns[],8,0)=0,"","-&gt;"&amp;VLOOKUP(TableFields[Field],Columns[],8,0))</f>
        <v/>
      </c>
      <c r="J401" s="5" t="str">
        <f>IF(VLOOKUP(TableFields[Field],Columns[],9,0)=0,"","-&gt;"&amp;VLOOKUP(TableFields[Field],Columns[],9,0))</f>
        <v/>
      </c>
      <c r="K401" s="5" t="str">
        <f>"$table-&gt;"&amp;TableFields[Type]&amp;TableFields[Name]&amp;TableFields[Arg2]&amp;TableFields[Method1]&amp;TableFields[Method2]&amp;TableFields[Method3]&amp;TableFields[Method4]&amp;TableFields[Method5]&amp;";"</f>
        <v>$table-&gt;enum('ssinit', ['No','Yes'])-&gt;default('No');</v>
      </c>
    </row>
    <row r="402" spans="1:11" x14ac:dyDescent="0.25">
      <c r="A402" s="4" t="s">
        <v>2100</v>
      </c>
      <c r="B402" s="5" t="s">
        <v>288</v>
      </c>
      <c r="C402" s="5" t="str">
        <f>VLOOKUP(TableFields[Field],Columns[],2,0)&amp;"("</f>
        <v>audit(</v>
      </c>
      <c r="D402" s="5" t="str">
        <f>IF(VLOOKUP(TableFields[Field],Columns[],3,0)&lt;&gt;"","'"&amp;VLOOKUP(TableFields[Field],Columns[],3,0)&amp;"'","")</f>
        <v/>
      </c>
      <c r="E40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02" s="5" t="str">
        <f>IF(VLOOKUP(TableFields[Field],Columns[],5,0)=0,"","-&gt;"&amp;VLOOKUP(TableFields[Field],Columns[],5,0))</f>
        <v/>
      </c>
      <c r="G402" s="5" t="str">
        <f>IF(VLOOKUP(TableFields[Field],Columns[],6,0)=0,"","-&gt;"&amp;VLOOKUP(TableFields[Field],Columns[],6,0))</f>
        <v/>
      </c>
      <c r="H402" s="5" t="str">
        <f>IF(VLOOKUP(TableFields[Field],Columns[],7,0)=0,"","-&gt;"&amp;VLOOKUP(TableFields[Field],Columns[],7,0))</f>
        <v/>
      </c>
      <c r="I402" s="5" t="str">
        <f>IF(VLOOKUP(TableFields[Field],Columns[],8,0)=0,"","-&gt;"&amp;VLOOKUP(TableFields[Field],Columns[],8,0))</f>
        <v/>
      </c>
      <c r="J402" s="5" t="str">
        <f>IF(VLOOKUP(TableFields[Field],Columns[],9,0)=0,"","-&gt;"&amp;VLOOKUP(TableFields[Field],Columns[],9,0))</f>
        <v/>
      </c>
      <c r="K402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</sheetData>
  <dataConsolidate/>
  <conditionalFormatting sqref="B274:B275">
    <cfRule type="duplicateValues" dxfId="4" priority="7"/>
  </conditionalFormatting>
  <conditionalFormatting sqref="B325">
    <cfRule type="duplicateValues" dxfId="3" priority="3"/>
  </conditionalFormatting>
  <conditionalFormatting sqref="B340:B341">
    <cfRule type="duplicateValues" dxfId="2" priority="2"/>
  </conditionalFormatting>
  <conditionalFormatting sqref="B340:B341">
    <cfRule type="duplicateValues" dxfId="1" priority="1"/>
  </conditionalFormatting>
  <conditionalFormatting sqref="B164:B171">
    <cfRule type="duplicateValues" dxfId="0" priority="204"/>
  </conditionalFormatting>
  <dataValidations count="2">
    <dataValidation type="list" allowBlank="1" showInputMessage="1" showErrorMessage="1" sqref="B2:B402">
      <formula1>AvailableFields</formula1>
    </dataValidation>
    <dataValidation type="list" allowBlank="1" showInputMessage="1" showErrorMessage="1" sqref="A2:A402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tabSelected="1" topLeftCell="B72" workbookViewId="0">
      <selection activeCell="C82" sqref="C82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x14ac:dyDescent="0.25">
      <c r="A2" s="15" t="str">
        <f>TableData[Table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60" t="str">
        <f>TableData[Table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303101</v>
      </c>
      <c r="D3" s="64" t="s">
        <v>1361</v>
      </c>
      <c r="E3" s="64" t="s">
        <v>1362</v>
      </c>
      <c r="F3" s="64" t="s">
        <v>1423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</row>
    <row r="4" spans="1:18" x14ac:dyDescent="0.25">
      <c r="A4" s="60" t="str">
        <f>TableData[Table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303102</v>
      </c>
      <c r="D4" s="64" t="s">
        <v>1567</v>
      </c>
      <c r="E4" s="64" t="s">
        <v>1568</v>
      </c>
      <c r="F4" s="64" t="s">
        <v>1569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</row>
    <row r="5" spans="1:18" x14ac:dyDescent="0.25">
      <c r="A5" s="60" t="str">
        <f>TableData[Table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303103</v>
      </c>
      <c r="D5" s="64" t="s">
        <v>1570</v>
      </c>
      <c r="E5" s="64" t="s">
        <v>1571</v>
      </c>
      <c r="F5" s="64" t="s">
        <v>1572</v>
      </c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</row>
    <row r="6" spans="1:18" x14ac:dyDescent="0.25">
      <c r="A6" s="60" t="str">
        <f>TableData[Table Name]&amp;"-"&amp;(COUNTIF($B$1:TableData[[#This Row],[Table Name]],TableData[[#This Row],[Table Name]])-1)</f>
        <v>Resource Roles-0</v>
      </c>
      <c r="B6" s="64" t="s">
        <v>94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64" t="s">
        <v>65</v>
      </c>
      <c r="E6" s="64" t="s">
        <v>22</v>
      </c>
      <c r="F6" s="64" t="s">
        <v>1363</v>
      </c>
      <c r="G6" s="64" t="s">
        <v>1364</v>
      </c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</row>
    <row r="7" spans="1:18" x14ac:dyDescent="0.25">
      <c r="A7" s="60" t="str">
        <f>TableData[Table Name]&amp;"-"&amp;(COUNTIF($B$1:TableData[[#This Row],[Table Name]],TableData[[#This Row],[Table Name]])-1)</f>
        <v>Resource Roles-1</v>
      </c>
      <c r="B7" s="64" t="s">
        <v>94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306101</v>
      </c>
      <c r="D7" s="60">
        <v>303101</v>
      </c>
      <c r="E7" s="64">
        <v>305101</v>
      </c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</row>
    <row r="8" spans="1:18" x14ac:dyDescent="0.25">
      <c r="A8" s="30" t="str">
        <f>TableData[Table Name]&amp;"-"&amp;(COUNTIF($B$1:TableData[[#This Row],[Table Name]],TableData[[#This Row],[Table Name]])-1)</f>
        <v>Resource Roles-2</v>
      </c>
      <c r="B8" s="64" t="s">
        <v>94</v>
      </c>
      <c r="C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306102</v>
      </c>
      <c r="D8" s="60">
        <v>303101</v>
      </c>
      <c r="E8" s="78">
        <v>305102</v>
      </c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</row>
    <row r="9" spans="1:18" x14ac:dyDescent="0.25">
      <c r="A9" s="30" t="str">
        <f>TableData[Table Name]&amp;"-"&amp;(COUNTIF($B$1:TableData[[#This Row],[Table Name]],TableData[[#This Row],[Table Name]])-1)</f>
        <v>Resource Roles-3</v>
      </c>
      <c r="B9" s="64" t="s">
        <v>94</v>
      </c>
      <c r="C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306103</v>
      </c>
      <c r="D9" s="60">
        <v>303101</v>
      </c>
      <c r="E9" s="78">
        <v>305103</v>
      </c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</row>
    <row r="10" spans="1:18" x14ac:dyDescent="0.25">
      <c r="A10" s="30" t="str">
        <f>TableData[Table Name]&amp;"-"&amp;(COUNTIF($B$1:TableData[[#This Row],[Table Name]],TableData[[#This Row],[Table Name]])-1)</f>
        <v>Resource Roles-4</v>
      </c>
      <c r="B10" s="64" t="s">
        <v>94</v>
      </c>
      <c r="C1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306104</v>
      </c>
      <c r="D10" s="60">
        <v>303101</v>
      </c>
      <c r="E10" s="78">
        <v>305104</v>
      </c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</row>
    <row r="11" spans="1:18" x14ac:dyDescent="0.25">
      <c r="A11" s="30" t="str">
        <f>TableData[Table Name]&amp;"-"&amp;(COUNTIF($B$1:TableData[[#This Row],[Table Name]],TableData[[#This Row],[Table Name]])-1)</f>
        <v>Resource Roles-5</v>
      </c>
      <c r="B11" s="64" t="s">
        <v>94</v>
      </c>
      <c r="C1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306105</v>
      </c>
      <c r="D11" s="60">
        <v>303101</v>
      </c>
      <c r="E11" s="78">
        <v>305105</v>
      </c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</row>
    <row r="12" spans="1:18" x14ac:dyDescent="0.25">
      <c r="A12" s="30" t="str">
        <f>TableData[Table Name]&amp;"-"&amp;(COUNTIF($B$1:TableData[[#This Row],[Table Name]],TableData[[#This Row],[Table Name]])-1)</f>
        <v>Resource Roles-6</v>
      </c>
      <c r="B12" s="64" t="s">
        <v>94</v>
      </c>
      <c r="C1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306106</v>
      </c>
      <c r="D12" s="60">
        <v>303101</v>
      </c>
      <c r="E12" s="78">
        <v>305106</v>
      </c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</row>
    <row r="13" spans="1:18" x14ac:dyDescent="0.25">
      <c r="A13" s="30" t="str">
        <f>TableData[Table Name]&amp;"-"&amp;(COUNTIF($B$1:TableData[[#This Row],[Table Name]],TableData[[#This Row],[Table Name]])-1)</f>
        <v>Resource Roles-7</v>
      </c>
      <c r="B13" s="64" t="s">
        <v>94</v>
      </c>
      <c r="C1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306107</v>
      </c>
      <c r="D13" s="60">
        <v>303101</v>
      </c>
      <c r="E13" s="78">
        <v>305107</v>
      </c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</row>
    <row r="14" spans="1:18" x14ac:dyDescent="0.25">
      <c r="A14" s="30" t="str">
        <f>TableData[Table Name]&amp;"-"&amp;(COUNTIF($B$1:TableData[[#This Row],[Table Name]],TableData[[#This Row],[Table Name]])-1)</f>
        <v>Resource Roles-8</v>
      </c>
      <c r="B14" s="64" t="s">
        <v>94</v>
      </c>
      <c r="C1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306108</v>
      </c>
      <c r="D14" s="60">
        <v>303101</v>
      </c>
      <c r="E14" s="78">
        <v>305108</v>
      </c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</row>
    <row r="15" spans="1:18" x14ac:dyDescent="0.25">
      <c r="A15" s="30" t="str">
        <f>TableData[Table Name]&amp;"-"&amp;(COUNTIF($B$1:TableData[[#This Row],[Table Name]],TableData[[#This Row],[Table Name]])-1)</f>
        <v>Resource Roles-9</v>
      </c>
      <c r="B15" s="64" t="s">
        <v>94</v>
      </c>
      <c r="C1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306109</v>
      </c>
      <c r="D15" s="60">
        <v>303101</v>
      </c>
      <c r="E15" s="78">
        <v>305109</v>
      </c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</row>
    <row r="16" spans="1:18" x14ac:dyDescent="0.25">
      <c r="A16" s="30" t="str">
        <f>TableData[Table Name]&amp;"-"&amp;(COUNTIF($B$1:TableData[[#This Row],[Table Name]],TableData[[#This Row],[Table Name]])-1)</f>
        <v>Resource Roles-10</v>
      </c>
      <c r="B16" s="64" t="s">
        <v>94</v>
      </c>
      <c r="C1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306110</v>
      </c>
      <c r="D16" s="60">
        <v>303101</v>
      </c>
      <c r="E16" s="78">
        <v>305110</v>
      </c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</row>
    <row r="17" spans="1:18" x14ac:dyDescent="0.25">
      <c r="A17" s="30" t="str">
        <f>TableData[Table Name]&amp;"-"&amp;(COUNTIF($B$1:TableData[[#This Row],[Table Name]],TableData[[#This Row],[Table Name]])-1)</f>
        <v>Resource Roles-11</v>
      </c>
      <c r="B17" s="64" t="s">
        <v>94</v>
      </c>
      <c r="C1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306111</v>
      </c>
      <c r="D17" s="60">
        <v>303101</v>
      </c>
      <c r="E17" s="78">
        <v>305111</v>
      </c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</row>
    <row r="18" spans="1:18" x14ac:dyDescent="0.25">
      <c r="A18" s="30" t="str">
        <f>TableData[Table Name]&amp;"-"&amp;(COUNTIF($B$1:TableData[[#This Row],[Table Name]],TableData[[#This Row],[Table Name]])-1)</f>
        <v>Resource Roles-12</v>
      </c>
      <c r="B18" s="64" t="s">
        <v>94</v>
      </c>
      <c r="C1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306112</v>
      </c>
      <c r="D18" s="60">
        <v>303101</v>
      </c>
      <c r="E18" s="78">
        <v>305112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</row>
    <row r="19" spans="1:18" x14ac:dyDescent="0.25">
      <c r="A19" s="30" t="str">
        <f>TableData[Table Name]&amp;"-"&amp;(COUNTIF($B$1:TableData[[#This Row],[Table Name]],TableData[[#This Row],[Table Name]])-1)</f>
        <v>Resource Roles-13</v>
      </c>
      <c r="B19" s="64" t="s">
        <v>94</v>
      </c>
      <c r="C1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306113</v>
      </c>
      <c r="D19" s="60">
        <v>303101</v>
      </c>
      <c r="E19" s="78">
        <v>305113</v>
      </c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</row>
    <row r="20" spans="1:18" x14ac:dyDescent="0.25">
      <c r="A20" s="30" t="str">
        <f>TableData[Table Name]&amp;"-"&amp;(COUNTIF($B$1:TableData[[#This Row],[Table Name]],TableData[[#This Row],[Table Name]])-1)</f>
        <v>Resource Roles-14</v>
      </c>
      <c r="B20" s="64" t="s">
        <v>94</v>
      </c>
      <c r="C2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306114</v>
      </c>
      <c r="D20" s="60">
        <v>303101</v>
      </c>
      <c r="E20" s="78">
        <v>305114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</row>
    <row r="21" spans="1:18" x14ac:dyDescent="0.25">
      <c r="A21" s="30" t="str">
        <f>TableData[Table Name]&amp;"-"&amp;(COUNTIF($B$1:TableData[[#This Row],[Table Name]],TableData[[#This Row],[Table Name]])-1)</f>
        <v>Resource Roles-15</v>
      </c>
      <c r="B21" s="64" t="s">
        <v>94</v>
      </c>
      <c r="C2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306115</v>
      </c>
      <c r="D21" s="60">
        <v>303101</v>
      </c>
      <c r="E21" s="78">
        <v>305115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</row>
    <row r="22" spans="1:18" x14ac:dyDescent="0.25">
      <c r="A22" s="30" t="str">
        <f>TableData[Table Name]&amp;"-"&amp;(COUNTIF($B$1:TableData[[#This Row],[Table Name]],TableData[[#This Row],[Table Name]])-1)</f>
        <v>Resource Roles-16</v>
      </c>
      <c r="B22" s="64" t="s">
        <v>94</v>
      </c>
      <c r="C2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306116</v>
      </c>
      <c r="D22" s="60">
        <v>303101</v>
      </c>
      <c r="E22" s="78">
        <v>305116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</row>
    <row r="23" spans="1:18" x14ac:dyDescent="0.25">
      <c r="A23" s="30" t="str">
        <f>TableData[Table Name]&amp;"-"&amp;(COUNTIF($B$1:TableData[[#This Row],[Table Name]],TableData[[#This Row],[Table Name]])-1)</f>
        <v>Resource Roles-17</v>
      </c>
      <c r="B23" s="64" t="s">
        <v>94</v>
      </c>
      <c r="C2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306117</v>
      </c>
      <c r="D23" s="60">
        <v>303101</v>
      </c>
      <c r="E23" s="78">
        <v>305117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</row>
    <row r="24" spans="1:18" x14ac:dyDescent="0.25">
      <c r="A24" s="30" t="str">
        <f>TableData[Table Name]&amp;"-"&amp;(COUNTIF($B$1:TableData[[#This Row],[Table Name]],TableData[[#This Row],[Table Name]])-1)</f>
        <v>Resource Roles-18</v>
      </c>
      <c r="B24" s="64" t="s">
        <v>94</v>
      </c>
      <c r="C2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306118</v>
      </c>
      <c r="D24" s="60">
        <v>303101</v>
      </c>
      <c r="E24" s="78">
        <v>305118</v>
      </c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</row>
    <row r="25" spans="1:18" x14ac:dyDescent="0.25">
      <c r="A25" s="30" t="str">
        <f>TableData[Table Name]&amp;"-"&amp;(COUNTIF($B$1:TableData[[#This Row],[Table Name]],TableData[[#This Row],[Table Name]])-1)</f>
        <v>Resource Roles-19</v>
      </c>
      <c r="B25" s="64" t="s">
        <v>94</v>
      </c>
      <c r="C2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306119</v>
      </c>
      <c r="D25" s="60">
        <v>303101</v>
      </c>
      <c r="E25" s="78">
        <v>305119</v>
      </c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</row>
    <row r="26" spans="1:18" x14ac:dyDescent="0.25">
      <c r="A26" s="30" t="str">
        <f>TableData[Table Name]&amp;"-"&amp;(COUNTIF($B$1:TableData[[#This Row],[Table Name]],TableData[[#This Row],[Table Name]])-1)</f>
        <v>Resource Roles-20</v>
      </c>
      <c r="B26" s="64" t="s">
        <v>94</v>
      </c>
      <c r="C2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306120</v>
      </c>
      <c r="D26" s="60">
        <v>303101</v>
      </c>
      <c r="E26" s="78">
        <v>305120</v>
      </c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</row>
    <row r="27" spans="1:18" x14ac:dyDescent="0.25">
      <c r="A27" s="30" t="str">
        <f>TableData[Table Name]&amp;"-"&amp;(COUNTIF($B$1:TableData[[#This Row],[Table Name]],TableData[[#This Row],[Table Name]])-1)</f>
        <v>Resource Roles-21</v>
      </c>
      <c r="B27" s="64" t="s">
        <v>94</v>
      </c>
      <c r="C2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306121</v>
      </c>
      <c r="D27" s="60">
        <v>303101</v>
      </c>
      <c r="E27" s="78">
        <v>305121</v>
      </c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</row>
    <row r="28" spans="1:18" x14ac:dyDescent="0.25">
      <c r="A28" s="30" t="str">
        <f>TableData[Table Name]&amp;"-"&amp;(COUNTIF($B$1:TableData[[#This Row],[Table Name]],TableData[[#This Row],[Table Name]])-1)</f>
        <v>Resource Roles-22</v>
      </c>
      <c r="B28" s="64" t="s">
        <v>94</v>
      </c>
      <c r="C2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306122</v>
      </c>
      <c r="D28" s="60">
        <v>303101</v>
      </c>
      <c r="E28" s="78">
        <v>305122</v>
      </c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</row>
    <row r="29" spans="1:18" x14ac:dyDescent="0.25">
      <c r="A29" s="30" t="str">
        <f>TableData[Table Name]&amp;"-"&amp;(COUNTIF($B$1:TableData[[#This Row],[Table Name]],TableData[[#This Row],[Table Name]])-1)</f>
        <v>Resource Roles-23</v>
      </c>
      <c r="B29" s="64" t="s">
        <v>94</v>
      </c>
      <c r="C2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306123</v>
      </c>
      <c r="D29" s="60">
        <v>303101</v>
      </c>
      <c r="E29" s="78">
        <v>305123</v>
      </c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</row>
    <row r="30" spans="1:18" x14ac:dyDescent="0.25">
      <c r="A30" s="30" t="str">
        <f>TableData[Table Name]&amp;"-"&amp;(COUNTIF($B$1:TableData[[#This Row],[Table Name]],TableData[[#This Row],[Table Name]])-1)</f>
        <v>Resource Roles-24</v>
      </c>
      <c r="B30" s="64" t="s">
        <v>94</v>
      </c>
      <c r="C3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306124</v>
      </c>
      <c r="D30" s="60">
        <v>303101</v>
      </c>
      <c r="E30" s="78">
        <v>305124</v>
      </c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</row>
    <row r="31" spans="1:18" x14ac:dyDescent="0.25">
      <c r="A31" s="30" t="str">
        <f>TableData[Table Name]&amp;"-"&amp;(COUNTIF($B$1:TableData[[#This Row],[Table Name]],TableData[[#This Row],[Table Name]])-1)</f>
        <v>Resource Roles-25</v>
      </c>
      <c r="B31" s="64" t="s">
        <v>94</v>
      </c>
      <c r="C3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306125</v>
      </c>
      <c r="D31" s="60">
        <v>303101</v>
      </c>
      <c r="E31" s="78">
        <v>305125</v>
      </c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</row>
    <row r="32" spans="1:18" x14ac:dyDescent="0.25">
      <c r="A32" s="30" t="str">
        <f>TableData[Table Name]&amp;"-"&amp;(COUNTIF($B$1:TableData[[#This Row],[Table Name]],TableData[[#This Row],[Table Name]])-1)</f>
        <v>Resource Roles-26</v>
      </c>
      <c r="B32" s="64" t="s">
        <v>94</v>
      </c>
      <c r="C3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306126</v>
      </c>
      <c r="D32" s="60">
        <v>303101</v>
      </c>
      <c r="E32" s="78">
        <v>305126</v>
      </c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</row>
    <row r="33" spans="1:18" x14ac:dyDescent="0.25">
      <c r="A33" s="30" t="str">
        <f>TableData[Table Name]&amp;"-"&amp;(COUNTIF($B$1:TableData[[#This Row],[Table Name]],TableData[[#This Row],[Table Name]])-1)</f>
        <v>Resource Roles-27</v>
      </c>
      <c r="B33" s="64" t="s">
        <v>94</v>
      </c>
      <c r="C3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306127</v>
      </c>
      <c r="D33" s="60">
        <v>303101</v>
      </c>
      <c r="E33" s="78">
        <v>305127</v>
      </c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</row>
    <row r="34" spans="1:18" ht="15" customHeight="1" x14ac:dyDescent="0.25">
      <c r="A34" s="15" t="str">
        <f>TableData[Table Name]&amp;"-"&amp;(COUNTIF($B$1:TableData[[#This Row],[Table Name]],TableData[[#This Row],[Table Name]])-1)</f>
        <v>Resource Roles-28</v>
      </c>
      <c r="B34" s="64" t="s">
        <v>94</v>
      </c>
      <c r="C34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306128</v>
      </c>
      <c r="D34" s="60">
        <v>303101</v>
      </c>
      <c r="E34" s="78">
        <v>305128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x14ac:dyDescent="0.25">
      <c r="A35" s="30" t="str">
        <f>TableData[Table Name]&amp;"-"&amp;(COUNTIF($B$1:TableData[[#This Row],[Table Name]],TableData[[#This Row],[Table Name]])-1)</f>
        <v>Resource Roles-29</v>
      </c>
      <c r="B35" s="64" t="s">
        <v>94</v>
      </c>
      <c r="C3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306129</v>
      </c>
      <c r="D35" s="60">
        <v>303101</v>
      </c>
      <c r="E35" s="78">
        <v>305129</v>
      </c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</row>
    <row r="36" spans="1:18" x14ac:dyDescent="0.25">
      <c r="A36" s="30" t="str">
        <f>TableData[Table Name]&amp;"-"&amp;(COUNTIF($B$1:TableData[[#This Row],[Table Name]],TableData[[#This Row],[Table Name]])-1)</f>
        <v>Resource Roles-30</v>
      </c>
      <c r="B36" s="64" t="s">
        <v>94</v>
      </c>
      <c r="C3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306130</v>
      </c>
      <c r="D36" s="60">
        <v>303101</v>
      </c>
      <c r="E36" s="78">
        <v>305130</v>
      </c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</row>
    <row r="37" spans="1:18" x14ac:dyDescent="0.25">
      <c r="A37" s="30" t="str">
        <f>TableData[Table Name]&amp;"-"&amp;(COUNTIF($B$1:TableData[[#This Row],[Table Name]],TableData[[#This Row],[Table Name]])-1)</f>
        <v>Resource Roles-31</v>
      </c>
      <c r="B37" s="64" t="s">
        <v>94</v>
      </c>
      <c r="C3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306131</v>
      </c>
      <c r="D37" s="60">
        <v>303101</v>
      </c>
      <c r="E37" s="78">
        <v>305131</v>
      </c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</row>
    <row r="38" spans="1:18" x14ac:dyDescent="0.25">
      <c r="A38" s="60" t="str">
        <f>TableData[Table Name]&amp;"-"&amp;(COUNTIF($B$1:TableData[[#This Row],[Table Name]],TableData[[#This Row],[Table Name]])-1)</f>
        <v>Groups-0</v>
      </c>
      <c r="B38" s="64" t="s">
        <v>76</v>
      </c>
      <c r="C3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8" s="64" t="s">
        <v>23</v>
      </c>
      <c r="E38" s="64" t="s">
        <v>24</v>
      </c>
      <c r="F38" s="64" t="s">
        <v>25</v>
      </c>
      <c r="G38" s="64" t="s">
        <v>1409</v>
      </c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</row>
    <row r="39" spans="1:18" x14ac:dyDescent="0.25">
      <c r="A39" s="60" t="str">
        <f>TableData[Table Name]&amp;"-"&amp;(COUNTIF($B$1:TableData[[#This Row],[Table Name]],TableData[[#This Row],[Table Name]])-1)</f>
        <v>Groups-1</v>
      </c>
      <c r="B39" s="64" t="s">
        <v>76</v>
      </c>
      <c r="C3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301101</v>
      </c>
      <c r="D39" s="64" t="s">
        <v>1573</v>
      </c>
      <c r="E39" s="64" t="s">
        <v>1569</v>
      </c>
      <c r="F39" s="64" t="s">
        <v>1574</v>
      </c>
      <c r="G39" s="64" t="s">
        <v>1575</v>
      </c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</row>
    <row r="40" spans="1:18" x14ac:dyDescent="0.25">
      <c r="A40" s="60" t="str">
        <f>TableData[Table Name]&amp;"-"&amp;(COUNTIF($B$1:TableData[[#This Row],[Table Name]],TableData[[#This Row],[Table Name]])-1)</f>
        <v>Groups-2</v>
      </c>
      <c r="B40" s="64" t="s">
        <v>76</v>
      </c>
      <c r="C4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301102</v>
      </c>
      <c r="D40" s="64" t="s">
        <v>1576</v>
      </c>
      <c r="E40" s="64" t="s">
        <v>1423</v>
      </c>
      <c r="F40" s="64" t="s">
        <v>2083</v>
      </c>
      <c r="G40" s="64" t="s">
        <v>1577</v>
      </c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</row>
    <row r="41" spans="1:18" x14ac:dyDescent="0.25">
      <c r="A41" s="60" t="str">
        <f>TableData[Table Name]&amp;"-"&amp;(COUNTIF($B$1:TableData[[#This Row],[Table Name]],TableData[[#This Row],[Table Name]])-1)</f>
        <v>Groups-3</v>
      </c>
      <c r="B41" s="64" t="s">
        <v>76</v>
      </c>
      <c r="C4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301103</v>
      </c>
      <c r="D41" s="64" t="s">
        <v>1432</v>
      </c>
      <c r="E41" s="64" t="s">
        <v>1578</v>
      </c>
      <c r="F41" s="64" t="s">
        <v>1435</v>
      </c>
      <c r="G41" s="64" t="s">
        <v>1579</v>
      </c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</row>
    <row r="42" spans="1:18" x14ac:dyDescent="0.25">
      <c r="A42" s="60" t="str">
        <f>TableData[Table Name]&amp;"-"&amp;(COUNTIF($B$1:TableData[[#This Row],[Table Name]],TableData[[#This Row],[Table Name]])-1)</f>
        <v>Groups-4</v>
      </c>
      <c r="B42" s="64" t="s">
        <v>76</v>
      </c>
      <c r="C4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301104</v>
      </c>
      <c r="D42" s="64" t="s">
        <v>1580</v>
      </c>
      <c r="E42" s="64" t="s">
        <v>1581</v>
      </c>
      <c r="F42" s="64" t="s">
        <v>1582</v>
      </c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</row>
    <row r="43" spans="1:18" x14ac:dyDescent="0.25">
      <c r="A43" s="60" t="str">
        <f>TableData[Table Name]&amp;"-"&amp;(COUNTIF($B$1:TableData[[#This Row],[Table Name]],TableData[[#This Row],[Table Name]])-1)</f>
        <v>Group Roles-0</v>
      </c>
      <c r="B43" s="64" t="s">
        <v>93</v>
      </c>
      <c r="C4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3" s="64" t="s">
        <v>63</v>
      </c>
      <c r="E43" s="64" t="s">
        <v>65</v>
      </c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</row>
    <row r="44" spans="1:18" x14ac:dyDescent="0.25">
      <c r="A44" s="60" t="str">
        <f>TableData[Table Name]&amp;"-"&amp;(COUNTIF($B$1:TableData[[#This Row],[Table Name]],TableData[[#This Row],[Table Name]])-1)</f>
        <v>Group Roles-1</v>
      </c>
      <c r="B44" s="64" t="s">
        <v>93</v>
      </c>
      <c r="C4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304101</v>
      </c>
      <c r="D44" s="64">
        <v>301101</v>
      </c>
      <c r="E44" s="64">
        <v>303102</v>
      </c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</row>
    <row r="45" spans="1:18" x14ac:dyDescent="0.25">
      <c r="A45" s="60" t="str">
        <f>TableData[Table Name]&amp;"-"&amp;(COUNTIF($B$1:TableData[[#This Row],[Table Name]],TableData[[#This Row],[Table Name]])-1)</f>
        <v>Group Roles-2</v>
      </c>
      <c r="B45" s="64" t="s">
        <v>93</v>
      </c>
      <c r="C4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304102</v>
      </c>
      <c r="D45" s="64">
        <v>301102</v>
      </c>
      <c r="E45" s="64">
        <v>303101</v>
      </c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</row>
    <row r="46" spans="1:18" x14ac:dyDescent="0.25">
      <c r="A46" s="60" t="str">
        <f>TableData[Table Name]&amp;"-"&amp;(COUNTIF($B$1:TableData[[#This Row],[Table Name]],TableData[[#This Row],[Table Name]])-1)</f>
        <v>Group Roles-3</v>
      </c>
      <c r="B46" s="64" t="s">
        <v>93</v>
      </c>
      <c r="C4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304103</v>
      </c>
      <c r="D46" s="64">
        <v>301103</v>
      </c>
      <c r="E46" s="64">
        <v>303103</v>
      </c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</row>
    <row r="47" spans="1:18" x14ac:dyDescent="0.25">
      <c r="A47" s="30" t="str">
        <f>TableData[Table Name]&amp;"-"&amp;(COUNTIF($B$1:TableData[[#This Row],[Table Name]],TableData[[#This Row],[Table Name]])-1)</f>
        <v>Users-0</v>
      </c>
      <c r="B47" s="78" t="s">
        <v>78</v>
      </c>
      <c r="C4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7" s="78" t="s">
        <v>23</v>
      </c>
      <c r="E47" s="78" t="s">
        <v>1412</v>
      </c>
      <c r="F47" s="78" t="s">
        <v>1813</v>
      </c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</row>
    <row r="48" spans="1:18" x14ac:dyDescent="0.25">
      <c r="A48" s="30" t="str">
        <f>TableData[Table Name]&amp;"-"&amp;(COUNTIF($B$1:TableData[[#This Row],[Table Name]],TableData[[#This Row],[Table Name]])-1)</f>
        <v>Users-1</v>
      </c>
      <c r="B48" s="78" t="s">
        <v>78</v>
      </c>
      <c r="C4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300101</v>
      </c>
      <c r="D48" s="78" t="s">
        <v>1814</v>
      </c>
      <c r="E48" s="78" t="s">
        <v>1815</v>
      </c>
      <c r="F48" s="78" t="s">
        <v>1817</v>
      </c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</row>
    <row r="49" spans="1:18" x14ac:dyDescent="0.25">
      <c r="A49" s="30" t="str">
        <f>TableData[Table Name]&amp;"-"&amp;(COUNTIF($B$1:TableData[[#This Row],[Table Name]],TableData[[#This Row],[Table Name]])-1)</f>
        <v>Users-2</v>
      </c>
      <c r="B49" s="78" t="s">
        <v>78</v>
      </c>
      <c r="C4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300102</v>
      </c>
      <c r="D49" s="78" t="s">
        <v>1816</v>
      </c>
      <c r="E49" s="78" t="s">
        <v>1818</v>
      </c>
      <c r="F49" s="78" t="s">
        <v>1817</v>
      </c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</row>
    <row r="50" spans="1:18" x14ac:dyDescent="0.25">
      <c r="A50" s="30" t="str">
        <f>TableData[Table Name]&amp;"-"&amp;(COUNTIF($B$1:TableData[[#This Row],[Table Name]],TableData[[#This Row],[Table Name]])-1)</f>
        <v>Group Users-0</v>
      </c>
      <c r="B50" s="78" t="s">
        <v>1424</v>
      </c>
      <c r="C5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0" s="78" t="s">
        <v>63</v>
      </c>
      <c r="E50" s="78" t="s">
        <v>64</v>
      </c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</row>
    <row r="51" spans="1:18" x14ac:dyDescent="0.25">
      <c r="A51" s="30" t="str">
        <f>TableData[Table Name]&amp;"-"&amp;(COUNTIF($B$1:TableData[[#This Row],[Table Name]],TableData[[#This Row],[Table Name]])-1)</f>
        <v>Group Users-1</v>
      </c>
      <c r="B51" s="78" t="s">
        <v>1424</v>
      </c>
      <c r="C5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302101</v>
      </c>
      <c r="D51" s="78">
        <v>1</v>
      </c>
      <c r="E51" s="78">
        <v>300101</v>
      </c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</row>
    <row r="52" spans="1:18" x14ac:dyDescent="0.25">
      <c r="A52" s="30" t="str">
        <f>TableData[Table Name]&amp;"-"&amp;(COUNTIF($B$1:TableData[[#This Row],[Table Name]],TableData[[#This Row],[Table Name]])-1)</f>
        <v>Group Users-2</v>
      </c>
      <c r="B52" s="78" t="s">
        <v>1424</v>
      </c>
      <c r="C5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302102</v>
      </c>
      <c r="D52" s="78">
        <v>3</v>
      </c>
      <c r="E52" s="78">
        <v>300102</v>
      </c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</row>
    <row r="53" spans="1:18" x14ac:dyDescent="0.25">
      <c r="A53" s="15" t="str">
        <f>TableData[Table Name]&amp;"-"&amp;(COUNTIF($B$1:TableData[[#This Row],[Table Name]],TableData[[#This Row],[Table Name]])-1)</f>
        <v>MenuType-0</v>
      </c>
      <c r="B53" s="13" t="s">
        <v>1833</v>
      </c>
      <c r="C53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3" s="13" t="s">
        <v>23</v>
      </c>
      <c r="E53" s="13" t="s">
        <v>1824</v>
      </c>
      <c r="F53" s="13" t="s">
        <v>1855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 x14ac:dyDescent="0.25">
      <c r="A54" s="15" t="str">
        <f>TableData[Table Name]&amp;"-"&amp;(COUNTIF($B$1:TableData[[#This Row],[Table Name]],TableData[[#This Row],[Table Name]])-1)</f>
        <v>MenuType-1</v>
      </c>
      <c r="B54" s="13" t="s">
        <v>1833</v>
      </c>
      <c r="C54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54" s="13" t="s">
        <v>1839</v>
      </c>
      <c r="E54" s="13" t="s">
        <v>1839</v>
      </c>
      <c r="F54" s="13" t="s">
        <v>1847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 x14ac:dyDescent="0.25">
      <c r="A55" s="15" t="str">
        <f>TableData[Table Name]&amp;"-"&amp;(COUNTIF($B$1:TableData[[#This Row],[Table Name]],TableData[[#This Row],[Table Name]])-1)</f>
        <v>MenuType-2</v>
      </c>
      <c r="B55" s="13" t="s">
        <v>1833</v>
      </c>
      <c r="C55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55" s="13" t="s">
        <v>1840</v>
      </c>
      <c r="E55" s="13" t="s">
        <v>1840</v>
      </c>
      <c r="F55" s="13" t="s">
        <v>1848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 x14ac:dyDescent="0.25">
      <c r="A56" s="15" t="str">
        <f>TableData[Table Name]&amp;"-"&amp;(COUNTIF($B$1:TableData[[#This Row],[Table Name]],TableData[[#This Row],[Table Name]])-1)</f>
        <v>MenuType-3</v>
      </c>
      <c r="B56" s="13" t="s">
        <v>1833</v>
      </c>
      <c r="C56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56" s="13" t="s">
        <v>1841</v>
      </c>
      <c r="E56" s="13" t="s">
        <v>1841</v>
      </c>
      <c r="F56" s="13" t="s">
        <v>1849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 x14ac:dyDescent="0.25">
      <c r="A57" s="15" t="str">
        <f>TableData[Table Name]&amp;"-"&amp;(COUNTIF($B$1:TableData[[#This Row],[Table Name]],TableData[[#This Row],[Table Name]])-1)</f>
        <v>MenuType-4</v>
      </c>
      <c r="B57" s="13" t="s">
        <v>1833</v>
      </c>
      <c r="C57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57" s="13" t="s">
        <v>1842</v>
      </c>
      <c r="E57" s="13" t="s">
        <v>1842</v>
      </c>
      <c r="F57" s="13" t="s">
        <v>1850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 x14ac:dyDescent="0.25">
      <c r="A58" s="15" t="str">
        <f>TableData[Table Name]&amp;"-"&amp;(COUNTIF($B$1:TableData[[#This Row],[Table Name]],TableData[[#This Row],[Table Name]])-1)</f>
        <v>MenuType-5</v>
      </c>
      <c r="B58" s="13" t="s">
        <v>1833</v>
      </c>
      <c r="C58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58" s="13" t="s">
        <v>1838</v>
      </c>
      <c r="E58" s="13" t="s">
        <v>1838</v>
      </c>
      <c r="F58" s="13" t="s">
        <v>1851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 x14ac:dyDescent="0.25">
      <c r="A59" s="15" t="str">
        <f>TableData[Table Name]&amp;"-"&amp;(COUNTIF($B$1:TableData[[#This Row],[Table Name]],TableData[[#This Row],[Table Name]])-1)</f>
        <v>MenuType-6</v>
      </c>
      <c r="B59" s="13" t="s">
        <v>1833</v>
      </c>
      <c r="C59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59" s="13" t="s">
        <v>1843</v>
      </c>
      <c r="E59" s="13" t="s">
        <v>1843</v>
      </c>
      <c r="F59" s="13" t="s">
        <v>1875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8" x14ac:dyDescent="0.25">
      <c r="A60" s="15" t="str">
        <f>TableData[Table Name]&amp;"-"&amp;(COUNTIF($B$1:TableData[[#This Row],[Table Name]],TableData[[#This Row],[Table Name]])-1)</f>
        <v>MenuType-7</v>
      </c>
      <c r="B60" s="13" t="s">
        <v>1833</v>
      </c>
      <c r="C60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7</v>
      </c>
      <c r="D60" s="13" t="s">
        <v>1844</v>
      </c>
      <c r="E60" s="13" t="s">
        <v>1844</v>
      </c>
      <c r="F60" s="13" t="s">
        <v>1852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</row>
    <row r="61" spans="1:18" x14ac:dyDescent="0.25">
      <c r="A61" s="15" t="str">
        <f>TableData[Table Name]&amp;"-"&amp;(COUNTIF($B$1:TableData[[#This Row],[Table Name]],TableData[[#This Row],[Table Name]])-1)</f>
        <v>MenuType-8</v>
      </c>
      <c r="B61" s="13" t="s">
        <v>1833</v>
      </c>
      <c r="C61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</v>
      </c>
      <c r="D61" s="13" t="s">
        <v>1845</v>
      </c>
      <c r="E61" s="13" t="s">
        <v>1845</v>
      </c>
      <c r="F61" s="13" t="s">
        <v>1853</v>
      </c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</row>
    <row r="62" spans="1:18" x14ac:dyDescent="0.25">
      <c r="A62" s="15" t="str">
        <f>TableData[Table Name]&amp;"-"&amp;(COUNTIF($B$1:TableData[[#This Row],[Table Name]],TableData[[#This Row],[Table Name]])-1)</f>
        <v>MenuType-9</v>
      </c>
      <c r="B62" s="13" t="s">
        <v>1833</v>
      </c>
      <c r="C6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9</v>
      </c>
      <c r="D62" s="13" t="s">
        <v>1846</v>
      </c>
      <c r="E62" s="13" t="s">
        <v>1846</v>
      </c>
      <c r="F62" s="13" t="s">
        <v>1854</v>
      </c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</row>
    <row r="63" spans="1:18" x14ac:dyDescent="0.25">
      <c r="A63" s="30" t="str">
        <f>TableData[Table Name]&amp;"-"&amp;(COUNTIF($B$1:TableData[[#This Row],[Table Name]],TableData[[#This Row],[Table Name]])-1)</f>
        <v>MenuType-10</v>
      </c>
      <c r="B63" s="78" t="s">
        <v>1833</v>
      </c>
      <c r="C6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10</v>
      </c>
      <c r="D63" s="78" t="s">
        <v>1873</v>
      </c>
      <c r="E63" s="78" t="s">
        <v>1873</v>
      </c>
      <c r="F63" s="13" t="s">
        <v>1874</v>
      </c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</row>
    <row r="64" spans="1:18" x14ac:dyDescent="0.25">
      <c r="A64" s="30" t="str">
        <f>TableData[Table Name]&amp;"-"&amp;(COUNTIF($B$1:TableData[[#This Row],[Table Name]],TableData[[#This Row],[Table Name]])-1)</f>
        <v>Settings-0</v>
      </c>
      <c r="B64" s="78" t="s">
        <v>1295</v>
      </c>
      <c r="C6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4" s="13" t="s">
        <v>23</v>
      </c>
      <c r="E64" s="13" t="s">
        <v>24</v>
      </c>
      <c r="F64" s="13" t="s">
        <v>44</v>
      </c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</row>
    <row r="65" spans="1:18" x14ac:dyDescent="0.25">
      <c r="A65" s="30" t="str">
        <f>TableData[Table Name]&amp;"-"&amp;(COUNTIF($B$1:TableData[[#This Row],[Table Name]],TableData[[#This Row],[Table Name]])-1)</f>
        <v>Settings-1</v>
      </c>
      <c r="B65" s="78" t="s">
        <v>1295</v>
      </c>
      <c r="C6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65" s="78" t="s">
        <v>2069</v>
      </c>
      <c r="E65" s="78" t="s">
        <v>2070</v>
      </c>
      <c r="F65" s="78" t="s">
        <v>1440</v>
      </c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</row>
    <row r="66" spans="1:18" x14ac:dyDescent="0.25">
      <c r="A66" s="30" t="str">
        <f>TableData[Table Name]&amp;"-"&amp;(COUNTIF($B$1:TableData[[#This Row],[Table Name]],TableData[[#This Row],[Table Name]])-1)</f>
        <v>Settings-2</v>
      </c>
      <c r="B66" s="78" t="s">
        <v>1295</v>
      </c>
      <c r="C6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66" s="78" t="s">
        <v>2071</v>
      </c>
      <c r="E66" s="78" t="s">
        <v>2072</v>
      </c>
      <c r="F66" s="78" t="s">
        <v>99</v>
      </c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</row>
    <row r="67" spans="1:18" x14ac:dyDescent="0.25">
      <c r="A67" s="30" t="str">
        <f>TableData[Table Name]&amp;"-"&amp;(COUNTIF($B$1:TableData[[#This Row],[Table Name]],TableData[[#This Row],[Table Name]])-1)</f>
        <v>Settings-3</v>
      </c>
      <c r="B67" s="78" t="s">
        <v>1295</v>
      </c>
      <c r="C6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67" s="78" t="s">
        <v>2073</v>
      </c>
      <c r="E67" s="78" t="s">
        <v>2074</v>
      </c>
      <c r="F67" s="78" t="s">
        <v>99</v>
      </c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</row>
    <row r="68" spans="1:18" x14ac:dyDescent="0.25">
      <c r="A68" s="30" t="str">
        <f>TableData[Table Name]&amp;"-"&amp;(COUNTIF($B$1:TableData[[#This Row],[Table Name]],TableData[[#This Row],[Table Name]])-1)</f>
        <v>Settings-4</v>
      </c>
      <c r="B68" s="78" t="s">
        <v>1295</v>
      </c>
      <c r="C6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68" s="78" t="s">
        <v>2075</v>
      </c>
      <c r="E68" s="78" t="s">
        <v>2076</v>
      </c>
      <c r="F68" s="78" t="s">
        <v>1440</v>
      </c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</row>
    <row r="69" spans="1:18" x14ac:dyDescent="0.25">
      <c r="A69" s="30" t="str">
        <f>TableData[Table Name]&amp;"-"&amp;(COUNTIF($B$1:TableData[[#This Row],[Table Name]],TableData[[#This Row],[Table Name]])-1)</f>
        <v>Settings-5</v>
      </c>
      <c r="B69" s="78" t="s">
        <v>1295</v>
      </c>
      <c r="C6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69" s="78" t="s">
        <v>2077</v>
      </c>
      <c r="E69" s="78" t="s">
        <v>2078</v>
      </c>
      <c r="F69" s="78" t="s">
        <v>1440</v>
      </c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</row>
    <row r="70" spans="1:18" x14ac:dyDescent="0.25">
      <c r="A70" s="30" t="str">
        <f>TableData[Table Name]&amp;"-"&amp;(COUNTIF($B$1:TableData[[#This Row],[Table Name]],TableData[[#This Row],[Table Name]])-1)</f>
        <v>Settings-6</v>
      </c>
      <c r="B70" s="78" t="s">
        <v>1295</v>
      </c>
      <c r="C7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70" s="78" t="s">
        <v>2079</v>
      </c>
      <c r="E70" s="78" t="s">
        <v>2080</v>
      </c>
      <c r="F70" s="78" t="s">
        <v>99</v>
      </c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</row>
    <row r="71" spans="1:18" x14ac:dyDescent="0.25">
      <c r="A71" s="30" t="str">
        <f>TableData[Table Name]&amp;"-"&amp;(COUNTIF($B$1:TableData[[#This Row],[Table Name]],TableData[[#This Row],[Table Name]])-1)</f>
        <v>Settings-7</v>
      </c>
      <c r="B71" s="78" t="s">
        <v>1295</v>
      </c>
      <c r="C7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7</v>
      </c>
      <c r="D71" s="78" t="s">
        <v>2081</v>
      </c>
      <c r="E71" s="78" t="s">
        <v>2078</v>
      </c>
      <c r="F71" s="78" t="s">
        <v>1440</v>
      </c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</row>
    <row r="72" spans="1:18" x14ac:dyDescent="0.25">
      <c r="A72" s="30" t="str">
        <f>TableData[Table Name]&amp;"-"&amp;(COUNTIF($B$1:TableData[[#This Row],[Table Name]],TableData[[#This Row],[Table Name]])-1)</f>
        <v>Settings-8</v>
      </c>
      <c r="B72" s="78" t="s">
        <v>1295</v>
      </c>
      <c r="C7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</v>
      </c>
      <c r="D72" s="78" t="s">
        <v>2082</v>
      </c>
      <c r="E72" s="78" t="s">
        <v>2080</v>
      </c>
      <c r="F72" s="78" t="s">
        <v>99</v>
      </c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</row>
    <row r="73" spans="1:18" x14ac:dyDescent="0.25">
      <c r="A73" s="30" t="str">
        <f>TableData[Table Name]&amp;"-"&amp;(COUNTIF($B$1:TableData[[#This Row],[Table Name]],TableData[[#This Row],[Table Name]])-1)</f>
        <v>Settings-9</v>
      </c>
      <c r="B73" s="78" t="s">
        <v>1295</v>
      </c>
      <c r="C7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9</v>
      </c>
      <c r="D73" s="78" t="s">
        <v>2144</v>
      </c>
      <c r="E73" s="78" t="s">
        <v>2140</v>
      </c>
      <c r="F73" s="78">
        <v>99</v>
      </c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</row>
    <row r="74" spans="1:18" x14ac:dyDescent="0.25">
      <c r="A74" s="30" t="str">
        <f>TableData[Table Name]&amp;"-"&amp;(COUNTIF($B$1:TableData[[#This Row],[Table Name]],TableData[[#This Row],[Table Name]])-1)</f>
        <v>Settings-10</v>
      </c>
      <c r="B74" s="78" t="s">
        <v>1295</v>
      </c>
      <c r="C7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10</v>
      </c>
      <c r="D74" s="78" t="s">
        <v>2141</v>
      </c>
      <c r="E74" s="78" t="s">
        <v>2132</v>
      </c>
      <c r="F74" s="78">
        <v>440</v>
      </c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</row>
    <row r="75" spans="1:18" x14ac:dyDescent="0.25">
      <c r="A75" s="30" t="str">
        <f>TableData[Table Name]&amp;"-"&amp;(COUNTIF($B$1:TableData[[#This Row],[Table Name]],TableData[[#This Row],[Table Name]])-1)</f>
        <v>Settings-11</v>
      </c>
      <c r="B75" s="78" t="s">
        <v>1295</v>
      </c>
      <c r="C7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11</v>
      </c>
      <c r="D75" s="78" t="s">
        <v>2142</v>
      </c>
      <c r="E75" s="78" t="s">
        <v>2133</v>
      </c>
      <c r="F75" s="78">
        <v>10</v>
      </c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</row>
    <row r="76" spans="1:18" x14ac:dyDescent="0.25">
      <c r="A76" s="30" t="str">
        <f>TableData[Table Name]&amp;"-"&amp;(COUNTIF($B$1:TableData[[#This Row],[Table Name]],TableData[[#This Row],[Table Name]])-1)</f>
        <v>Settings-12</v>
      </c>
      <c r="B76" s="78" t="s">
        <v>1295</v>
      </c>
      <c r="C7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12</v>
      </c>
      <c r="D76" s="78" t="s">
        <v>2143</v>
      </c>
      <c r="E76" s="78" t="s">
        <v>2134</v>
      </c>
      <c r="F76" s="78">
        <v>10</v>
      </c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</row>
    <row r="77" spans="1:18" x14ac:dyDescent="0.25">
      <c r="A77" s="30" t="str">
        <f>TableData[Table Name]&amp;"-"&amp;(COUNTIF($B$1:TableData[[#This Row],[Table Name]],TableData[[#This Row],[Table Name]])-1)</f>
        <v>Settings-13</v>
      </c>
      <c r="B77" s="78" t="s">
        <v>1295</v>
      </c>
      <c r="C7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13</v>
      </c>
      <c r="D77" s="78" t="s">
        <v>2145</v>
      </c>
      <c r="E77" s="78" t="s">
        <v>2135</v>
      </c>
      <c r="F77" s="78">
        <v>110</v>
      </c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</row>
    <row r="78" spans="1:18" x14ac:dyDescent="0.25">
      <c r="A78" s="30" t="str">
        <f>TableData[Table Name]&amp;"-"&amp;(COUNTIF($B$1:TableData[[#This Row],[Table Name]],TableData[[#This Row],[Table Name]])-1)</f>
        <v>Settings-14</v>
      </c>
      <c r="B78" s="78" t="s">
        <v>1295</v>
      </c>
      <c r="C7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14</v>
      </c>
      <c r="D78" s="78" t="s">
        <v>2146</v>
      </c>
      <c r="E78" s="78" t="s">
        <v>2136</v>
      </c>
      <c r="F78" s="78">
        <v>70</v>
      </c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</row>
    <row r="79" spans="1:18" x14ac:dyDescent="0.25">
      <c r="A79" s="30" t="str">
        <f>TableData[Table Name]&amp;"-"&amp;(COUNTIF($B$1:TableData[[#This Row],[Table Name]],TableData[[#This Row],[Table Name]])-1)</f>
        <v>Settings-15</v>
      </c>
      <c r="B79" s="78" t="s">
        <v>1295</v>
      </c>
      <c r="C7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15</v>
      </c>
      <c r="D79" s="78" t="s">
        <v>2151</v>
      </c>
      <c r="E79" s="78" t="s">
        <v>2137</v>
      </c>
      <c r="F79" s="78">
        <v>1.35</v>
      </c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</row>
    <row r="80" spans="1:18" x14ac:dyDescent="0.25">
      <c r="A80" s="30" t="str">
        <f>TableData[Table Name]&amp;"-"&amp;(COUNTIF($B$1:TableData[[#This Row],[Table Name]],TableData[[#This Row],[Table Name]])-1)</f>
        <v>Settings-16</v>
      </c>
      <c r="B80" s="78" t="s">
        <v>1295</v>
      </c>
      <c r="C8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16</v>
      </c>
      <c r="D80" s="78" t="s">
        <v>2147</v>
      </c>
      <c r="E80" s="78" t="s">
        <v>2138</v>
      </c>
      <c r="F80" s="78">
        <v>100</v>
      </c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</row>
    <row r="81" spans="1:18" x14ac:dyDescent="0.25">
      <c r="A81" s="30" t="str">
        <f>TableData[Table Name]&amp;"-"&amp;(COUNTIF($B$1:TableData[[#This Row],[Table Name]],TableData[[#This Row],[Table Name]])-1)</f>
        <v>Settings-17</v>
      </c>
      <c r="B81" s="78" t="s">
        <v>1295</v>
      </c>
      <c r="C8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17</v>
      </c>
      <c r="D81" s="78" t="s">
        <v>2148</v>
      </c>
      <c r="E81" s="78" t="s">
        <v>2139</v>
      </c>
      <c r="F81" s="78">
        <v>5</v>
      </c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</row>
    <row r="82" spans="1:18" x14ac:dyDescent="0.25">
      <c r="A82" s="30" t="str">
        <f>TableData[Table Name]&amp;"-"&amp;(COUNTIF($B$1:TableData[[#This Row],[Table Name]],TableData[[#This Row],[Table Name]])-1)</f>
        <v>Settings-18</v>
      </c>
      <c r="B82" s="78" t="s">
        <v>1295</v>
      </c>
      <c r="C8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18</v>
      </c>
      <c r="D82" s="78" t="s">
        <v>2150</v>
      </c>
      <c r="E82" s="78" t="s">
        <v>2149</v>
      </c>
      <c r="F82" s="78">
        <v>2</v>
      </c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opLeftCell="A58" workbookViewId="0">
      <selection activeCell="H72" sqref="H72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1360</v>
      </c>
    </row>
    <row r="2" spans="1:11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 x14ac:dyDescent="0.25">
      <c r="A4" s="5" t="s">
        <v>1424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 x14ac:dyDescent="0.25">
      <c r="A20" s="4" t="s">
        <v>483</v>
      </c>
      <c r="B20" s="4" t="s">
        <v>482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1462</v>
      </c>
      <c r="G35" s="11">
        <v>1</v>
      </c>
      <c r="H35" s="6" t="s">
        <v>753</v>
      </c>
      <c r="I35" s="11">
        <v>333100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 x14ac:dyDescent="0.25">
      <c r="A39" s="2" t="s">
        <v>495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 x14ac:dyDescent="0.25">
      <c r="A44" s="5" t="s">
        <v>1275</v>
      </c>
      <c r="B44" s="5" t="s">
        <v>1071</v>
      </c>
      <c r="C44" s="5" t="str">
        <f>VLOOKUP(SeedMap[Table Name],Tables[],4,0)</f>
        <v>Milestone\SS\Model</v>
      </c>
      <c r="D44" s="5" t="str">
        <f>VLOOKUP(SeedMap[Table Name],Tables[],5,0)</f>
        <v>Setup</v>
      </c>
      <c r="E44" s="5" t="s">
        <v>161</v>
      </c>
      <c r="F44" s="5" t="s">
        <v>341</v>
      </c>
      <c r="G44" s="31">
        <v>2</v>
      </c>
      <c r="H44" s="8" t="s">
        <v>1425</v>
      </c>
      <c r="I44" s="31"/>
      <c r="J44" s="8" t="str">
        <f>IF(ISNUMBER(SeedMap[Last ID]),"\DB::statement('ALTER TABLE `" &amp;VLOOKUP(SeedMap[[#This Row],[Table Name]],Tables[[Name]:[Table]],2,0) &amp; "`  AUTO_INCREMENT=" &amp; SeedMap[Last ID]+1&amp;"');","")</f>
        <v/>
      </c>
      <c r="K4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 x14ac:dyDescent="0.25">
      <c r="A45" s="1" t="s">
        <v>1833</v>
      </c>
      <c r="B45" s="1" t="s">
        <v>1831</v>
      </c>
      <c r="C45" s="1" t="str">
        <f>VLOOKUP(SeedMap[Table Name],Tables[],4,0)</f>
        <v>Milestone\SS\Model</v>
      </c>
      <c r="D45" s="1" t="str">
        <f>VLOOKUP(SeedMap[Table Name],Tables[],5,0)</f>
        <v>MenuType</v>
      </c>
      <c r="E45" s="5" t="s">
        <v>161</v>
      </c>
      <c r="F45" s="5" t="s">
        <v>341</v>
      </c>
      <c r="G45" s="31">
        <v>2</v>
      </c>
      <c r="H45" s="8" t="s">
        <v>1425</v>
      </c>
      <c r="I45" s="11"/>
      <c r="J45" s="6" t="str">
        <f>IF(ISNUMBER(SeedMap[Last ID]),"\DB::statement('ALTER TABLE `" &amp;VLOOKUP(SeedMap[[#This Row],[Table Name]],Tables[[Name]:[Table]],2,0) &amp; "`  AUTO_INCREMENT=" &amp; SeedMap[Last ID]+1&amp;"');","")</f>
        <v/>
      </c>
      <c r="K45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 x14ac:dyDescent="0.25">
      <c r="A46" s="1" t="s">
        <v>115</v>
      </c>
      <c r="B46" s="1" t="s">
        <v>114</v>
      </c>
      <c r="C46" s="1" t="str">
        <f>VLOOKUP(SeedMap[Table Name],Tables[],4,0)</f>
        <v>Milestone\SS\Model</v>
      </c>
      <c r="D46" s="1" t="str">
        <f>VLOOKUP(SeedMap[Table Name],Tables[],5,0)</f>
        <v>Menu</v>
      </c>
      <c r="E46" s="5" t="s">
        <v>161</v>
      </c>
      <c r="F46" s="5" t="s">
        <v>341</v>
      </c>
      <c r="G46" s="31">
        <v>2</v>
      </c>
      <c r="H46" s="8" t="s">
        <v>1425</v>
      </c>
      <c r="I46" s="11"/>
      <c r="J46" s="6" t="str">
        <f>IF(ISNUMBER(SeedMap[Last ID]),"\DB::statement('ALTER TABLE `" &amp;VLOOKUP(SeedMap[[#This Row],[Table Name]],Tables[[Name]:[Table]],2,0) &amp; "`  AUTO_INCREMENT=" &amp; SeedMap[Last ID]+1&amp;"');","")</f>
        <v/>
      </c>
      <c r="K46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 x14ac:dyDescent="0.25">
      <c r="A47" s="1" t="s">
        <v>1295</v>
      </c>
      <c r="B47" s="1" t="s">
        <v>1270</v>
      </c>
      <c r="C47" s="1" t="str">
        <f>VLOOKUP(SeedMap[Table Name],Tables[],4,0)</f>
        <v>Milestone\SS\Model</v>
      </c>
      <c r="D47" s="1" t="str">
        <f>VLOOKUP(SeedMap[Table Name],Tables[],5,0)</f>
        <v>Setting</v>
      </c>
      <c r="E47" s="5" t="s">
        <v>161</v>
      </c>
      <c r="F47" s="5" t="s">
        <v>341</v>
      </c>
      <c r="G47" s="31">
        <v>2</v>
      </c>
      <c r="H47" s="8" t="s">
        <v>1425</v>
      </c>
      <c r="I47" s="11"/>
      <c r="J47" s="6" t="str">
        <f>IF(ISNUMBER(SeedMap[Last ID]),"\DB::statement('ALTER TABLE `" &amp;VLOOKUP(SeedMap[[#This Row],[Table Name]],Tables[[Name]:[Table]],2,0) &amp; "`  AUTO_INCREMENT=" &amp; SeedMap[Last ID]+1&amp;"');","")</f>
        <v/>
      </c>
      <c r="K47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 x14ac:dyDescent="0.25">
      <c r="A48" s="5" t="s">
        <v>1278</v>
      </c>
      <c r="B48" s="5" t="s">
        <v>890</v>
      </c>
      <c r="C48" s="5" t="str">
        <f>VLOOKUP(SeedMap[Table Name],Tables[],4,0)</f>
        <v>Milestone\SS\Model</v>
      </c>
      <c r="D48" s="5" t="str">
        <f>VLOOKUP(SeedMap[Table Name],Tables[],5,0)</f>
        <v>Fiscalyearmaster</v>
      </c>
      <c r="E48" s="5" t="s">
        <v>161</v>
      </c>
      <c r="F48" s="5" t="s">
        <v>341</v>
      </c>
      <c r="G48" s="31">
        <v>2</v>
      </c>
      <c r="H48" s="8" t="s">
        <v>1425</v>
      </c>
      <c r="I48" s="31"/>
      <c r="J48" s="8" t="str">
        <f>IF(ISNUMBER(SeedMap[Last ID]),"\DB::statement('ALTER TABLE `" &amp;VLOOKUP(SeedMap[[#This Row],[Table Name]],Tables[[Name]:[Table]],2,0) &amp; "`  AUTO_INCREMENT=" &amp; SeedMap[Last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 x14ac:dyDescent="0.25">
      <c r="A49" s="5" t="s">
        <v>1692</v>
      </c>
      <c r="B49" s="5" t="s">
        <v>1677</v>
      </c>
      <c r="C49" s="5" t="str">
        <f>VLOOKUP(SeedMap[Table Name],Tables[],4,0)</f>
        <v>Milestone\SS\Model</v>
      </c>
      <c r="D49" s="5" t="str">
        <f>VLOOKUP(SeedMap[Table Name],Tables[],5,0)</f>
        <v>ProductGroupMaster</v>
      </c>
      <c r="E49" s="5" t="s">
        <v>161</v>
      </c>
      <c r="F49" s="5" t="s">
        <v>341</v>
      </c>
      <c r="G49" s="31">
        <v>2</v>
      </c>
      <c r="H49" s="8" t="s">
        <v>1425</v>
      </c>
      <c r="I49" s="31"/>
      <c r="J49" s="8" t="str">
        <f>IF(ISNUMBER(SeedMap[Last ID]),"\DB::statement('ALTER TABLE `" &amp;VLOOKUP(SeedMap[[#This Row],[Table Name]],Tables[[Name]:[Table]],2,0) &amp; "`  AUTO_INCREMENT=" &amp; SeedMap[Last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 x14ac:dyDescent="0.25">
      <c r="A50" s="5" t="s">
        <v>1280</v>
      </c>
      <c r="B50" s="5" t="s">
        <v>760</v>
      </c>
      <c r="C50" s="5" t="str">
        <f>VLOOKUP(SeedMap[Table Name],Tables[],4,0)</f>
        <v>Milestone\SS\Model</v>
      </c>
      <c r="D50" s="5" t="str">
        <f>VLOOKUP(SeedMap[Table Name],Tables[],5,0)</f>
        <v>Product</v>
      </c>
      <c r="E50" s="5" t="s">
        <v>161</v>
      </c>
      <c r="F50" s="5" t="s">
        <v>341</v>
      </c>
      <c r="G50" s="31">
        <v>2</v>
      </c>
      <c r="H50" s="8" t="s">
        <v>1425</v>
      </c>
      <c r="I50" s="31"/>
      <c r="J50" s="8" t="str">
        <f>IF(ISNUMBER(SeedMap[Last ID]),"\DB::statement('ALTER TABLE `" &amp;VLOOKUP(SeedMap[[#This Row],[Table Name]],Tables[[Name]:[Table]],2,0) &amp; "`  AUTO_INCREMENT=" &amp; SeedMap[Last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 x14ac:dyDescent="0.25">
      <c r="A51" s="5" t="s">
        <v>1693</v>
      </c>
      <c r="B51" s="5" t="s">
        <v>1691</v>
      </c>
      <c r="C51" s="5" t="str">
        <f>VLOOKUP(SeedMap[Table Name],Tables[],4,0)</f>
        <v>Milestone\SS\Model</v>
      </c>
      <c r="D51" s="5" t="str">
        <f>VLOOKUP(SeedMap[Table Name],Tables[],5,0)</f>
        <v>ProductGroup</v>
      </c>
      <c r="E51" s="5" t="s">
        <v>161</v>
      </c>
      <c r="F51" s="5" t="s">
        <v>341</v>
      </c>
      <c r="G51" s="31">
        <v>2</v>
      </c>
      <c r="H51" s="8" t="s">
        <v>1425</v>
      </c>
      <c r="I51" s="31"/>
      <c r="J51" s="8" t="str">
        <f>IF(ISNUMBER(SeedMap[Last ID]),"\DB::statement('ALTER TABLE `" &amp;VLOOKUP(SeedMap[[#This Row],[Table Name]],Tables[[Name]:[Table]],2,0) &amp; "`  AUTO_INCREMENT=" &amp; SeedMap[Last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 x14ac:dyDescent="0.25">
      <c r="A52" s="5" t="s">
        <v>1708</v>
      </c>
      <c r="B52" s="5" t="s">
        <v>1698</v>
      </c>
      <c r="C52" s="5" t="str">
        <f>VLOOKUP(SeedMap[Table Name],Tables[],4,0)</f>
        <v>Milestone\SS\Model</v>
      </c>
      <c r="D52" s="5" t="str">
        <f>VLOOKUP(SeedMap[Table Name],Tables[],5,0)</f>
        <v>ProductImage</v>
      </c>
      <c r="E52" s="5" t="s">
        <v>161</v>
      </c>
      <c r="F52" s="5" t="s">
        <v>341</v>
      </c>
      <c r="G52" s="31">
        <v>2</v>
      </c>
      <c r="H52" s="8" t="s">
        <v>1425</v>
      </c>
      <c r="I52" s="31"/>
      <c r="J52" s="8" t="str">
        <f>IF(ISNUMBER(SeedMap[Last ID]),"\DB::statement('ALTER TABLE `" &amp;VLOOKUP(SeedMap[[#This Row],[Table Name]],Tables[[Name]:[Table]],2,0) &amp; "`  AUTO_INCREMENT=" &amp; SeedMap[Last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 x14ac:dyDescent="0.25">
      <c r="A53" s="5" t="s">
        <v>1281</v>
      </c>
      <c r="B53" s="5" t="s">
        <v>762</v>
      </c>
      <c r="C53" s="5" t="str">
        <f>VLOOKUP(SeedMap[Table Name],Tables[],4,0)</f>
        <v>Milestone\SS\Model</v>
      </c>
      <c r="D53" s="5" t="str">
        <f>VLOOKUP(SeedMap[Table Name],Tables[],5,0)</f>
        <v>Pricelist</v>
      </c>
      <c r="E53" s="5" t="s">
        <v>161</v>
      </c>
      <c r="F53" s="5" t="s">
        <v>341</v>
      </c>
      <c r="G53" s="31">
        <v>2</v>
      </c>
      <c r="H53" s="8" t="s">
        <v>1425</v>
      </c>
      <c r="I53" s="31"/>
      <c r="J53" s="8" t="str">
        <f>IF(ISNUMBER(SeedMap[Last ID]),"\DB::statement('ALTER TABLE `" &amp;VLOOKUP(SeedMap[[#This Row],[Table Name]],Tables[[Name]:[Table]],2,0) &amp; "`  AUTO_INCREMENT=" &amp; SeedMap[Last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 x14ac:dyDescent="0.25">
      <c r="A54" s="5" t="s">
        <v>1282</v>
      </c>
      <c r="B54" s="5" t="s">
        <v>763</v>
      </c>
      <c r="C54" s="5" t="str">
        <f>VLOOKUP(SeedMap[Table Name],Tables[],4,0)</f>
        <v>Milestone\SS\Model</v>
      </c>
      <c r="D54" s="5" t="str">
        <f>VLOOKUP(SeedMap[Table Name],Tables[],5,0)</f>
        <v>PricelistProduct</v>
      </c>
      <c r="E54" s="5" t="s">
        <v>161</v>
      </c>
      <c r="F54" s="5" t="s">
        <v>341</v>
      </c>
      <c r="G54" s="31">
        <v>2</v>
      </c>
      <c r="H54" s="8" t="s">
        <v>1425</v>
      </c>
      <c r="I54" s="31"/>
      <c r="J54" s="8" t="str">
        <f>IF(ISNUMBER(SeedMap[Last ID]),"\DB::statement('ALTER TABLE `" &amp;VLOOKUP(SeedMap[[#This Row],[Table Name]],Tables[[Name]:[Table]],2,0) &amp; "`  AUTO_INCREMENT=" &amp; SeedMap[Last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 x14ac:dyDescent="0.25">
      <c r="A55" s="5" t="s">
        <v>1279</v>
      </c>
      <c r="B55" s="5" t="s">
        <v>850</v>
      </c>
      <c r="C55" s="5" t="str">
        <f>VLOOKUP(SeedMap[Table Name],Tables[],4,0)</f>
        <v>Milestone\SS\Model</v>
      </c>
      <c r="D55" s="5" t="str">
        <f>VLOOKUP(SeedMap[Table Name],Tables[],5,0)</f>
        <v>Functiondetail</v>
      </c>
      <c r="E55" s="5" t="s">
        <v>161</v>
      </c>
      <c r="F55" s="5" t="s">
        <v>341</v>
      </c>
      <c r="G55" s="31">
        <v>2</v>
      </c>
      <c r="H55" s="8" t="s">
        <v>1425</v>
      </c>
      <c r="I55" s="31"/>
      <c r="J55" s="8" t="str">
        <f>IF(ISNUMBER(SeedMap[Last ID]),"\DB::statement('ALTER TABLE `" &amp;VLOOKUP(SeedMap[[#This Row],[Table Name]],Tables[[Name]:[Table]],2,0) &amp; "`  AUTO_INCREMENT=" &amp; SeedMap[Last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 x14ac:dyDescent="0.25">
      <c r="A56" s="5" t="s">
        <v>1283</v>
      </c>
      <c r="B56" s="5" t="s">
        <v>757</v>
      </c>
      <c r="C56" s="5" t="str">
        <f>VLOOKUP(SeedMap[Table Name],Tables[],4,0)</f>
        <v>Milestone\SS\Model</v>
      </c>
      <c r="D56" s="5" t="str">
        <f>VLOOKUP(SeedMap[Table Name],Tables[],5,0)</f>
        <v>Store</v>
      </c>
      <c r="E56" s="5" t="s">
        <v>161</v>
      </c>
      <c r="F56" s="5" t="s">
        <v>341</v>
      </c>
      <c r="G56" s="31">
        <v>2</v>
      </c>
      <c r="H56" s="8" t="s">
        <v>1425</v>
      </c>
      <c r="I56" s="31"/>
      <c r="J56" s="8" t="str">
        <f>IF(ISNUMBER(SeedMap[Last ID]),"\DB::statement('ALTER TABLE `" &amp;VLOOKUP(SeedMap[[#This Row],[Table Name]],Tables[[Name]:[Table]],2,0) &amp; "`  AUTO_INCREMENT=" &amp; SeedMap[Last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 x14ac:dyDescent="0.25">
      <c r="A57" s="5" t="s">
        <v>1284</v>
      </c>
      <c r="B57" s="5" t="s">
        <v>758</v>
      </c>
      <c r="C57" s="5" t="str">
        <f>VLOOKUP(SeedMap[Table Name],Tables[],4,0)</f>
        <v>Milestone\SS\Model</v>
      </c>
      <c r="D57" s="5" t="str">
        <f>VLOOKUP(SeedMap[Table Name],Tables[],5,0)</f>
        <v>Area</v>
      </c>
      <c r="E57" s="5" t="s">
        <v>161</v>
      </c>
      <c r="F57" s="5" t="s">
        <v>341</v>
      </c>
      <c r="G57" s="31">
        <v>2</v>
      </c>
      <c r="H57" s="8" t="s">
        <v>1425</v>
      </c>
      <c r="I57" s="31"/>
      <c r="J57" s="8" t="str">
        <f>IF(ISNUMBER(SeedMap[Last ID]),"\DB::statement('ALTER TABLE `" &amp;VLOOKUP(SeedMap[[#This Row],[Table Name]],Tables[[Name]:[Table]],2,0) &amp; "`  AUTO_INCREMENT=" &amp; SeedMap[Last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 x14ac:dyDescent="0.25">
      <c r="A58" s="5" t="s">
        <v>1285</v>
      </c>
      <c r="B58" s="5" t="s">
        <v>755</v>
      </c>
      <c r="C58" s="5" t="str">
        <f>VLOOKUP(SeedMap[Table Name],Tables[],4,0)</f>
        <v>Milestone\SS\Model</v>
      </c>
      <c r="D58" s="5" t="str">
        <f>VLOOKUP(SeedMap[Table Name],Tables[],5,0)</f>
        <v>AreaUser</v>
      </c>
      <c r="E58" s="5" t="s">
        <v>161</v>
      </c>
      <c r="F58" s="5" t="s">
        <v>341</v>
      </c>
      <c r="G58" s="31">
        <v>2</v>
      </c>
      <c r="H58" s="8" t="s">
        <v>1425</v>
      </c>
      <c r="I58" s="31"/>
      <c r="J58" s="8" t="str">
        <f>IF(ISNUMBER(SeedMap[Last ID]),"\DB::statement('ALTER TABLE `" &amp;VLOOKUP(SeedMap[[#This Row],[Table Name]],Tables[[Name]:[Table]],2,0) &amp; "`  AUTO_INCREMENT=" &amp; SeedMap[Last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 x14ac:dyDescent="0.25">
      <c r="A59" s="5" t="s">
        <v>1286</v>
      </c>
      <c r="B59" s="5" t="s">
        <v>1271</v>
      </c>
      <c r="C59" s="5" t="str">
        <f>VLOOKUP(SeedMap[Table Name],Tables[],4,0)</f>
        <v>Milestone\SS\Model</v>
      </c>
      <c r="D59" s="5" t="str">
        <f>VLOOKUP(SeedMap[Table Name],Tables[],5,0)</f>
        <v>UserSetting</v>
      </c>
      <c r="E59" s="5" t="s">
        <v>161</v>
      </c>
      <c r="F59" s="5" t="s">
        <v>341</v>
      </c>
      <c r="G59" s="31">
        <v>2</v>
      </c>
      <c r="H59" s="8" t="s">
        <v>1425</v>
      </c>
      <c r="I59" s="31"/>
      <c r="J59" s="8" t="str">
        <f>IF(ISNUMBER(SeedMap[Last ID]),"\DB::statement('ALTER TABLE `" &amp;VLOOKUP(SeedMap[[#This Row],[Table Name]],Tables[[Name]:[Table]],2,0) &amp; "`  AUTO_INCREMENT=" &amp; SeedMap[Last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 x14ac:dyDescent="0.25">
      <c r="A60" s="5" t="s">
        <v>1287</v>
      </c>
      <c r="B60" s="5" t="s">
        <v>759</v>
      </c>
      <c r="C60" s="5" t="str">
        <f>VLOOKUP(SeedMap[Table Name],Tables[],4,0)</f>
        <v>Milestone\SS\Model</v>
      </c>
      <c r="D60" s="5" t="str">
        <f>VLOOKUP(SeedMap[Table Name],Tables[],5,0)</f>
        <v>UserStoreArea</v>
      </c>
      <c r="E60" s="5" t="s">
        <v>161</v>
      </c>
      <c r="F60" s="5" t="s">
        <v>341</v>
      </c>
      <c r="G60" s="31">
        <v>2</v>
      </c>
      <c r="H60" s="8" t="s">
        <v>1425</v>
      </c>
      <c r="I60" s="31"/>
      <c r="J60" s="8" t="str">
        <f>IF(ISNUMBER(SeedMap[Last ID]),"\DB::statement('ALTER TABLE `" &amp;VLOOKUP(SeedMap[[#This Row],[Table Name]],Tables[[Name]:[Table]],2,0) &amp; "`  AUTO_INCREMENT=" &amp; SeedMap[Last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 x14ac:dyDescent="0.25">
      <c r="A61" s="5" t="s">
        <v>1291</v>
      </c>
      <c r="B61" s="5" t="s">
        <v>947</v>
      </c>
      <c r="C61" s="5" t="str">
        <f>VLOOKUP(SeedMap[Table Name],Tables[],4,0)</f>
        <v>Milestone\SS\Model</v>
      </c>
      <c r="D61" s="5" t="str">
        <f>VLOOKUP(SeedMap[Table Name],Tables[],5,0)</f>
        <v>SalesOrder</v>
      </c>
      <c r="E61" s="5" t="s">
        <v>161</v>
      </c>
      <c r="F61" s="5" t="s">
        <v>341</v>
      </c>
      <c r="G61" s="31">
        <v>2</v>
      </c>
      <c r="H61" s="8" t="s">
        <v>1425</v>
      </c>
      <c r="I61" s="31"/>
      <c r="J61" s="8" t="str">
        <f>IF(ISNUMBER(SeedMap[Last ID]),"\DB::statement('ALTER TABLE `" &amp;VLOOKUP(SeedMap[[#This Row],[Table Name]],Tables[[Name]:[Table]],2,0) &amp; "`  AUTO_INCREMENT=" &amp; SeedMap[Last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 x14ac:dyDescent="0.25">
      <c r="A62" s="5" t="s">
        <v>1292</v>
      </c>
      <c r="B62" s="5" t="s">
        <v>948</v>
      </c>
      <c r="C62" s="5" t="str">
        <f>VLOOKUP(SeedMap[Table Name],Tables[],4,0)</f>
        <v>Milestone\SS\Model</v>
      </c>
      <c r="D62" s="5" t="str">
        <f>VLOOKUP(SeedMap[Table Name],Tables[],5,0)</f>
        <v>SalesOrderItem</v>
      </c>
      <c r="E62" s="5" t="s">
        <v>161</v>
      </c>
      <c r="F62" s="5" t="s">
        <v>341</v>
      </c>
      <c r="G62" s="31">
        <v>2</v>
      </c>
      <c r="H62" s="8" t="s">
        <v>1425</v>
      </c>
      <c r="I62" s="31"/>
      <c r="J62" s="8" t="str">
        <f>IF(ISNUMBER(SeedMap[Last ID]),"\DB::statement('ALTER TABLE `" &amp;VLOOKUP(SeedMap[[#This Row],[Table Name]],Tables[[Name]:[Table]],2,0) &amp; "`  AUTO_INCREMENT=" &amp; SeedMap[Last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 x14ac:dyDescent="0.25">
      <c r="A63" s="5" t="s">
        <v>1288</v>
      </c>
      <c r="B63" s="5" t="s">
        <v>896</v>
      </c>
      <c r="C63" s="5" t="str">
        <f>VLOOKUP(SeedMap[Table Name],Tables[],4,0)</f>
        <v>Milestone\SS\Model</v>
      </c>
      <c r="D63" s="5" t="str">
        <f>VLOOKUP(SeedMap[Table Name],Tables[],5,0)</f>
        <v>Transaction</v>
      </c>
      <c r="E63" s="5" t="s">
        <v>161</v>
      </c>
      <c r="F63" s="5" t="s">
        <v>341</v>
      </c>
      <c r="G63" s="31">
        <v>2</v>
      </c>
      <c r="H63" s="8" t="s">
        <v>1425</v>
      </c>
      <c r="I63" s="31"/>
      <c r="J63" s="8" t="str">
        <f>IF(ISNUMBER(SeedMap[Last ID]),"\DB::statement('ALTER TABLE `" &amp;VLOOKUP(SeedMap[[#This Row],[Table Name]],Tables[[Name]:[Table]],2,0) &amp; "`  AUTO_INCREMENT=" &amp; SeedMap[Last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 x14ac:dyDescent="0.25">
      <c r="A64" s="5" t="s">
        <v>1289</v>
      </c>
      <c r="B64" s="5" t="s">
        <v>897</v>
      </c>
      <c r="C64" s="5" t="str">
        <f>VLOOKUP(SeedMap[Table Name],Tables[],4,0)</f>
        <v>Milestone\SS\Model</v>
      </c>
      <c r="D64" s="5" t="str">
        <f>VLOOKUP(SeedMap[Table Name],Tables[],5,0)</f>
        <v>TransactionDetail</v>
      </c>
      <c r="E64" s="5" t="s">
        <v>161</v>
      </c>
      <c r="F64" s="5" t="s">
        <v>341</v>
      </c>
      <c r="G64" s="31">
        <v>2</v>
      </c>
      <c r="H64" s="8" t="s">
        <v>1425</v>
      </c>
      <c r="I64" s="31"/>
      <c r="J64" s="8" t="str">
        <f>IF(ISNUMBER(SeedMap[Last ID]),"\DB::statement('ALTER TABLE `" &amp;VLOOKUP(SeedMap[[#This Row],[Table Name]],Tables[[Name]:[Table]],2,0) &amp; "`  AUTO_INCREMENT=" &amp; SeedMap[Last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 x14ac:dyDescent="0.25">
      <c r="A65" s="5" t="s">
        <v>1290</v>
      </c>
      <c r="B65" s="5" t="s">
        <v>1052</v>
      </c>
      <c r="C65" s="5" t="str">
        <f>VLOOKUP(SeedMap[Table Name],Tables[],4,0)</f>
        <v>Milestone\SS\Model</v>
      </c>
      <c r="D65" s="5" t="str">
        <f>VLOOKUP(SeedMap[Table Name],Tables[],5,0)</f>
        <v>DData</v>
      </c>
      <c r="E65" s="5" t="s">
        <v>161</v>
      </c>
      <c r="F65" s="5" t="s">
        <v>341</v>
      </c>
      <c r="G65" s="31">
        <v>2</v>
      </c>
      <c r="H65" s="8" t="s">
        <v>1425</v>
      </c>
      <c r="I65" s="31"/>
      <c r="J65" s="8" t="str">
        <f>IF(ISNUMBER(SeedMap[Last ID]),"\DB::statement('ALTER TABLE `" &amp;VLOOKUP(SeedMap[[#This Row],[Table Name]],Tables[[Name]:[Table]],2,0) &amp; "`  AUTO_INCREMENT=" &amp; SeedMap[Last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 x14ac:dyDescent="0.25">
      <c r="A66" s="4" t="s">
        <v>1293</v>
      </c>
      <c r="B66" s="4" t="s">
        <v>904</v>
      </c>
      <c r="C66" s="4" t="str">
        <f>VLOOKUP(SeedMap[Table Name],Tables[],4,0)</f>
        <v>Milestone\SS\Model</v>
      </c>
      <c r="D66" s="4" t="str">
        <f>VLOOKUP(SeedMap[Table Name],Tables[],5,0)</f>
        <v>StockTransfer</v>
      </c>
      <c r="E66" s="4" t="s">
        <v>161</v>
      </c>
      <c r="F66" s="4" t="s">
        <v>341</v>
      </c>
      <c r="G66" s="90">
        <v>2</v>
      </c>
      <c r="H66" s="7" t="s">
        <v>1425</v>
      </c>
      <c r="I66" s="90"/>
      <c r="J66" s="7" t="str">
        <f>IF(ISNUMBER(SeedMap[Last ID]),"\DB::statement('ALTER TABLE `" &amp;VLOOKUP(SeedMap[[#This Row],[Table Name]],Tables[[Name]:[Table]],2,0) &amp; "`  AUTO_INCREMENT=" &amp; SeedMap[Last ID]+1&amp;"');","")</f>
        <v/>
      </c>
      <c r="K6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 x14ac:dyDescent="0.25">
      <c r="A67" s="4" t="s">
        <v>1619</v>
      </c>
      <c r="B67" s="4" t="s">
        <v>1610</v>
      </c>
      <c r="C67" s="4" t="str">
        <f>VLOOKUP(SeedMap[Table Name],Tables[],4,0)</f>
        <v>Milestone\SS\Model</v>
      </c>
      <c r="D67" s="4" t="str">
        <f>VLOOKUP(SeedMap[Table Name],Tables[],5,0)</f>
        <v>Receipt</v>
      </c>
      <c r="E67" s="4" t="s">
        <v>161</v>
      </c>
      <c r="F67" s="4" t="s">
        <v>341</v>
      </c>
      <c r="G67" s="90">
        <v>2</v>
      </c>
      <c r="H67" s="7" t="s">
        <v>1425</v>
      </c>
      <c r="I67" s="90"/>
      <c r="J67" s="7" t="str">
        <f>IF(ISNUMBER(SeedMap[Last ID]),"\DB::statement('ALTER TABLE `" &amp;VLOOKUP(SeedMap[[#This Row],[Table Name]],Tables[[Name]:[Table]],2,0) &amp; "`  AUTO_INCREMENT=" &amp; SeedMap[Last ID]+1&amp;"');","")</f>
        <v/>
      </c>
      <c r="K67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 x14ac:dyDescent="0.25">
      <c r="A68" s="1" t="s">
        <v>1834</v>
      </c>
      <c r="B68" s="4" t="s">
        <v>1620</v>
      </c>
      <c r="C68" s="1" t="str">
        <f>VLOOKUP(SeedMap[Table Name],Tables[],4,0)</f>
        <v>Milestone\SS\Model</v>
      </c>
      <c r="D68" s="1" t="str">
        <f>VLOOKUP(SeedMap[Table Name],Tables[],5,0)</f>
        <v>FnReserve</v>
      </c>
      <c r="E68" s="4" t="s">
        <v>161</v>
      </c>
      <c r="F68" s="4" t="s">
        <v>341</v>
      </c>
      <c r="G68" s="90">
        <v>2</v>
      </c>
      <c r="H68" s="7" t="s">
        <v>1425</v>
      </c>
      <c r="I68" s="11"/>
      <c r="J68" s="6" t="str">
        <f>IF(ISNUMBER(SeedMap[Last ID]),"\DB::statement('ALTER TABLE `" &amp;VLOOKUP(SeedMap[[#This Row],[Table Name]],Tables[[Name]:[Table]],2,0) &amp; "`  AUTO_INCREMENT=" &amp; SeedMap[Last ID]+1&amp;"');","")</f>
        <v/>
      </c>
      <c r="K68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9" spans="1:11" x14ac:dyDescent="0.25">
      <c r="A69" s="1" t="s">
        <v>1955</v>
      </c>
      <c r="B69" s="2" t="s">
        <v>1940</v>
      </c>
      <c r="C69" s="1" t="str">
        <f>VLOOKUP(SeedMap[Table Name],Tables[],4,0)</f>
        <v>Milestone\SS\Model</v>
      </c>
      <c r="D69" s="1" t="str">
        <f>VLOOKUP(SeedMap[Table Name],Tables[],5,0)</f>
        <v>UserExecutive</v>
      </c>
      <c r="E69" s="4" t="s">
        <v>161</v>
      </c>
      <c r="F69" s="4" t="s">
        <v>341</v>
      </c>
      <c r="G69" s="90">
        <v>2</v>
      </c>
      <c r="H69" s="7" t="s">
        <v>1425</v>
      </c>
      <c r="I69" s="11"/>
      <c r="J69" s="6" t="str">
        <f>IF(ISNUMBER(SeedMap[Last ID]),"\DB::statement('ALTER TABLE `" &amp;VLOOKUP(SeedMap[[#This Row],[Table Name]],Tables[[Name]:[Table]],2,0) &amp; "`  AUTO_INCREMENT=" &amp; SeedMap[Last ID]+1&amp;"');","")</f>
        <v/>
      </c>
      <c r="K69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0" spans="1:11" x14ac:dyDescent="0.25">
      <c r="A70" s="5" t="s">
        <v>2001</v>
      </c>
      <c r="B70" s="2" t="s">
        <v>2000</v>
      </c>
      <c r="C70" s="5" t="str">
        <f>VLOOKUP(SeedMap[Table Name],Tables[],4,0)</f>
        <v>Milestone\SS\Model</v>
      </c>
      <c r="D70" s="5" t="str">
        <f>VLOOKUP(SeedMap[Table Name],Tables[],5,0)</f>
        <v>Printing</v>
      </c>
      <c r="E70" s="4" t="s">
        <v>161</v>
      </c>
      <c r="F70" s="4" t="s">
        <v>341</v>
      </c>
      <c r="G70" s="90">
        <v>2</v>
      </c>
      <c r="H70" s="7" t="s">
        <v>1425</v>
      </c>
      <c r="I70" s="31"/>
      <c r="J70" s="8" t="str">
        <f>IF(ISNUMBER(SeedMap[Last ID]),"\DB::statement('ALTER TABLE `" &amp;VLOOKUP(SeedMap[[#This Row],[Table Name]],Tables[[Name]:[Table]],2,0) &amp; "`  AUTO_INCREMENT=" &amp; SeedMap[Last ID]+1&amp;"');","")</f>
        <v/>
      </c>
      <c r="K7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1" spans="1:11" x14ac:dyDescent="0.25">
      <c r="A71" s="5" t="s">
        <v>2117</v>
      </c>
      <c r="B71" s="5" t="s">
        <v>2084</v>
      </c>
      <c r="C71" s="5" t="str">
        <f>VLOOKUP(SeedMap[Table Name],Tables[],4,0)</f>
        <v>Milestone\SS\Model</v>
      </c>
      <c r="D71" s="5" t="str">
        <f>VLOOKUP(SeedMap[Table Name],Tables[],5,0)</f>
        <v>Shift</v>
      </c>
      <c r="E71" s="4" t="s">
        <v>161</v>
      </c>
      <c r="F71" s="4" t="s">
        <v>341</v>
      </c>
      <c r="G71" s="90">
        <v>2</v>
      </c>
      <c r="H71" s="7" t="s">
        <v>1425</v>
      </c>
      <c r="I71" s="31"/>
      <c r="J71" s="8" t="str">
        <f>IF(ISNUMBER(SeedMap[Last ID]),"\DB::statement('ALTER TABLE `" &amp;VLOOKUP(SeedMap[[#This Row],[Table Name]],Tables[[Name]:[Table]],2,0) &amp; "`  AUTO_INCREMENT=" &amp; SeedMap[Last ID]+1&amp;"');","")</f>
        <v/>
      </c>
      <c r="K7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2" spans="1:11" x14ac:dyDescent="0.25">
      <c r="A72" s="5" t="s">
        <v>2120</v>
      </c>
      <c r="B72" s="5" t="s">
        <v>2100</v>
      </c>
      <c r="C72" s="5" t="str">
        <f>VLOOKUP(SeedMap[Table Name],Tables[],4,0)</f>
        <v>Milestone\SS\Model</v>
      </c>
      <c r="D72" s="5" t="str">
        <f>VLOOKUP(SeedMap[Table Name],Tables[],5,0)</f>
        <v>ShiftTransaction</v>
      </c>
      <c r="E72" s="4" t="s">
        <v>161</v>
      </c>
      <c r="F72" s="4" t="s">
        <v>341</v>
      </c>
      <c r="G72" s="90">
        <v>2</v>
      </c>
      <c r="H72" s="7" t="s">
        <v>1425</v>
      </c>
      <c r="I72" s="31"/>
      <c r="J72" s="8" t="str">
        <f>IF(ISNUMBER(SeedMap[Last ID]),"\DB::statement('ALTER TABLE `" &amp;VLOOKUP(SeedMap[[#This Row],[Table Name]],Tables[[Name]:[Table]],2,0) &amp; "`  AUTO_INCREMENT=" &amp; SeedMap[Last ID]+1&amp;"');","")</f>
        <v/>
      </c>
      <c r="K7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72">
      <formula1>TableNames</formula1>
    </dataValidation>
    <dataValidation type="list" allowBlank="1" showInputMessage="1" showErrorMessage="1" sqref="H2:H72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topLeftCell="A24" zoomScaleNormal="100" workbookViewId="0">
      <selection activeCell="B6" sqref="B6:R29"/>
    </sheetView>
  </sheetViews>
  <sheetFormatPr defaultRowHeight="15" x14ac:dyDescent="0.25"/>
  <cols>
    <col min="1" max="16384" width="9.140625" style="20"/>
  </cols>
  <sheetData>
    <row r="1" spans="1:20" s="28" customFormat="1" ht="15" customHeight="1" x14ac:dyDescent="0.25">
      <c r="A1" s="126" t="s">
        <v>1295</v>
      </c>
      <c r="B1" s="126"/>
      <c r="C1" s="126"/>
      <c r="D1" s="126"/>
      <c r="E1" s="127" t="str">
        <f>"\"&amp;VLOOKUP($A$1,SeedMap[],3,0)&amp;"\"&amp;VLOOKUP($A$1,SeedMap[],4,0)&amp;"::"&amp;VLOOKUP($A$1,SeedMap[],8,0)&amp;"()"</f>
        <v>\Milestone\SS\Model\Setting::truncate()</v>
      </c>
      <c r="F1" s="127"/>
      <c r="G1" s="127"/>
      <c r="H1" s="127"/>
      <c r="I1" s="128" t="s">
        <v>73</v>
      </c>
      <c r="J1" s="128"/>
      <c r="K1" s="128"/>
      <c r="L1" s="128"/>
      <c r="M1" s="128"/>
      <c r="N1" s="128"/>
      <c r="O1" s="128"/>
      <c r="P1" s="128"/>
      <c r="Q1" s="128"/>
      <c r="R1" s="128"/>
      <c r="S1" s="23" t="str">
        <f>""</f>
        <v/>
      </c>
      <c r="T1" s="10"/>
    </row>
    <row r="2" spans="1:20" s="28" customFormat="1" ht="15" customHeight="1" x14ac:dyDescent="0.25">
      <c r="A2" s="126"/>
      <c r="B2" s="126"/>
      <c r="C2" s="126"/>
      <c r="D2" s="126"/>
      <c r="E2" s="127" t="str">
        <f>VLOOKUP($A$1,SeedMap[],5,0)</f>
        <v>TableData</v>
      </c>
      <c r="F2" s="127"/>
      <c r="G2" s="127"/>
      <c r="H2" s="127"/>
      <c r="I2" s="128" t="s">
        <v>72</v>
      </c>
      <c r="J2" s="128"/>
      <c r="K2" s="128"/>
      <c r="L2" s="128"/>
      <c r="M2" s="128"/>
      <c r="N2" s="128"/>
      <c r="O2" s="128"/>
      <c r="P2" s="128"/>
      <c r="Q2" s="128"/>
      <c r="R2" s="128"/>
      <c r="S2" s="23" t="str">
        <f>";"</f>
        <v>;</v>
      </c>
      <c r="T2" s="10"/>
    </row>
    <row r="3" spans="1:20" s="28" customFormat="1" ht="15" customHeight="1" x14ac:dyDescent="0.25">
      <c r="A3" s="126"/>
      <c r="B3" s="126"/>
      <c r="C3" s="126"/>
      <c r="D3" s="126"/>
      <c r="E3" s="127" t="str">
        <f>VLOOKUP($A$1,SeedMap[],6,0)</f>
        <v>[[TRCode]:[15]]</v>
      </c>
      <c r="F3" s="127"/>
      <c r="G3" s="127"/>
      <c r="H3" s="127"/>
      <c r="I3" s="128" t="s">
        <v>158</v>
      </c>
      <c r="J3" s="128"/>
      <c r="K3" s="128"/>
      <c r="L3" s="128"/>
      <c r="M3" s="128"/>
      <c r="N3" s="128"/>
      <c r="O3" s="128"/>
      <c r="P3" s="128"/>
      <c r="Q3" s="128"/>
      <c r="R3" s="128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name</v>
      </c>
      <c r="E5" s="25" t="str">
        <f t="shared" ca="1" si="1"/>
        <v>description</v>
      </c>
      <c r="F5" s="25" t="str">
        <f t="shared" ca="1" si="1"/>
        <v>value</v>
      </c>
      <c r="G5" s="25" t="str">
        <f t="shared" ca="1" si="1"/>
        <v>id</v>
      </c>
      <c r="H5" s="25" t="str">
        <f t="shared" ca="1" si="1"/>
        <v>id</v>
      </c>
      <c r="I5" s="25" t="str">
        <f t="shared" ca="1" si="1"/>
        <v>id</v>
      </c>
      <c r="J5" s="25" t="str">
        <f t="shared" ca="1" si="1"/>
        <v>id</v>
      </c>
      <c r="K5" s="25" t="str">
        <f t="shared" ca="1" si="1"/>
        <v>id</v>
      </c>
      <c r="L5" s="25" t="str">
        <f t="shared" ca="1" si="1"/>
        <v>id</v>
      </c>
      <c r="M5" s="25" t="str">
        <f t="shared" ca="1" si="1"/>
        <v>id</v>
      </c>
      <c r="N5" s="25" t="str">
        <f t="shared" ca="1" si="1"/>
        <v>id</v>
      </c>
      <c r="O5" s="25" t="str">
        <f t="shared" ca="1" si="1"/>
        <v>id</v>
      </c>
      <c r="P5" s="25" t="str">
        <f t="shared" ca="1" si="1"/>
        <v>id</v>
      </c>
      <c r="Q5" s="25" t="str">
        <f t="shared" ca="1" si="1"/>
        <v>id</v>
      </c>
      <c r="R5" s="21"/>
      <c r="S5" s="10"/>
      <c r="T5" s="10"/>
    </row>
    <row r="6" spans="1:20" ht="15" customHeight="1" x14ac:dyDescent="0.25">
      <c r="A6" s="24"/>
      <c r="B6" s="123" t="str">
        <f>$I$1</f>
        <v>$_ = \DB::statement('SELECT @@GLOBAL.foreign_key_checks');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0"/>
      <c r="T6" s="10"/>
    </row>
    <row r="7" spans="1:20" x14ac:dyDescent="0.25">
      <c r="A7" s="24"/>
      <c r="B7" s="124" t="str">
        <f>$I$2</f>
        <v>\DB::statement('set foreign_key_checks = 0');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</row>
    <row r="8" spans="1:20" x14ac:dyDescent="0.25">
      <c r="A8" s="24"/>
      <c r="B8" s="125" t="str">
        <f>$E$1</f>
        <v>\Milestone\SS\Model\Setting::truncate()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118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'1', </v>
      </c>
      <c r="D9" s="118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'name' =&gt; 'home_screen_out_standing', </v>
      </c>
      <c r="E9" s="118" t="str">
        <f t="shared" ca="1" si="2"/>
        <v xml:space="preserve">'description' =&gt; 'Customers outstanding and overdue metric should display in Home Screen', </v>
      </c>
      <c r="F9" s="118" t="str">
        <f t="shared" ca="1" si="2"/>
        <v xml:space="preserve">'value' =&gt; 'Yes', </v>
      </c>
      <c r="G9" s="118" t="str">
        <f t="shared" ca="1" si="2"/>
        <v/>
      </c>
      <c r="H9" s="118" t="str">
        <f t="shared" ca="1" si="2"/>
        <v/>
      </c>
      <c r="I9" s="118" t="str">
        <f t="shared" ca="1" si="2"/>
        <v/>
      </c>
      <c r="J9" s="118" t="str">
        <f t="shared" ca="1" si="2"/>
        <v/>
      </c>
      <c r="K9" s="118" t="str">
        <f t="shared" ca="1" si="2"/>
        <v/>
      </c>
      <c r="L9" s="118" t="str">
        <f t="shared" ca="1" si="2"/>
        <v/>
      </c>
      <c r="M9" s="118" t="str">
        <f t="shared" ca="1" si="2"/>
        <v/>
      </c>
      <c r="N9" s="118" t="str">
        <f t="shared" ca="1" si="2"/>
        <v/>
      </c>
      <c r="O9" s="118" t="str">
        <f t="shared" ca="1" si="2"/>
        <v/>
      </c>
      <c r="P9" s="118" t="str">
        <f t="shared" ca="1" si="2"/>
        <v/>
      </c>
      <c r="Q9" s="118" t="str">
        <f t="shared" ca="1" si="2"/>
        <v/>
      </c>
      <c r="R9" s="118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118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'2', </v>
      </c>
      <c r="D10" s="118" t="str">
        <f t="shared" ca="1" si="2"/>
        <v xml:space="preserve">'name' =&gt; 'home_screen_sales_order_progress', </v>
      </c>
      <c r="E10" s="118" t="str">
        <f t="shared" ca="1" si="2"/>
        <v xml:space="preserve">'description' =&gt; 'Sales order progress which mentions the incomplete and partially completed sales orders count', </v>
      </c>
      <c r="F10" s="118" t="str">
        <f t="shared" ca="1" si="2"/>
        <v xml:space="preserve">'value' =&gt; 'No', </v>
      </c>
      <c r="G10" s="118" t="str">
        <f t="shared" ca="1" si="2"/>
        <v/>
      </c>
      <c r="H10" s="118" t="str">
        <f t="shared" ca="1" si="2"/>
        <v/>
      </c>
      <c r="I10" s="118" t="str">
        <f t="shared" ca="1" si="2"/>
        <v/>
      </c>
      <c r="J10" s="118" t="str">
        <f t="shared" ca="1" si="2"/>
        <v/>
      </c>
      <c r="K10" s="118" t="str">
        <f t="shared" ca="1" si="2"/>
        <v/>
      </c>
      <c r="L10" s="118" t="str">
        <f t="shared" ca="1" si="2"/>
        <v/>
      </c>
      <c r="M10" s="118" t="str">
        <f t="shared" ca="1" si="2"/>
        <v/>
      </c>
      <c r="N10" s="118" t="str">
        <f t="shared" ca="1" si="2"/>
        <v/>
      </c>
      <c r="O10" s="118" t="str">
        <f t="shared" ca="1" si="2"/>
        <v/>
      </c>
      <c r="P10" s="118" t="str">
        <f t="shared" ca="1" si="2"/>
        <v/>
      </c>
      <c r="Q10" s="118" t="str">
        <f t="shared" ca="1" si="2"/>
        <v/>
      </c>
      <c r="R10" s="118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-&gt;create([</v>
      </c>
      <c r="C11" s="118" t="str">
        <f t="shared" ca="1" si="4"/>
        <v xml:space="preserve">'id' =&gt; '3', </v>
      </c>
      <c r="D11" s="118" t="str">
        <f t="shared" ca="1" si="2"/>
        <v xml:space="preserve">'name' =&gt; 'receipts_daily_weekly_metric_on_receipt_index', </v>
      </c>
      <c r="E11" s="118" t="str">
        <f t="shared" ca="1" si="2"/>
        <v xml:space="preserve">'description' =&gt; 'Receipts daily and weekly total amount display metric on receipts index window.', </v>
      </c>
      <c r="F11" s="118" t="str">
        <f t="shared" ca="1" si="2"/>
        <v xml:space="preserve">'value' =&gt; 'No', </v>
      </c>
      <c r="G11" s="118" t="str">
        <f t="shared" ca="1" si="2"/>
        <v/>
      </c>
      <c r="H11" s="118" t="str">
        <f t="shared" ca="1" si="2"/>
        <v/>
      </c>
      <c r="I11" s="118" t="str">
        <f t="shared" ca="1" si="2"/>
        <v/>
      </c>
      <c r="J11" s="118" t="str">
        <f t="shared" ca="1" si="2"/>
        <v/>
      </c>
      <c r="K11" s="118" t="str">
        <f t="shared" ca="1" si="2"/>
        <v/>
      </c>
      <c r="L11" s="118" t="str">
        <f t="shared" ca="1" si="2"/>
        <v/>
      </c>
      <c r="M11" s="118" t="str">
        <f t="shared" ca="1" si="2"/>
        <v/>
      </c>
      <c r="N11" s="118" t="str">
        <f t="shared" ca="1" si="2"/>
        <v/>
      </c>
      <c r="O11" s="118" t="str">
        <f t="shared" ca="1" si="2"/>
        <v/>
      </c>
      <c r="P11" s="118" t="str">
        <f t="shared" ca="1" si="2"/>
        <v/>
      </c>
      <c r="Q11" s="118" t="str">
        <f t="shared" ca="1" si="2"/>
        <v/>
      </c>
      <c r="R11" s="118" t="str">
        <f t="shared" ca="1" si="5"/>
        <v>])</v>
      </c>
    </row>
    <row r="12" spans="1:20" x14ac:dyDescent="0.25">
      <c r="A12" s="21">
        <v>4</v>
      </c>
      <c r="B12" s="22" t="str">
        <f t="shared" ca="1" si="3"/>
        <v>-&gt;create([</v>
      </c>
      <c r="C12" s="118" t="str">
        <f t="shared" ca="1" si="4"/>
        <v xml:space="preserve">'id' =&gt; '4', </v>
      </c>
      <c r="D12" s="118" t="str">
        <f t="shared" ca="1" si="2"/>
        <v xml:space="preserve">'name' =&gt; 'receipts_monthly_metric_on_receipt_index', </v>
      </c>
      <c r="E12" s="118" t="str">
        <f t="shared" ca="1" si="2"/>
        <v xml:space="preserve">'description' =&gt; 'Receipts monthly total amount display metric on receipts index window.', </v>
      </c>
      <c r="F12" s="118" t="str">
        <f t="shared" ca="1" si="2"/>
        <v xml:space="preserve">'value' =&gt; 'Yes', </v>
      </c>
      <c r="G12" s="118" t="str">
        <f t="shared" ca="1" si="2"/>
        <v/>
      </c>
      <c r="H12" s="118" t="str">
        <f t="shared" ca="1" si="2"/>
        <v/>
      </c>
      <c r="I12" s="118" t="str">
        <f t="shared" ca="1" si="2"/>
        <v/>
      </c>
      <c r="J12" s="118" t="str">
        <f t="shared" ca="1" si="2"/>
        <v/>
      </c>
      <c r="K12" s="118" t="str">
        <f t="shared" ca="1" si="2"/>
        <v/>
      </c>
      <c r="L12" s="118" t="str">
        <f t="shared" ca="1" si="2"/>
        <v/>
      </c>
      <c r="M12" s="118" t="str">
        <f t="shared" ca="1" si="2"/>
        <v/>
      </c>
      <c r="N12" s="118" t="str">
        <f t="shared" ca="1" si="2"/>
        <v/>
      </c>
      <c r="O12" s="118" t="str">
        <f t="shared" ca="1" si="2"/>
        <v/>
      </c>
      <c r="P12" s="118" t="str">
        <f t="shared" ca="1" si="2"/>
        <v/>
      </c>
      <c r="Q12" s="118" t="str">
        <f t="shared" ca="1" si="2"/>
        <v/>
      </c>
      <c r="R12" s="118" t="str">
        <f t="shared" ca="1" si="5"/>
        <v>])</v>
      </c>
    </row>
    <row r="13" spans="1:20" x14ac:dyDescent="0.25">
      <c r="A13" s="21">
        <v>5</v>
      </c>
      <c r="B13" s="22" t="str">
        <f t="shared" ca="1" si="3"/>
        <v>-&gt;create([</v>
      </c>
      <c r="C13" s="118" t="str">
        <f t="shared" ca="1" si="4"/>
        <v xml:space="preserve">'id' =&gt; '5', </v>
      </c>
      <c r="D13" s="118" t="str">
        <f t="shared" ca="1" si="2"/>
        <v xml:space="preserve">'name' =&gt; 'daily_sales_total_amount_in_sales_index', </v>
      </c>
      <c r="E13" s="118" t="str">
        <f t="shared" ca="1" si="2"/>
        <v xml:space="preserve">'description' =&gt; 'Total Sales amount in a day to be displayed in sales transaction index window', </v>
      </c>
      <c r="F13" s="118" t="str">
        <f t="shared" ca="1" si="2"/>
        <v xml:space="preserve">'value' =&gt; 'Yes', </v>
      </c>
      <c r="G13" s="118" t="str">
        <f t="shared" ca="1" si="2"/>
        <v/>
      </c>
      <c r="H13" s="118" t="str">
        <f t="shared" ca="1" si="2"/>
        <v/>
      </c>
      <c r="I13" s="118" t="str">
        <f t="shared" ca="1" si="2"/>
        <v/>
      </c>
      <c r="J13" s="118" t="str">
        <f t="shared" ca="1" si="2"/>
        <v/>
      </c>
      <c r="K13" s="118" t="str">
        <f t="shared" ca="1" si="2"/>
        <v/>
      </c>
      <c r="L13" s="118" t="str">
        <f t="shared" ca="1" si="2"/>
        <v/>
      </c>
      <c r="M13" s="118" t="str">
        <f t="shared" ca="1" si="2"/>
        <v/>
      </c>
      <c r="N13" s="118" t="str">
        <f t="shared" ca="1" si="2"/>
        <v/>
      </c>
      <c r="O13" s="118" t="str">
        <f t="shared" ca="1" si="2"/>
        <v/>
      </c>
      <c r="P13" s="118" t="str">
        <f t="shared" ca="1" si="2"/>
        <v/>
      </c>
      <c r="Q13" s="118" t="str">
        <f t="shared" ca="1" si="2"/>
        <v/>
      </c>
      <c r="R13" s="118" t="str">
        <f t="shared" ca="1" si="5"/>
        <v>])</v>
      </c>
    </row>
    <row r="14" spans="1:20" x14ac:dyDescent="0.25">
      <c r="A14" s="21">
        <v>6</v>
      </c>
      <c r="B14" s="22" t="str">
        <f t="shared" ca="1" si="3"/>
        <v>-&gt;create([</v>
      </c>
      <c r="C14" s="118" t="str">
        <f t="shared" ca="1" si="4"/>
        <v xml:space="preserve">'id' =&gt; '6', </v>
      </c>
      <c r="D14" s="118" t="str">
        <f t="shared" ca="1" si="2"/>
        <v xml:space="preserve">'name' =&gt; 'weekly_and_monthly_sales_total_amount_in_sales_index', </v>
      </c>
      <c r="E14" s="118" t="str">
        <f t="shared" ca="1" si="2"/>
        <v xml:space="preserve">'description' =&gt; 'Total Sales amount in the current week and month to be displayed in sales transaction index window', </v>
      </c>
      <c r="F14" s="118" t="str">
        <f t="shared" ca="1" si="2"/>
        <v xml:space="preserve">'value' =&gt; 'No', </v>
      </c>
      <c r="G14" s="118" t="str">
        <f t="shared" ca="1" si="2"/>
        <v/>
      </c>
      <c r="H14" s="118" t="str">
        <f t="shared" ca="1" si="2"/>
        <v/>
      </c>
      <c r="I14" s="118" t="str">
        <f t="shared" ca="1" si="2"/>
        <v/>
      </c>
      <c r="J14" s="118" t="str">
        <f t="shared" ca="1" si="2"/>
        <v/>
      </c>
      <c r="K14" s="118" t="str">
        <f t="shared" ca="1" si="2"/>
        <v/>
      </c>
      <c r="L14" s="118" t="str">
        <f t="shared" ca="1" si="2"/>
        <v/>
      </c>
      <c r="M14" s="118" t="str">
        <f t="shared" ca="1" si="2"/>
        <v/>
      </c>
      <c r="N14" s="118" t="str">
        <f t="shared" ca="1" si="2"/>
        <v/>
      </c>
      <c r="O14" s="118" t="str">
        <f t="shared" ca="1" si="2"/>
        <v/>
      </c>
      <c r="P14" s="118" t="str">
        <f t="shared" ca="1" si="2"/>
        <v/>
      </c>
      <c r="Q14" s="118" t="str">
        <f t="shared" ca="1" si="2"/>
        <v/>
      </c>
      <c r="R14" s="118" t="str">
        <f t="shared" ca="1" si="5"/>
        <v>])</v>
      </c>
    </row>
    <row r="15" spans="1:20" x14ac:dyDescent="0.25">
      <c r="A15" s="21">
        <v>7</v>
      </c>
      <c r="B15" s="22" t="str">
        <f t="shared" ca="1" si="3"/>
        <v>-&gt;create([</v>
      </c>
      <c r="C15" s="118" t="str">
        <f t="shared" ca="1" si="4"/>
        <v xml:space="preserve">'id' =&gt; '7', </v>
      </c>
      <c r="D15" s="118" t="str">
        <f t="shared" ca="1" si="2"/>
        <v xml:space="preserve">'name' =&gt; 'daily_sales_total_amount_in_sales_order_index', </v>
      </c>
      <c r="E15" s="118" t="str">
        <f t="shared" ca="1" si="2"/>
        <v xml:space="preserve">'description' =&gt; 'Total Sales amount in a day to be displayed in sales transaction index window', </v>
      </c>
      <c r="F15" s="118" t="str">
        <f t="shared" ca="1" si="2"/>
        <v xml:space="preserve">'value' =&gt; 'Yes', </v>
      </c>
      <c r="G15" s="118" t="str">
        <f t="shared" ca="1" si="2"/>
        <v/>
      </c>
      <c r="H15" s="118" t="str">
        <f t="shared" ca="1" si="2"/>
        <v/>
      </c>
      <c r="I15" s="118" t="str">
        <f t="shared" ca="1" si="2"/>
        <v/>
      </c>
      <c r="J15" s="118" t="str">
        <f t="shared" ca="1" si="2"/>
        <v/>
      </c>
      <c r="K15" s="118" t="str">
        <f t="shared" ca="1" si="2"/>
        <v/>
      </c>
      <c r="L15" s="118" t="str">
        <f t="shared" ca="1" si="2"/>
        <v/>
      </c>
      <c r="M15" s="118" t="str">
        <f t="shared" ca="1" si="2"/>
        <v/>
      </c>
      <c r="N15" s="118" t="str">
        <f t="shared" ca="1" si="2"/>
        <v/>
      </c>
      <c r="O15" s="118" t="str">
        <f t="shared" ca="1" si="2"/>
        <v/>
      </c>
      <c r="P15" s="118" t="str">
        <f t="shared" ca="1" si="2"/>
        <v/>
      </c>
      <c r="Q15" s="118" t="str">
        <f t="shared" ca="1" si="2"/>
        <v/>
      </c>
      <c r="R15" s="118" t="str">
        <f t="shared" ca="1" si="5"/>
        <v>])</v>
      </c>
    </row>
    <row r="16" spans="1:20" x14ac:dyDescent="0.25">
      <c r="A16" s="21">
        <v>8</v>
      </c>
      <c r="B16" s="22" t="str">
        <f t="shared" ca="1" si="3"/>
        <v>-&gt;create([</v>
      </c>
      <c r="C16" s="118" t="str">
        <f t="shared" ca="1" si="4"/>
        <v xml:space="preserve">'id' =&gt; '8', </v>
      </c>
      <c r="D16" s="118" t="str">
        <f t="shared" ca="1" si="2"/>
        <v xml:space="preserve">'name' =&gt; 'weekly_and_monthly_sales_total_amount_in_sales_order_index', </v>
      </c>
      <c r="E16" s="118" t="str">
        <f t="shared" ca="1" si="2"/>
        <v xml:space="preserve">'description' =&gt; 'Total Sales amount in the current week and month to be displayed in sales transaction index window', </v>
      </c>
      <c r="F16" s="118" t="str">
        <f t="shared" ca="1" si="2"/>
        <v xml:space="preserve">'value' =&gt; 'No', </v>
      </c>
      <c r="G16" s="118" t="str">
        <f t="shared" ca="1" si="2"/>
        <v/>
      </c>
      <c r="H16" s="118" t="str">
        <f t="shared" ca="1" si="2"/>
        <v/>
      </c>
      <c r="I16" s="118" t="str">
        <f t="shared" ca="1" si="2"/>
        <v/>
      </c>
      <c r="J16" s="118" t="str">
        <f t="shared" ca="1" si="2"/>
        <v/>
      </c>
      <c r="K16" s="118" t="str">
        <f t="shared" ca="1" si="2"/>
        <v/>
      </c>
      <c r="L16" s="118" t="str">
        <f t="shared" ca="1" si="2"/>
        <v/>
      </c>
      <c r="M16" s="118" t="str">
        <f t="shared" ca="1" si="2"/>
        <v/>
      </c>
      <c r="N16" s="118" t="str">
        <f t="shared" ca="1" si="2"/>
        <v/>
      </c>
      <c r="O16" s="118" t="str">
        <f t="shared" ca="1" si="2"/>
        <v/>
      </c>
      <c r="P16" s="118" t="str">
        <f t="shared" ca="1" si="2"/>
        <v/>
      </c>
      <c r="Q16" s="118" t="str">
        <f t="shared" ca="1" si="2"/>
        <v/>
      </c>
      <c r="R16" s="118" t="str">
        <f t="shared" ca="1" si="5"/>
        <v>])</v>
      </c>
    </row>
    <row r="17" spans="1:18" x14ac:dyDescent="0.25">
      <c r="A17" s="21">
        <v>9</v>
      </c>
      <c r="B17" s="22" t="str">
        <f t="shared" ca="1" si="3"/>
        <v>-&gt;create([</v>
      </c>
      <c r="C17" s="118" t="str">
        <f t="shared" ca="1" si="4"/>
        <v xml:space="preserve">'id' =&gt; '9', </v>
      </c>
      <c r="D17" s="118" t="str">
        <f t="shared" ca="1" si="2"/>
        <v xml:space="preserve">'name' =&gt; 'advance_sale_container_width', </v>
      </c>
      <c r="E17" s="118" t="str">
        <f t="shared" ca="1" si="2"/>
        <v xml:space="preserve">'description' =&gt; 'Container width in percentage', </v>
      </c>
      <c r="F17" s="118" t="str">
        <f t="shared" ca="1" si="2"/>
        <v xml:space="preserve">'value' =&gt; '99', </v>
      </c>
      <c r="G17" s="118" t="str">
        <f t="shared" ca="1" si="2"/>
        <v/>
      </c>
      <c r="H17" s="118" t="str">
        <f t="shared" ca="1" si="2"/>
        <v/>
      </c>
      <c r="I17" s="118" t="str">
        <f t="shared" ca="1" si="2"/>
        <v/>
      </c>
      <c r="J17" s="118" t="str">
        <f t="shared" ca="1" si="2"/>
        <v/>
      </c>
      <c r="K17" s="118" t="str">
        <f t="shared" ca="1" si="2"/>
        <v/>
      </c>
      <c r="L17" s="118" t="str">
        <f t="shared" ca="1" si="2"/>
        <v/>
      </c>
      <c r="M17" s="118" t="str">
        <f t="shared" ca="1" si="2"/>
        <v/>
      </c>
      <c r="N17" s="118" t="str">
        <f t="shared" ca="1" si="2"/>
        <v/>
      </c>
      <c r="O17" s="118" t="str">
        <f t="shared" ca="1" si="2"/>
        <v/>
      </c>
      <c r="P17" s="118" t="str">
        <f t="shared" ca="1" si="2"/>
        <v/>
      </c>
      <c r="Q17" s="118" t="str">
        <f t="shared" ca="1" si="2"/>
        <v/>
      </c>
      <c r="R17" s="118" t="str">
        <f t="shared" ca="1" si="5"/>
        <v>])</v>
      </c>
    </row>
    <row r="18" spans="1:18" x14ac:dyDescent="0.25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'10', </v>
      </c>
      <c r="D18" s="50" t="str">
        <f t="shared" ca="1" si="2"/>
        <v xml:space="preserve">'name' =&gt; 'advance_sale_left_portion_width', </v>
      </c>
      <c r="E18" s="50" t="str">
        <f t="shared" ca="1" si="2"/>
        <v xml:space="preserve">'description' =&gt; 'Width to be allocated for the left portion', </v>
      </c>
      <c r="F18" s="50" t="str">
        <f t="shared" ca="1" si="2"/>
        <v xml:space="preserve">'value' =&gt; '440', </v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 x14ac:dyDescent="0.25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'11', </v>
      </c>
      <c r="D19" s="50" t="str">
        <f t="shared" ca="1" si="2"/>
        <v xml:space="preserve">'name' =&gt; 'advance_sale_space_between_left_portion_and_right_portion', </v>
      </c>
      <c r="E19" s="50" t="str">
        <f t="shared" ca="1" si="2"/>
        <v xml:space="preserve">'description' =&gt; 'The space between left and right portions', </v>
      </c>
      <c r="F19" s="50" t="str">
        <f t="shared" ca="1" si="2"/>
        <v xml:space="preserve">'value' =&gt; '10', </v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 x14ac:dyDescent="0.25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'12', </v>
      </c>
      <c r="D20" s="50" t="str">
        <f t="shared" ca="1" si="2"/>
        <v xml:space="preserve">'name' =&gt; 'advance_sale_items_container_padding', </v>
      </c>
      <c r="E20" s="50" t="str">
        <f t="shared" ca="1" si="2"/>
        <v xml:space="preserve">'description' =&gt; 'The padding amount of  container where Filter, Items and Pagination exists', </v>
      </c>
      <c r="F20" s="50" t="str">
        <f t="shared" ca="1" si="2"/>
        <v xml:space="preserve">'value' =&gt; '10', </v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 x14ac:dyDescent="0.25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'13', </v>
      </c>
      <c r="D21" s="50" t="str">
        <f t="shared" ca="1" si="2"/>
        <v xml:space="preserve">'name' =&gt; 'advance_sale_main_filter_width', </v>
      </c>
      <c r="E21" s="50" t="str">
        <f t="shared" ca="1" si="2"/>
        <v xml:space="preserve">'description' =&gt; 'Width of main filter - right to container', </v>
      </c>
      <c r="F21" s="50" t="str">
        <f t="shared" ca="1" si="2"/>
        <v xml:space="preserve">'value' =&gt; '110', </v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 x14ac:dyDescent="0.25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'14', </v>
      </c>
      <c r="D22" s="50" t="str">
        <f t="shared" ca="1" si="2"/>
        <v xml:space="preserve">'name' =&gt; 'advance_sale_secondary_filter_height', </v>
      </c>
      <c r="E22" s="50" t="str">
        <f t="shared" ca="1" si="2"/>
        <v xml:space="preserve">'description' =&gt; 'Height of secondary filter - top to container', </v>
      </c>
      <c r="F22" s="50" t="str">
        <f t="shared" ca="1" si="2"/>
        <v xml:space="preserve">'value' =&gt; '70', </v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 x14ac:dyDescent="0.25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'15', </v>
      </c>
      <c r="D23" s="50" t="str">
        <f t="shared" ca="1" si="2"/>
        <v xml:space="preserve">'name' =&gt; 'advance_sale_item_width_to_height_ratio', </v>
      </c>
      <c r="E23" s="50" t="str">
        <f t="shared" ca="1" si="2"/>
        <v xml:space="preserve">'description' =&gt; 'Product list item - width to height ratio', </v>
      </c>
      <c r="F23" s="50" t="str">
        <f t="shared" ca="1" si="2"/>
        <v xml:space="preserve">'value' =&gt; '1.35', </v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 x14ac:dyDescent="0.25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'16', </v>
      </c>
      <c r="D24" s="50" t="str">
        <f t="shared" ca="1" si="2"/>
        <v xml:space="preserve">'name' =&gt; 'advance_sale_items_per_page', </v>
      </c>
      <c r="E24" s="50" t="str">
        <f t="shared" ca="1" si="2"/>
        <v xml:space="preserve">'description' =&gt; 'Items to be shown in one page', </v>
      </c>
      <c r="F24" s="50" t="str">
        <f t="shared" ca="1" si="2"/>
        <v xml:space="preserve">'value' =&gt; '100', </v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 x14ac:dyDescent="0.25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'17', </v>
      </c>
      <c r="D25" s="50" t="str">
        <f t="shared" ca="1" si="4"/>
        <v xml:space="preserve">'name' =&gt; 'advance_sale_items_per_row', </v>
      </c>
      <c r="E25" s="50" t="str">
        <f t="shared" ca="1" si="4"/>
        <v xml:space="preserve">'description' =&gt; 'Items to be shown in one row', </v>
      </c>
      <c r="F25" s="50" t="str">
        <f t="shared" ca="1" si="4"/>
        <v xml:space="preserve">'value' =&gt; '5', </v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 x14ac:dyDescent="0.25">
      <c r="A26" s="21">
        <v>18</v>
      </c>
      <c r="B26" s="22" t="str">
        <f t="shared" ca="1" si="3"/>
        <v>-&gt;create([</v>
      </c>
      <c r="C26" s="50" t="str">
        <f t="shared" ca="1" si="4"/>
        <v xml:space="preserve">'id' =&gt; '18', </v>
      </c>
      <c r="D26" s="50" t="str">
        <f t="shared" ca="1" si="4"/>
        <v xml:space="preserve">'name' =&gt; 'advance_sale_space_between_each_item', </v>
      </c>
      <c r="E26" s="50" t="str">
        <f t="shared" ca="1" si="4"/>
        <v xml:space="preserve">'description' =&gt; 'The space between each items', </v>
      </c>
      <c r="F26" s="50" t="str">
        <f t="shared" ca="1" si="4"/>
        <v xml:space="preserve">'value' =&gt; '2', </v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>])</v>
      </c>
    </row>
    <row r="27" spans="1:18" x14ac:dyDescent="0.25">
      <c r="A27" s="21">
        <v>19</v>
      </c>
      <c r="B27" s="22" t="str">
        <f t="shared" ca="1" si="3"/>
        <v>;</v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 x14ac:dyDescent="0.25">
      <c r="A28" s="21">
        <v>20</v>
      </c>
      <c r="B28" s="22" t="str">
        <f t="shared" ca="1" si="3"/>
        <v>\DB::statement('set foreign_key_checks = ' . $_);</v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 x14ac:dyDescent="0.25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 x14ac:dyDescent="0.25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 x14ac:dyDescent="0.25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 x14ac:dyDescent="0.25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 x14ac:dyDescent="0.25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 x14ac:dyDescent="0.25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 x14ac:dyDescent="0.25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 x14ac:dyDescent="0.25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 x14ac:dyDescent="0.25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 x14ac:dyDescent="0.25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 x14ac:dyDescent="0.25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 x14ac:dyDescent="0.25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 x14ac:dyDescent="0.25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 x14ac:dyDescent="0.25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 x14ac:dyDescent="0.25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 x14ac:dyDescent="0.25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 x14ac:dyDescent="0.25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 x14ac:dyDescent="0.25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 x14ac:dyDescent="0.25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 x14ac:dyDescent="0.25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 x14ac:dyDescent="0.25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 x14ac:dyDescent="0.25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 x14ac:dyDescent="0.25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 x14ac:dyDescent="0.25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 x14ac:dyDescent="0.25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 x14ac:dyDescent="0.25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 x14ac:dyDescent="0.25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 x14ac:dyDescent="0.25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 x14ac:dyDescent="0.25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 x14ac:dyDescent="0.25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 x14ac:dyDescent="0.25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 x14ac:dyDescent="0.25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 x14ac:dyDescent="0.25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 x14ac:dyDescent="0.25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 x14ac:dyDescent="0.25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 x14ac:dyDescent="0.25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 x14ac:dyDescent="0.25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 x14ac:dyDescent="0.25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opLeftCell="E22" workbookViewId="0">
      <selection activeCell="M3" sqref="M3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hidden="1" customWidth="1"/>
    <col min="11" max="11" width="23.5703125" hidden="1" customWidth="1"/>
    <col min="12" max="12" width="15.5703125" hidden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1334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ResourceTable[No]</f>
        <v>305101</v>
      </c>
      <c r="O3" s="4" t="s">
        <v>1277</v>
      </c>
      <c r="P3" s="4" t="s">
        <v>1399</v>
      </c>
      <c r="Q3" s="4" t="s">
        <v>1400</v>
      </c>
      <c r="R3" s="4" t="s">
        <v>1397</v>
      </c>
      <c r="S3" s="4" t="s">
        <v>1398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305105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>
        <f>IF(ResourceDefaultsTable[[#This Row],[Select Resource for Default]]="","read",IFERROR(VLOOKUP(ResourceDefaultsTable[[#This Row],[Data]],ResourceAction[[Display]:[No]],3,0),""))</f>
        <v>332103</v>
      </c>
      <c r="Z3" s="7">
        <f>IF(ResourceDefaultsTable[[#This Row],[Select Resource for Default]]="","update",IFERROR(VLOOKUP(ResourceDefaultsTable[[#This Row],[FormWithData]],ResourceAction[[Display]:[No]],3,0),""))</f>
        <v>332104</v>
      </c>
    </row>
    <row r="4" spans="1:26" x14ac:dyDescent="0.25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1275</v>
      </c>
      <c r="F4" s="4" t="s">
        <v>1276</v>
      </c>
      <c r="G4" s="4" t="s">
        <v>1275</v>
      </c>
      <c r="H4" s="7" t="str">
        <f t="shared" ref="H4" si="0">"Milestone\SS\Model"</f>
        <v>Milestone\SS\Model</v>
      </c>
      <c r="I4" s="4" t="s">
        <v>1071</v>
      </c>
      <c r="J4" s="4"/>
      <c r="K4" s="4"/>
      <c r="L4" s="4"/>
      <c r="M4" s="58">
        <f>ResourceTable[No]</f>
        <v>305102</v>
      </c>
      <c r="O4" s="4" t="s">
        <v>1286</v>
      </c>
      <c r="P4" s="4" t="s">
        <v>1488</v>
      </c>
      <c r="Q4" s="4" t="s">
        <v>1489</v>
      </c>
      <c r="R4" s="4" t="s">
        <v>1486</v>
      </c>
      <c r="S4" s="4" t="s">
        <v>1487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305117</v>
      </c>
      <c r="W4" s="7">
        <f>IF(ResourceDefaultsTable[[#This Row],[Select Resource for Default]]="","list",IFERROR(VLOOKUP(ResourceDefaultsTable[[#This Row],[List]],ResourceAction[[Display]:[No]],3,0),""))</f>
        <v>332112</v>
      </c>
      <c r="X4" s="7">
        <f>IF(ResourceDefaultsTable[[#This Row],[Select Resource for Default]]="","create",IFERROR(VLOOKUP(ResourceDefaultsTable[[#This Row],[Form]],ResourceAction[[Display]:[No]],3,0),""))</f>
        <v>332108</v>
      </c>
      <c r="Y4" s="7">
        <f>IF(ResourceDefaultsTable[[#This Row],[Select Resource for Default]]="","read",IFERROR(VLOOKUP(ResourceDefaultsTable[[#This Row],[Data]],ResourceAction[[Display]:[No]],3,0),""))</f>
        <v>332114</v>
      </c>
      <c r="Z4" s="7">
        <f>IF(ResourceDefaultsTable[[#This Row],[Select Resource for Default]]="","update",IFERROR(VLOOKUP(ResourceDefaultsTable[[#This Row],[FormWithData]],ResourceAction[[Display]:[No]],3,0),""))</f>
        <v>332113</v>
      </c>
    </row>
    <row r="5" spans="1:26" x14ac:dyDescent="0.25">
      <c r="A5" s="9" t="str">
        <f>Page&amp;"-"&amp;(COUNTA($E$1:ResourceTable[[#This Row],[Name]])-2)</f>
        <v>Resources-3</v>
      </c>
      <c r="B5" s="16" t="str">
        <f>ResourceTable[[#This Row],[Name]]</f>
        <v>MenuType</v>
      </c>
      <c r="C5" s="59">
        <f>COUNTA($A$1:ResourceTable[[#This Row],[Primary]])-2</f>
        <v>3</v>
      </c>
      <c r="D5" s="59">
        <f>IF(ResourceTable[[#This Row],[RID]]=0,"id",ResourceTable[[#This Row],[RID]]+IF(ISNUMBER(VLOOKUP(Page,SeedMap[],9,0)),VLOOKUP(Page,SeedMap[],9,0),0))</f>
        <v>305103</v>
      </c>
      <c r="E5" s="2" t="s">
        <v>1833</v>
      </c>
      <c r="F5" s="2" t="s">
        <v>1835</v>
      </c>
      <c r="G5" s="2" t="s">
        <v>1837</v>
      </c>
      <c r="H5" s="9" t="str">
        <f t="shared" ref="H5:H6" si="1">"Milestone\SS\Model"</f>
        <v>Milestone\SS\Model</v>
      </c>
      <c r="I5" s="2" t="s">
        <v>1831</v>
      </c>
      <c r="J5" s="2"/>
      <c r="K5" s="2"/>
      <c r="L5" s="2"/>
      <c r="M5" s="59">
        <f>ResourceTable[No]</f>
        <v>305103</v>
      </c>
      <c r="O5" s="4" t="s">
        <v>1287</v>
      </c>
      <c r="P5" s="4" t="s">
        <v>1524</v>
      </c>
      <c r="Q5" s="4" t="s">
        <v>1525</v>
      </c>
      <c r="R5" s="4" t="s">
        <v>1522</v>
      </c>
      <c r="S5" s="4" t="s">
        <v>1523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305118</v>
      </c>
      <c r="W5" s="7">
        <f>IF(ResourceDefaultsTable[[#This Row],[Select Resource for Default]]="","list",IFERROR(VLOOKUP(ResourceDefaultsTable[[#This Row],[List]],ResourceAction[[Display]:[No]],3,0),""))</f>
        <v>332116</v>
      </c>
      <c r="X5" s="7">
        <f>IF(ResourceDefaultsTable[[#This Row],[Select Resource for Default]]="","create",IFERROR(VLOOKUP(ResourceDefaultsTable[[#This Row],[Form]],ResourceAction[[Display]:[No]],3,0),""))</f>
        <v>332115</v>
      </c>
      <c r="Y5" s="7">
        <f>IF(ResourceDefaultsTable[[#This Row],[Select Resource for Default]]="","read",IFERROR(VLOOKUP(ResourceDefaultsTable[[#This Row],[Data]],ResourceAction[[Display]:[No]],3,0),""))</f>
        <v>332117</v>
      </c>
      <c r="Z5" s="7">
        <f>IF(ResourceDefaultsTable[[#This Row],[Select Resource for Default]]="","update",IFERROR(VLOOKUP(ResourceDefaultsTable[[#This Row],[FormWithData]],ResourceAction[[Display]:[No]],3,0),""))</f>
        <v>332118</v>
      </c>
    </row>
    <row r="6" spans="1:26" x14ac:dyDescent="0.25">
      <c r="A6" s="9" t="str">
        <f>Page&amp;"-"&amp;(COUNTA($E$1:ResourceTable[[#This Row],[Name]])-2)</f>
        <v>Resources-4</v>
      </c>
      <c r="B6" s="16" t="str">
        <f>ResourceTable[[#This Row],[Name]]</f>
        <v>Menu</v>
      </c>
      <c r="C6" s="59">
        <f>COUNTA($A$1:ResourceTable[[#This Row],[Primary]])-2</f>
        <v>4</v>
      </c>
      <c r="D6" s="59">
        <f>IF(ResourceTable[[#This Row],[RID]]=0,"id",ResourceTable[[#This Row],[RID]]+IF(ISNUMBER(VLOOKUP(Page,SeedMap[],9,0)),VLOOKUP(Page,SeedMap[],9,0),0))</f>
        <v>305104</v>
      </c>
      <c r="E6" s="2" t="s">
        <v>115</v>
      </c>
      <c r="F6" s="2" t="s">
        <v>1836</v>
      </c>
      <c r="G6" s="2" t="s">
        <v>115</v>
      </c>
      <c r="H6" s="9" t="str">
        <f t="shared" si="1"/>
        <v>Milestone\SS\Model</v>
      </c>
      <c r="I6" s="2" t="s">
        <v>114</v>
      </c>
      <c r="J6" s="2"/>
      <c r="K6" s="2"/>
      <c r="L6" s="2"/>
      <c r="M6" s="59">
        <f>ResourceTable[No]</f>
        <v>305104</v>
      </c>
    </row>
    <row r="7" spans="1:26" x14ac:dyDescent="0.25">
      <c r="A7" s="7" t="str">
        <f>Page&amp;"-"&amp;(COUNTA($E$1:ResourceTable[[#This Row],[Name]])-2)</f>
        <v>Resources-5</v>
      </c>
      <c r="B7" s="60" t="str">
        <f>ResourceTable[[#This Row],[Name]]</f>
        <v>Setting</v>
      </c>
      <c r="C7" s="58">
        <f>COUNTA($A$1:ResourceTable[[#This Row],[Primary]])-2</f>
        <v>5</v>
      </c>
      <c r="D7" s="58">
        <f>IF(ResourceTable[[#This Row],[RID]]=0,"id",ResourceTable[[#This Row],[RID]]+IF(ISNUMBER(VLOOKUP(Page,SeedMap[],9,0)),VLOOKUP(Page,SeedMap[],9,0),0))</f>
        <v>305105</v>
      </c>
      <c r="E7" s="4" t="s">
        <v>1277</v>
      </c>
      <c r="F7" s="4" t="s">
        <v>1313</v>
      </c>
      <c r="G7" s="4" t="s">
        <v>1295</v>
      </c>
      <c r="H7" s="7" t="str">
        <f t="shared" ref="H7:H27" si="2">"Milestone\SS\Model"</f>
        <v>Milestone\SS\Model</v>
      </c>
      <c r="I7" s="4" t="s">
        <v>1270</v>
      </c>
      <c r="J7" s="4"/>
      <c r="K7" s="4"/>
      <c r="L7" s="4"/>
      <c r="M7" s="58">
        <f>ResourceTable[No]</f>
        <v>305105</v>
      </c>
    </row>
    <row r="8" spans="1:26" x14ac:dyDescent="0.25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1278</v>
      </c>
      <c r="F8" s="5" t="s">
        <v>1314</v>
      </c>
      <c r="G8" s="5" t="s">
        <v>1296</v>
      </c>
      <c r="H8" s="8" t="str">
        <f t="shared" si="2"/>
        <v>Milestone\SS\Model</v>
      </c>
      <c r="I8" s="5" t="s">
        <v>890</v>
      </c>
      <c r="J8" s="5"/>
      <c r="K8" s="5"/>
      <c r="L8" s="5"/>
      <c r="M8" s="32">
        <f>ResourceTable[No]</f>
        <v>305106</v>
      </c>
    </row>
    <row r="9" spans="1:26" x14ac:dyDescent="0.25">
      <c r="A9" s="8" t="str">
        <f>Page&amp;"-"&amp;(COUNTA($E$1:ResourceTable[[#This Row],[Name]])-2)</f>
        <v>Resources-7</v>
      </c>
      <c r="B9" s="30" t="str">
        <f>ResourceTable[[#This Row],[Name]]</f>
        <v>ProductGroupMaster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1692</v>
      </c>
      <c r="F9" s="5" t="s">
        <v>1710</v>
      </c>
      <c r="G9" s="5" t="s">
        <v>1712</v>
      </c>
      <c r="H9" s="8" t="str">
        <f t="shared" ref="H9" si="3">"Milestone\SS\Model"</f>
        <v>Milestone\SS\Model</v>
      </c>
      <c r="I9" s="5" t="s">
        <v>1677</v>
      </c>
      <c r="J9" s="5"/>
      <c r="K9" s="5"/>
      <c r="L9" s="5"/>
      <c r="M9" s="32">
        <f>ResourceTable[No]</f>
        <v>305107</v>
      </c>
    </row>
    <row r="10" spans="1:26" x14ac:dyDescent="0.25">
      <c r="A10" s="8" t="str">
        <f>Page&amp;"-"&amp;(COUNTA($E$1:ResourceTable[[#This Row],[Name]])-2)</f>
        <v>Resources-8</v>
      </c>
      <c r="B10" s="30" t="str">
        <f>ResourceTable[[#This Row],[Name]]</f>
        <v>Product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1280</v>
      </c>
      <c r="F10" s="5" t="s">
        <v>1316</v>
      </c>
      <c r="G10" s="5" t="s">
        <v>1298</v>
      </c>
      <c r="H10" s="8" t="str">
        <f t="shared" si="2"/>
        <v>Milestone\SS\Model</v>
      </c>
      <c r="I10" s="5" t="s">
        <v>760</v>
      </c>
      <c r="J10" s="5"/>
      <c r="K10" s="5"/>
      <c r="L10" s="5"/>
      <c r="M10" s="32">
        <f>ResourceTable[No]</f>
        <v>305108</v>
      </c>
    </row>
    <row r="11" spans="1:26" x14ac:dyDescent="0.25">
      <c r="A11" s="8" t="str">
        <f>Page&amp;"-"&amp;(COUNTA($E$1:ResourceTable[[#This Row],[Name]])-2)</f>
        <v>Resources-9</v>
      </c>
      <c r="B11" s="30" t="str">
        <f>ResourceTable[[#This Row],[Name]]</f>
        <v>ProductGroup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1709</v>
      </c>
      <c r="F11" s="5" t="s">
        <v>1711</v>
      </c>
      <c r="G11" s="5" t="s">
        <v>1713</v>
      </c>
      <c r="H11" s="8" t="str">
        <f>"Milestone\SS\Model"</f>
        <v>Milestone\SS\Model</v>
      </c>
      <c r="I11" s="5" t="s">
        <v>1691</v>
      </c>
      <c r="J11" s="5"/>
      <c r="K11" s="5"/>
      <c r="L11" s="5"/>
      <c r="M11" s="32">
        <f>ResourceTable[No]</f>
        <v>305109</v>
      </c>
    </row>
    <row r="12" spans="1:26" x14ac:dyDescent="0.25">
      <c r="A12" s="8" t="str">
        <f>Page&amp;"-"&amp;(COUNTA($E$1:ResourceTable[[#This Row],[Name]])-2)</f>
        <v>Resources-10</v>
      </c>
      <c r="B12" s="30" t="str">
        <f>ResourceTable[[#This Row],[Name]]</f>
        <v>ProductImage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1714</v>
      </c>
      <c r="F12" s="5" t="s">
        <v>1715</v>
      </c>
      <c r="G12" s="5" t="s">
        <v>1716</v>
      </c>
      <c r="H12" s="8" t="str">
        <f>"Milestone\SS\Model"</f>
        <v>Milestone\SS\Model</v>
      </c>
      <c r="I12" s="5" t="s">
        <v>1698</v>
      </c>
      <c r="J12" s="5" t="s">
        <v>1822</v>
      </c>
      <c r="K12" s="5" t="s">
        <v>1823</v>
      </c>
      <c r="L12" s="5"/>
      <c r="M12" s="32">
        <f>ResourceTable[No]</f>
        <v>305110</v>
      </c>
    </row>
    <row r="13" spans="1:26" x14ac:dyDescent="0.25">
      <c r="A13" s="8" t="str">
        <f>Page&amp;"-"&amp;(COUNTA($E$1:ResourceTable[[#This Row],[Name]])-2)</f>
        <v>Resources-11</v>
      </c>
      <c r="B13" s="30" t="str">
        <f>ResourceTable[[#This Row],[Name]]</f>
        <v>Pricelist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1281</v>
      </c>
      <c r="F13" s="5" t="s">
        <v>1317</v>
      </c>
      <c r="G13" s="5" t="s">
        <v>1299</v>
      </c>
      <c r="H13" s="8" t="str">
        <f t="shared" si="2"/>
        <v>Milestone\SS\Model</v>
      </c>
      <c r="I13" s="5" t="s">
        <v>762</v>
      </c>
      <c r="J13" s="5"/>
      <c r="K13" s="5"/>
      <c r="L13" s="5"/>
      <c r="M13" s="32">
        <f>ResourceTable[No]</f>
        <v>305111</v>
      </c>
    </row>
    <row r="14" spans="1:26" x14ac:dyDescent="0.25">
      <c r="A14" s="8" t="str">
        <f>Page&amp;"-"&amp;(COUNTA($E$1:ResourceTable[[#This Row],[Name]])-2)</f>
        <v>Resources-12</v>
      </c>
      <c r="B14" s="30" t="str">
        <f>ResourceTable[[#This Row],[Name]]</f>
        <v>PricelistProduct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1282</v>
      </c>
      <c r="F14" s="5" t="s">
        <v>1318</v>
      </c>
      <c r="G14" s="5" t="s">
        <v>1300</v>
      </c>
      <c r="H14" s="8" t="str">
        <f t="shared" si="2"/>
        <v>Milestone\SS\Model</v>
      </c>
      <c r="I14" s="5" t="s">
        <v>763</v>
      </c>
      <c r="J14" s="5"/>
      <c r="K14" s="5"/>
      <c r="L14" s="5"/>
      <c r="M14" s="32">
        <f>ResourceTable[No]</f>
        <v>305112</v>
      </c>
    </row>
    <row r="15" spans="1:26" x14ac:dyDescent="0.25">
      <c r="A15" s="8" t="str">
        <f>Page&amp;"-"&amp;(COUNTA($E$1:ResourceTable[[#This Row],[Name]])-2)</f>
        <v>Resources-13</v>
      </c>
      <c r="B15" s="30" t="str">
        <f>ResourceTable[[#This Row],[Name]]</f>
        <v>Functiondetail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1279</v>
      </c>
      <c r="F15" s="5" t="s">
        <v>1315</v>
      </c>
      <c r="G15" s="5" t="s">
        <v>1297</v>
      </c>
      <c r="H15" s="8" t="str">
        <f t="shared" si="2"/>
        <v>Milestone\SS\Model</v>
      </c>
      <c r="I15" s="5" t="s">
        <v>850</v>
      </c>
      <c r="J15" s="5"/>
      <c r="K15" s="5"/>
      <c r="L15" s="5"/>
      <c r="M15" s="32">
        <f>ResourceTable[No]</f>
        <v>305113</v>
      </c>
    </row>
    <row r="16" spans="1:26" x14ac:dyDescent="0.25">
      <c r="A16" s="8" t="str">
        <f>Page&amp;"-"&amp;(COUNTA($E$1:ResourceTable[[#This Row],[Name]])-2)</f>
        <v>Resources-14</v>
      </c>
      <c r="B16" s="30" t="str">
        <f>ResourceTable[[#This Row],[Name]]</f>
        <v>Store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1283</v>
      </c>
      <c r="F16" s="5" t="s">
        <v>1301</v>
      </c>
      <c r="G16" s="5" t="s">
        <v>1301</v>
      </c>
      <c r="H16" s="8" t="str">
        <f t="shared" si="2"/>
        <v>Milestone\SS\Model</v>
      </c>
      <c r="I16" s="5" t="s">
        <v>757</v>
      </c>
      <c r="J16" s="5"/>
      <c r="K16" s="5"/>
      <c r="L16" s="5"/>
      <c r="M16" s="32">
        <f>ResourceTable[No]</f>
        <v>305114</v>
      </c>
    </row>
    <row r="17" spans="1:13" x14ac:dyDescent="0.25">
      <c r="A17" s="8" t="str">
        <f>Page&amp;"-"&amp;(COUNTA($E$1:ResourceTable[[#This Row],[Name]])-2)</f>
        <v>Resources-15</v>
      </c>
      <c r="B17" s="30" t="str">
        <f>ResourceTable[[#This Row],[Name]]</f>
        <v>Area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1284</v>
      </c>
      <c r="F17" s="5" t="s">
        <v>1302</v>
      </c>
      <c r="G17" s="5" t="s">
        <v>1302</v>
      </c>
      <c r="H17" s="8" t="str">
        <f t="shared" si="2"/>
        <v>Milestone\SS\Model</v>
      </c>
      <c r="I17" s="5" t="s">
        <v>758</v>
      </c>
      <c r="J17" s="5"/>
      <c r="K17" s="5"/>
      <c r="L17" s="5"/>
      <c r="M17" s="32">
        <f>ResourceTable[No]</f>
        <v>305115</v>
      </c>
    </row>
    <row r="18" spans="1:13" x14ac:dyDescent="0.25">
      <c r="A18" s="8" t="str">
        <f>Page&amp;"-"&amp;(COUNTA($E$1:ResourceTable[[#This Row],[Name]])-2)</f>
        <v>Resources-16</v>
      </c>
      <c r="B18" s="30" t="str">
        <f>ResourceTable[[#This Row],[Name]]</f>
        <v>AreaUser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1285</v>
      </c>
      <c r="F18" s="5" t="s">
        <v>1319</v>
      </c>
      <c r="G18" s="5" t="s">
        <v>1303</v>
      </c>
      <c r="H18" s="8" t="str">
        <f t="shared" si="2"/>
        <v>Milestone\SS\Model</v>
      </c>
      <c r="I18" s="5" t="s">
        <v>755</v>
      </c>
      <c r="J18" s="5"/>
      <c r="K18" s="5"/>
      <c r="L18" s="5"/>
      <c r="M18" s="32">
        <f>ResourceTable[No]</f>
        <v>305116</v>
      </c>
    </row>
    <row r="19" spans="1:13" x14ac:dyDescent="0.25">
      <c r="A19" s="8" t="str">
        <f>Page&amp;"-"&amp;(COUNTA($E$1:ResourceTable[[#This Row],[Name]])-2)</f>
        <v>Resources-17</v>
      </c>
      <c r="B19" s="30" t="str">
        <f>ResourceTable[[#This Row],[Name]]</f>
        <v>UserSetting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1286</v>
      </c>
      <c r="F19" s="5" t="s">
        <v>1320</v>
      </c>
      <c r="G19" s="5" t="s">
        <v>1304</v>
      </c>
      <c r="H19" s="8" t="str">
        <f t="shared" si="2"/>
        <v>Milestone\SS\Model</v>
      </c>
      <c r="I19" s="5" t="s">
        <v>1271</v>
      </c>
      <c r="J19" s="5"/>
      <c r="K19" s="5"/>
      <c r="L19" s="5"/>
      <c r="M19" s="32">
        <f>ResourceTable[No]</f>
        <v>305117</v>
      </c>
    </row>
    <row r="20" spans="1:13" x14ac:dyDescent="0.25">
      <c r="A20" s="8" t="str">
        <f>Page&amp;"-"&amp;(COUNTA($E$1:ResourceTable[[#This Row],[Name]])-2)</f>
        <v>Resources-18</v>
      </c>
      <c r="B20" s="30" t="str">
        <f>ResourceTable[[#This Row],[Name]]</f>
        <v>UserStoreArea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1287</v>
      </c>
      <c r="F20" s="5" t="s">
        <v>1321</v>
      </c>
      <c r="G20" s="5" t="s">
        <v>1305</v>
      </c>
      <c r="H20" s="8" t="str">
        <f t="shared" si="2"/>
        <v>Milestone\SS\Model</v>
      </c>
      <c r="I20" s="5" t="s">
        <v>759</v>
      </c>
      <c r="J20" s="5"/>
      <c r="K20" s="5"/>
      <c r="L20" s="5"/>
      <c r="M20" s="32">
        <f>ResourceTable[No]</f>
        <v>305118</v>
      </c>
    </row>
    <row r="21" spans="1:13" x14ac:dyDescent="0.25">
      <c r="A21" s="8" t="str">
        <f>Page&amp;"-"&amp;(COUNTA($E$1:ResourceTable[[#This Row],[Name]])-2)</f>
        <v>Resources-19</v>
      </c>
      <c r="B21" s="30" t="str">
        <f>ResourceTable[[#This Row],[Name]]</f>
        <v>SalesOrder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1291</v>
      </c>
      <c r="F21" s="5" t="s">
        <v>1324</v>
      </c>
      <c r="G21" s="5" t="s">
        <v>1309</v>
      </c>
      <c r="H21" s="8" t="str">
        <f t="shared" si="2"/>
        <v>Milestone\SS\Model</v>
      </c>
      <c r="I21" s="5" t="s">
        <v>947</v>
      </c>
      <c r="J21" s="5"/>
      <c r="K21" s="5"/>
      <c r="L21" s="5"/>
      <c r="M21" s="32">
        <f>ResourceTable[No]</f>
        <v>305119</v>
      </c>
    </row>
    <row r="22" spans="1:13" x14ac:dyDescent="0.25">
      <c r="A22" s="8" t="str">
        <f>Page&amp;"-"&amp;(COUNTA($E$1:ResourceTable[[#This Row],[Name]])-2)</f>
        <v>Resources-20</v>
      </c>
      <c r="B22" s="30" t="str">
        <f>ResourceTable[[#This Row],[Name]]</f>
        <v>SalesOrderItem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1292</v>
      </c>
      <c r="F22" s="5" t="s">
        <v>1325</v>
      </c>
      <c r="G22" s="5" t="s">
        <v>1310</v>
      </c>
      <c r="H22" s="8" t="str">
        <f t="shared" si="2"/>
        <v>Milestone\SS\Model</v>
      </c>
      <c r="I22" s="5" t="s">
        <v>948</v>
      </c>
      <c r="J22" s="5"/>
      <c r="K22" s="5"/>
      <c r="L22" s="5"/>
      <c r="M22" s="32">
        <f>ResourceTable[No]</f>
        <v>305120</v>
      </c>
    </row>
    <row r="23" spans="1:13" x14ac:dyDescent="0.25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1288</v>
      </c>
      <c r="F23" s="5" t="s">
        <v>1322</v>
      </c>
      <c r="G23" s="5" t="s">
        <v>1306</v>
      </c>
      <c r="H23" s="8" t="str">
        <f t="shared" si="2"/>
        <v>Milestone\SS\Model</v>
      </c>
      <c r="I23" s="5" t="s">
        <v>896</v>
      </c>
      <c r="J23" s="5"/>
      <c r="K23" s="5"/>
      <c r="L23" s="5"/>
      <c r="M23" s="32">
        <f>ResourceTable[No]</f>
        <v>305121</v>
      </c>
    </row>
    <row r="24" spans="1:13" x14ac:dyDescent="0.25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1289</v>
      </c>
      <c r="F24" s="5" t="s">
        <v>1323</v>
      </c>
      <c r="G24" s="5" t="s">
        <v>1307</v>
      </c>
      <c r="H24" s="8" t="str">
        <f t="shared" si="2"/>
        <v>Milestone\SS\Model</v>
      </c>
      <c r="I24" s="5" t="s">
        <v>897</v>
      </c>
      <c r="J24" s="5"/>
      <c r="K24" s="5"/>
      <c r="L24" s="5"/>
      <c r="M24" s="32">
        <f>ResourceTable[No]</f>
        <v>305122</v>
      </c>
    </row>
    <row r="25" spans="1:13" x14ac:dyDescent="0.25">
      <c r="A25" s="8" t="str">
        <f>Page&amp;"-"&amp;(COUNTA($E$1:ResourceTable[[#This Row],[Name]])-2)</f>
        <v>Resources-23</v>
      </c>
      <c r="B25" s="30" t="str">
        <f>ResourceTable[[#This Row],[Name]]</f>
        <v>DData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1290</v>
      </c>
      <c r="F25" s="5" t="s">
        <v>2004</v>
      </c>
      <c r="G25" s="5" t="s">
        <v>1308</v>
      </c>
      <c r="H25" s="8" t="str">
        <f t="shared" si="2"/>
        <v>Milestone\SS\Model</v>
      </c>
      <c r="I25" s="5" t="s">
        <v>1052</v>
      </c>
      <c r="J25" s="5"/>
      <c r="K25" s="5"/>
      <c r="L25" s="5"/>
      <c r="M25" s="32">
        <f>ResourceTable[No]</f>
        <v>305123</v>
      </c>
    </row>
    <row r="26" spans="1:13" x14ac:dyDescent="0.25">
      <c r="A26" s="8" t="str">
        <f>Page&amp;"-"&amp;(COUNTA($E$1:ResourceTable[[#This Row],[Name]])-2)</f>
        <v>Resources-24</v>
      </c>
      <c r="B26" s="30" t="str">
        <f>ResourceTable[[#This Row],[Name]]</f>
        <v>StockTransfer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1293</v>
      </c>
      <c r="F26" s="5" t="s">
        <v>1326</v>
      </c>
      <c r="G26" s="5" t="s">
        <v>1311</v>
      </c>
      <c r="H26" s="8" t="str">
        <f t="shared" si="2"/>
        <v>Milestone\SS\Model</v>
      </c>
      <c r="I26" s="5" t="s">
        <v>904</v>
      </c>
      <c r="J26" s="5"/>
      <c r="K26" s="5"/>
      <c r="L26" s="5"/>
      <c r="M26" s="32">
        <f>ResourceTable[No]</f>
        <v>305124</v>
      </c>
    </row>
    <row r="27" spans="1:13" x14ac:dyDescent="0.25">
      <c r="A27" s="8" t="str">
        <f>Page&amp;"-"&amp;(COUNTA($E$1:ResourceTable[[#This Row],[Name]])-2)</f>
        <v>Resources-25</v>
      </c>
      <c r="B27" s="30" t="str">
        <f>ResourceTable[[#This Row],[Name]]</f>
        <v>WBin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1294</v>
      </c>
      <c r="F27" s="5" t="s">
        <v>1327</v>
      </c>
      <c r="G27" s="5" t="s">
        <v>1312</v>
      </c>
      <c r="H27" s="8" t="str">
        <f t="shared" si="2"/>
        <v>Milestone\SS\Model</v>
      </c>
      <c r="I27" s="5" t="s">
        <v>882</v>
      </c>
      <c r="J27" s="5"/>
      <c r="K27" s="5"/>
      <c r="L27" s="5"/>
      <c r="M27" s="32">
        <f>ResourceTable[No]</f>
        <v>305125</v>
      </c>
    </row>
    <row r="28" spans="1:13" x14ac:dyDescent="0.25">
      <c r="A28" s="7" t="str">
        <f>Page&amp;"-"&amp;(COUNTA($E$1:ResourceTable[[#This Row],[Name]])-2)</f>
        <v>Resources-26</v>
      </c>
      <c r="B28" s="60" t="str">
        <f>ResourceTable[[#This Row],[Name]]</f>
        <v>Receipt</v>
      </c>
      <c r="C28" s="58">
        <f>COUNTA($A$1:ResourceTable[[#This Row],[Primary]])-2</f>
        <v>26</v>
      </c>
      <c r="D28" s="58">
        <f>IF(ResourceTable[[#This Row],[RID]]=0,"id",ResourceTable[[#This Row],[RID]]+IF(ISNUMBER(VLOOKUP(Page,SeedMap[],9,0)),VLOOKUP(Page,SeedMap[],9,0),0))</f>
        <v>305126</v>
      </c>
      <c r="E28" s="4" t="s">
        <v>1619</v>
      </c>
      <c r="F28" s="4" t="s">
        <v>1632</v>
      </c>
      <c r="G28" s="4" t="s">
        <v>1632</v>
      </c>
      <c r="H28" s="7" t="str">
        <f t="shared" ref="H28:H33" si="4">"Milestone\SS\Model"</f>
        <v>Milestone\SS\Model</v>
      </c>
      <c r="I28" s="4" t="s">
        <v>1610</v>
      </c>
      <c r="J28" s="4"/>
      <c r="K28" s="4"/>
      <c r="L28" s="4"/>
      <c r="M28" s="58">
        <f>ResourceTable[No]</f>
        <v>305126</v>
      </c>
    </row>
    <row r="29" spans="1:13" x14ac:dyDescent="0.25">
      <c r="A29" s="7" t="str">
        <f>Page&amp;"-"&amp;(COUNTA($E$1:ResourceTable[[#This Row],[Name]])-2)</f>
        <v>Resources-27</v>
      </c>
      <c r="B29" s="60" t="str">
        <f>ResourceTable[[#This Row],[Name]]</f>
        <v>FnReserve</v>
      </c>
      <c r="C29" s="58">
        <f>COUNTA($A$1:ResourceTable[[#This Row],[Primary]])-2</f>
        <v>27</v>
      </c>
      <c r="D29" s="58">
        <f>IF(ResourceTable[[#This Row],[RID]]=0,"id",ResourceTable[[#This Row],[RID]]+IF(ISNUMBER(VLOOKUP(Page,SeedMap[],9,0)),VLOOKUP(Page,SeedMap[],9,0),0))</f>
        <v>305127</v>
      </c>
      <c r="E29" s="4" t="s">
        <v>1633</v>
      </c>
      <c r="F29" s="4" t="s">
        <v>1634</v>
      </c>
      <c r="G29" s="4" t="s">
        <v>1634</v>
      </c>
      <c r="H29" s="7" t="str">
        <f t="shared" si="4"/>
        <v>Milestone\SS\Model</v>
      </c>
      <c r="I29" s="4" t="s">
        <v>1620</v>
      </c>
      <c r="J29" s="4"/>
      <c r="K29" s="4"/>
      <c r="L29" s="4"/>
      <c r="M29" s="58">
        <f>ResourceTable[No]</f>
        <v>305127</v>
      </c>
    </row>
    <row r="30" spans="1:13" x14ac:dyDescent="0.25">
      <c r="A30" s="6" t="str">
        <f>Page&amp;"-"&amp;(COUNTA($E$1:ResourceTable[[#This Row],[Name]])-2)</f>
        <v>Resources-28</v>
      </c>
      <c r="B30" s="15" t="str">
        <f>ResourceTable[[#This Row],[Name]]</f>
        <v>UserExecutive</v>
      </c>
      <c r="C30" s="3">
        <f>COUNTA($A$1:ResourceTable[[#This Row],[Primary]])-2</f>
        <v>28</v>
      </c>
      <c r="D30" s="3">
        <f>IF(ResourceTable[[#This Row],[RID]]=0,"id",ResourceTable[[#This Row],[RID]]+IF(ISNUMBER(VLOOKUP(Page,SeedMap[],9,0)),VLOOKUP(Page,SeedMap[],9,0),0))</f>
        <v>305128</v>
      </c>
      <c r="E30" s="1" t="s">
        <v>1955</v>
      </c>
      <c r="F30" s="1" t="s">
        <v>1956</v>
      </c>
      <c r="G30" s="1" t="s">
        <v>1957</v>
      </c>
      <c r="H30" s="6" t="str">
        <f t="shared" si="4"/>
        <v>Milestone\SS\Model</v>
      </c>
      <c r="I30" s="1" t="s">
        <v>1940</v>
      </c>
      <c r="J30" s="1"/>
      <c r="K30" s="1"/>
      <c r="L30" s="1"/>
      <c r="M30" s="3">
        <f>ResourceTable[No]</f>
        <v>305128</v>
      </c>
    </row>
    <row r="31" spans="1:13" x14ac:dyDescent="0.25">
      <c r="A31" s="8" t="str">
        <f>Page&amp;"-"&amp;(COUNTA($E$1:ResourceTable[[#This Row],[Name]])-2)</f>
        <v>Resources-29</v>
      </c>
      <c r="B31" s="30" t="str">
        <f>ResourceTable[[#This Row],[Name]]</f>
        <v>Printing</v>
      </c>
      <c r="C31" s="32">
        <f>COUNTA($A$1:ResourceTable[[#This Row],[Primary]])-2</f>
        <v>29</v>
      </c>
      <c r="D31" s="32">
        <f>IF(ResourceTable[[#This Row],[RID]]=0,"id",ResourceTable[[#This Row],[RID]]+IF(ISNUMBER(VLOOKUP(Page,SeedMap[],9,0)),VLOOKUP(Page,SeedMap[],9,0),0))</f>
        <v>305129</v>
      </c>
      <c r="E31" s="5" t="s">
        <v>2001</v>
      </c>
      <c r="F31" s="5" t="s">
        <v>2002</v>
      </c>
      <c r="G31" s="5" t="s">
        <v>2003</v>
      </c>
      <c r="H31" s="8" t="str">
        <f t="shared" si="4"/>
        <v>Milestone\SS\Model</v>
      </c>
      <c r="I31" s="1" t="s">
        <v>2000</v>
      </c>
      <c r="J31" s="5"/>
      <c r="K31" s="5"/>
      <c r="L31" s="5"/>
      <c r="M31" s="32">
        <f>ResourceTable[No]</f>
        <v>305129</v>
      </c>
    </row>
    <row r="32" spans="1:13" x14ac:dyDescent="0.25">
      <c r="A32" s="8" t="str">
        <f>Page&amp;"-"&amp;(COUNTA($E$1:ResourceTable[[#This Row],[Name]])-2)</f>
        <v>Resources-30</v>
      </c>
      <c r="B32" s="30" t="str">
        <f>ResourceTable[[#This Row],[Name]]</f>
        <v>Shift</v>
      </c>
      <c r="C32" s="32">
        <f>COUNTA($A$1:ResourceTable[[#This Row],[Primary]])-2</f>
        <v>30</v>
      </c>
      <c r="D32" s="32">
        <f>IF(ResourceTable[[#This Row],[RID]]=0,"id",ResourceTable[[#This Row],[RID]]+IF(ISNUMBER(VLOOKUP(Page,SeedMap[],9,0)),VLOOKUP(Page,SeedMap[],9,0),0))</f>
        <v>305130</v>
      </c>
      <c r="E32" s="5" t="s">
        <v>2117</v>
      </c>
      <c r="F32" s="5" t="s">
        <v>2118</v>
      </c>
      <c r="G32" s="5" t="s">
        <v>2119</v>
      </c>
      <c r="H32" s="8" t="str">
        <f t="shared" si="4"/>
        <v>Milestone\SS\Model</v>
      </c>
      <c r="I32" s="5" t="s">
        <v>2084</v>
      </c>
      <c r="J32" s="5"/>
      <c r="K32" s="5"/>
      <c r="L32" s="5"/>
      <c r="M32" s="32">
        <f>ResourceTable[No]</f>
        <v>305130</v>
      </c>
    </row>
    <row r="33" spans="1:13" x14ac:dyDescent="0.25">
      <c r="A33" s="8" t="str">
        <f>Page&amp;"-"&amp;(COUNTA($E$1:ResourceTable[[#This Row],[Name]])-2)</f>
        <v>Resources-31</v>
      </c>
      <c r="B33" s="30" t="str">
        <f>ResourceTable[[#This Row],[Name]]</f>
        <v>ShiftTransaction</v>
      </c>
      <c r="C33" s="32">
        <f>COUNTA($A$1:ResourceTable[[#This Row],[Primary]])-2</f>
        <v>31</v>
      </c>
      <c r="D33" s="32">
        <f>IF(ResourceTable[[#This Row],[RID]]=0,"id",ResourceTable[[#This Row],[RID]]+IF(ISNUMBER(VLOOKUP(Page,SeedMap[],9,0)),VLOOKUP(Page,SeedMap[],9,0),0))</f>
        <v>305131</v>
      </c>
      <c r="E33" s="5" t="s">
        <v>2120</v>
      </c>
      <c r="F33" s="5" t="s">
        <v>2121</v>
      </c>
      <c r="G33" s="5" t="s">
        <v>2122</v>
      </c>
      <c r="H33" s="8" t="str">
        <f t="shared" si="4"/>
        <v>Milestone\SS\Model</v>
      </c>
      <c r="I33" s="5" t="s">
        <v>2100</v>
      </c>
      <c r="J33" s="5"/>
      <c r="K33" s="5"/>
      <c r="L33" s="5"/>
      <c r="M33" s="32">
        <f>ResourceTable[No]</f>
        <v>305131</v>
      </c>
    </row>
  </sheetData>
  <dataValidations count="2">
    <dataValidation type="list" allowBlank="1" showInputMessage="1" showErrorMessage="1" sqref="O2:O5">
      <formula1>Resources</formula1>
    </dataValidation>
    <dataValidation type="list" allowBlank="1" showInputMessage="1" showErrorMessage="1" sqref="P2:S5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opLeftCell="I1" workbookViewId="0">
      <selection activeCell="V16" sqref="V16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61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Pricelist/Items</v>
      </c>
      <c r="D3" s="60">
        <f>RelationTable[[#This Row],[No]]</f>
        <v>308101</v>
      </c>
      <c r="E3" s="7" t="s">
        <v>1281</v>
      </c>
      <c r="F3" s="7" t="s">
        <v>1282</v>
      </c>
      <c r="G3" s="60">
        <f>RelationTable[[#This Row],[No]]</f>
        <v>308101</v>
      </c>
      <c r="H3" s="60">
        <f>IF(RelationTable[[#This Row],[No]]="id","resource",VLOOKUP(RelationTable[Resource],CHOOSE({1,2},ResourceTable[Name],ResourceTable[No]),2,0))</f>
        <v>305111</v>
      </c>
      <c r="I3" s="60" t="s">
        <v>1329</v>
      </c>
      <c r="J3" s="60" t="s">
        <v>1331</v>
      </c>
      <c r="K3" s="60" t="s">
        <v>1329</v>
      </c>
      <c r="L3" s="30" t="s">
        <v>1328</v>
      </c>
      <c r="M3" s="62">
        <f>VLOOKUP(RelationTable[Relate Resource],CHOOSE({1,2},ResourceTable[Name],ResourceTable[No]),2,0)</f>
        <v>305112</v>
      </c>
      <c r="N3" s="63">
        <f>RelationTable[RELID]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1430</v>
      </c>
      <c r="V3" s="4" t="s">
        <v>1431</v>
      </c>
      <c r="W3" s="4" t="s">
        <v>1432</v>
      </c>
    </row>
    <row r="4" spans="1:23" x14ac:dyDescent="0.25">
      <c r="A4" s="61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PricelistProduct/Pricelist</v>
      </c>
      <c r="D4" s="60">
        <f>RelationTable[[#This Row],[No]]</f>
        <v>308102</v>
      </c>
      <c r="E4" s="7" t="s">
        <v>1282</v>
      </c>
      <c r="F4" s="7" t="s">
        <v>1281</v>
      </c>
      <c r="G4" s="60">
        <f>RelationTable[[#This Row],[No]]</f>
        <v>308102</v>
      </c>
      <c r="H4" s="60">
        <f>IF(RelationTable[[#This Row],[No]]="id","resource",VLOOKUP(RelationTable[Resource],CHOOSE({1,2},ResourceTable[Name],ResourceTable[No]),2,0))</f>
        <v>305112</v>
      </c>
      <c r="I4" s="60" t="s">
        <v>1281</v>
      </c>
      <c r="J4" s="60" t="s">
        <v>1330</v>
      </c>
      <c r="K4" s="60" t="s">
        <v>1281</v>
      </c>
      <c r="L4" s="60" t="s">
        <v>1336</v>
      </c>
      <c r="M4" s="62">
        <f>VLOOKUP(RelationTable[Relate Resource],CHOOSE({1,2},ResourceTable[Name],ResourceTable[No]),2,0)</f>
        <v>305111</v>
      </c>
      <c r="N4" s="63">
        <f>RelationTable[RELID]</f>
        <v>308102</v>
      </c>
      <c r="P4" s="7" t="str">
        <f>'Table Seed Map'!$A$9&amp;"-"&amp;COUNTA($Q$1:ResourceScopes[[#This Row],[Resource for Scope]])-1</f>
        <v>Resource Scopes-2</v>
      </c>
      <c r="Q4" s="4" t="s">
        <v>1287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305118</v>
      </c>
      <c r="U4" s="4" t="s">
        <v>1587</v>
      </c>
      <c r="V4" s="4" t="s">
        <v>1588</v>
      </c>
      <c r="W4" s="4" t="s">
        <v>1589</v>
      </c>
    </row>
    <row r="5" spans="1:23" x14ac:dyDescent="0.25">
      <c r="A5" s="61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PricelistProduct/Product</v>
      </c>
      <c r="D5" s="60">
        <f>RelationTable[[#This Row],[No]]</f>
        <v>308103</v>
      </c>
      <c r="E5" s="7" t="s">
        <v>1282</v>
      </c>
      <c r="F5" s="7" t="s">
        <v>1280</v>
      </c>
      <c r="G5" s="60">
        <f>RelationTable[[#This Row],[No]]</f>
        <v>308103</v>
      </c>
      <c r="H5" s="60">
        <f>IF(RelationTable[[#This Row],[No]]="id","resource",VLOOKUP(RelationTable[Resource],CHOOSE({1,2},ResourceTable[Name],ResourceTable[No]),2,0))</f>
        <v>305112</v>
      </c>
      <c r="I5" s="60" t="s">
        <v>1280</v>
      </c>
      <c r="J5" s="60" t="s">
        <v>1332</v>
      </c>
      <c r="K5" s="60" t="s">
        <v>1280</v>
      </c>
      <c r="L5" s="60" t="s">
        <v>1336</v>
      </c>
      <c r="M5" s="62">
        <f>VLOOKUP(RelationTable[Relate Resource],CHOOSE({1,2},ResourceTable[Name],ResourceTable[No]),2,0)</f>
        <v>305108</v>
      </c>
      <c r="N5" s="63">
        <f>RelationTable[RELID]</f>
        <v>308103</v>
      </c>
      <c r="P5" s="7" t="str">
        <f>'Table Seed Map'!$A$9&amp;"-"&amp;COUNTA($Q$1:ResourceScopes[[#This Row],[Resource for Scope]])-1</f>
        <v>Resource Scopes-3</v>
      </c>
      <c r="Q5" s="4" t="s">
        <v>1285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305116</v>
      </c>
      <c r="U5" s="4" t="s">
        <v>1587</v>
      </c>
      <c r="V5" s="4" t="s">
        <v>1593</v>
      </c>
      <c r="W5" s="4" t="s">
        <v>1589</v>
      </c>
    </row>
    <row r="6" spans="1:23" x14ac:dyDescent="0.25">
      <c r="A6" s="61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AreaUser/Area</v>
      </c>
      <c r="D6" s="60">
        <f>RelationTable[[#This Row],[No]]</f>
        <v>308104</v>
      </c>
      <c r="E6" s="7" t="s">
        <v>1285</v>
      </c>
      <c r="F6" s="7" t="s">
        <v>1284</v>
      </c>
      <c r="G6" s="60">
        <f>RelationTable[[#This Row],[No]]</f>
        <v>308104</v>
      </c>
      <c r="H6" s="60">
        <f>IF(RelationTable[[#This Row],[No]]="id","resource",VLOOKUP(RelationTable[Resource],CHOOSE({1,2},ResourceTable[Name],ResourceTable[No]),2,0))</f>
        <v>305116</v>
      </c>
      <c r="I6" s="60" t="s">
        <v>1284</v>
      </c>
      <c r="J6" s="60" t="s">
        <v>1333</v>
      </c>
      <c r="K6" s="60" t="s">
        <v>1284</v>
      </c>
      <c r="L6" s="60" t="s">
        <v>1336</v>
      </c>
      <c r="M6" s="62">
        <f>VLOOKUP(RelationTable[Relate Resource],CHOOSE({1,2},ResourceTable[Name],ResourceTable[No]),2,0)</f>
        <v>305115</v>
      </c>
      <c r="N6" s="63">
        <f>RelationTable[RELID]</f>
        <v>308104</v>
      </c>
      <c r="P6" s="7" t="str">
        <f>'Table Seed Map'!$A$9&amp;"-"&amp;COUNTA($Q$1:ResourceScopes[[#This Row],[Resource for Scope]])-1</f>
        <v>Resource Scopes-4</v>
      </c>
      <c r="Q6" s="4" t="s">
        <v>1291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305119</v>
      </c>
      <c r="U6" s="4" t="s">
        <v>1600</v>
      </c>
      <c r="V6" s="4" t="s">
        <v>1602</v>
      </c>
      <c r="W6" s="4" t="s">
        <v>1601</v>
      </c>
    </row>
    <row r="7" spans="1:23" x14ac:dyDescent="0.25">
      <c r="A7" s="61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AreaUser/Customer</v>
      </c>
      <c r="D7" s="60">
        <f>RelationTable[[#This Row],[No]]</f>
        <v>308105</v>
      </c>
      <c r="E7" s="7" t="s">
        <v>1285</v>
      </c>
      <c r="F7" s="7" t="s">
        <v>74</v>
      </c>
      <c r="G7" s="60">
        <f>RelationTable[[#This Row],[No]]</f>
        <v>308105</v>
      </c>
      <c r="H7" s="60">
        <f>IF(RelationTable[[#This Row],[No]]="id","resource",VLOOKUP(RelationTable[Resource],CHOOSE({1,2},ResourceTable[Name],ResourceTable[No]),2,0))</f>
        <v>305116</v>
      </c>
      <c r="I7" s="60" t="s">
        <v>1585</v>
      </c>
      <c r="J7" s="60" t="s">
        <v>1594</v>
      </c>
      <c r="K7" s="60" t="s">
        <v>1585</v>
      </c>
      <c r="L7" s="60" t="s">
        <v>1336</v>
      </c>
      <c r="M7" s="62">
        <f>VLOOKUP(RelationTable[Relate Resource],CHOOSE({1,2},ResourceTable[Name],ResourceTable[No]),2,0)</f>
        <v>305101</v>
      </c>
      <c r="N7" s="63">
        <f>RelationTable[RELID]</f>
        <v>308105</v>
      </c>
      <c r="P7" s="7" t="str">
        <f>'Table Seed Map'!$A$9&amp;"-"&amp;COUNTA($Q$1:ResourceScopes[[#This Row],[Resource for Scope]])-1</f>
        <v>Resource Scopes-5</v>
      </c>
      <c r="Q7" s="4" t="s">
        <v>1288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305121</v>
      </c>
      <c r="U7" s="4" t="s">
        <v>1604</v>
      </c>
      <c r="V7" s="4" t="s">
        <v>1605</v>
      </c>
      <c r="W7" s="4" t="s">
        <v>1606</v>
      </c>
    </row>
    <row r="8" spans="1:23" x14ac:dyDescent="0.25">
      <c r="A8" s="61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Area/User</v>
      </c>
      <c r="D8" s="60">
        <f>RelationTable[[#This Row],[No]]</f>
        <v>308106</v>
      </c>
      <c r="E8" s="7" t="s">
        <v>1284</v>
      </c>
      <c r="F8" s="7" t="s">
        <v>74</v>
      </c>
      <c r="G8" s="60">
        <f>RelationTable[[#This Row],[No]]</f>
        <v>308106</v>
      </c>
      <c r="H8" s="60">
        <f>IF(RelationTable[[#This Row],[No]]="id","resource",VLOOKUP(RelationTable[Resource],CHOOSE({1,2},ResourceTable[Name],ResourceTable[No]),2,0))</f>
        <v>305115</v>
      </c>
      <c r="I8" s="60" t="s">
        <v>74</v>
      </c>
      <c r="J8" s="60" t="s">
        <v>1335</v>
      </c>
      <c r="K8" s="60" t="s">
        <v>74</v>
      </c>
      <c r="L8" s="60" t="s">
        <v>1337</v>
      </c>
      <c r="M8" s="62">
        <f>VLOOKUP(RelationTable[Relate Resource],CHOOSE({1,2},ResourceTable[Name],ResourceTable[No]),2,0)</f>
        <v>305101</v>
      </c>
      <c r="N8" s="63">
        <f>RelationTable[RELID]</f>
        <v>308106</v>
      </c>
      <c r="P8" s="7" t="str">
        <f>'Table Seed Map'!$A$9&amp;"-"&amp;COUNTA($Q$1:ResourceScopes[[#This Row],[Resource for Scope]])-1</f>
        <v>Resource Scopes-6</v>
      </c>
      <c r="Q8" s="4" t="s">
        <v>1619</v>
      </c>
      <c r="R8" s="7" t="str">
        <f>ResourceScopes[[#This Row],[Resource for Scope]]&amp;"/"&amp;ResourceScopes[[#This Row],[Name]]</f>
        <v>Receipt/AssignedCustomerReceipts</v>
      </c>
      <c r="S8" s="60">
        <f>IF(ResourceScopes[[#This Row],[Resource for Scope]]="","id",-1+COUNTA($Q$1:ResourceScopes[[#This Row],[Resource for Scope]])+VLOOKUP('Table Seed Map'!$A$9,SeedMap[],9,0))</f>
        <v>307106</v>
      </c>
      <c r="T8" s="60">
        <f>IFERROR(VLOOKUP(ResourceScopes[[#This Row],[Resource for Scope]],CHOOSE({1,2},ResourceTable[Name],ResourceTable[No]),2,0),"resource")</f>
        <v>305126</v>
      </c>
      <c r="U8" s="4" t="s">
        <v>1635</v>
      </c>
      <c r="V8" s="4" t="s">
        <v>1636</v>
      </c>
      <c r="W8" s="4" t="s">
        <v>1637</v>
      </c>
    </row>
    <row r="9" spans="1:23" x14ac:dyDescent="0.25">
      <c r="A9" s="61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Setting/Users</v>
      </c>
      <c r="D9" s="60">
        <f>RelationTable[[#This Row],[No]]</f>
        <v>308107</v>
      </c>
      <c r="E9" s="7" t="s">
        <v>1277</v>
      </c>
      <c r="F9" s="7" t="s">
        <v>1286</v>
      </c>
      <c r="G9" s="60">
        <f>RelationTable[[#This Row],[No]]</f>
        <v>308107</v>
      </c>
      <c r="H9" s="60">
        <f>IF(RelationTable[[#This Row],[No]]="id","resource",VLOOKUP(RelationTable[Resource],CHOOSE({1,2},ResourceTable[Name],ResourceTable[No]),2,0))</f>
        <v>305105</v>
      </c>
      <c r="I9" s="60" t="s">
        <v>78</v>
      </c>
      <c r="J9" s="60" t="s">
        <v>1401</v>
      </c>
      <c r="K9" s="60" t="s">
        <v>78</v>
      </c>
      <c r="L9" s="60" t="s">
        <v>1328</v>
      </c>
      <c r="M9" s="62">
        <f>VLOOKUP(RelationTable[Relate Resource],CHOOSE({1,2},ResourceTable[Name],ResourceTable[No]),2,0)</f>
        <v>305117</v>
      </c>
      <c r="N9" s="63">
        <f>RelationTable[RELID]</f>
        <v>308107</v>
      </c>
      <c r="P9" s="7" t="str">
        <f>'Table Seed Map'!$A$9&amp;"-"&amp;COUNTA($Q$1:ResourceScopes[[#This Row],[Resource for Scope]])-1</f>
        <v>Resource Scopes-7</v>
      </c>
      <c r="Q9" s="4" t="s">
        <v>1288</v>
      </c>
      <c r="R9" s="7" t="str">
        <f>ResourceScopes[[#This Row],[Resource for Scope]]&amp;"/"&amp;ResourceScopes[[#This Row],[Name]]</f>
        <v>Transaction/StockTransferPending</v>
      </c>
      <c r="S9" s="60">
        <f>IF(ResourceScopes[[#This Row],[Resource for Scope]]="","id",-1+COUNTA($Q$1:ResourceScopes[[#This Row],[Resource for Scope]])+VLOOKUP('Table Seed Map'!$A$9,SeedMap[],9,0))</f>
        <v>307107</v>
      </c>
      <c r="T9" s="60">
        <f>IFERROR(VLOOKUP(ResourceScopes[[#This Row],[Resource for Scope]],CHOOSE({1,2},ResourceTable[Name],ResourceTable[No]),2,0),"resource")</f>
        <v>305121</v>
      </c>
      <c r="U9" s="4" t="s">
        <v>1671</v>
      </c>
      <c r="V9" s="4" t="s">
        <v>1676</v>
      </c>
      <c r="W9" s="4" t="s">
        <v>1668</v>
      </c>
    </row>
    <row r="10" spans="1:23" x14ac:dyDescent="0.25">
      <c r="A10" s="61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User/Area</v>
      </c>
      <c r="D10" s="60">
        <f>RelationTable[[#This Row],[No]]</f>
        <v>308108</v>
      </c>
      <c r="E10" s="7" t="s">
        <v>74</v>
      </c>
      <c r="F10" s="7" t="s">
        <v>1284</v>
      </c>
      <c r="G10" s="60">
        <f>RelationTable[[#This Row],[No]]</f>
        <v>308108</v>
      </c>
      <c r="H10" s="60">
        <f>IF(RelationTable[[#This Row],[No]]="id","resource",VLOOKUP(RelationTable[Resource],CHOOSE({1,2},ResourceTable[Name],ResourceTable[No]),2,0))</f>
        <v>305101</v>
      </c>
      <c r="I10" s="60" t="s">
        <v>1284</v>
      </c>
      <c r="J10" s="60" t="s">
        <v>1333</v>
      </c>
      <c r="K10" s="60" t="s">
        <v>1284</v>
      </c>
      <c r="L10" s="60" t="s">
        <v>1337</v>
      </c>
      <c r="M10" s="62">
        <f>VLOOKUP(RelationTable[Relate Resource],CHOOSE({1,2},ResourceTable[Name],ResourceTable[No]),2,0)</f>
        <v>305115</v>
      </c>
      <c r="N10" s="63">
        <f>RelationTable[RELID]</f>
        <v>308108</v>
      </c>
      <c r="P10" s="7" t="str">
        <f>'Table Seed Map'!$A$9&amp;"-"&amp;COUNTA($Q$1:ResourceScopes[[#This Row],[Resource for Scope]])-1</f>
        <v>Resource Scopes-8</v>
      </c>
      <c r="Q10" s="4" t="s">
        <v>1293</v>
      </c>
      <c r="R10" s="7" t="str">
        <f>ResourceScopes[[#This Row],[Resource for Scope]]&amp;"/"&amp;ResourceScopes[[#This Row],[Name]]</f>
        <v>StockTransfer/PendingStockTransfer</v>
      </c>
      <c r="S10" s="60">
        <f>IF(ResourceScopes[[#This Row],[Resource for Scope]]="","id",-1+COUNTA($Q$1:ResourceScopes[[#This Row],[Resource for Scope]])+VLOOKUP('Table Seed Map'!$A$9,SeedMap[],9,0))</f>
        <v>307108</v>
      </c>
      <c r="T10" s="60">
        <f>IFERROR(VLOOKUP(ResourceScopes[[#This Row],[Resource for Scope]],CHOOSE({1,2},ResourceTable[Name],ResourceTable[No]),2,0),"resource")</f>
        <v>305124</v>
      </c>
      <c r="U10" s="4" t="s">
        <v>1669</v>
      </c>
      <c r="V10" s="4" t="s">
        <v>1675</v>
      </c>
      <c r="W10" s="4" t="s">
        <v>1670</v>
      </c>
    </row>
    <row r="11" spans="1:23" x14ac:dyDescent="0.25">
      <c r="A11" s="61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UserSetting/Settings</v>
      </c>
      <c r="D11" s="60">
        <f>RelationTable[[#This Row],[No]]</f>
        <v>308109</v>
      </c>
      <c r="E11" s="7" t="s">
        <v>1286</v>
      </c>
      <c r="F11" s="7" t="s">
        <v>1277</v>
      </c>
      <c r="G11" s="60">
        <f>RelationTable[[#This Row],[No]]</f>
        <v>308109</v>
      </c>
      <c r="H11" s="60">
        <f>IF(RelationTable[[#This Row],[No]]="id","resource",VLOOKUP(RelationTable[Resource],CHOOSE({1,2},ResourceTable[Name],ResourceTable[No]),2,0))</f>
        <v>305117</v>
      </c>
      <c r="I11" s="60" t="s">
        <v>1295</v>
      </c>
      <c r="J11" s="60" t="s">
        <v>1338</v>
      </c>
      <c r="K11" s="60" t="s">
        <v>1295</v>
      </c>
      <c r="L11" s="60" t="s">
        <v>1336</v>
      </c>
      <c r="M11" s="62">
        <f>VLOOKUP(RelationTable[Relate Resource],CHOOSE({1,2},ResourceTable[Name],ResourceTable[No]),2,0)</f>
        <v>305105</v>
      </c>
      <c r="N11" s="63">
        <f>RelationTable[RELID]</f>
        <v>308109</v>
      </c>
      <c r="P11" s="8" t="str">
        <f>'Table Seed Map'!$A$9&amp;"-"&amp;COUNTA($Q$1:ResourceScopes[[#This Row],[Resource for Scope]])-1</f>
        <v>Resource Scopes-9</v>
      </c>
      <c r="Q11" s="4" t="s">
        <v>1633</v>
      </c>
      <c r="R11" s="8" t="str">
        <f>ResourceScopes[[#This Row],[Resource for Scope]]&amp;"/"&amp;ResourceScopes[[#This Row],[Name]]</f>
        <v>FnReserve/UncompletedReserves</v>
      </c>
      <c r="S11" s="30">
        <f>IF(ResourceScopes[[#This Row],[Resource for Scope]]="","id",-1+COUNTA($Q$1:ResourceScopes[[#This Row],[Resource for Scope]])+VLOOKUP('Table Seed Map'!$A$9,SeedMap[],9,0))</f>
        <v>307109</v>
      </c>
      <c r="T11" s="30">
        <f>IFERROR(VLOOKUP(ResourceScopes[[#This Row],[Resource for Scope]],CHOOSE({1,2},ResourceTable[Name],ResourceTable[No]),2,0),"resource")</f>
        <v>305127</v>
      </c>
      <c r="U11" s="5" t="s">
        <v>1801</v>
      </c>
      <c r="V11" s="5" t="s">
        <v>1802</v>
      </c>
      <c r="W11" s="5" t="s">
        <v>1803</v>
      </c>
    </row>
    <row r="12" spans="1:23" x14ac:dyDescent="0.25">
      <c r="A12" s="61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User/Settings</v>
      </c>
      <c r="D12" s="60">
        <f>RelationTable[[#This Row],[No]]</f>
        <v>308110</v>
      </c>
      <c r="E12" s="7" t="s">
        <v>74</v>
      </c>
      <c r="F12" s="7" t="s">
        <v>1286</v>
      </c>
      <c r="G12" s="60">
        <f>RelationTable[[#This Row],[No]]</f>
        <v>308110</v>
      </c>
      <c r="H12" s="60">
        <f>IF(RelationTable[[#This Row],[No]]="id","resource",VLOOKUP(RelationTable[Resource],CHOOSE({1,2},ResourceTable[Name],ResourceTable[No]),2,0))</f>
        <v>305101</v>
      </c>
      <c r="I12" s="60" t="s">
        <v>1295</v>
      </c>
      <c r="J12" s="60" t="s">
        <v>1339</v>
      </c>
      <c r="K12" s="60" t="s">
        <v>1295</v>
      </c>
      <c r="L12" s="60" t="s">
        <v>1328</v>
      </c>
      <c r="M12" s="62">
        <f>VLOOKUP(RelationTable[Relate Resource],CHOOSE({1,2},ResourceTable[Name],ResourceTable[No]),2,0)</f>
        <v>305117</v>
      </c>
      <c r="N12" s="63">
        <f>RelationTable[RELID]</f>
        <v>308110</v>
      </c>
      <c r="P12" s="8" t="str">
        <f>'Table Seed Map'!$A$9&amp;"-"&amp;COUNTA($Q$1:ResourceScopes[[#This Row],[Resource for Scope]])-1</f>
        <v>Resource Scopes-10</v>
      </c>
      <c r="Q12" s="5" t="s">
        <v>74</v>
      </c>
      <c r="R12" s="8" t="str">
        <f>ResourceScopes[[#This Row],[Resource for Scope]]&amp;"/"&amp;ResourceScopes[[#This Row],[Name]]</f>
        <v>User/LoginUsers</v>
      </c>
      <c r="S12" s="30">
        <f>IF(ResourceScopes[[#This Row],[Resource for Scope]]="","id",-1+COUNTA($Q$1:ResourceScopes[[#This Row],[Resource for Scope]])+VLOOKUP('Table Seed Map'!$A$9,SeedMap[],9,0))</f>
        <v>307110</v>
      </c>
      <c r="T12" s="30">
        <f>IFERROR(VLOOKUP(ResourceScopes[[#This Row],[Resource for Scope]],CHOOSE({1,2},ResourceTable[Name],ResourceTable[No]),2,0),"resource")</f>
        <v>305101</v>
      </c>
      <c r="U12" s="5" t="s">
        <v>1888</v>
      </c>
      <c r="V12" s="5" t="s">
        <v>1889</v>
      </c>
      <c r="W12" s="5" t="s">
        <v>1890</v>
      </c>
    </row>
    <row r="13" spans="1:23" x14ac:dyDescent="0.25">
      <c r="A13" s="61" t="str">
        <f>Page&amp;"-"&amp;(COUNTA($E$1:RelationTable[[#This Row],[Resource]])-1)</f>
        <v>Resource Relations-11</v>
      </c>
      <c r="B13" s="58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60" t="str">
        <f>RelationTable[[#This Row],[Resource]]&amp;"/"&amp;RelationTable[[#This Row],[Method]]</f>
        <v>UserSetting/User</v>
      </c>
      <c r="D13" s="60">
        <f>RelationTable[[#This Row],[No]]</f>
        <v>308111</v>
      </c>
      <c r="E13" s="7" t="s">
        <v>1286</v>
      </c>
      <c r="F13" s="7" t="s">
        <v>74</v>
      </c>
      <c r="G13" s="60">
        <f>RelationTable[[#This Row],[No]]</f>
        <v>308111</v>
      </c>
      <c r="H13" s="60">
        <f>IF(RelationTable[[#This Row],[No]]="id","resource",VLOOKUP(RelationTable[Resource],CHOOSE({1,2},ResourceTable[Name],ResourceTable[No]),2,0))</f>
        <v>305117</v>
      </c>
      <c r="I13" s="60" t="s">
        <v>74</v>
      </c>
      <c r="J13" s="60" t="s">
        <v>1402</v>
      </c>
      <c r="K13" s="60" t="s">
        <v>74</v>
      </c>
      <c r="L13" s="60" t="s">
        <v>1336</v>
      </c>
      <c r="M13" s="62">
        <f>VLOOKUP(RelationTable[Relate Resource],CHOOSE({1,2},ResourceTable[Name],ResourceTable[No]),2,0)</f>
        <v>305101</v>
      </c>
      <c r="N13" s="63">
        <f>RelationTable[RELID]</f>
        <v>308111</v>
      </c>
      <c r="P13" s="8" t="str">
        <f>'Table Seed Map'!$A$9&amp;"-"&amp;COUNTA($Q$1:ResourceScopes[[#This Row],[Resource for Scope]])-1</f>
        <v>Resource Scopes-11</v>
      </c>
      <c r="Q13" s="5" t="s">
        <v>74</v>
      </c>
      <c r="R13" s="8" t="str">
        <f>ResourceScopes[[#This Row],[Resource for Scope]]&amp;"/"&amp;ResourceScopes[[#This Row],[Name]]</f>
        <v>User/LoginExecutives</v>
      </c>
      <c r="S13" s="30">
        <f>IF(ResourceScopes[[#This Row],[Resource for Scope]]="","id",-1+COUNTA($Q$1:ResourceScopes[[#This Row],[Resource for Scope]])+VLOOKUP('Table Seed Map'!$A$9,SeedMap[],9,0))</f>
        <v>307111</v>
      </c>
      <c r="T13" s="30">
        <f>IFERROR(VLOOKUP(ResourceScopes[[#This Row],[Resource for Scope]],CHOOSE({1,2},ResourceTable[Name],ResourceTable[No]),2,0),"resource")</f>
        <v>305101</v>
      </c>
      <c r="U13" s="5" t="s">
        <v>1893</v>
      </c>
      <c r="V13" s="5" t="s">
        <v>1892</v>
      </c>
      <c r="W13" s="5" t="s">
        <v>1891</v>
      </c>
    </row>
    <row r="14" spans="1:23" x14ac:dyDescent="0.25">
      <c r="A14" s="61" t="str">
        <f>Page&amp;"-"&amp;(COUNTA($E$1:RelationTable[[#This Row],[Resource]])-1)</f>
        <v>Resource Relations-12</v>
      </c>
      <c r="B14" s="58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60" t="str">
        <f>RelationTable[[#This Row],[Resource]]&amp;"/"&amp;RelationTable[[#This Row],[Method]]</f>
        <v>User/StoreAndArea</v>
      </c>
      <c r="D14" s="60">
        <f>RelationTable[[#This Row],[No]]</f>
        <v>308112</v>
      </c>
      <c r="E14" s="7" t="s">
        <v>74</v>
      </c>
      <c r="F14" s="7" t="s">
        <v>1287</v>
      </c>
      <c r="G14" s="60">
        <f>RelationTable[[#This Row],[No]]</f>
        <v>308112</v>
      </c>
      <c r="H14" s="60">
        <f>IF(RelationTable[[#This Row],[No]]="id","resource",VLOOKUP(RelationTable[Resource],CHOOSE({1,2},ResourceTable[Name],ResourceTable[No]),2,0))</f>
        <v>305101</v>
      </c>
      <c r="I14" s="60" t="s">
        <v>1340</v>
      </c>
      <c r="J14" s="60" t="s">
        <v>1341</v>
      </c>
      <c r="K14" s="60" t="s">
        <v>1340</v>
      </c>
      <c r="L14" s="60" t="s">
        <v>1328</v>
      </c>
      <c r="M14" s="62">
        <f>VLOOKUP(RelationTable[Relate Resource],CHOOSE({1,2},ResourceTable[Name],ResourceTable[No]),2,0)</f>
        <v>305118</v>
      </c>
      <c r="N14" s="63">
        <f>RelationTable[RELID]</f>
        <v>308112</v>
      </c>
      <c r="P14" s="8" t="str">
        <f>'Table Seed Map'!$A$9&amp;"-"&amp;COUNTA($Q$1:ResourceScopes[[#This Row],[Resource for Scope]])-1</f>
        <v>Resource Scopes-12</v>
      </c>
      <c r="Q14" s="5" t="s">
        <v>74</v>
      </c>
      <c r="R14" s="8" t="str">
        <f>ResourceScopes[[#This Row],[Resource for Scope]]&amp;"/"&amp;ResourceScopes[[#This Row],[Name]]</f>
        <v>User/Executives</v>
      </c>
      <c r="S14" s="30">
        <f>IF(ResourceScopes[[#This Row],[Resource for Scope]]="","id",-1+COUNTA($Q$1:ResourceScopes[[#This Row],[Resource for Scope]])+VLOOKUP('Table Seed Map'!$A$9,SeedMap[],9,0))</f>
        <v>307112</v>
      </c>
      <c r="T14" s="30">
        <f>IFERROR(VLOOKUP(ResourceScopes[[#This Row],[Resource for Scope]],CHOOSE({1,2},ResourceTable[Name],ResourceTable[No]),2,0),"resource")</f>
        <v>305101</v>
      </c>
      <c r="U14" s="5" t="s">
        <v>2065</v>
      </c>
      <c r="V14" s="5" t="s">
        <v>2066</v>
      </c>
      <c r="W14" s="5" t="s">
        <v>2067</v>
      </c>
    </row>
    <row r="15" spans="1:23" x14ac:dyDescent="0.25">
      <c r="A15" s="61" t="str">
        <f>Page&amp;"-"&amp;(COUNTA($E$1:RelationTable[[#This Row],[Resource]])-1)</f>
        <v>Resource Relations-13</v>
      </c>
      <c r="B15" s="58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60" t="str">
        <f>RelationTable[[#This Row],[Resource]]&amp;"/"&amp;RelationTable[[#This Row],[Method]]</f>
        <v>UserStoreArea/Area</v>
      </c>
      <c r="D15" s="60">
        <f>RelationTable[[#This Row],[No]]</f>
        <v>308113</v>
      </c>
      <c r="E15" s="7" t="s">
        <v>1287</v>
      </c>
      <c r="F15" s="7" t="s">
        <v>1284</v>
      </c>
      <c r="G15" s="60">
        <f>RelationTable[[#This Row],[No]]</f>
        <v>308113</v>
      </c>
      <c r="H15" s="60">
        <f>IF(RelationTable[[#This Row],[No]]="id","resource",VLOOKUP(RelationTable[Resource],CHOOSE({1,2},ResourceTable[Name],ResourceTable[No]),2,0))</f>
        <v>305118</v>
      </c>
      <c r="I15" s="60" t="s">
        <v>1284</v>
      </c>
      <c r="J15" s="60" t="s">
        <v>1342</v>
      </c>
      <c r="K15" s="60" t="s">
        <v>1284</v>
      </c>
      <c r="L15" s="60" t="s">
        <v>1336</v>
      </c>
      <c r="M15" s="62">
        <f>VLOOKUP(RelationTable[Relate Resource],CHOOSE({1,2},ResourceTable[Name],ResourceTable[No]),2,0)</f>
        <v>305115</v>
      </c>
      <c r="N15" s="63">
        <f>RelationTable[RELID]</f>
        <v>308113</v>
      </c>
      <c r="P15" s="8" t="str">
        <f>'Table Seed Map'!$A$9&amp;"-"&amp;COUNTA($Q$1:ResourceScopes[[#This Row],[Resource for Scope]])-1</f>
        <v>Resource Scopes-13</v>
      </c>
      <c r="Q15" s="5" t="s">
        <v>2117</v>
      </c>
      <c r="R15" s="8" t="str">
        <f>ResourceScopes[[#This Row],[Resource for Scope]]&amp;"/"&amp;ResourceScopes[[#This Row],[Name]]</f>
        <v>Shift/OwnShifts</v>
      </c>
      <c r="S15" s="30">
        <f>IF(ResourceScopes[[#This Row],[Resource for Scope]]="","id",-1+COUNTA($Q$1:ResourceScopes[[#This Row],[Resource for Scope]])+VLOOKUP('Table Seed Map'!$A$9,SeedMap[],9,0))</f>
        <v>307113</v>
      </c>
      <c r="T15" s="30">
        <f>IFERROR(VLOOKUP(ResourceScopes[[#This Row],[Resource for Scope]],CHOOSE({1,2},ResourceTable[Name],ResourceTable[No]),2,0),"resource")</f>
        <v>305130</v>
      </c>
      <c r="U15" s="5" t="s">
        <v>2123</v>
      </c>
      <c r="V15" s="5" t="s">
        <v>2124</v>
      </c>
      <c r="W15" s="5" t="s">
        <v>2125</v>
      </c>
    </row>
    <row r="16" spans="1:23" x14ac:dyDescent="0.25">
      <c r="A16" s="61" t="str">
        <f>Page&amp;"-"&amp;(COUNTA($E$1:RelationTable[[#This Row],[Resource]])-1)</f>
        <v>Resource Relations-14</v>
      </c>
      <c r="B16" s="58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60" t="str">
        <f>RelationTable[[#This Row],[Resource]]&amp;"/"&amp;RelationTable[[#This Row],[Method]]</f>
        <v>UserStoreArea/Store</v>
      </c>
      <c r="D16" s="60">
        <f>RelationTable[[#This Row],[No]]</f>
        <v>308114</v>
      </c>
      <c r="E16" s="7" t="s">
        <v>1287</v>
      </c>
      <c r="F16" s="7" t="s">
        <v>1283</v>
      </c>
      <c r="G16" s="60">
        <f>RelationTable[[#This Row],[No]]</f>
        <v>308114</v>
      </c>
      <c r="H16" s="60">
        <f>IF(RelationTable[[#This Row],[No]]="id","resource",VLOOKUP(RelationTable[Resource],CHOOSE({1,2},ResourceTable[Name],ResourceTable[No]),2,0))</f>
        <v>305118</v>
      </c>
      <c r="I16" s="60" t="s">
        <v>1283</v>
      </c>
      <c r="J16" s="60" t="s">
        <v>1343</v>
      </c>
      <c r="K16" s="60" t="s">
        <v>1283</v>
      </c>
      <c r="L16" s="60" t="s">
        <v>1336</v>
      </c>
      <c r="M16" s="62">
        <f>VLOOKUP(RelationTable[Relate Resource],CHOOSE({1,2},ResourceTable[Name],ResourceTable[No]),2,0)</f>
        <v>305114</v>
      </c>
      <c r="N16" s="63">
        <f>RelationTable[RELID]</f>
        <v>308114</v>
      </c>
      <c r="P16" s="8" t="str">
        <f>'Table Seed Map'!$A$9&amp;"-"&amp;COUNTA($Q$1:ResourceScopes[[#This Row],[Resource for Scope]])-1</f>
        <v>Resource Scopes-14</v>
      </c>
      <c r="Q16" s="5" t="s">
        <v>2120</v>
      </c>
      <c r="R16" s="8" t="str">
        <f>ResourceScopes[[#This Row],[Resource for Scope]]&amp;"/"&amp;ResourceScopes[[#This Row],[Name]]</f>
        <v>ShiftTransaction/OwnShiftTransactions</v>
      </c>
      <c r="S16" s="30">
        <f>IF(ResourceScopes[[#This Row],[Resource for Scope]]="","id",-1+COUNTA($Q$1:ResourceScopes[[#This Row],[Resource for Scope]])+VLOOKUP('Table Seed Map'!$A$9,SeedMap[],9,0))</f>
        <v>307114</v>
      </c>
      <c r="T16" s="30">
        <f>IFERROR(VLOOKUP(ResourceScopes[[#This Row],[Resource for Scope]],CHOOSE({1,2},ResourceTable[Name],ResourceTable[No]),2,0),"resource")</f>
        <v>305131</v>
      </c>
      <c r="U16" s="5" t="s">
        <v>2130</v>
      </c>
      <c r="V16" s="5" t="s">
        <v>2131</v>
      </c>
      <c r="W16" s="5" t="s">
        <v>2125</v>
      </c>
    </row>
    <row r="17" spans="1:14" x14ac:dyDescent="0.25">
      <c r="A17" s="61" t="str">
        <f>Page&amp;"-"&amp;(COUNTA($E$1:RelationTable[[#This Row],[Resource]])-1)</f>
        <v>Resource Relations-15</v>
      </c>
      <c r="B17" s="58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60" t="str">
        <f>RelationTable[[#This Row],[Resource]]&amp;"/"&amp;RelationTable[[#This Row],[Method]]</f>
        <v>UserStoreArea/User</v>
      </c>
      <c r="D17" s="60">
        <f>RelationTable[[#This Row],[No]]</f>
        <v>308115</v>
      </c>
      <c r="E17" s="7" t="s">
        <v>1287</v>
      </c>
      <c r="F17" s="7" t="s">
        <v>74</v>
      </c>
      <c r="G17" s="60">
        <f>RelationTable[[#This Row],[No]]</f>
        <v>308115</v>
      </c>
      <c r="H17" s="60">
        <f>IF(RelationTable[[#This Row],[No]]="id","resource",VLOOKUP(RelationTable[Resource],CHOOSE({1,2},ResourceTable[Name],ResourceTable[No]),2,0))</f>
        <v>305118</v>
      </c>
      <c r="I17" s="60" t="s">
        <v>74</v>
      </c>
      <c r="J17" s="60" t="s">
        <v>1344</v>
      </c>
      <c r="K17" s="60" t="s">
        <v>74</v>
      </c>
      <c r="L17" s="60" t="s">
        <v>1336</v>
      </c>
      <c r="M17" s="62">
        <f>VLOOKUP(RelationTable[Relate Resource],CHOOSE({1,2},ResourceTable[Name],ResourceTable[No]),2,0)</f>
        <v>305101</v>
      </c>
      <c r="N17" s="63">
        <f>RelationTable[RELID]</f>
        <v>308115</v>
      </c>
    </row>
    <row r="18" spans="1:14" x14ac:dyDescent="0.25">
      <c r="A18" s="61" t="str">
        <f>Page&amp;"-"&amp;(COUNTA($E$1:RelationTable[[#This Row],[Resource]])-1)</f>
        <v>Resource Relations-16</v>
      </c>
      <c r="B18" s="58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60" t="str">
        <f>RelationTable[[#This Row],[Resource]]&amp;"/"&amp;RelationTable[[#This Row],[Method]]</f>
        <v>Store/Users</v>
      </c>
      <c r="D18" s="60">
        <f>RelationTable[[#This Row],[No]]</f>
        <v>308116</v>
      </c>
      <c r="E18" s="7" t="s">
        <v>1283</v>
      </c>
      <c r="F18" s="7" t="s">
        <v>74</v>
      </c>
      <c r="G18" s="60">
        <f>RelationTable[[#This Row],[No]]</f>
        <v>308116</v>
      </c>
      <c r="H18" s="60">
        <f>IF(RelationTable[[#This Row],[No]]="id","resource",VLOOKUP(RelationTable[Resource],CHOOSE({1,2},ResourceTable[Name],ResourceTable[No]),2,0))</f>
        <v>305114</v>
      </c>
      <c r="I18" s="60" t="s">
        <v>78</v>
      </c>
      <c r="J18" s="60" t="s">
        <v>1345</v>
      </c>
      <c r="K18" s="60" t="s">
        <v>78</v>
      </c>
      <c r="L18" s="60" t="s">
        <v>1337</v>
      </c>
      <c r="M18" s="62">
        <f>VLOOKUP(RelationTable[Relate Resource],CHOOSE({1,2},ResourceTable[Name],ResourceTable[No]),2,0)</f>
        <v>305101</v>
      </c>
      <c r="N18" s="63">
        <f>RelationTable[RELID]</f>
        <v>308116</v>
      </c>
    </row>
    <row r="19" spans="1:14" x14ac:dyDescent="0.25">
      <c r="A19" s="61" t="str">
        <f>Page&amp;"-"&amp;(COUNTA($E$1:RelationTable[[#This Row],[Resource]])-1)</f>
        <v>Resource Relations-17</v>
      </c>
      <c r="B19" s="58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60" t="str">
        <f>RelationTable[[#This Row],[Resource]]&amp;"/"&amp;RelationTable[[#This Row],[Method]]</f>
        <v>Area/StoreAndUser</v>
      </c>
      <c r="D19" s="60">
        <f>RelationTable[[#This Row],[No]]</f>
        <v>308117</v>
      </c>
      <c r="E19" s="7" t="s">
        <v>1284</v>
      </c>
      <c r="F19" s="7" t="s">
        <v>1287</v>
      </c>
      <c r="G19" s="60">
        <f>RelationTable[[#This Row],[No]]</f>
        <v>308117</v>
      </c>
      <c r="H19" s="60">
        <f>IF(RelationTable[[#This Row],[No]]="id","resource",VLOOKUP(RelationTable[Resource],CHOOSE({1,2},ResourceTable[Name],ResourceTable[No]),2,0))</f>
        <v>305115</v>
      </c>
      <c r="I19" s="60" t="s">
        <v>1346</v>
      </c>
      <c r="J19" s="60" t="s">
        <v>1347</v>
      </c>
      <c r="K19" s="60" t="s">
        <v>1346</v>
      </c>
      <c r="L19" s="60" t="s">
        <v>1328</v>
      </c>
      <c r="M19" s="62">
        <f>VLOOKUP(RelationTable[Relate Resource],CHOOSE({1,2},ResourceTable[Name],ResourceTable[No]),2,0)</f>
        <v>305118</v>
      </c>
      <c r="N19" s="63">
        <f>RelationTable[RELID]</f>
        <v>308117</v>
      </c>
    </row>
    <row r="20" spans="1:14" x14ac:dyDescent="0.25">
      <c r="A20" s="61" t="str">
        <f>Page&amp;"-"&amp;(COUNTA($E$1:RelationTable[[#This Row],[Resource]])-1)</f>
        <v>Resource Relations-18</v>
      </c>
      <c r="B20" s="58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60" t="str">
        <f>RelationTable[[#This Row],[Resource]]&amp;"/"&amp;RelationTable[[#This Row],[Method]]</f>
        <v>Transaction/Details</v>
      </c>
      <c r="D20" s="60">
        <f>RelationTable[[#This Row],[No]]</f>
        <v>308118</v>
      </c>
      <c r="E20" s="7" t="s">
        <v>1288</v>
      </c>
      <c r="F20" s="7" t="s">
        <v>1289</v>
      </c>
      <c r="G20" s="60">
        <f>RelationTable[[#This Row],[No]]</f>
        <v>308118</v>
      </c>
      <c r="H20" s="60">
        <f>IF(RelationTable[[#This Row],[No]]="id","resource",VLOOKUP(RelationTable[Resource],CHOOSE({1,2},ResourceTable[Name],ResourceTable[No]),2,0))</f>
        <v>305121</v>
      </c>
      <c r="I20" s="60" t="s">
        <v>1348</v>
      </c>
      <c r="J20" s="60" t="s">
        <v>1349</v>
      </c>
      <c r="K20" s="60" t="s">
        <v>1348</v>
      </c>
      <c r="L20" s="60" t="s">
        <v>1328</v>
      </c>
      <c r="M20" s="62">
        <f>VLOOKUP(RelationTable[Relate Resource],CHOOSE({1,2},ResourceTable[Name],ResourceTable[No]),2,0)</f>
        <v>305122</v>
      </c>
      <c r="N20" s="63">
        <f>RelationTable[RELID]</f>
        <v>308118</v>
      </c>
    </row>
    <row r="21" spans="1:14" x14ac:dyDescent="0.25">
      <c r="A21" s="61" t="str">
        <f>Page&amp;"-"&amp;(COUNTA($E$1:RelationTable[[#This Row],[Resource]])-1)</f>
        <v>Resource Relations-19</v>
      </c>
      <c r="B21" s="58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60" t="str">
        <f>RelationTable[[#This Row],[Resource]]&amp;"/"&amp;RelationTable[[#This Row],[Method]]</f>
        <v>SalesOrder/Items</v>
      </c>
      <c r="D21" s="60">
        <f>RelationTable[[#This Row],[No]]</f>
        <v>308119</v>
      </c>
      <c r="E21" s="7" t="s">
        <v>1291</v>
      </c>
      <c r="F21" s="7" t="s">
        <v>1292</v>
      </c>
      <c r="G21" s="60">
        <f>RelationTable[[#This Row],[No]]</f>
        <v>308119</v>
      </c>
      <c r="H21" s="60">
        <f>IF(RelationTable[[#This Row],[No]]="id","resource",VLOOKUP(RelationTable[Resource],CHOOSE({1,2},ResourceTable[Name],ResourceTable[No]),2,0))</f>
        <v>305119</v>
      </c>
      <c r="I21" s="60" t="s">
        <v>1329</v>
      </c>
      <c r="J21" s="60" t="s">
        <v>1350</v>
      </c>
      <c r="K21" s="60" t="s">
        <v>1329</v>
      </c>
      <c r="L21" s="60" t="s">
        <v>1328</v>
      </c>
      <c r="M21" s="62">
        <f>VLOOKUP(RelationTable[Relate Resource],CHOOSE({1,2},ResourceTable[Name],ResourceTable[No]),2,0)</f>
        <v>305120</v>
      </c>
      <c r="N21" s="63">
        <f>RelationTable[RELID]</f>
        <v>308119</v>
      </c>
    </row>
    <row r="22" spans="1:14" x14ac:dyDescent="0.25">
      <c r="A22" s="61" t="str">
        <f>Page&amp;"-"&amp;(COUNTA($E$1:RelationTable[[#This Row],[Resource]])-1)</f>
        <v>Resource Relations-20</v>
      </c>
      <c r="B22" s="58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60" t="str">
        <f>RelationTable[[#This Row],[Resource]]&amp;"/"&amp;RelationTable[[#This Row],[Method]]</f>
        <v>SalesOrderItem/Product</v>
      </c>
      <c r="D22" s="60">
        <f>RelationTable[[#This Row],[No]]</f>
        <v>308120</v>
      </c>
      <c r="E22" s="7" t="s">
        <v>1292</v>
      </c>
      <c r="F22" s="7" t="s">
        <v>1280</v>
      </c>
      <c r="G22" s="60">
        <f>RelationTable[[#This Row],[No]]</f>
        <v>308120</v>
      </c>
      <c r="H22" s="60">
        <f>IF(RelationTable[[#This Row],[No]]="id","resource",VLOOKUP(RelationTable[Resource],CHOOSE({1,2},ResourceTable[Name],ResourceTable[No]),2,0))</f>
        <v>305120</v>
      </c>
      <c r="I22" s="60" t="s">
        <v>1280</v>
      </c>
      <c r="J22" s="60" t="s">
        <v>1351</v>
      </c>
      <c r="K22" s="60" t="s">
        <v>1280</v>
      </c>
      <c r="L22" s="60" t="s">
        <v>1336</v>
      </c>
      <c r="M22" s="62">
        <f>VLOOKUP(RelationTable[Relate Resource],CHOOSE({1,2},ResourceTable[Name],ResourceTable[No]),2,0)</f>
        <v>305108</v>
      </c>
      <c r="N22" s="63">
        <f>RelationTable[RELID]</f>
        <v>308120</v>
      </c>
    </row>
    <row r="23" spans="1:14" x14ac:dyDescent="0.25">
      <c r="A23" s="61" t="str">
        <f>Page&amp;"-"&amp;(COUNTA($E$1:RelationTable[[#This Row],[Resource]])-1)</f>
        <v>Resource Relations-21</v>
      </c>
      <c r="B23" s="58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60" t="str">
        <f>RelationTable[[#This Row],[Resource]]&amp;"/"&amp;RelationTable[[#This Row],[Method]]</f>
        <v>StockTransfer/IN</v>
      </c>
      <c r="D23" s="60">
        <f>RelationTable[[#This Row],[No]]</f>
        <v>308121</v>
      </c>
      <c r="E23" s="7" t="s">
        <v>1293</v>
      </c>
      <c r="F23" s="7" t="s">
        <v>1288</v>
      </c>
      <c r="G23" s="60">
        <f>RelationTable[[#This Row],[No]]</f>
        <v>308121</v>
      </c>
      <c r="H23" s="60">
        <f>IF(RelationTable[[#This Row],[No]]="id","resource",VLOOKUP(RelationTable[Resource],CHOOSE({1,2},ResourceTable[Name],ResourceTable[No]),2,0))</f>
        <v>305124</v>
      </c>
      <c r="I23" s="60" t="s">
        <v>1352</v>
      </c>
      <c r="J23" s="60" t="s">
        <v>1353</v>
      </c>
      <c r="K23" s="60" t="s">
        <v>1352</v>
      </c>
      <c r="L23" s="60" t="s">
        <v>1336</v>
      </c>
      <c r="M23" s="62">
        <f>VLOOKUP(RelationTable[Relate Resource],CHOOSE({1,2},ResourceTable[Name],ResourceTable[No]),2,0)</f>
        <v>305121</v>
      </c>
      <c r="N23" s="63">
        <f>RelationTable[RELID]</f>
        <v>308121</v>
      </c>
    </row>
    <row r="24" spans="1:14" x14ac:dyDescent="0.25">
      <c r="A24" s="61" t="str">
        <f>Page&amp;"-"&amp;(COUNTA($E$1:RelationTable[[#This Row],[Resource]])-1)</f>
        <v>Resource Relations-22</v>
      </c>
      <c r="B24" s="58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60" t="str">
        <f>RelationTable[[#This Row],[Resource]]&amp;"/"&amp;RelationTable[[#This Row],[Method]]</f>
        <v>StockTransfer/OUT</v>
      </c>
      <c r="D24" s="60">
        <f>RelationTable[[#This Row],[No]]</f>
        <v>308122</v>
      </c>
      <c r="E24" s="7" t="s">
        <v>1293</v>
      </c>
      <c r="F24" s="7" t="s">
        <v>1288</v>
      </c>
      <c r="G24" s="60">
        <f>RelationTable[[#This Row],[No]]</f>
        <v>308122</v>
      </c>
      <c r="H24" s="60">
        <f>IF(RelationTable[[#This Row],[No]]="id","resource",VLOOKUP(RelationTable[Resource],CHOOSE({1,2},ResourceTable[Name],ResourceTable[No]),2,0))</f>
        <v>305124</v>
      </c>
      <c r="I24" s="60" t="s">
        <v>1354</v>
      </c>
      <c r="J24" s="60" t="s">
        <v>1355</v>
      </c>
      <c r="K24" s="60" t="s">
        <v>1354</v>
      </c>
      <c r="L24" s="60" t="s">
        <v>1336</v>
      </c>
      <c r="M24" s="62">
        <f>VLOOKUP(RelationTable[Relate Resource],CHOOSE({1,2},ResourceTable[Name],ResourceTable[No]),2,0)</f>
        <v>305121</v>
      </c>
      <c r="N24" s="63">
        <f>RelationTable[RELID]</f>
        <v>308122</v>
      </c>
    </row>
    <row r="25" spans="1:14" x14ac:dyDescent="0.25">
      <c r="A25" s="61" t="str">
        <f>Page&amp;"-"&amp;(COUNTA($E$1:RelationTable[[#This Row],[Resource]])-1)</f>
        <v>Resource Relations-23</v>
      </c>
      <c r="B25" s="58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60" t="str">
        <f>RelationTable[[#This Row],[Resource]]&amp;"/"&amp;RelationTable[[#This Row],[Method]]</f>
        <v>SalesOrder/Customer</v>
      </c>
      <c r="D25" s="60">
        <f>RelationTable[[#This Row],[No]]</f>
        <v>308123</v>
      </c>
      <c r="E25" s="7" t="s">
        <v>1291</v>
      </c>
      <c r="F25" s="7" t="s">
        <v>74</v>
      </c>
      <c r="G25" s="60">
        <f>RelationTable[[#This Row],[No]]</f>
        <v>308123</v>
      </c>
      <c r="H25" s="60">
        <f>IF(RelationTable[[#This Row],[No]]="id","resource",VLOOKUP(RelationTable[Resource],CHOOSE({1,2},ResourceTable[Name],ResourceTable[No]),2,0))</f>
        <v>305119</v>
      </c>
      <c r="I25" s="60" t="s">
        <v>1585</v>
      </c>
      <c r="J25" s="60" t="s">
        <v>1586</v>
      </c>
      <c r="K25" s="60" t="s">
        <v>1585</v>
      </c>
      <c r="L25" s="60" t="s">
        <v>1336</v>
      </c>
      <c r="M25" s="62">
        <f>VLOOKUP(RelationTable[Relate Resource],CHOOSE({1,2},ResourceTable[Name],ResourceTable[No]),2,0)</f>
        <v>305101</v>
      </c>
      <c r="N25" s="63">
        <f>RelationTable[RELID]</f>
        <v>308123</v>
      </c>
    </row>
    <row r="26" spans="1:14" x14ac:dyDescent="0.25">
      <c r="A26" s="61" t="str">
        <f>Page&amp;"-"&amp;(COUNTA($E$1:RelationTable[[#This Row],[Resource]])-1)</f>
        <v>Resource Relations-24</v>
      </c>
      <c r="B26" s="58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60" t="str">
        <f>RelationTable[[#This Row],[Resource]]&amp;"/"&amp;RelationTable[[#This Row],[Method]]</f>
        <v>UserStoreArea/AssignedAreas</v>
      </c>
      <c r="D26" s="60">
        <f>RelationTable[[#This Row],[No]]</f>
        <v>308124</v>
      </c>
      <c r="E26" s="7" t="s">
        <v>1287</v>
      </c>
      <c r="F26" s="7" t="s">
        <v>1285</v>
      </c>
      <c r="G26" s="60">
        <f>RelationTable[[#This Row],[No]]</f>
        <v>308124</v>
      </c>
      <c r="H26" s="60">
        <f>IF(RelationTable[[#This Row],[No]]="id","resource",VLOOKUP(RelationTable[Resource],CHOOSE({1,2},ResourceTable[Name],ResourceTable[No]),2,0))</f>
        <v>305118</v>
      </c>
      <c r="I26" s="60" t="s">
        <v>1590</v>
      </c>
      <c r="J26" s="60" t="s">
        <v>1591</v>
      </c>
      <c r="K26" s="60" t="s">
        <v>1590</v>
      </c>
      <c r="L26" s="60" t="s">
        <v>1328</v>
      </c>
      <c r="M26" s="62">
        <f>VLOOKUP(RelationTable[Relate Resource],CHOOSE({1,2},ResourceTable[Name],ResourceTable[No]),2,0)</f>
        <v>305116</v>
      </c>
      <c r="N26" s="63">
        <f>RelationTable[RELID]</f>
        <v>308124</v>
      </c>
    </row>
    <row r="27" spans="1:14" x14ac:dyDescent="0.25">
      <c r="A27" s="61" t="str">
        <f>Page&amp;"-"&amp;(COUNTA($E$1:RelationTable[[#This Row],[Resource]])-1)</f>
        <v>Resource Relations-25</v>
      </c>
      <c r="B27" s="58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60" t="str">
        <f>RelationTable[[#This Row],[Resource]]&amp;"/"&amp;RelationTable[[#This Row],[Method]]</f>
        <v>AreaUser/Users</v>
      </c>
      <c r="D27" s="60">
        <f>RelationTable[[#This Row],[No]]</f>
        <v>308125</v>
      </c>
      <c r="E27" s="7" t="s">
        <v>1285</v>
      </c>
      <c r="F27" s="7" t="s">
        <v>1287</v>
      </c>
      <c r="G27" s="60">
        <f>RelationTable[[#This Row],[No]]</f>
        <v>308125</v>
      </c>
      <c r="H27" s="60">
        <f>IF(RelationTable[[#This Row],[No]]="id","resource",VLOOKUP(RelationTable[Resource],CHOOSE({1,2},ResourceTable[Name],ResourceTable[No]),2,0))</f>
        <v>305116</v>
      </c>
      <c r="I27" s="60" t="s">
        <v>78</v>
      </c>
      <c r="J27" s="60" t="s">
        <v>1592</v>
      </c>
      <c r="K27" s="60" t="s">
        <v>78</v>
      </c>
      <c r="L27" s="60" t="s">
        <v>1328</v>
      </c>
      <c r="M27" s="62">
        <f>VLOOKUP(RelationTable[Relate Resource],CHOOSE({1,2},ResourceTable[Name],ResourceTable[No]),2,0)</f>
        <v>305118</v>
      </c>
      <c r="N27" s="63">
        <f>RelationTable[RELID]</f>
        <v>308125</v>
      </c>
    </row>
    <row r="28" spans="1:14" x14ac:dyDescent="0.25">
      <c r="A28" s="61" t="str">
        <f>Page&amp;"-"&amp;(COUNTA($E$1:RelationTable[[#This Row],[Resource]])-1)</f>
        <v>Resource Relations-26</v>
      </c>
      <c r="B28" s="58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60" t="str">
        <f>RelationTable[[#This Row],[Resource]]&amp;"/"&amp;RelationTable[[#This Row],[Method]]</f>
        <v>UserStoreArea/Customers</v>
      </c>
      <c r="D28" s="60">
        <f>RelationTable[[#This Row],[No]]</f>
        <v>308126</v>
      </c>
      <c r="E28" s="7" t="s">
        <v>1287</v>
      </c>
      <c r="F28" s="7" t="s">
        <v>74</v>
      </c>
      <c r="G28" s="60">
        <f>RelationTable[[#This Row],[No]]</f>
        <v>308126</v>
      </c>
      <c r="H28" s="60">
        <f>IF(RelationTable[[#This Row],[No]]="id","resource",VLOOKUP(RelationTable[Resource],CHOOSE({1,2},ResourceTable[Name],ResourceTable[No]),2,0))</f>
        <v>305118</v>
      </c>
      <c r="I28" s="60" t="s">
        <v>1595</v>
      </c>
      <c r="J28" s="60" t="s">
        <v>1596</v>
      </c>
      <c r="K28" s="60" t="s">
        <v>1595</v>
      </c>
      <c r="L28" s="60" t="s">
        <v>1337</v>
      </c>
      <c r="M28" s="62">
        <f>VLOOKUP(RelationTable[Relate Resource],CHOOSE({1,2},ResourceTable[Name],ResourceTable[No]),2,0)</f>
        <v>305101</v>
      </c>
      <c r="N28" s="63">
        <f>RelationTable[RELID]</f>
        <v>308126</v>
      </c>
    </row>
    <row r="29" spans="1:14" x14ac:dyDescent="0.25">
      <c r="A29" s="61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User/AreaCustomers</v>
      </c>
      <c r="D29" s="60">
        <f>RelationTable[[#This Row],[No]]</f>
        <v>308127</v>
      </c>
      <c r="E29" s="7" t="s">
        <v>74</v>
      </c>
      <c r="F29" s="7" t="s">
        <v>1285</v>
      </c>
      <c r="G29" s="60">
        <f>RelationTable[[#This Row],[No]]</f>
        <v>308127</v>
      </c>
      <c r="H29" s="60">
        <f>IF(RelationTable[[#This Row],[No]]="id","resource",VLOOKUP(RelationTable[Resource],CHOOSE({1,2},ResourceTable[Name],ResourceTable[No]),2,0))</f>
        <v>305101</v>
      </c>
      <c r="I29" s="60" t="s">
        <v>1597</v>
      </c>
      <c r="J29" s="60" t="s">
        <v>1599</v>
      </c>
      <c r="K29" s="60" t="s">
        <v>1597</v>
      </c>
      <c r="L29" s="60" t="s">
        <v>1598</v>
      </c>
      <c r="M29" s="62">
        <f>VLOOKUP(RelationTable[Relate Resource],CHOOSE({1,2},ResourceTable[Name],ResourceTable[No]),2,0)</f>
        <v>305116</v>
      </c>
      <c r="N29" s="63">
        <f>RelationTable[RELID]</f>
        <v>308127</v>
      </c>
    </row>
    <row r="30" spans="1:14" x14ac:dyDescent="0.25">
      <c r="A30" s="61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SalesOrderItem/SalesOrder</v>
      </c>
      <c r="D30" s="60">
        <f>RelationTable[[#This Row],[No]]</f>
        <v>308128</v>
      </c>
      <c r="E30" s="7" t="s">
        <v>1292</v>
      </c>
      <c r="F30" s="7" t="s">
        <v>1291</v>
      </c>
      <c r="G30" s="60">
        <f>RelationTable[[#This Row],[No]]</f>
        <v>308128</v>
      </c>
      <c r="H30" s="60">
        <f>IF(RelationTable[[#This Row],[No]]="id","resource",VLOOKUP(RelationTable[Resource],CHOOSE({1,2},ResourceTable[Name],ResourceTable[No]),2,0))</f>
        <v>305120</v>
      </c>
      <c r="I30" s="60" t="s">
        <v>1291</v>
      </c>
      <c r="J30" s="60" t="s">
        <v>1603</v>
      </c>
      <c r="K30" s="60" t="s">
        <v>1291</v>
      </c>
      <c r="L30" s="60" t="s">
        <v>1336</v>
      </c>
      <c r="M30" s="62">
        <f>VLOOKUP(RelationTable[Relate Resource],CHOOSE({1,2},ResourceTable[Name],ResourceTable[No]),2,0)</f>
        <v>305119</v>
      </c>
      <c r="N30" s="63">
        <f>RelationTable[RELID]</f>
        <v>308128</v>
      </c>
    </row>
    <row r="31" spans="1:14" x14ac:dyDescent="0.25">
      <c r="A31" s="61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TransactionDetail/Transaction</v>
      </c>
      <c r="D31" s="60">
        <f>RelationTable[[#This Row],[No]]</f>
        <v>308129</v>
      </c>
      <c r="E31" s="7" t="s">
        <v>1289</v>
      </c>
      <c r="F31" s="7" t="s">
        <v>1288</v>
      </c>
      <c r="G31" s="60">
        <f>RelationTable[[#This Row],[No]]</f>
        <v>308129</v>
      </c>
      <c r="H31" s="60">
        <f>IF(RelationTable[[#This Row],[No]]="id","resource",VLOOKUP(RelationTable[Resource],CHOOSE({1,2},ResourceTable[Name],ResourceTable[No]),2,0))</f>
        <v>305122</v>
      </c>
      <c r="I31" s="60" t="s">
        <v>1288</v>
      </c>
      <c r="J31" s="60" t="s">
        <v>1607</v>
      </c>
      <c r="K31" s="60" t="s">
        <v>1288</v>
      </c>
      <c r="L31" s="60" t="s">
        <v>1336</v>
      </c>
      <c r="M31" s="62">
        <f>VLOOKUP(RelationTable[Relate Resource],CHOOSE({1,2},ResourceTable[Name],ResourceTable[No]),2,0)</f>
        <v>305121</v>
      </c>
      <c r="N31" s="63">
        <f>RelationTable[RELID]</f>
        <v>308129</v>
      </c>
    </row>
    <row r="32" spans="1:14" x14ac:dyDescent="0.25">
      <c r="A32" s="61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Transaction/STOut</v>
      </c>
      <c r="D32" s="60">
        <f>RelationTable[[#This Row],[No]]</f>
        <v>308130</v>
      </c>
      <c r="E32" s="7" t="s">
        <v>1288</v>
      </c>
      <c r="F32" s="7" t="s">
        <v>1293</v>
      </c>
      <c r="G32" s="60">
        <f>RelationTable[[#This Row],[No]]</f>
        <v>308130</v>
      </c>
      <c r="H32" s="60">
        <f>IF(RelationTable[[#This Row],[No]]="id","resource",VLOOKUP(RelationTable[Resource],CHOOSE({1,2},ResourceTable[Name],ResourceTable[No]),2,0))</f>
        <v>305121</v>
      </c>
      <c r="I32" s="60" t="s">
        <v>1661</v>
      </c>
      <c r="J32" s="60" t="s">
        <v>1665</v>
      </c>
      <c r="K32" s="60" t="s">
        <v>1662</v>
      </c>
      <c r="L32" s="60" t="s">
        <v>1667</v>
      </c>
      <c r="M32" s="62">
        <f>VLOOKUP(RelationTable[Relate Resource],CHOOSE({1,2},ResourceTable[Name],ResourceTable[No]),2,0)</f>
        <v>305124</v>
      </c>
      <c r="N32" s="63">
        <f>RelationTable[RELID]</f>
        <v>308130</v>
      </c>
    </row>
    <row r="33" spans="1:14" x14ac:dyDescent="0.25">
      <c r="A33" s="61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Transaction/STIn</v>
      </c>
      <c r="D33" s="60">
        <f>RelationTable[[#This Row],[No]]</f>
        <v>308131</v>
      </c>
      <c r="E33" s="7" t="s">
        <v>1288</v>
      </c>
      <c r="F33" s="7" t="s">
        <v>1293</v>
      </c>
      <c r="G33" s="60">
        <f>RelationTable[[#This Row],[No]]</f>
        <v>308131</v>
      </c>
      <c r="H33" s="60">
        <f>IF(RelationTable[[#This Row],[No]]="id","resource",VLOOKUP(RelationTable[Resource],CHOOSE({1,2},ResourceTable[Name],ResourceTable[No]),2,0))</f>
        <v>305121</v>
      </c>
      <c r="I33" s="60" t="s">
        <v>1663</v>
      </c>
      <c r="J33" s="60" t="s">
        <v>1664</v>
      </c>
      <c r="K33" s="60" t="s">
        <v>1666</v>
      </c>
      <c r="L33" s="60" t="s">
        <v>1667</v>
      </c>
      <c r="M33" s="62">
        <f>VLOOKUP(RelationTable[Relate Resource],CHOOSE({1,2},ResourceTable[Name],ResourceTable[No]),2,0)</f>
        <v>305124</v>
      </c>
      <c r="N33" s="63">
        <f>RelationTable[RELID]</f>
        <v>308131</v>
      </c>
    </row>
    <row r="34" spans="1:14" x14ac:dyDescent="0.25">
      <c r="A34" s="114" t="str">
        <f>Page&amp;"-"&amp;(COUNTA($E$1:RelationTable[[#This Row],[Resource]])-1)</f>
        <v>Resource Relations-32</v>
      </c>
      <c r="B34" s="32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30" t="str">
        <f>RelationTable[[#This Row],[Resource]]&amp;"/"&amp;RelationTable[[#This Row],[Method]]</f>
        <v>Product/Images</v>
      </c>
      <c r="D34" s="30">
        <f>RelationTable[[#This Row],[No]]</f>
        <v>308132</v>
      </c>
      <c r="E34" s="7" t="s">
        <v>1280</v>
      </c>
      <c r="F34" s="7" t="s">
        <v>1714</v>
      </c>
      <c r="G34" s="30">
        <f>RelationTable[[#This Row],[No]]</f>
        <v>308132</v>
      </c>
      <c r="H34" s="30">
        <f>IF(RelationTable[[#This Row],[No]]="id","resource",VLOOKUP(RelationTable[Resource],CHOOSE({1,2},ResourceTable[Name],ResourceTable[No]),2,0))</f>
        <v>305108</v>
      </c>
      <c r="I34" s="30" t="s">
        <v>1708</v>
      </c>
      <c r="J34" s="30" t="s">
        <v>1727</v>
      </c>
      <c r="K34" s="30" t="s">
        <v>1728</v>
      </c>
      <c r="L34" s="60" t="s">
        <v>1667</v>
      </c>
      <c r="M34" s="115">
        <f>VLOOKUP(RelationTable[Relate Resource],CHOOSE({1,2},ResourceTable[Name],ResourceTable[No]),2,0)</f>
        <v>305110</v>
      </c>
      <c r="N34" s="116">
        <f>RelationTable[RELID]</f>
        <v>308132</v>
      </c>
    </row>
    <row r="35" spans="1:14" x14ac:dyDescent="0.25">
      <c r="A35" s="114" t="str">
        <f>Page&amp;"-"&amp;(COUNTA($E$1:RelationTable[[#This Row],[Resource]])-1)</f>
        <v>Resource Relations-33</v>
      </c>
      <c r="B35" s="32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30" t="str">
        <f>RelationTable[[#This Row],[Resource]]&amp;"/"&amp;RelationTable[[#This Row],[Method]]</f>
        <v>ProductImage/Product</v>
      </c>
      <c r="D35" s="30">
        <f>RelationTable[[#This Row],[No]]</f>
        <v>308133</v>
      </c>
      <c r="E35" s="7" t="s">
        <v>1714</v>
      </c>
      <c r="F35" s="7" t="s">
        <v>1280</v>
      </c>
      <c r="G35" s="30">
        <f>RelationTable[[#This Row],[No]]</f>
        <v>308133</v>
      </c>
      <c r="H35" s="30">
        <f>IF(RelationTable[[#This Row],[No]]="id","resource",VLOOKUP(RelationTable[Resource],CHOOSE({1,2},ResourceTable[Name],ResourceTable[No]),2,0))</f>
        <v>305110</v>
      </c>
      <c r="I35" s="30" t="s">
        <v>1736</v>
      </c>
      <c r="J35" s="30" t="s">
        <v>1737</v>
      </c>
      <c r="K35" s="30" t="s">
        <v>1280</v>
      </c>
      <c r="L35" s="30" t="s">
        <v>1336</v>
      </c>
      <c r="M35" s="115">
        <f>VLOOKUP(RelationTable[Relate Resource],CHOOSE({1,2},ResourceTable[Name],ResourceTable[No]),2,0)</f>
        <v>305108</v>
      </c>
      <c r="N35" s="116">
        <f>RelationTable[RELID]</f>
        <v>308133</v>
      </c>
    </row>
    <row r="36" spans="1:14" x14ac:dyDescent="0.25">
      <c r="A36" s="114" t="str">
        <f>Page&amp;"-"&amp;(COUNTA($E$1:RelationTable[[#This Row],[Resource]])-1)</f>
        <v>Resource Relations-34</v>
      </c>
      <c r="B36" s="32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30" t="str">
        <f>RelationTable[[#This Row],[Resource]]&amp;"/"&amp;RelationTable[[#This Row],[Method]]</f>
        <v>FnReserve/User</v>
      </c>
      <c r="D36" s="30">
        <f>RelationTable[[#This Row],[No]]</f>
        <v>308134</v>
      </c>
      <c r="E36" s="7" t="s">
        <v>1633</v>
      </c>
      <c r="F36" s="7" t="s">
        <v>74</v>
      </c>
      <c r="G36" s="30">
        <f>RelationTable[[#This Row],[No]]</f>
        <v>308134</v>
      </c>
      <c r="H36" s="30">
        <f>IF(RelationTable[[#This Row],[No]]="id","resource",VLOOKUP(RelationTable[Resource],CHOOSE({1,2},ResourceTable[Name],ResourceTable[No]),2,0))</f>
        <v>305127</v>
      </c>
      <c r="I36" s="30" t="s">
        <v>1772</v>
      </c>
      <c r="J36" s="30" t="s">
        <v>1774</v>
      </c>
      <c r="K36" s="30" t="s">
        <v>74</v>
      </c>
      <c r="L36" s="30" t="s">
        <v>1336</v>
      </c>
      <c r="M36" s="115">
        <f>VLOOKUP(RelationTable[Relate Resource],CHOOSE({1,2},ResourceTable[Name],ResourceTable[No]),2,0)</f>
        <v>305101</v>
      </c>
      <c r="N36" s="116">
        <f>RelationTable[RELID]</f>
        <v>308134</v>
      </c>
    </row>
    <row r="37" spans="1:14" x14ac:dyDescent="0.25">
      <c r="A37" s="114" t="str">
        <f>Page&amp;"-"&amp;(COUNTA($E$1:RelationTable[[#This Row],[Resource]])-1)</f>
        <v>Resource Relations-35</v>
      </c>
      <c r="B37" s="32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30" t="str">
        <f>RelationTable[[#This Row],[Resource]]&amp;"/"&amp;RelationTable[[#This Row],[Method]]</f>
        <v>FnReserve/Store</v>
      </c>
      <c r="D37" s="30">
        <f>RelationTable[[#This Row],[No]]</f>
        <v>308135</v>
      </c>
      <c r="E37" s="7" t="s">
        <v>1633</v>
      </c>
      <c r="F37" s="7" t="s">
        <v>1283</v>
      </c>
      <c r="G37" s="30">
        <f>RelationTable[[#This Row],[No]]</f>
        <v>308135</v>
      </c>
      <c r="H37" s="30">
        <f>IF(RelationTable[[#This Row],[No]]="id","resource",VLOOKUP(RelationTable[Resource],CHOOSE({1,2},ResourceTable[Name],ResourceTable[No]),2,0))</f>
        <v>305127</v>
      </c>
      <c r="I37" s="30" t="s">
        <v>1773</v>
      </c>
      <c r="J37" s="30" t="s">
        <v>1775</v>
      </c>
      <c r="K37" s="30" t="s">
        <v>1283</v>
      </c>
      <c r="L37" s="30" t="s">
        <v>1336</v>
      </c>
      <c r="M37" s="115">
        <f>VLOOKUP(RelationTable[Relate Resource],CHOOSE({1,2},ResourceTable[Name],ResourceTable[No]),2,0)</f>
        <v>305114</v>
      </c>
      <c r="N37" s="116">
        <f>RelationTable[RELID]</f>
        <v>308135</v>
      </c>
    </row>
    <row r="38" spans="1:14" x14ac:dyDescent="0.25">
      <c r="A38" s="114" t="str">
        <f>Page&amp;"-"&amp;(COUNTA($E$1:RelationTable[[#This Row],[Resource]])-1)</f>
        <v>Resource Relations-36</v>
      </c>
      <c r="B38" s="32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30" t="str">
        <f>RelationTable[[#This Row],[Resource]]&amp;"/"&amp;RelationTable[[#This Row],[Method]]</f>
        <v>TransactionDetail/Product</v>
      </c>
      <c r="D38" s="30">
        <f>RelationTable[[#This Row],[No]]</f>
        <v>308136</v>
      </c>
      <c r="E38" s="7" t="s">
        <v>1289</v>
      </c>
      <c r="F38" s="7" t="s">
        <v>1280</v>
      </c>
      <c r="G38" s="30">
        <f>RelationTable[[#This Row],[No]]</f>
        <v>308136</v>
      </c>
      <c r="H38" s="30">
        <f>IF(RelationTable[[#This Row],[No]]="id","resource",VLOOKUP(RelationTable[Resource],CHOOSE({1,2},ResourceTable[Name],ResourceTable[No]),2,0))</f>
        <v>305122</v>
      </c>
      <c r="I38" s="30" t="s">
        <v>1736</v>
      </c>
      <c r="J38" s="30" t="s">
        <v>1737</v>
      </c>
      <c r="K38" s="30" t="s">
        <v>1280</v>
      </c>
      <c r="L38" s="30" t="s">
        <v>1336</v>
      </c>
      <c r="M38" s="115">
        <f>VLOOKUP(RelationTable[Relate Resource],CHOOSE({1,2},ResourceTable[Name],ResourceTable[No]),2,0)</f>
        <v>305108</v>
      </c>
      <c r="N38" s="116">
        <f>RelationTable[RELID]</f>
        <v>308136</v>
      </c>
    </row>
    <row r="39" spans="1:14" x14ac:dyDescent="0.25">
      <c r="A39" s="114" t="str">
        <f>Page&amp;"-"&amp;(COUNTA($E$1:RelationTable[[#This Row],[Resource]])-1)</f>
        <v>Resource Relations-37</v>
      </c>
      <c r="B39" s="32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30" t="str">
        <f>RelationTable[[#This Row],[Resource]]&amp;"/"&amp;RelationTable[[#This Row],[Method]]</f>
        <v>TransactionDetail/Store</v>
      </c>
      <c r="D39" s="30">
        <f>RelationTable[[#This Row],[No]]</f>
        <v>308137</v>
      </c>
      <c r="E39" s="7" t="s">
        <v>1289</v>
      </c>
      <c r="F39" s="8" t="s">
        <v>1283</v>
      </c>
      <c r="G39" s="30">
        <f>RelationTable[[#This Row],[No]]</f>
        <v>308137</v>
      </c>
      <c r="H39" s="30">
        <f>IF(RelationTable[[#This Row],[No]]="id","resource",VLOOKUP(RelationTable[Resource],CHOOSE({1,2},ResourceTable[Name],ResourceTable[No]),2,0))</f>
        <v>305122</v>
      </c>
      <c r="I39" s="30" t="s">
        <v>1884</v>
      </c>
      <c r="J39" s="30" t="s">
        <v>1885</v>
      </c>
      <c r="K39" s="30" t="s">
        <v>1283</v>
      </c>
      <c r="L39" s="30" t="s">
        <v>1336</v>
      </c>
      <c r="M39" s="115">
        <f>VLOOKUP(RelationTable[Relate Resource],CHOOSE({1,2},ResourceTable[Name],ResourceTable[No]),2,0)</f>
        <v>305114</v>
      </c>
      <c r="N39" s="116">
        <f>RelationTable[RELID]</f>
        <v>308137</v>
      </c>
    </row>
    <row r="40" spans="1:14" x14ac:dyDescent="0.25">
      <c r="A40" s="114" t="str">
        <f>Page&amp;"-"&amp;(COUNTA($E$1:RelationTable[[#This Row],[Resource]])-1)</f>
        <v>Resource Relations-38</v>
      </c>
      <c r="B40" s="32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30" t="str">
        <f>RelationTable[[#This Row],[Resource]]&amp;"/"&amp;RelationTable[[#This Row],[Method]]</f>
        <v>SalesOrderItem/Store</v>
      </c>
      <c r="D40" s="30">
        <f>RelationTable[[#This Row],[No]]</f>
        <v>308138</v>
      </c>
      <c r="E40" s="7" t="s">
        <v>1292</v>
      </c>
      <c r="F40" s="8" t="s">
        <v>1283</v>
      </c>
      <c r="G40" s="30">
        <f>RelationTable[[#This Row],[No]]</f>
        <v>308138</v>
      </c>
      <c r="H40" s="30">
        <f>IF(RelationTable[[#This Row],[No]]="id","resource",VLOOKUP(RelationTable[Resource],CHOOSE({1,2},ResourceTable[Name],ResourceTable[No]),2,0))</f>
        <v>305120</v>
      </c>
      <c r="I40" s="30" t="s">
        <v>1884</v>
      </c>
      <c r="J40" s="30" t="s">
        <v>1886</v>
      </c>
      <c r="K40" s="30" t="s">
        <v>1283</v>
      </c>
      <c r="L40" s="30" t="s">
        <v>1336</v>
      </c>
      <c r="M40" s="115">
        <f>VLOOKUP(RelationTable[Relate Resource],CHOOSE({1,2},ResourceTable[Name],ResourceTable[No]),2,0)</f>
        <v>305114</v>
      </c>
      <c r="N40" s="116">
        <f>RelationTable[RELID]</f>
        <v>308138</v>
      </c>
    </row>
    <row r="41" spans="1:14" x14ac:dyDescent="0.25">
      <c r="A41" s="114" t="str">
        <f>Page&amp;"-"&amp;(COUNTA($E$1:RelationTable[[#This Row],[Resource]])-1)</f>
        <v>Resource Relations-39</v>
      </c>
      <c r="B41" s="32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30" t="str">
        <f>RelationTable[[#This Row],[Resource]]&amp;"/"&amp;RelationTable[[#This Row],[Method]]</f>
        <v>SalesOrder/Store</v>
      </c>
      <c r="D41" s="30">
        <f>RelationTable[[#This Row],[No]]</f>
        <v>308139</v>
      </c>
      <c r="E41" s="7" t="s">
        <v>1291</v>
      </c>
      <c r="F41" s="8" t="s">
        <v>1283</v>
      </c>
      <c r="G41" s="30">
        <f>RelationTable[[#This Row],[No]]</f>
        <v>308139</v>
      </c>
      <c r="H41" s="30">
        <f>IF(RelationTable[[#This Row],[No]]="id","resource",VLOOKUP(RelationTable[Resource],CHOOSE({1,2},ResourceTable[Name],ResourceTable[No]),2,0))</f>
        <v>305119</v>
      </c>
      <c r="I41" s="30" t="s">
        <v>1884</v>
      </c>
      <c r="J41" s="30" t="s">
        <v>1887</v>
      </c>
      <c r="K41" s="30" t="s">
        <v>1283</v>
      </c>
      <c r="L41" s="30" t="s">
        <v>1336</v>
      </c>
      <c r="M41" s="115">
        <f>VLOOKUP(RelationTable[Relate Resource],CHOOSE({1,2},ResourceTable[Name],ResourceTable[No]),2,0)</f>
        <v>305114</v>
      </c>
      <c r="N41" s="116">
        <f>RelationTable[RELID]</f>
        <v>308139</v>
      </c>
    </row>
    <row r="42" spans="1:14" x14ac:dyDescent="0.25">
      <c r="A42" s="120" t="str">
        <f>Page&amp;"-"&amp;(COUNTA($E$1:RelationTable[[#This Row],[Resource]])-1)</f>
        <v>Resource Relations-40</v>
      </c>
      <c r="B42" s="3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15" t="str">
        <f>RelationTable[[#This Row],[Resource]]&amp;"/"&amp;RelationTable[[#This Row],[Method]]</f>
        <v>UserExecutive/User</v>
      </c>
      <c r="D42" s="15">
        <f>RelationTable[[#This Row],[No]]</f>
        <v>308140</v>
      </c>
      <c r="E42" s="9" t="s">
        <v>1955</v>
      </c>
      <c r="F42" s="6" t="s">
        <v>74</v>
      </c>
      <c r="G42" s="15">
        <f>RelationTable[[#This Row],[No]]</f>
        <v>308140</v>
      </c>
      <c r="H42" s="15">
        <f>IF(RelationTable[[#This Row],[No]]="id","resource",VLOOKUP(RelationTable[Resource],CHOOSE({1,2},ResourceTable[Name],ResourceTable[No]),2,0))</f>
        <v>305128</v>
      </c>
      <c r="I42" s="15" t="s">
        <v>1958</v>
      </c>
      <c r="J42" s="15" t="s">
        <v>1960</v>
      </c>
      <c r="K42" s="15" t="s">
        <v>74</v>
      </c>
      <c r="L42" s="30" t="s">
        <v>1336</v>
      </c>
      <c r="M42" s="36">
        <f>VLOOKUP(RelationTable[Relate Resource],CHOOSE({1,2},ResourceTable[Name],ResourceTable[No]),2,0)</f>
        <v>305101</v>
      </c>
      <c r="N42" s="53">
        <f>RelationTable[RELID]</f>
        <v>308140</v>
      </c>
    </row>
    <row r="43" spans="1:14" x14ac:dyDescent="0.25">
      <c r="A43" s="120" t="str">
        <f>Page&amp;"-"&amp;(COUNTA($E$1:RelationTable[[#This Row],[Resource]])-1)</f>
        <v>Resource Relations-41</v>
      </c>
      <c r="B43" s="3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15" t="str">
        <f>RelationTable[[#This Row],[Resource]]&amp;"/"&amp;RelationTable[[#This Row],[Method]]</f>
        <v>UserExecutive/Executive</v>
      </c>
      <c r="D43" s="15">
        <f>RelationTable[[#This Row],[No]]</f>
        <v>308141</v>
      </c>
      <c r="E43" s="9" t="s">
        <v>1955</v>
      </c>
      <c r="F43" s="6" t="s">
        <v>74</v>
      </c>
      <c r="G43" s="15">
        <f>RelationTable[[#This Row],[No]]</f>
        <v>308141</v>
      </c>
      <c r="H43" s="15">
        <f>IF(RelationTable[[#This Row],[No]]="id","resource",VLOOKUP(RelationTable[Resource],CHOOSE({1,2},ResourceTable[Name],ResourceTable[No]),2,0))</f>
        <v>305128</v>
      </c>
      <c r="I43" s="15" t="s">
        <v>1959</v>
      </c>
      <c r="J43" s="15" t="s">
        <v>1961</v>
      </c>
      <c r="K43" s="15" t="s">
        <v>1501</v>
      </c>
      <c r="L43" s="30" t="s">
        <v>1336</v>
      </c>
      <c r="M43" s="36">
        <f>VLOOKUP(RelationTable[Relate Resource],CHOOSE({1,2},ResourceTable[Name],ResourceTable[No]),2,0)</f>
        <v>305101</v>
      </c>
      <c r="N43" s="53">
        <f>RelationTable[RELID]</f>
        <v>308141</v>
      </c>
    </row>
    <row r="44" spans="1:14" x14ac:dyDescent="0.25">
      <c r="A44" s="114" t="str">
        <f>Page&amp;"-"&amp;(COUNTA($E$1:RelationTable[[#This Row],[Resource]])-1)</f>
        <v>Resource Relations-42</v>
      </c>
      <c r="B44" s="32">
        <f>IF(RelationTable[[#This Row],[Resource]]="","id",COUNTA($E$2:RelationTable[[#This Row],[Resource]])+IF(ISNUMBER(VLOOKUP('Table Seed Map'!$A$10,SeedMap[],9,0)),VLOOKUP('Table Seed Map'!$A$10,SeedMap[],9,0),0))</f>
        <v>308142</v>
      </c>
      <c r="C44" s="30" t="str">
        <f>RelationTable[[#This Row],[Resource]]&amp;"/"&amp;RelationTable[[#This Row],[Method]]</f>
        <v>Shift/Transactions</v>
      </c>
      <c r="D44" s="30">
        <f>RelationTable[[#This Row],[No]]</f>
        <v>308142</v>
      </c>
      <c r="E44" s="8" t="s">
        <v>2117</v>
      </c>
      <c r="F44" s="6" t="s">
        <v>2120</v>
      </c>
      <c r="G44" s="30">
        <f>RelationTable[[#This Row],[No]]</f>
        <v>308142</v>
      </c>
      <c r="H44" s="30">
        <f>IF(RelationTable[[#This Row],[No]]="id","resource",VLOOKUP(RelationTable[Resource],CHOOSE({1,2},ResourceTable[Name],ResourceTable[No]),2,0))</f>
        <v>305130</v>
      </c>
      <c r="I44" s="30" t="s">
        <v>2126</v>
      </c>
      <c r="J44" s="30" t="s">
        <v>2127</v>
      </c>
      <c r="K44" s="30" t="s">
        <v>1306</v>
      </c>
      <c r="L44" s="30" t="s">
        <v>1328</v>
      </c>
      <c r="M44" s="115">
        <f>VLOOKUP(RelationTable[Relate Resource],CHOOSE({1,2},ResourceTable[Name],ResourceTable[No]),2,0)</f>
        <v>305131</v>
      </c>
      <c r="N44" s="116">
        <f>RelationTable[RELID]</f>
        <v>308142</v>
      </c>
    </row>
    <row r="45" spans="1:14" x14ac:dyDescent="0.25">
      <c r="A45" s="114" t="str">
        <f>Page&amp;"-"&amp;(COUNTA($E$1:RelationTable[[#This Row],[Resource]])-1)</f>
        <v>Resource Relations-43</v>
      </c>
      <c r="B45" s="32">
        <f>IF(RelationTable[[#This Row],[Resource]]="","id",COUNTA($E$2:RelationTable[[#This Row],[Resource]])+IF(ISNUMBER(VLOOKUP('Table Seed Map'!$A$10,SeedMap[],9,0)),VLOOKUP('Table Seed Map'!$A$10,SeedMap[],9,0),0))</f>
        <v>308143</v>
      </c>
      <c r="C45" s="30" t="str">
        <f>RelationTable[[#This Row],[Resource]]&amp;"/"&amp;RelationTable[[#This Row],[Method]]</f>
        <v>ShiftTransaction/Shift</v>
      </c>
      <c r="D45" s="30">
        <f>RelationTable[[#This Row],[No]]</f>
        <v>308143</v>
      </c>
      <c r="E45" s="8" t="s">
        <v>2120</v>
      </c>
      <c r="F45" s="6" t="s">
        <v>2117</v>
      </c>
      <c r="G45" s="30">
        <f>RelationTable[[#This Row],[No]]</f>
        <v>308143</v>
      </c>
      <c r="H45" s="30">
        <f>IF(RelationTable[[#This Row],[No]]="id","resource",VLOOKUP(RelationTable[Resource],CHOOSE({1,2},ResourceTable[Name],ResourceTable[No]),2,0))</f>
        <v>305131</v>
      </c>
      <c r="I45" s="30" t="s">
        <v>2128</v>
      </c>
      <c r="J45" s="30" t="s">
        <v>2129</v>
      </c>
      <c r="K45" s="30" t="s">
        <v>2117</v>
      </c>
      <c r="L45" s="30" t="s">
        <v>1336</v>
      </c>
      <c r="M45" s="115">
        <f>VLOOKUP(RelationTable[Relate Resource],CHOOSE({1,2},ResourceTable[Name],ResourceTable[No]),2,0)</f>
        <v>305130</v>
      </c>
      <c r="N45" s="116">
        <f>RelationTable[RELID]</f>
        <v>308143</v>
      </c>
    </row>
  </sheetData>
  <dataValidations count="1">
    <dataValidation type="list" allowBlank="1" showInputMessage="1" showErrorMessage="1" sqref="E2:F45 Q2:Q16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61"/>
  <sheetViews>
    <sheetView topLeftCell="D1" workbookViewId="0">
      <selection activeCell="N2" sqref="N2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7.7109375" style="20" customWidth="1"/>
    <col min="73" max="73" width="27.7109375" style="20" hidden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17.140625" style="20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hidden="1" customWidth="1"/>
    <col min="83" max="83" width="11.7109375" customWidth="1"/>
    <col min="84" max="84" width="27.5703125" hidden="1" customWidth="1"/>
    <col min="85" max="85" width="34.42578125" hidden="1" customWidth="1"/>
    <col min="86" max="86" width="22.7109375" style="20" customWidth="1"/>
    <col min="87" max="88" width="11.7109375" hidden="1" customWidth="1"/>
    <col min="89" max="90" width="11.7109375" customWidth="1"/>
    <col min="91" max="91" width="11.7109375" style="20" hidden="1" customWidth="1"/>
    <col min="92" max="92" width="11.7109375" style="20" customWidth="1"/>
    <col min="93" max="98" width="11.7109375" style="20" hidden="1" customWidth="1"/>
    <col min="99" max="101" width="11.7109375" hidden="1" customWidth="1"/>
    <col min="102" max="102" width="10.140625" hidden="1" customWidth="1"/>
    <col min="103" max="103" width="9.140625" hidden="1" customWidth="1"/>
    <col min="104" max="104" width="39.85546875" hidden="1" customWidth="1"/>
    <col min="105" max="105" width="10.5703125" style="20" customWidth="1"/>
    <col min="106" max="106" width="24.7109375" style="20" customWidth="1"/>
    <col min="107" max="108" width="24.7109375" hidden="1" customWidth="1"/>
    <col min="109" max="114" width="24.7109375" customWidth="1"/>
    <col min="115" max="115" width="16" customWidth="1"/>
    <col min="116" max="116" width="28.7109375" customWidth="1"/>
    <col min="117" max="117" width="13.7109375" customWidth="1"/>
    <col min="118" max="118" width="28.7109375" customWidth="1"/>
    <col min="119" max="121" width="28.7109375" hidden="1" customWidth="1"/>
    <col min="122" max="123" width="28.7109375" customWidth="1"/>
    <col min="124" max="124" width="19.7109375" customWidth="1"/>
    <col min="125" max="125" width="28.7109375" customWidth="1"/>
    <col min="126" max="126" width="9.7109375" customWidth="1"/>
    <col min="127" max="127" width="16.8554687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1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1583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67" t="str">
        <f>FormFields[Form]</f>
        <v>resource_form</v>
      </c>
      <c r="AY2" s="67" t="str">
        <f>IF(FormFields[[#This Row],[ID]]="id","form_field",FormFields[[#This Row],[ID]])</f>
        <v>form_field</v>
      </c>
      <c r="AZ2" s="46" t="s">
        <v>212</v>
      </c>
      <c r="BA2" s="79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Setting/AddNewSetting</v>
      </c>
      <c r="C3" s="60">
        <f>COUNTA($A$1:ResourceForms[[#This Row],[Primary]])-2</f>
        <v>1</v>
      </c>
      <c r="D3" s="64" t="s">
        <v>1277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305105</v>
      </c>
      <c r="G3" s="7" t="s">
        <v>1367</v>
      </c>
      <c r="H3" s="60" t="s">
        <v>1368</v>
      </c>
      <c r="I3" s="7" t="s">
        <v>1295</v>
      </c>
      <c r="J3" s="7" t="s">
        <v>1357</v>
      </c>
      <c r="K3" s="58">
        <f>ResourceForms[ID]</f>
        <v>309101</v>
      </c>
      <c r="M3" s="65" t="str">
        <f>'Table Seed Map'!$A$12&amp;"-"&amp;FormFields[[#This Row],[No]]</f>
        <v>Form Fields-1</v>
      </c>
      <c r="N3" s="66" t="s">
        <v>1369</v>
      </c>
      <c r="O3" s="67">
        <f>COUNTA($N$1:FormFields[[#This Row],[Form Name]])-1</f>
        <v>1</v>
      </c>
      <c r="P3" s="65" t="str">
        <f>FormFields[[#This Row],[Form Name]]&amp;"/"&amp;FormFields[[#This Row],[Name]]</f>
        <v>Setting/AddNewSetting/name</v>
      </c>
      <c r="Q3" s="67">
        <f>IF(FormFields[[#This Row],[No]]=0,"id",FormFields[[#This Row],[No]]+IF(ISNUMBER(VLOOKUP('Table Seed Map'!$A$12,SeedMap[],9,0)),VLOOKUP('Table Seed Map'!$A$12,SeedMap[],9,0),0))</f>
        <v>310101</v>
      </c>
      <c r="R3" s="68">
        <f>IFERROR(VLOOKUP(FormFields[[#This Row],[Form Name]],ResourceForms[[FormName]:[ID]],4,0),"resource_form")</f>
        <v>309101</v>
      </c>
      <c r="S3" s="69" t="s">
        <v>23</v>
      </c>
      <c r="T3" s="69" t="s">
        <v>1370</v>
      </c>
      <c r="U3" s="69" t="s">
        <v>1373</v>
      </c>
      <c r="V3" s="70"/>
      <c r="W3" s="70"/>
      <c r="X3" s="70"/>
      <c r="Y3" s="70"/>
      <c r="Z3" s="71" t="str">
        <f>'Table Seed Map'!$A$13&amp;"-"&amp;FormFields[[#This Row],[NO2]]</f>
        <v>Field Data-1</v>
      </c>
      <c r="AA3" s="72">
        <f>COUNTIFS($AB$1:FormFields[[#This Row],[Exists]],1)-1</f>
        <v>1</v>
      </c>
      <c r="AB3" s="72">
        <f>IF(AND(FormFields[[#This Row],[Attribute]]="",FormFields[[#This Row],[Rel]]=""),0,1)</f>
        <v>1</v>
      </c>
      <c r="AC3" s="72">
        <f>IF(FormFields[[#This Row],[NO2]]=0,"id",FormFields[[#This Row],[NO2]]+IF(ISNUMBER(VLOOKUP('Table Seed Map'!$A$13,SeedMap[],9,0)),VLOOKUP('Table Seed Map'!$A$13,SeedMap[],9,0),0))</f>
        <v>311101</v>
      </c>
      <c r="AD3" s="77">
        <f>IF(FormFields[[#This Row],[ID]]="id","form_field",FormFields[[#This Row],[ID]])</f>
        <v>310101</v>
      </c>
      <c r="AE3" s="72" t="str">
        <f>IF(FormFields[[#This Row],[No]]=0,"attribute",FormFields[[#This Row],[Name]])</f>
        <v>name</v>
      </c>
      <c r="AF3" s="73" t="str">
        <f>IF(FormFields[[#This Row],[NO2]]=0,"relation",IF(FormFields[[#This Row],[Rel]]="","",VLOOKUP(FormFields[[#This Row],[Rel]],RelationTable[[Display]:[RELID]],2,0)))</f>
        <v/>
      </c>
      <c r="AG3" s="73" t="str">
        <f>IF(FormFields[[#This Row],[NO2]]=0,"nest_relation1",IF(FormFields[[#This Row],[Rel1]]="","",VLOOKUP(FormFields[[#This Row],[Rel1]],RelationTable[[Display]:[RELID]],2,0)))</f>
        <v/>
      </c>
      <c r="AH3" s="73" t="str">
        <f>IF(FormFields[[#This Row],[NO2]]=0,"nest_relation2",IF(FormFields[[#This Row],[Rel2]]="","",VLOOKUP(FormFields[[#This Row],[Rel2]],RelationTable[[Display]:[RELID]],2,0)))</f>
        <v/>
      </c>
      <c r="AI3" s="73" t="str">
        <f>IF(FormFields[[#This Row],[NO2]]=0,"nest_relation2",IF(FormFields[[#This Row],[Rel2]]="","",VLOOKUP(FormFields[[#This Row],[Rel2]],RelationTable[[Display]:[RELID]],2,0)))</f>
        <v/>
      </c>
      <c r="AJ3" s="67">
        <f>IF(OR(FormFields[[#This Row],[Option Type]]="",FormFields[[#This Row],[Option Type]]="type"),0,1)</f>
        <v>0</v>
      </c>
      <c r="AK3" s="67" t="str">
        <f>'Table Seed Map'!$A$14&amp;"-"&amp;FormFields[[#This Row],[NO4]]</f>
        <v>Field Options-0</v>
      </c>
      <c r="AL3" s="67">
        <f>COUNTIF($AJ$2:FormFields[[#This Row],[Exists FO]],1)</f>
        <v>0</v>
      </c>
      <c r="AM3" s="67" t="str">
        <f>IF(FormFields[[#This Row],[NO4]]=0,"id",FormFields[[#This Row],[NO4]]+IF(ISNUMBER(VLOOKUP('Table Seed Map'!$A$14,SeedMap[],9,0)),VLOOKUP('Table Seed Map'!$A$14,SeedMap[],9,0),0))</f>
        <v>id</v>
      </c>
      <c r="AN3" s="67">
        <f>IF(FormFields[[#This Row],[ID]]="id","form_field",FormFields[[#This Row],[ID]])</f>
        <v>310101</v>
      </c>
      <c r="AO3" s="75"/>
      <c r="AP3" s="75"/>
      <c r="AQ3" s="75"/>
      <c r="AR3" s="75"/>
      <c r="AS3" s="75"/>
      <c r="AT3" s="67">
        <f>IF(OR(FormFields[[#This Row],[Colspan]]="",FormFields[[#This Row],[Colspan]]="colspan"),0,1)</f>
        <v>1</v>
      </c>
      <c r="AU3" s="67" t="str">
        <f>'Table Seed Map'!$A$19&amp;"-"&amp;FormFields[[#This Row],[NO8]]</f>
        <v>Form Layout-1</v>
      </c>
      <c r="AV3" s="67">
        <f>COUNTIF($AT$1:FormFields[[#This Row],[Exists FL]],1)</f>
        <v>1</v>
      </c>
      <c r="AW3" s="67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3" s="67">
        <f>FormFields[Form]</f>
        <v>309101</v>
      </c>
      <c r="AY3" s="67">
        <f>IF(FormFields[[#This Row],[ID]]="id","form_field",FormFields[[#This Row],[ID]])</f>
        <v>310101</v>
      </c>
      <c r="AZ3" s="76">
        <v>4</v>
      </c>
      <c r="BA3" s="67">
        <f>FormFields[[#This Row],[ID]]</f>
        <v>310101</v>
      </c>
      <c r="BC3" s="4" t="s">
        <v>1508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67">
        <f>IFERROR(VLOOKUP(FieldAttrs[ATTR Field],FormFields[[Field Name]:[ID]],2,0),"form_field")</f>
        <v>310110</v>
      </c>
      <c r="BG3" s="74" t="s">
        <v>1509</v>
      </c>
      <c r="BH3" s="74">
        <v>4</v>
      </c>
      <c r="BJ3" s="4" t="s">
        <v>1375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VLOOKUP(FieldValidations[Validation Field],FormFields[[Field Name]:[ID]],2,0)</f>
        <v>310101</v>
      </c>
      <c r="BO3" s="64" t="s">
        <v>1358</v>
      </c>
      <c r="BP3" s="64" t="s">
        <v>1359</v>
      </c>
      <c r="BQ3" s="64"/>
      <c r="BR3" s="64"/>
      <c r="BS3" s="64"/>
      <c r="CE3" s="20"/>
      <c r="CH3"/>
      <c r="CI3" s="20"/>
      <c r="CM3"/>
      <c r="CU3" s="20"/>
      <c r="DA3"/>
      <c r="DC3" s="20"/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UserSetting/AddNewUserSetting</v>
      </c>
      <c r="C4" s="60">
        <f>COUNTA($A$1:ResourceForms[[#This Row],[Primary]])-2</f>
        <v>2</v>
      </c>
      <c r="D4" s="64" t="s">
        <v>1286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305117</v>
      </c>
      <c r="G4" s="7" t="s">
        <v>1426</v>
      </c>
      <c r="H4" s="60" t="s">
        <v>1427</v>
      </c>
      <c r="I4" s="7" t="s">
        <v>1428</v>
      </c>
      <c r="J4" s="7" t="s">
        <v>1357</v>
      </c>
      <c r="K4" s="58">
        <f>ResourceForms[ID]</f>
        <v>309102</v>
      </c>
      <c r="M4" s="65" t="str">
        <f>'Table Seed Map'!$A$12&amp;"-"&amp;FormFields[[#This Row],[No]]</f>
        <v>Form Fields-2</v>
      </c>
      <c r="N4" s="66" t="s">
        <v>1369</v>
      </c>
      <c r="O4" s="67">
        <f>COUNTA($N$1:FormFields[[#This Row],[Form Name]])-1</f>
        <v>2</v>
      </c>
      <c r="P4" s="65" t="str">
        <f>FormFields[[#This Row],[Form Name]]&amp;"/"&amp;FormFields[[#This Row],[Name]]</f>
        <v>Setting/AddNewSetting/value</v>
      </c>
      <c r="Q4" s="67">
        <f>IF(FormFields[[#This Row],[No]]=0,"id",FormFields[[#This Row],[No]]+IF(ISNUMBER(VLOOKUP('Table Seed Map'!$A$12,SeedMap[],9,0)),VLOOKUP('Table Seed Map'!$A$12,SeedMap[],9,0),0))</f>
        <v>310102</v>
      </c>
      <c r="R4" s="68">
        <f>IFERROR(VLOOKUP(FormFields[[#This Row],[Form Name]],ResourceForms[[FormName]:[ID]],4,0),"resource_form")</f>
        <v>309101</v>
      </c>
      <c r="S4" s="69" t="s">
        <v>44</v>
      </c>
      <c r="T4" s="69" t="s">
        <v>1370</v>
      </c>
      <c r="U4" s="69" t="s">
        <v>1374</v>
      </c>
      <c r="V4" s="70"/>
      <c r="W4" s="70"/>
      <c r="X4" s="70"/>
      <c r="Y4" s="70"/>
      <c r="Z4" s="71" t="str">
        <f>'Table Seed Map'!$A$13&amp;"-"&amp;FormFields[[#This Row],[NO2]]</f>
        <v>Field Data-2</v>
      </c>
      <c r="AA4" s="72">
        <f>COUNTIFS($AB$1:FormFields[[#This Row],[Exists]],1)-1</f>
        <v>2</v>
      </c>
      <c r="AB4" s="72">
        <f>IF(AND(FormFields[[#This Row],[Attribute]]="",FormFields[[#This Row],[Rel]]=""),0,1)</f>
        <v>1</v>
      </c>
      <c r="AC4" s="72">
        <f>IF(FormFields[[#This Row],[NO2]]=0,"id",FormFields[[#This Row],[NO2]]+IF(ISNUMBER(VLOOKUP('Table Seed Map'!$A$13,SeedMap[],9,0)),VLOOKUP('Table Seed Map'!$A$13,SeedMap[],9,0),0))</f>
        <v>311102</v>
      </c>
      <c r="AD4" s="77">
        <f>IF(FormFields[[#This Row],[ID]]="id","form_field",FormFields[[#This Row],[ID]])</f>
        <v>310102</v>
      </c>
      <c r="AE4" s="72" t="str">
        <f>IF(FormFields[[#This Row],[No]]=0,"attribute",FormFields[[#This Row],[Name]])</f>
        <v>value</v>
      </c>
      <c r="AF4" s="73" t="str">
        <f>IF(FormFields[[#This Row],[NO2]]=0,"relation",IF(FormFields[[#This Row],[Rel]]="","",VLOOKUP(FormFields[[#This Row],[Rel]],RelationTable[[Display]:[RELID]],2,0)))</f>
        <v/>
      </c>
      <c r="AG4" s="73" t="str">
        <f>IF(FormFields[[#This Row],[NO2]]=0,"nest_relation1",IF(FormFields[[#This Row],[Rel1]]="","",VLOOKUP(FormFields[[#This Row],[Rel1]],RelationTable[[Display]:[RELID]],2,0)))</f>
        <v/>
      </c>
      <c r="AH4" s="73" t="str">
        <f>IF(FormFields[[#This Row],[NO2]]=0,"nest_relation2",IF(FormFields[[#This Row],[Rel2]]="","",VLOOKUP(FormFields[[#This Row],[Rel2]],RelationTable[[Display]:[RELID]],2,0)))</f>
        <v/>
      </c>
      <c r="AI4" s="73" t="str">
        <f>IF(FormFields[[#This Row],[NO2]]=0,"nest_relation2",IF(FormFields[[#This Row],[Rel2]]="","",VLOOKUP(FormFields[[#This Row],[Rel2]],RelationTable[[Display]:[RELID]],2,0)))</f>
        <v/>
      </c>
      <c r="AJ4" s="67">
        <f>IF(OR(FormFields[[#This Row],[Option Type]]="",FormFields[[#This Row],[Option Type]]="type"),0,1)</f>
        <v>0</v>
      </c>
      <c r="AK4" s="67" t="str">
        <f>'Table Seed Map'!$A$14&amp;"-"&amp;FormFields[[#This Row],[NO4]]</f>
        <v>Field Options-0</v>
      </c>
      <c r="AL4" s="67">
        <f>COUNTIF($AJ$2:FormFields[[#This Row],[Exists FO]],1)</f>
        <v>0</v>
      </c>
      <c r="AM4" s="67" t="str">
        <f>IF(FormFields[[#This Row],[NO4]]=0,"id",FormFields[[#This Row],[NO4]]+IF(ISNUMBER(VLOOKUP('Table Seed Map'!$A$14,SeedMap[],9,0)),VLOOKUP('Table Seed Map'!$A$14,SeedMap[],9,0),0))</f>
        <v>id</v>
      </c>
      <c r="AN4" s="67">
        <f>IF(FormFields[[#This Row],[ID]]="id","form_field",FormFields[[#This Row],[ID]])</f>
        <v>310102</v>
      </c>
      <c r="AO4" s="75"/>
      <c r="AP4" s="75"/>
      <c r="AQ4" s="75"/>
      <c r="AR4" s="75"/>
      <c r="AS4" s="75"/>
      <c r="AT4" s="67">
        <f>IF(OR(FormFields[[#This Row],[Colspan]]="",FormFields[[#This Row],[Colspan]]="colspan"),0,1)</f>
        <v>1</v>
      </c>
      <c r="AU4" s="67" t="str">
        <f>'Table Seed Map'!$A$19&amp;"-"&amp;FormFields[[#This Row],[NO8]]</f>
        <v>Form Layout-2</v>
      </c>
      <c r="AV4" s="67">
        <f>COUNTIF($AT$1:FormFields[[#This Row],[Exists FL]],1)</f>
        <v>2</v>
      </c>
      <c r="AW4" s="67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4" s="67">
        <f>FormFields[Form]</f>
        <v>309101</v>
      </c>
      <c r="AY4" s="67">
        <f>IF(FormFields[[#This Row],[ID]]="id","form_field",FormFields[[#This Row],[ID]])</f>
        <v>310102</v>
      </c>
      <c r="AZ4" s="76">
        <v>4</v>
      </c>
      <c r="BA4" s="67">
        <f>FormFields[[#This Row],[ID]]</f>
        <v>310102</v>
      </c>
      <c r="BC4" s="4" t="s">
        <v>1510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67">
        <f>IFERROR(VLOOKUP(FieldAttrs[ATTR Field],FormFields[[Field Name]:[ID]],2,0),"form_field")</f>
        <v>310111</v>
      </c>
      <c r="BG4" s="74" t="s">
        <v>1509</v>
      </c>
      <c r="BH4" s="74">
        <v>4</v>
      </c>
      <c r="CE4" s="20"/>
      <c r="CH4"/>
      <c r="CI4" s="20"/>
      <c r="CM4"/>
      <c r="CU4" s="20"/>
      <c r="DA4"/>
      <c r="DC4" s="20"/>
    </row>
    <row r="5" spans="1:149" x14ac:dyDescent="0.25">
      <c r="A5" s="16" t="str">
        <f>'Table Seed Map'!$A$11&amp;"-"&amp;(COUNTA($F$1:ResourceForms[[#This Row],[Resource]])-2)</f>
        <v>Resource Forms-3</v>
      </c>
      <c r="B5" s="16" t="str">
        <f>ResourceForms[[#This Row],[Resource Name]]&amp;"/"&amp;ResourceForms[[#This Row],[Name]]</f>
        <v>UserSetting/ChangeUserSettingStatus</v>
      </c>
      <c r="C5" s="16">
        <f>COUNTA($A$1:ResourceForms[[#This Row],[Primary]])-2</f>
        <v>3</v>
      </c>
      <c r="D5" s="64" t="s">
        <v>1286</v>
      </c>
      <c r="E5" s="16">
        <f>IF(ResourceForms[[#This Row],[No]]=0,"id",ResourceForms[[#This Row],[No]]+IF(ISNUMBER(VLOOKUP('Table Seed Map'!$A$11,SeedMap[],9,0)),VLOOKUP('Table Seed Map'!$A$11,SeedMap[],9,0),0))</f>
        <v>309103</v>
      </c>
      <c r="F5" s="16">
        <f>IFERROR(VLOOKUP(ResourceForms[[#This Row],[Resource Name]],ResourceTable[[RName]:[No]],3,0),"resource")</f>
        <v>305117</v>
      </c>
      <c r="G5" s="9" t="s">
        <v>1468</v>
      </c>
      <c r="H5" s="16" t="s">
        <v>1469</v>
      </c>
      <c r="I5" s="9" t="s">
        <v>1470</v>
      </c>
      <c r="J5" s="9" t="s">
        <v>1357</v>
      </c>
      <c r="K5" s="59">
        <f>ResourceForms[ID]</f>
        <v>309103</v>
      </c>
      <c r="M5" s="65" t="str">
        <f>'Table Seed Map'!$A$12&amp;"-"&amp;FormFields[[#This Row],[No]]</f>
        <v>Form Fields-3</v>
      </c>
      <c r="N5" s="66" t="s">
        <v>1369</v>
      </c>
      <c r="O5" s="67">
        <f>COUNTA($N$1:FormFields[[#This Row],[Form Name]])-1</f>
        <v>3</v>
      </c>
      <c r="P5" s="65" t="str">
        <f>FormFields[[#This Row],[Form Name]]&amp;"/"&amp;FormFields[[#This Row],[Name]]</f>
        <v>Setting/AddNewSetting/status</v>
      </c>
      <c r="Q5" s="67">
        <f>IF(FormFields[[#This Row],[No]]=0,"id",FormFields[[#This Row],[No]]+IF(ISNUMBER(VLOOKUP('Table Seed Map'!$A$12,SeedMap[],9,0)),VLOOKUP('Table Seed Map'!$A$12,SeedMap[],9,0),0))</f>
        <v>310103</v>
      </c>
      <c r="R5" s="68">
        <f>IFERROR(VLOOKUP(FormFields[[#This Row],[Form Name]],ResourceForms[[FormName]:[ID]],4,0),"resource_form")</f>
        <v>309101</v>
      </c>
      <c r="S5" s="69" t="s">
        <v>776</v>
      </c>
      <c r="T5" s="69" t="s">
        <v>1371</v>
      </c>
      <c r="U5" s="69" t="s">
        <v>1356</v>
      </c>
      <c r="V5" s="70"/>
      <c r="W5" s="70"/>
      <c r="X5" s="70"/>
      <c r="Y5" s="70"/>
      <c r="Z5" s="71" t="str">
        <f>'Table Seed Map'!$A$13&amp;"-"&amp;FormFields[[#This Row],[NO2]]</f>
        <v>Field Data-3</v>
      </c>
      <c r="AA5" s="72">
        <f>COUNTIFS($AB$1:FormFields[[#This Row],[Exists]],1)-1</f>
        <v>3</v>
      </c>
      <c r="AB5" s="72">
        <f>IF(AND(FormFields[[#This Row],[Attribute]]="",FormFields[[#This Row],[Rel]]=""),0,1)</f>
        <v>1</v>
      </c>
      <c r="AC5" s="72">
        <f>IF(FormFields[[#This Row],[NO2]]=0,"id",FormFields[[#This Row],[NO2]]+IF(ISNUMBER(VLOOKUP('Table Seed Map'!$A$13,SeedMap[],9,0)),VLOOKUP('Table Seed Map'!$A$13,SeedMap[],9,0),0))</f>
        <v>311103</v>
      </c>
      <c r="AD5" s="77">
        <f>IF(FormFields[[#This Row],[ID]]="id","form_field",FormFields[[#This Row],[ID]])</f>
        <v>310103</v>
      </c>
      <c r="AE5" s="72" t="str">
        <f>IF(FormFields[[#This Row],[No]]=0,"attribute",FormFields[[#This Row],[Name]])</f>
        <v>status</v>
      </c>
      <c r="AF5" s="73" t="str">
        <f>IF(FormFields[[#This Row],[NO2]]=0,"relation",IF(FormFields[[#This Row],[Rel]]="","",VLOOKUP(FormFields[[#This Row],[Rel]],RelationTable[[Display]:[RELID]],2,0)))</f>
        <v/>
      </c>
      <c r="AG5" s="73" t="str">
        <f>IF(FormFields[[#This Row],[NO2]]=0,"nest_relation1",IF(FormFields[[#This Row],[Rel1]]="","",VLOOKUP(FormFields[[#This Row],[Rel1]],RelationTable[[Display]:[RELID]],2,0)))</f>
        <v/>
      </c>
      <c r="AH5" s="73" t="str">
        <f>IF(FormFields[[#This Row],[NO2]]=0,"nest_relation2",IF(FormFields[[#This Row],[Rel2]]="","",VLOOKUP(FormFields[[#This Row],[Rel2]],RelationTable[[Display]:[RELID]],2,0)))</f>
        <v/>
      </c>
      <c r="AI5" s="73" t="str">
        <f>IF(FormFields[[#This Row],[NO2]]=0,"nest_relation2",IF(FormFields[[#This Row],[Rel2]]="","",VLOOKUP(FormFields[[#This Row],[Rel2]],RelationTable[[Display]:[RELID]],2,0)))</f>
        <v/>
      </c>
      <c r="AJ5" s="67">
        <f>IF(OR(FormFields[[#This Row],[Option Type]]="",FormFields[[#This Row],[Option Type]]="type"),0,1)</f>
        <v>1</v>
      </c>
      <c r="AK5" s="67" t="str">
        <f>'Table Seed Map'!$A$14&amp;"-"&amp;FormFields[[#This Row],[NO4]]</f>
        <v>Field Options-1</v>
      </c>
      <c r="AL5" s="67">
        <f>COUNTIF($AJ$2:FormFields[[#This Row],[Exists FO]],1)</f>
        <v>1</v>
      </c>
      <c r="AM5" s="67">
        <f>IF(FormFields[[#This Row],[NO4]]=0,"id",FormFields[[#This Row],[NO4]]+IF(ISNUMBER(VLOOKUP('Table Seed Map'!$A$14,SeedMap[],9,0)),VLOOKUP('Table Seed Map'!$A$14,SeedMap[],9,0),0))</f>
        <v>312101</v>
      </c>
      <c r="AN5" s="67">
        <f>IF(FormFields[[#This Row],[ID]]="id","form_field",FormFields[[#This Row],[ID]])</f>
        <v>310103</v>
      </c>
      <c r="AO5" s="75" t="s">
        <v>1441</v>
      </c>
      <c r="AP5" s="75"/>
      <c r="AQ5" s="75"/>
      <c r="AR5" s="75"/>
      <c r="AS5" s="75"/>
      <c r="AT5" s="67">
        <f>IF(OR(FormFields[[#This Row],[Colspan]]="",FormFields[[#This Row],[Colspan]]="colspan"),0,1)</f>
        <v>1</v>
      </c>
      <c r="AU5" s="67" t="str">
        <f>'Table Seed Map'!$A$19&amp;"-"&amp;FormFields[[#This Row],[NO8]]</f>
        <v>Form Layout-3</v>
      </c>
      <c r="AV5" s="67">
        <f>COUNTIF($AT$1:FormFields[[#This Row],[Exists FL]],1)</f>
        <v>3</v>
      </c>
      <c r="AW5" s="67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5" s="67">
        <f>FormFields[Form]</f>
        <v>309101</v>
      </c>
      <c r="AY5" s="67">
        <f>IF(FormFields[[#This Row],[ID]]="id","form_field",FormFields[[#This Row],[ID]])</f>
        <v>310103</v>
      </c>
      <c r="AZ5" s="76">
        <v>4</v>
      </c>
      <c r="BA5" s="67">
        <f>FormFields[[#This Row],[ID]]</f>
        <v>310103</v>
      </c>
      <c r="BC5" s="4" t="s">
        <v>1511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67">
        <f>IFERROR(VLOOKUP(FieldAttrs[ATTR Field],FormFields[[Field Name]:[ID]],2,0),"form_field")</f>
        <v>310112</v>
      </c>
      <c r="BG5" s="74" t="s">
        <v>1509</v>
      </c>
      <c r="BH5" s="74">
        <v>4</v>
      </c>
      <c r="CE5" s="20"/>
      <c r="DA5"/>
      <c r="DC5" s="20"/>
    </row>
    <row r="6" spans="1:149" x14ac:dyDescent="0.25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UserStoreArea/AddUserStoreAreaForm</v>
      </c>
      <c r="C6" s="60">
        <f>COUNTA($A$1:ResourceForms[[#This Row],[Primary]])-2</f>
        <v>4</v>
      </c>
      <c r="D6" s="64" t="s">
        <v>1287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305118</v>
      </c>
      <c r="G6" s="7" t="s">
        <v>1490</v>
      </c>
      <c r="H6" s="60" t="s">
        <v>1491</v>
      </c>
      <c r="I6" s="7" t="s">
        <v>1492</v>
      </c>
      <c r="J6" s="7" t="s">
        <v>1357</v>
      </c>
      <c r="K6" s="58">
        <f>ResourceForms[ID]</f>
        <v>309104</v>
      </c>
      <c r="M6" s="65" t="str">
        <f>'Table Seed Map'!$A$12&amp;"-"&amp;FormFields[[#This Row],[No]]</f>
        <v>Form Fields-4</v>
      </c>
      <c r="N6" s="66" t="s">
        <v>1369</v>
      </c>
      <c r="O6" s="67">
        <f>COUNTA($N$1:FormFields[[#This Row],[Form Name]])-1</f>
        <v>4</v>
      </c>
      <c r="P6" s="65" t="str">
        <f>FormFields[[#This Row],[Form Name]]&amp;"/"&amp;FormFields[[#This Row],[Name]]</f>
        <v>Setting/AddNewSetting/description</v>
      </c>
      <c r="Q6" s="67">
        <f>IF(FormFields[[#This Row],[No]]=0,"id",FormFields[[#This Row],[No]]+IF(ISNUMBER(VLOOKUP('Table Seed Map'!$A$12,SeedMap[],9,0)),VLOOKUP('Table Seed Map'!$A$12,SeedMap[],9,0),0))</f>
        <v>310104</v>
      </c>
      <c r="R6" s="68">
        <f>IFERROR(VLOOKUP(FormFields[[#This Row],[Form Name]],ResourceForms[[FormName]:[ID]],4,0),"resource_form")</f>
        <v>309101</v>
      </c>
      <c r="S6" s="89" t="s">
        <v>24</v>
      </c>
      <c r="T6" s="89" t="s">
        <v>1372</v>
      </c>
      <c r="U6" s="89" t="s">
        <v>102</v>
      </c>
      <c r="V6" s="70"/>
      <c r="W6" s="70"/>
      <c r="X6" s="70"/>
      <c r="Y6" s="70"/>
      <c r="Z6" s="71" t="str">
        <f>'Table Seed Map'!$A$13&amp;"-"&amp;FormFields[[#This Row],[NO2]]</f>
        <v>Field Data-4</v>
      </c>
      <c r="AA6" s="72">
        <f>COUNTIFS($AB$1:FormFields[[#This Row],[Exists]],1)-1</f>
        <v>4</v>
      </c>
      <c r="AB6" s="72">
        <f>IF(AND(FormFields[[#This Row],[Attribute]]="",FormFields[[#This Row],[Rel]]=""),0,1)</f>
        <v>1</v>
      </c>
      <c r="AC6" s="72">
        <f>IF(FormFields[[#This Row],[NO2]]=0,"id",FormFields[[#This Row],[NO2]]+IF(ISNUMBER(VLOOKUP('Table Seed Map'!$A$13,SeedMap[],9,0)),VLOOKUP('Table Seed Map'!$A$13,SeedMap[],9,0),0))</f>
        <v>311104</v>
      </c>
      <c r="AD6" s="77">
        <f>IF(FormFields[[#This Row],[ID]]="id","form_field",FormFields[[#This Row],[ID]])</f>
        <v>310104</v>
      </c>
      <c r="AE6" s="72" t="str">
        <f>IF(FormFields[[#This Row],[No]]=0,"attribute",FormFields[[#This Row],[Name]])</f>
        <v>description</v>
      </c>
      <c r="AF6" s="73" t="str">
        <f>IF(FormFields[[#This Row],[NO2]]=0,"relation",IF(FormFields[[#This Row],[Rel]]="","",VLOOKUP(FormFields[[#This Row],[Rel]],RelationTable[[Display]:[RELID]],2,0)))</f>
        <v/>
      </c>
      <c r="AG6" s="73" t="str">
        <f>IF(FormFields[[#This Row],[NO2]]=0,"nest_relation1",IF(FormFields[[#This Row],[Rel1]]="","",VLOOKUP(FormFields[[#This Row],[Rel1]],RelationTable[[Display]:[RELID]],2,0)))</f>
        <v/>
      </c>
      <c r="AH6" s="73" t="str">
        <f>IF(FormFields[[#This Row],[NO2]]=0,"nest_relation2",IF(FormFields[[#This Row],[Rel2]]="","",VLOOKUP(FormFields[[#This Row],[Rel2]],RelationTable[[Display]:[RELID]],2,0)))</f>
        <v/>
      </c>
      <c r="AI6" s="73" t="str">
        <f>IF(FormFields[[#This Row],[NO2]]=0,"nest_relation2",IF(FormFields[[#This Row],[Rel2]]="","",VLOOKUP(FormFields[[#This Row],[Rel2]],RelationTable[[Display]:[RELID]],2,0)))</f>
        <v/>
      </c>
      <c r="AJ6" s="67">
        <f>IF(OR(FormFields[[#This Row],[Option Type]]="",FormFields[[#This Row],[Option Type]]="type"),0,1)</f>
        <v>0</v>
      </c>
      <c r="AK6" s="67" t="str">
        <f>'Table Seed Map'!$A$14&amp;"-"&amp;FormFields[[#This Row],[NO4]]</f>
        <v>Field Options-1</v>
      </c>
      <c r="AL6" s="67">
        <f>COUNTIF($AJ$2:FormFields[[#This Row],[Exists FO]],1)</f>
        <v>1</v>
      </c>
      <c r="AM6" s="67">
        <f>IF(FormFields[[#This Row],[NO4]]=0,"id",FormFields[[#This Row],[NO4]]+IF(ISNUMBER(VLOOKUP('Table Seed Map'!$A$14,SeedMap[],9,0)),VLOOKUP('Table Seed Map'!$A$14,SeedMap[],9,0),0))</f>
        <v>312101</v>
      </c>
      <c r="AN6" s="67">
        <f>IF(FormFields[[#This Row],[ID]]="id","form_field",FormFields[[#This Row],[ID]])</f>
        <v>310104</v>
      </c>
      <c r="AO6" s="75"/>
      <c r="AP6" s="75"/>
      <c r="AQ6" s="75"/>
      <c r="AR6" s="75"/>
      <c r="AS6" s="75"/>
      <c r="AT6" s="67">
        <f>IF(OR(FormFields[[#This Row],[Colspan]]="",FormFields[[#This Row],[Colspan]]="colspan"),0,1)</f>
        <v>1</v>
      </c>
      <c r="AU6" s="67" t="str">
        <f>'Table Seed Map'!$A$19&amp;"-"&amp;FormFields[[#This Row],[NO8]]</f>
        <v>Form Layout-4</v>
      </c>
      <c r="AV6" s="67">
        <f>COUNTIF($AT$1:FormFields[[#This Row],[Exists FL]],1)</f>
        <v>4</v>
      </c>
      <c r="AW6" s="67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6" s="67">
        <f>FormFields[Form]</f>
        <v>309101</v>
      </c>
      <c r="AY6" s="67">
        <f>IF(FormFields[[#This Row],[ID]]="id","form_field",FormFields[[#This Row],[ID]])</f>
        <v>310104</v>
      </c>
      <c r="AZ6" s="76">
        <v>12</v>
      </c>
      <c r="BA6" s="67">
        <f>FormFields[[#This Row],[ID]]</f>
        <v>310104</v>
      </c>
      <c r="BC6" s="4" t="s">
        <v>1512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67">
        <f>IFERROR(VLOOKUP(FieldAttrs[ATTR Field],FormFields[[Field Name]:[ID]],2,0),"form_field")</f>
        <v>310113</v>
      </c>
      <c r="BG6" s="74" t="s">
        <v>1509</v>
      </c>
      <c r="BH6" s="74">
        <v>4</v>
      </c>
    </row>
    <row r="7" spans="1:149" x14ac:dyDescent="0.25">
      <c r="A7" s="30" t="str">
        <f>'Table Seed Map'!$A$11&amp;"-"&amp;(COUNTA($F$1:ResourceForms[[#This Row],[Resource]])-2)</f>
        <v>Resource Forms-5</v>
      </c>
      <c r="B7" s="30" t="str">
        <f>ResourceForms[[#This Row],[Resource Name]]&amp;"/"&amp;ResourceForms[[#This Row],[Name]]</f>
        <v>ProductImage/AddProductImage</v>
      </c>
      <c r="C7" s="30">
        <f>COUNTA($A$1:ResourceForms[[#This Row],[Primary]])-2</f>
        <v>5</v>
      </c>
      <c r="D7" s="64" t="s">
        <v>1714</v>
      </c>
      <c r="E7" s="30">
        <f>IF(ResourceForms[[#This Row],[No]]=0,"id",ResourceForms[[#This Row],[No]]+IF(ISNUMBER(VLOOKUP('Table Seed Map'!$A$11,SeedMap[],9,0)),VLOOKUP('Table Seed Map'!$A$11,SeedMap[],9,0),0))</f>
        <v>309105</v>
      </c>
      <c r="F7" s="30">
        <f>IFERROR(VLOOKUP(ResourceForms[[#This Row],[Resource Name]],ResourceTable[[RName]:[No]],3,0),"resource")</f>
        <v>305110</v>
      </c>
      <c r="G7" s="8" t="s">
        <v>1717</v>
      </c>
      <c r="H7" s="30" t="s">
        <v>1718</v>
      </c>
      <c r="I7" s="8" t="s">
        <v>1716</v>
      </c>
      <c r="J7" s="8" t="s">
        <v>1357</v>
      </c>
      <c r="K7" s="32">
        <f>ResourceForms[ID]</f>
        <v>309105</v>
      </c>
      <c r="M7" s="65" t="str">
        <f>'Table Seed Map'!$A$12&amp;"-"&amp;FormFields[[#This Row],[No]]</f>
        <v>Form Fields-5</v>
      </c>
      <c r="N7" s="66" t="s">
        <v>1429</v>
      </c>
      <c r="O7" s="67">
        <f>COUNTA($N$1:FormFields[[#This Row],[Form Name]])-1</f>
        <v>5</v>
      </c>
      <c r="P7" s="65" t="str">
        <f>FormFields[[#This Row],[Form Name]]&amp;"/"&amp;FormFields[[#This Row],[Name]]</f>
        <v>UserSetting/AddNewUserSetting/user</v>
      </c>
      <c r="Q7" s="67">
        <f>IF(FormFields[[#This Row],[No]]=0,"id",FormFields[[#This Row],[No]]+IF(ISNUMBER(VLOOKUP('Table Seed Map'!$A$12,SeedMap[],9,0)),VLOOKUP('Table Seed Map'!$A$12,SeedMap[],9,0),0))</f>
        <v>310105</v>
      </c>
      <c r="R7" s="68">
        <f>IFERROR(VLOOKUP(FormFields[[#This Row],[Form Name]],ResourceForms[[FormName]:[ID]],4,0),"resource_form")</f>
        <v>309102</v>
      </c>
      <c r="S7" s="69" t="s">
        <v>64</v>
      </c>
      <c r="T7" s="69" t="s">
        <v>1371</v>
      </c>
      <c r="U7" s="69" t="s">
        <v>74</v>
      </c>
      <c r="V7" s="70"/>
      <c r="W7" s="70"/>
      <c r="X7" s="70"/>
      <c r="Y7" s="70"/>
      <c r="Z7" s="71" t="str">
        <f>'Table Seed Map'!$A$13&amp;"-"&amp;FormFields[[#This Row],[NO2]]</f>
        <v>Field Data-5</v>
      </c>
      <c r="AA7" s="72">
        <f>COUNTIFS($AB$1:FormFields[[#This Row],[Exists]],1)-1</f>
        <v>5</v>
      </c>
      <c r="AB7" s="72">
        <f>IF(AND(FormFields[[#This Row],[Attribute]]="",FormFields[[#This Row],[Rel]]=""),0,1)</f>
        <v>1</v>
      </c>
      <c r="AC7" s="72">
        <f>IF(FormFields[[#This Row],[NO2]]=0,"id",FormFields[[#This Row],[NO2]]+IF(ISNUMBER(VLOOKUP('Table Seed Map'!$A$13,SeedMap[],9,0)),VLOOKUP('Table Seed Map'!$A$13,SeedMap[],9,0),0))</f>
        <v>311105</v>
      </c>
      <c r="AD7" s="77">
        <f>IF(FormFields[[#This Row],[ID]]="id","form_field",FormFields[[#This Row],[ID]])</f>
        <v>310105</v>
      </c>
      <c r="AE7" s="72" t="str">
        <f>IF(FormFields[[#This Row],[No]]=0,"attribute",FormFields[[#This Row],[Name]])</f>
        <v>user</v>
      </c>
      <c r="AF7" s="73" t="str">
        <f>IF(FormFields[[#This Row],[NO2]]=0,"relation",IF(FormFields[[#This Row],[Rel]]="","",VLOOKUP(FormFields[[#This Row],[Rel]],RelationTable[[Display]:[RELID]],2,0)))</f>
        <v/>
      </c>
      <c r="AG7" s="73" t="str">
        <f>IF(FormFields[[#This Row],[NO2]]=0,"nest_relation1",IF(FormFields[[#This Row],[Rel1]]="","",VLOOKUP(FormFields[[#This Row],[Rel1]],RelationTable[[Display]:[RELID]],2,0)))</f>
        <v/>
      </c>
      <c r="AH7" s="73" t="str">
        <f>IF(FormFields[[#This Row],[NO2]]=0,"nest_relation2",IF(FormFields[[#This Row],[Rel2]]="","",VLOOKUP(FormFields[[#This Row],[Rel2]],RelationTable[[Display]:[RELID]],2,0)))</f>
        <v/>
      </c>
      <c r="AI7" s="73" t="str">
        <f>IF(FormFields[[#This Row],[NO2]]=0,"nest_relation2",IF(FormFields[[#This Row],[Rel2]]="","",VLOOKUP(FormFields[[#This Row],[Rel2]],RelationTable[[Display]:[RELID]],2,0)))</f>
        <v/>
      </c>
      <c r="AJ7" s="67">
        <f>IF(OR(FormFields[[#This Row],[Option Type]]="",FormFields[[#This Row],[Option Type]]="type"),0,1)</f>
        <v>1</v>
      </c>
      <c r="AK7" s="67" t="str">
        <f>'Table Seed Map'!$A$14&amp;"-"&amp;FormFields[[#This Row],[NO4]]</f>
        <v>Field Options-2</v>
      </c>
      <c r="AL7" s="67">
        <f>COUNTIF($AJ$2:FormFields[[#This Row],[Exists FO]],1)</f>
        <v>2</v>
      </c>
      <c r="AM7" s="67">
        <f>IF(FormFields[[#This Row],[NO4]]=0,"id",FormFields[[#This Row],[NO4]]+IF(ISNUMBER(VLOOKUP('Table Seed Map'!$A$14,SeedMap[],9,0)),VLOOKUP('Table Seed Map'!$A$14,SeedMap[],9,0),0))</f>
        <v>312102</v>
      </c>
      <c r="AN7" s="67">
        <f>IF(FormFields[[#This Row],[ID]]="id","form_field",FormFields[[#This Row],[ID]])</f>
        <v>310105</v>
      </c>
      <c r="AO7" s="75" t="s">
        <v>122</v>
      </c>
      <c r="AP7" s="75">
        <v>322113</v>
      </c>
      <c r="AQ7" s="75" t="s">
        <v>21</v>
      </c>
      <c r="AR7" s="75" t="s">
        <v>23</v>
      </c>
      <c r="AS7" s="75" t="s">
        <v>1440</v>
      </c>
      <c r="AT7" s="67">
        <f>IF(OR(FormFields[[#This Row],[Colspan]]="",FormFields[[#This Row],[Colspan]]="colspan"),0,1)</f>
        <v>1</v>
      </c>
      <c r="AU7" s="67" t="str">
        <f>'Table Seed Map'!$A$19&amp;"-"&amp;FormFields[[#This Row],[NO8]]</f>
        <v>Form Layout-5</v>
      </c>
      <c r="AV7" s="67">
        <f>COUNTIF($AT$1:FormFields[[#This Row],[Exists FL]],1)</f>
        <v>5</v>
      </c>
      <c r="AW7" s="67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7" s="67">
        <f>FormFields[Form]</f>
        <v>309102</v>
      </c>
      <c r="AY7" s="67">
        <f>IF(FormFields[[#This Row],[ID]]="id","form_field",FormFields[[#This Row],[ID]])</f>
        <v>310105</v>
      </c>
      <c r="AZ7" s="76">
        <v>6</v>
      </c>
      <c r="BA7" s="67">
        <f>FormFields[[#This Row],[ID]]</f>
        <v>310105</v>
      </c>
      <c r="BC7" s="4" t="s">
        <v>1939</v>
      </c>
      <c r="BD7" s="8" t="str">
        <f>'Table Seed Map'!$A$15&amp;"-"&amp;(-1+COUNTA($BC$1:FieldAttrs[[#This Row],[ATTR Field]]))</f>
        <v>Field Attrs-5</v>
      </c>
      <c r="BE7" s="30">
        <f>IF(FieldAttrs[[#This Row],[ATTR Field]]="","id",-1+COUNTA($BC$1:FieldAttrs[[#This Row],[ATTR Field]])+VLOOKUP('Table Seed Map'!$A$15,SeedMap[],9,0))</f>
        <v>313105</v>
      </c>
      <c r="BF7" s="79">
        <f>IFERROR(VLOOKUP(FieldAttrs[ATTR Field],FormFields[[Field Name]:[ID]],2,0),"form_field")</f>
        <v>310126</v>
      </c>
      <c r="BG7" s="119" t="s">
        <v>44</v>
      </c>
      <c r="BH7" s="119">
        <v>0</v>
      </c>
    </row>
    <row r="8" spans="1:149" x14ac:dyDescent="0.25">
      <c r="A8" s="30" t="str">
        <f>'Table Seed Map'!$A$11&amp;"-"&amp;(COUNTA($F$1:ResourceForms[[#This Row],[Resource]])-2)</f>
        <v>Resource Forms-6</v>
      </c>
      <c r="B8" s="30" t="str">
        <f>ResourceForms[[#This Row],[Resource Name]]&amp;"/"&amp;ResourceForms[[#This Row],[Name]]</f>
        <v>FnReserve/AddFNReserves</v>
      </c>
      <c r="C8" s="30">
        <f>COUNTA($A$1:ResourceForms[[#This Row],[Primary]])-2</f>
        <v>6</v>
      </c>
      <c r="D8" s="64" t="s">
        <v>1633</v>
      </c>
      <c r="E8" s="30">
        <f>IF(ResourceForms[[#This Row],[No]]=0,"id",ResourceForms[[#This Row],[No]]+IF(ISNUMBER(VLOOKUP('Table Seed Map'!$A$11,SeedMap[],9,0)),VLOOKUP('Table Seed Map'!$A$11,SeedMap[],9,0),0))</f>
        <v>309106</v>
      </c>
      <c r="F8" s="30">
        <f>IFERROR(VLOOKUP(ResourceForms[[#This Row],[Resource Name]],ResourceTable[[RName]:[No]],3,0),"resource")</f>
        <v>305127</v>
      </c>
      <c r="G8" s="8" t="s">
        <v>1758</v>
      </c>
      <c r="H8" s="30" t="s">
        <v>1759</v>
      </c>
      <c r="I8" s="8" t="s">
        <v>1634</v>
      </c>
      <c r="J8" s="8" t="s">
        <v>1357</v>
      </c>
      <c r="K8" s="32">
        <f>ResourceForms[ID]</f>
        <v>309106</v>
      </c>
      <c r="M8" s="65" t="str">
        <f>'Table Seed Map'!$A$12&amp;"-"&amp;FormFields[[#This Row],[No]]</f>
        <v>Form Fields-6</v>
      </c>
      <c r="N8" s="66" t="s">
        <v>1429</v>
      </c>
      <c r="O8" s="67">
        <f>COUNTA($N$1:FormFields[[#This Row],[Form Name]])-1</f>
        <v>6</v>
      </c>
      <c r="P8" s="65" t="str">
        <f>FormFields[[#This Row],[Form Name]]&amp;"/"&amp;FormFields[[#This Row],[Name]]</f>
        <v>UserSetting/AddNewUserSetting/setting</v>
      </c>
      <c r="Q8" s="67">
        <f>IF(FormFields[[#This Row],[No]]=0,"id",FormFields[[#This Row],[No]]+IF(ISNUMBER(VLOOKUP('Table Seed Map'!$A$12,SeedMap[],9,0)),VLOOKUP('Table Seed Map'!$A$12,SeedMap[],9,0),0))</f>
        <v>310106</v>
      </c>
      <c r="R8" s="68">
        <f>IFERROR(VLOOKUP(FormFields[[#This Row],[Form Name]],ResourceForms[[FormName]:[ID]],4,0),"resource_form")</f>
        <v>309102</v>
      </c>
      <c r="S8" s="69" t="s">
        <v>1273</v>
      </c>
      <c r="T8" s="69" t="s">
        <v>1371</v>
      </c>
      <c r="U8" s="69" t="s">
        <v>1277</v>
      </c>
      <c r="V8" s="70"/>
      <c r="W8" s="70"/>
      <c r="X8" s="70"/>
      <c r="Y8" s="70"/>
      <c r="Z8" s="71" t="str">
        <f>'Table Seed Map'!$A$13&amp;"-"&amp;FormFields[[#This Row],[NO2]]</f>
        <v>Field Data-6</v>
      </c>
      <c r="AA8" s="72">
        <f>COUNTIFS($AB$1:FormFields[[#This Row],[Exists]],1)-1</f>
        <v>6</v>
      </c>
      <c r="AB8" s="72">
        <f>IF(AND(FormFields[[#This Row],[Attribute]]="",FormFields[[#This Row],[Rel]]=""),0,1)</f>
        <v>1</v>
      </c>
      <c r="AC8" s="72">
        <f>IF(FormFields[[#This Row],[NO2]]=0,"id",FormFields[[#This Row],[NO2]]+IF(ISNUMBER(VLOOKUP('Table Seed Map'!$A$13,SeedMap[],9,0)),VLOOKUP('Table Seed Map'!$A$13,SeedMap[],9,0),0))</f>
        <v>311106</v>
      </c>
      <c r="AD8" s="77">
        <f>IF(FormFields[[#This Row],[ID]]="id","form_field",FormFields[[#This Row],[ID]])</f>
        <v>310106</v>
      </c>
      <c r="AE8" s="72" t="str">
        <f>IF(FormFields[[#This Row],[No]]=0,"attribute",FormFields[[#This Row],[Name]])</f>
        <v>setting</v>
      </c>
      <c r="AF8" s="73" t="str">
        <f>IF(FormFields[[#This Row],[NO2]]=0,"relation",IF(FormFields[[#This Row],[Rel]]="","",VLOOKUP(FormFields[[#This Row],[Rel]],RelationTable[[Display]:[RELID]],2,0)))</f>
        <v/>
      </c>
      <c r="AG8" s="73" t="str">
        <f>IF(FormFields[[#This Row],[NO2]]=0,"nest_relation1",IF(FormFields[[#This Row],[Rel1]]="","",VLOOKUP(FormFields[[#This Row],[Rel1]],RelationTable[[Display]:[RELID]],2,0)))</f>
        <v/>
      </c>
      <c r="AH8" s="73" t="str">
        <f>IF(FormFields[[#This Row],[NO2]]=0,"nest_relation2",IF(FormFields[[#This Row],[Rel2]]="","",VLOOKUP(FormFields[[#This Row],[Rel2]],RelationTable[[Display]:[RELID]],2,0)))</f>
        <v/>
      </c>
      <c r="AI8" s="73" t="str">
        <f>IF(FormFields[[#This Row],[NO2]]=0,"nest_relation2",IF(FormFields[[#This Row],[Rel2]]="","",VLOOKUP(FormFields[[#This Row],[Rel2]],RelationTable[[Display]:[RELID]],2,0)))</f>
        <v/>
      </c>
      <c r="AJ8" s="67">
        <f>IF(OR(FormFields[[#This Row],[Option Type]]="",FormFields[[#This Row],[Option Type]]="type"),0,1)</f>
        <v>1</v>
      </c>
      <c r="AK8" s="67" t="str">
        <f>'Table Seed Map'!$A$14&amp;"-"&amp;FormFields[[#This Row],[NO4]]</f>
        <v>Field Options-3</v>
      </c>
      <c r="AL8" s="67">
        <f>COUNTIF($AJ$2:FormFields[[#This Row],[Exists FO]],1)</f>
        <v>3</v>
      </c>
      <c r="AM8" s="67">
        <f>IF(FormFields[[#This Row],[NO4]]=0,"id",FormFields[[#This Row],[NO4]]+IF(ISNUMBER(VLOOKUP('Table Seed Map'!$A$14,SeedMap[],9,0)),VLOOKUP('Table Seed Map'!$A$14,SeedMap[],9,0),0))</f>
        <v>312103</v>
      </c>
      <c r="AN8" s="67">
        <f>IF(FormFields[[#This Row],[ID]]="id","form_field",FormFields[[#This Row],[ID]])</f>
        <v>310106</v>
      </c>
      <c r="AO8" s="75" t="s">
        <v>278</v>
      </c>
      <c r="AP8" s="75"/>
      <c r="AQ8" s="75" t="s">
        <v>21</v>
      </c>
      <c r="AR8" s="75" t="s">
        <v>23</v>
      </c>
      <c r="AS8" s="75" t="s">
        <v>1440</v>
      </c>
      <c r="AT8" s="67">
        <f>IF(OR(FormFields[[#This Row],[Colspan]]="",FormFields[[#This Row],[Colspan]]="colspan"),0,1)</f>
        <v>1</v>
      </c>
      <c r="AU8" s="67" t="str">
        <f>'Table Seed Map'!$A$19&amp;"-"&amp;FormFields[[#This Row],[NO8]]</f>
        <v>Form Layout-6</v>
      </c>
      <c r="AV8" s="67">
        <f>COUNTIF($AT$1:FormFields[[#This Row],[Exists FL]],1)</f>
        <v>6</v>
      </c>
      <c r="AW8" s="67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8" s="67">
        <f>FormFields[Form]</f>
        <v>309102</v>
      </c>
      <c r="AY8" s="67">
        <f>IF(FormFields[[#This Row],[ID]]="id","form_field",FormFields[[#This Row],[ID]])</f>
        <v>310106</v>
      </c>
      <c r="AZ8" s="76">
        <v>6</v>
      </c>
      <c r="BA8" s="67">
        <f>FormFields[[#This Row],[ID]]</f>
        <v>310106</v>
      </c>
    </row>
    <row r="9" spans="1:149" x14ac:dyDescent="0.25">
      <c r="A9" s="30" t="str">
        <f>'Table Seed Map'!$A$11&amp;"-"&amp;(COUNTA($F$1:ResourceForms[[#This Row],[Resource]])-2)</f>
        <v>Resource Forms-7</v>
      </c>
      <c r="B9" s="30" t="str">
        <f>ResourceForms[[#This Row],[Resource Name]]&amp;"/"&amp;ResourceForms[[#This Row],[Name]]</f>
        <v>FnReserve/UpdateReserves</v>
      </c>
      <c r="C9" s="30">
        <f>COUNTA($A$1:ResourceForms[[#This Row],[Primary]])-2</f>
        <v>7</v>
      </c>
      <c r="D9" s="64" t="s">
        <v>1633</v>
      </c>
      <c r="E9" s="30">
        <f>IF(ResourceForms[[#This Row],[No]]=0,"id",ResourceForms[[#This Row],[No]]+IF(ISNUMBER(VLOOKUP('Table Seed Map'!$A$11,SeedMap[],9,0)),VLOOKUP('Table Seed Map'!$A$11,SeedMap[],9,0),0))</f>
        <v>309107</v>
      </c>
      <c r="F9" s="30">
        <f>IFERROR(VLOOKUP(ResourceForms[[#This Row],[Resource Name]],ResourceTable[[RName]:[No]],3,0),"resource")</f>
        <v>305127</v>
      </c>
      <c r="G9" s="8" t="s">
        <v>1793</v>
      </c>
      <c r="H9" s="30" t="s">
        <v>1911</v>
      </c>
      <c r="I9" s="8" t="s">
        <v>1634</v>
      </c>
      <c r="J9" s="8" t="s">
        <v>335</v>
      </c>
      <c r="K9" s="32">
        <f>ResourceForms[ID]</f>
        <v>309107</v>
      </c>
      <c r="M9" s="65" t="str">
        <f>'Table Seed Map'!$A$12&amp;"-"&amp;FormFields[[#This Row],[No]]</f>
        <v>Form Fields-7</v>
      </c>
      <c r="N9" s="66" t="s">
        <v>1429</v>
      </c>
      <c r="O9" s="67">
        <f>COUNTA($N$1:FormFields[[#This Row],[Form Name]])-1</f>
        <v>7</v>
      </c>
      <c r="P9" s="65" t="str">
        <f>FormFields[[#This Row],[Form Name]]&amp;"/"&amp;FormFields[[#This Row],[Name]]</f>
        <v>UserSetting/AddNewUserSetting/value</v>
      </c>
      <c r="Q9" s="67">
        <f>IF(FormFields[[#This Row],[No]]=0,"id",FormFields[[#This Row],[No]]+IF(ISNUMBER(VLOOKUP('Table Seed Map'!$A$12,SeedMap[],9,0)),VLOOKUP('Table Seed Map'!$A$12,SeedMap[],9,0),0))</f>
        <v>310107</v>
      </c>
      <c r="R9" s="68">
        <f>IFERROR(VLOOKUP(FormFields[[#This Row],[Form Name]],ResourceForms[[FormName]:[ID]],4,0),"resource_form")</f>
        <v>309102</v>
      </c>
      <c r="S9" s="69" t="s">
        <v>44</v>
      </c>
      <c r="T9" s="69" t="s">
        <v>1370</v>
      </c>
      <c r="U9" s="69" t="s">
        <v>276</v>
      </c>
      <c r="V9" s="70"/>
      <c r="W9" s="70"/>
      <c r="X9" s="70"/>
      <c r="Y9" s="70"/>
      <c r="Z9" s="71" t="str">
        <f>'Table Seed Map'!$A$13&amp;"-"&amp;FormFields[[#This Row],[NO2]]</f>
        <v>Field Data-7</v>
      </c>
      <c r="AA9" s="72">
        <f>COUNTIFS($AB$1:FormFields[[#This Row],[Exists]],1)-1</f>
        <v>7</v>
      </c>
      <c r="AB9" s="72">
        <f>IF(AND(FormFields[[#This Row],[Attribute]]="",FormFields[[#This Row],[Rel]]=""),0,1)</f>
        <v>1</v>
      </c>
      <c r="AC9" s="72">
        <f>IF(FormFields[[#This Row],[NO2]]=0,"id",FormFields[[#This Row],[NO2]]+IF(ISNUMBER(VLOOKUP('Table Seed Map'!$A$13,SeedMap[],9,0)),VLOOKUP('Table Seed Map'!$A$13,SeedMap[],9,0),0))</f>
        <v>311107</v>
      </c>
      <c r="AD9" s="77">
        <f>IF(FormFields[[#This Row],[ID]]="id","form_field",FormFields[[#This Row],[ID]])</f>
        <v>310107</v>
      </c>
      <c r="AE9" s="72" t="str">
        <f>IF(FormFields[[#This Row],[No]]=0,"attribute",FormFields[[#This Row],[Name]])</f>
        <v>value</v>
      </c>
      <c r="AF9" s="73" t="str">
        <f>IF(FormFields[[#This Row],[NO2]]=0,"relation",IF(FormFields[[#This Row],[Rel]]="","",VLOOKUP(FormFields[[#This Row],[Rel]],RelationTable[[Display]:[RELID]],2,0)))</f>
        <v/>
      </c>
      <c r="AG9" s="73" t="str">
        <f>IF(FormFields[[#This Row],[NO2]]=0,"nest_relation1",IF(FormFields[[#This Row],[Rel1]]="","",VLOOKUP(FormFields[[#This Row],[Rel1]],RelationTable[[Display]:[RELID]],2,0)))</f>
        <v/>
      </c>
      <c r="AH9" s="73" t="str">
        <f>IF(FormFields[[#This Row],[NO2]]=0,"nest_relation2",IF(FormFields[[#This Row],[Rel2]]="","",VLOOKUP(FormFields[[#This Row],[Rel2]],RelationTable[[Display]:[RELID]],2,0)))</f>
        <v/>
      </c>
      <c r="AI9" s="73" t="str">
        <f>IF(FormFields[[#This Row],[NO2]]=0,"nest_relation2",IF(FormFields[[#This Row],[Rel2]]="","",VLOOKUP(FormFields[[#This Row],[Rel2]],RelationTable[[Display]:[RELID]],2,0)))</f>
        <v/>
      </c>
      <c r="AJ9" s="67">
        <f>IF(OR(FormFields[[#This Row],[Option Type]]="",FormFields[[#This Row],[Option Type]]="type"),0,1)</f>
        <v>0</v>
      </c>
      <c r="AK9" s="67" t="str">
        <f>'Table Seed Map'!$A$14&amp;"-"&amp;FormFields[[#This Row],[NO4]]</f>
        <v>Field Options-3</v>
      </c>
      <c r="AL9" s="67">
        <f>COUNTIF($AJ$2:FormFields[[#This Row],[Exists FO]],1)</f>
        <v>3</v>
      </c>
      <c r="AM9" s="67">
        <f>IF(FormFields[[#This Row],[NO4]]=0,"id",FormFields[[#This Row],[NO4]]+IF(ISNUMBER(VLOOKUP('Table Seed Map'!$A$14,SeedMap[],9,0)),VLOOKUP('Table Seed Map'!$A$14,SeedMap[],9,0),0))</f>
        <v>312103</v>
      </c>
      <c r="AN9" s="67">
        <f>IF(FormFields[[#This Row],[ID]]="id","form_field",FormFields[[#This Row],[ID]])</f>
        <v>310107</v>
      </c>
      <c r="AO9" s="75"/>
      <c r="AP9" s="75"/>
      <c r="AQ9" s="75"/>
      <c r="AR9" s="75"/>
      <c r="AS9" s="75"/>
      <c r="AT9" s="67">
        <f>IF(OR(FormFields[[#This Row],[Colspan]]="",FormFields[[#This Row],[Colspan]]="colspan"),0,1)</f>
        <v>1</v>
      </c>
      <c r="AU9" s="67" t="str">
        <f>'Table Seed Map'!$A$19&amp;"-"&amp;FormFields[[#This Row],[NO8]]</f>
        <v>Form Layout-7</v>
      </c>
      <c r="AV9" s="67">
        <f>COUNTIF($AT$1:FormFields[[#This Row],[Exists FL]],1)</f>
        <v>7</v>
      </c>
      <c r="AW9" s="67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9" s="67">
        <f>FormFields[Form]</f>
        <v>309102</v>
      </c>
      <c r="AY9" s="67">
        <f>IF(FormFields[[#This Row],[ID]]="id","form_field",FormFields[[#This Row],[ID]])</f>
        <v>310107</v>
      </c>
      <c r="AZ9" s="76">
        <v>12</v>
      </c>
      <c r="BA9" s="67">
        <f>FormFields[[#This Row],[ID]]</f>
        <v>310107</v>
      </c>
    </row>
    <row r="10" spans="1:149" x14ac:dyDescent="0.25">
      <c r="A10" s="30" t="str">
        <f>'Table Seed Map'!$A$11&amp;"-"&amp;(COUNTA($F$1:ResourceForms[[#This Row],[Resource]])-2)</f>
        <v>Resource Forms-8</v>
      </c>
      <c r="B10" s="30" t="str">
        <f>ResourceForms[[#This Row],[Resource Name]]&amp;"/"&amp;ResourceForms[[#This Row],[Name]]</f>
        <v>Menu/UpdateMenu</v>
      </c>
      <c r="C10" s="30">
        <f>COUNTA($A$1:ResourceForms[[#This Row],[Primary]])-2</f>
        <v>8</v>
      </c>
      <c r="D10" s="64" t="s">
        <v>115</v>
      </c>
      <c r="E10" s="30">
        <f>IF(ResourceForms[[#This Row],[No]]=0,"id",ResourceForms[[#This Row],[No]]+IF(ISNUMBER(VLOOKUP('Table Seed Map'!$A$11,SeedMap[],9,0)),VLOOKUP('Table Seed Map'!$A$11,SeedMap[],9,0),0))</f>
        <v>309108</v>
      </c>
      <c r="F10" s="30">
        <f>IFERROR(VLOOKUP(ResourceForms[[#This Row],[Resource Name]],ResourceTable[[RName]:[No]],3,0),"resource")</f>
        <v>305104</v>
      </c>
      <c r="G10" s="8" t="s">
        <v>1910</v>
      </c>
      <c r="H10" s="30" t="s">
        <v>1912</v>
      </c>
      <c r="I10" s="8" t="s">
        <v>115</v>
      </c>
      <c r="J10" s="8" t="s">
        <v>335</v>
      </c>
      <c r="K10" s="32">
        <f>ResourceForms[ID]</f>
        <v>309108</v>
      </c>
      <c r="M10" s="65" t="str">
        <f>'Table Seed Map'!$A$12&amp;"-"&amp;FormFields[[#This Row],[No]]</f>
        <v>Form Fields-8</v>
      </c>
      <c r="N10" s="66" t="s">
        <v>1471</v>
      </c>
      <c r="O10" s="67">
        <f>COUNTA($N$1:FormFields[[#This Row],[Form Name]])-1</f>
        <v>8</v>
      </c>
      <c r="P10" s="65" t="str">
        <f>FormFields[[#This Row],[Form Name]]&amp;"/"&amp;FormFields[[#This Row],[Name]]</f>
        <v>UserSetting/ChangeUserSettingStatus/value</v>
      </c>
      <c r="Q10" s="67">
        <f>IF(FormFields[[#This Row],[No]]=0,"id",FormFields[[#This Row],[No]]+IF(ISNUMBER(VLOOKUP('Table Seed Map'!$A$12,SeedMap[],9,0)),VLOOKUP('Table Seed Map'!$A$12,SeedMap[],9,0),0))</f>
        <v>310108</v>
      </c>
      <c r="R10" s="68">
        <f>IFERROR(VLOOKUP(FormFields[[#This Row],[Form Name]],ResourceForms[[FormName]:[ID]],4,0),"resource_form")</f>
        <v>309103</v>
      </c>
      <c r="S10" s="69" t="s">
        <v>44</v>
      </c>
      <c r="T10" s="69" t="s">
        <v>1370</v>
      </c>
      <c r="U10" s="69" t="s">
        <v>276</v>
      </c>
      <c r="V10" s="70"/>
      <c r="W10" s="70"/>
      <c r="X10" s="70"/>
      <c r="Y10" s="70"/>
      <c r="Z10" s="71" t="str">
        <f>'Table Seed Map'!$A$13&amp;"-"&amp;FormFields[[#This Row],[NO2]]</f>
        <v>Field Data-8</v>
      </c>
      <c r="AA10" s="72">
        <f>COUNTIFS($AB$1:FormFields[[#This Row],[Exists]],1)-1</f>
        <v>8</v>
      </c>
      <c r="AB10" s="72">
        <f>IF(AND(FormFields[[#This Row],[Attribute]]="",FormFields[[#This Row],[Rel]]=""),0,1)</f>
        <v>1</v>
      </c>
      <c r="AC10" s="72">
        <f>IF(FormFields[[#This Row],[NO2]]=0,"id",FormFields[[#This Row],[NO2]]+IF(ISNUMBER(VLOOKUP('Table Seed Map'!$A$13,SeedMap[],9,0)),VLOOKUP('Table Seed Map'!$A$13,SeedMap[],9,0),0))</f>
        <v>311108</v>
      </c>
      <c r="AD10" s="77">
        <f>IF(FormFields[[#This Row],[ID]]="id","form_field",FormFields[[#This Row],[ID]])</f>
        <v>310108</v>
      </c>
      <c r="AE10" s="72" t="str">
        <f>IF(FormFields[[#This Row],[No]]=0,"attribute",FormFields[[#This Row],[Name]])</f>
        <v>value</v>
      </c>
      <c r="AF10" s="73" t="str">
        <f>IF(FormFields[[#This Row],[NO2]]=0,"relation",IF(FormFields[[#This Row],[Rel]]="","",VLOOKUP(FormFields[[#This Row],[Rel]],RelationTable[[Display]:[RELID]],2,0)))</f>
        <v/>
      </c>
      <c r="AG10" s="73" t="str">
        <f>IF(FormFields[[#This Row],[NO2]]=0,"nest_relation1",IF(FormFields[[#This Row],[Rel1]]="","",VLOOKUP(FormFields[[#This Row],[Rel1]],RelationTable[[Display]:[RELID]],2,0)))</f>
        <v/>
      </c>
      <c r="AH10" s="73" t="str">
        <f>IF(FormFields[[#This Row],[NO2]]=0,"nest_relation2",IF(FormFields[[#This Row],[Rel2]]="","",VLOOKUP(FormFields[[#This Row],[Rel2]],RelationTable[[Display]:[RELID]],2,0)))</f>
        <v/>
      </c>
      <c r="AI10" s="73" t="str">
        <f>IF(FormFields[[#This Row],[NO2]]=0,"nest_relation2",IF(FormFields[[#This Row],[Rel2]]="","",VLOOKUP(FormFields[[#This Row],[Rel2]],RelationTable[[Display]:[RELID]],2,0)))</f>
        <v/>
      </c>
      <c r="AJ10" s="67">
        <f>IF(OR(FormFields[[#This Row],[Option Type]]="",FormFields[[#This Row],[Option Type]]="type"),0,1)</f>
        <v>0</v>
      </c>
      <c r="AK10" s="67" t="str">
        <f>'Table Seed Map'!$A$14&amp;"-"&amp;FormFields[[#This Row],[NO4]]</f>
        <v>Field Options-3</v>
      </c>
      <c r="AL10" s="67">
        <f>COUNTIF($AJ$2:FormFields[[#This Row],[Exists FO]],1)</f>
        <v>3</v>
      </c>
      <c r="AM10" s="67">
        <f>IF(FormFields[[#This Row],[NO4]]=0,"id",FormFields[[#This Row],[NO4]]+IF(ISNUMBER(VLOOKUP('Table Seed Map'!$A$14,SeedMap[],9,0)),VLOOKUP('Table Seed Map'!$A$14,SeedMap[],9,0),0))</f>
        <v>312103</v>
      </c>
      <c r="AN10" s="67">
        <f>IF(FormFields[[#This Row],[ID]]="id","form_field",FormFields[[#This Row],[ID]])</f>
        <v>310108</v>
      </c>
      <c r="AO10" s="75"/>
      <c r="AP10" s="75"/>
      <c r="AQ10" s="75"/>
      <c r="AR10" s="75"/>
      <c r="AS10" s="75"/>
      <c r="AT10" s="67">
        <f>IF(OR(FormFields[[#This Row],[Colspan]]="",FormFields[[#This Row],[Colspan]]="colspan"),0,1)</f>
        <v>0</v>
      </c>
      <c r="AU10" s="67" t="str">
        <f>'Table Seed Map'!$A$19&amp;"-"&amp;FormFields[[#This Row],[NO8]]</f>
        <v>Form Layout-7</v>
      </c>
      <c r="AV10" s="67">
        <f>COUNTIF($AT$1:FormFields[[#This Row],[Exists FL]],1)</f>
        <v>7</v>
      </c>
      <c r="AW10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0" s="67">
        <f>FormFields[Form]</f>
        <v>309103</v>
      </c>
      <c r="AY10" s="67">
        <f>IF(FormFields[[#This Row],[ID]]="id","form_field",FormFields[[#This Row],[ID]])</f>
        <v>310108</v>
      </c>
      <c r="AZ10" s="76"/>
      <c r="BA10" s="67">
        <f>FormFields[[#This Row],[ID]]</f>
        <v>310108</v>
      </c>
    </row>
    <row r="11" spans="1:149" x14ac:dyDescent="0.25">
      <c r="A11" s="15" t="str">
        <f>'Table Seed Map'!$A$11&amp;"-"&amp;(COUNTA($F$1:ResourceForms[[#This Row],[Resource]])-2)</f>
        <v>Resource Forms-9</v>
      </c>
      <c r="B11" s="15" t="str">
        <f>ResourceForms[[#This Row],[Resource Name]]&amp;"/"&amp;ResourceForms[[#This Row],[Name]]</f>
        <v>UserExecutive/NewExecutiveLoginMap</v>
      </c>
      <c r="C11" s="15">
        <f>COUNTA($A$1:ResourceForms[[#This Row],[Primary]])-2</f>
        <v>9</v>
      </c>
      <c r="D11" s="14" t="s">
        <v>1955</v>
      </c>
      <c r="E11" s="15">
        <f>IF(ResourceForms[[#This Row],[No]]=0,"id",ResourceForms[[#This Row],[No]]+IF(ISNUMBER(VLOOKUP('Table Seed Map'!$A$11,SeedMap[],9,0)),VLOOKUP('Table Seed Map'!$A$11,SeedMap[],9,0),0))</f>
        <v>309109</v>
      </c>
      <c r="F11" s="15">
        <f>IFERROR(VLOOKUP(ResourceForms[[#This Row],[Resource Name]],ResourceTable[[RName]:[No]],3,0),"resource")</f>
        <v>305128</v>
      </c>
      <c r="G11" s="6" t="s">
        <v>1970</v>
      </c>
      <c r="H11" s="15" t="s">
        <v>1971</v>
      </c>
      <c r="I11" s="6" t="s">
        <v>1972</v>
      </c>
      <c r="J11" s="6" t="s">
        <v>1973</v>
      </c>
      <c r="K11" s="3">
        <f>ResourceForms[ID]</f>
        <v>309109</v>
      </c>
      <c r="M11" s="93" t="str">
        <f>'Table Seed Map'!$A$12&amp;"-"&amp;FormFields[[#This Row],[No]]</f>
        <v>Form Fields-9</v>
      </c>
      <c r="N11" s="66" t="s">
        <v>1471</v>
      </c>
      <c r="O11" s="38">
        <f>COUNTA($N$1:FormFields[[#This Row],[Form Name]])-1</f>
        <v>9</v>
      </c>
      <c r="P11" s="93" t="str">
        <f>FormFields[[#This Row],[Form Name]]&amp;"/"&amp;FormFields[[#This Row],[Name]]</f>
        <v>UserSetting/ChangeUserSettingStatus/status</v>
      </c>
      <c r="Q11" s="38">
        <f>IF(FormFields[[#This Row],[No]]=0,"id",FormFields[[#This Row],[No]]+IF(ISNUMBER(VLOOKUP('Table Seed Map'!$A$12,SeedMap[],9,0)),VLOOKUP('Table Seed Map'!$A$12,SeedMap[],9,0),0))</f>
        <v>310109</v>
      </c>
      <c r="R11" s="97">
        <f>IFERROR(VLOOKUP(FormFields[[#This Row],[Form Name]],ResourceForms[[FormName]:[ID]],4,0),"resource_form")</f>
        <v>309103</v>
      </c>
      <c r="S11" s="98" t="s">
        <v>776</v>
      </c>
      <c r="T11" s="98" t="s">
        <v>1371</v>
      </c>
      <c r="U11" s="98" t="s">
        <v>1472</v>
      </c>
      <c r="V11" s="99"/>
      <c r="W11" s="99"/>
      <c r="X11" s="99"/>
      <c r="Y11" s="99"/>
      <c r="Z11" s="100" t="str">
        <f>'Table Seed Map'!$A$13&amp;"-"&amp;FormFields[[#This Row],[NO2]]</f>
        <v>Field Data-9</v>
      </c>
      <c r="AA11" s="101">
        <f>COUNTIFS($AB$1:FormFields[[#This Row],[Exists]],1)-1</f>
        <v>9</v>
      </c>
      <c r="AB11" s="101">
        <f>IF(AND(FormFields[[#This Row],[Attribute]]="",FormFields[[#This Row],[Rel]]=""),0,1)</f>
        <v>1</v>
      </c>
      <c r="AC11" s="101">
        <f>IF(FormFields[[#This Row],[NO2]]=0,"id",FormFields[[#This Row],[NO2]]+IF(ISNUMBER(VLOOKUP('Table Seed Map'!$A$13,SeedMap[],9,0)),VLOOKUP('Table Seed Map'!$A$13,SeedMap[],9,0),0))</f>
        <v>311109</v>
      </c>
      <c r="AD11" s="102">
        <f>IF(FormFields[[#This Row],[ID]]="id","form_field",FormFields[[#This Row],[ID]])</f>
        <v>310109</v>
      </c>
      <c r="AE11" s="101" t="str">
        <f>IF(FormFields[[#This Row],[No]]=0,"attribute",FormFields[[#This Row],[Name]])</f>
        <v>status</v>
      </c>
      <c r="AF11" s="55" t="str">
        <f>IF(FormFields[[#This Row],[NO2]]=0,"relation",IF(FormFields[[#This Row],[Rel]]="","",VLOOKUP(FormFields[[#This Row],[Rel]],RelationTable[[Display]:[RELID]],2,0)))</f>
        <v/>
      </c>
      <c r="AG11" s="55" t="str">
        <f>IF(FormFields[[#This Row],[NO2]]=0,"nest_relation1",IF(FormFields[[#This Row],[Rel1]]="","",VLOOKUP(FormFields[[#This Row],[Rel1]],RelationTable[[Display]:[RELID]],2,0)))</f>
        <v/>
      </c>
      <c r="AH11" s="55" t="str">
        <f>IF(FormFields[[#This Row],[NO2]]=0,"nest_relation2",IF(FormFields[[#This Row],[Rel2]]="","",VLOOKUP(FormFields[[#This Row],[Rel2]],RelationTable[[Display]:[RELID]],2,0)))</f>
        <v/>
      </c>
      <c r="AI11" s="55" t="str">
        <f>IF(FormFields[[#This Row],[NO2]]=0,"nest_relation2",IF(FormFields[[#This Row],[Rel2]]="","",VLOOKUP(FormFields[[#This Row],[Rel2]],RelationTable[[Display]:[RELID]],2,0)))</f>
        <v/>
      </c>
      <c r="AJ11" s="38">
        <f>IF(OR(FormFields[[#This Row],[Option Type]]="",FormFields[[#This Row],[Option Type]]="type"),0,1)</f>
        <v>1</v>
      </c>
      <c r="AK11" s="38" t="str">
        <f>'Table Seed Map'!$A$14&amp;"-"&amp;FormFields[[#This Row],[NO4]]</f>
        <v>Field Options-4</v>
      </c>
      <c r="AL11" s="38">
        <f>COUNTIF($AJ$2:FormFields[[#This Row],[Exists FO]],1)</f>
        <v>4</v>
      </c>
      <c r="AM11" s="38">
        <f>IF(FormFields[[#This Row],[NO4]]=0,"id",FormFields[[#This Row],[NO4]]+IF(ISNUMBER(VLOOKUP('Table Seed Map'!$A$14,SeedMap[],9,0)),VLOOKUP('Table Seed Map'!$A$14,SeedMap[],9,0),0))</f>
        <v>312104</v>
      </c>
      <c r="AN11" s="38">
        <f>IF(FormFields[[#This Row],[ID]]="id","form_field",FormFields[[#This Row],[ID]])</f>
        <v>310109</v>
      </c>
      <c r="AO11" s="103" t="s">
        <v>1441</v>
      </c>
      <c r="AP11" s="103"/>
      <c r="AQ11" s="103"/>
      <c r="AR11" s="103"/>
      <c r="AS11" s="103"/>
      <c r="AT11" s="38">
        <f>IF(OR(FormFields[[#This Row],[Colspan]]="",FormFields[[#This Row],[Colspan]]="colspan"),0,1)</f>
        <v>0</v>
      </c>
      <c r="AU11" s="38" t="str">
        <f>'Table Seed Map'!$A$19&amp;"-"&amp;FormFields[[#This Row],[NO8]]</f>
        <v>Form Layout-7</v>
      </c>
      <c r="AV11" s="38">
        <f>COUNTIF($AT$1:FormFields[[#This Row],[Exists FL]],1)</f>
        <v>7</v>
      </c>
      <c r="AW11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1" s="38">
        <f>FormFields[Form]</f>
        <v>309103</v>
      </c>
      <c r="AY11" s="38">
        <f>IF(FormFields[[#This Row],[ID]]="id","form_field",FormFields[[#This Row],[ID]])</f>
        <v>310109</v>
      </c>
      <c r="AZ11" s="104"/>
      <c r="BA11" s="38">
        <f>FormFields[[#This Row],[ID]]</f>
        <v>310109</v>
      </c>
    </row>
    <row r="12" spans="1:149" x14ac:dyDescent="0.25">
      <c r="A12" s="30" t="str">
        <f>'Table Seed Map'!$A$11&amp;"-"&amp;(COUNTA($F$1:ResourceForms[[#This Row],[Resource]])-2)</f>
        <v>Resource Forms-10</v>
      </c>
      <c r="B12" s="30" t="str">
        <f>ResourceForms[[#This Row],[Resource Name]]&amp;"/"&amp;ResourceForms[[#This Row],[Name]]</f>
        <v>Printing/NewPrintThroughForm</v>
      </c>
      <c r="C12" s="30">
        <f>COUNTA($A$1:ResourceForms[[#This Row],[Primary]])-2</f>
        <v>10</v>
      </c>
      <c r="D12" s="64" t="s">
        <v>2001</v>
      </c>
      <c r="E12" s="30">
        <f>IF(ResourceForms[[#This Row],[No]]=0,"id",ResourceForms[[#This Row],[No]]+IF(ISNUMBER(VLOOKUP('Table Seed Map'!$A$11,SeedMap[],9,0)),VLOOKUP('Table Seed Map'!$A$11,SeedMap[],9,0),0))</f>
        <v>309110</v>
      </c>
      <c r="F12" s="30">
        <f>IFERROR(VLOOKUP(ResourceForms[[#This Row],[Resource Name]],ResourceTable[[RName]:[No]],3,0),"resource")</f>
        <v>305129</v>
      </c>
      <c r="G12" s="8" t="s">
        <v>2006</v>
      </c>
      <c r="H12" s="30" t="s">
        <v>2007</v>
      </c>
      <c r="I12" s="8" t="s">
        <v>2026</v>
      </c>
      <c r="J12" s="8" t="s">
        <v>335</v>
      </c>
      <c r="K12" s="32">
        <f>ResourceForms[ID]</f>
        <v>309110</v>
      </c>
      <c r="M12" s="65" t="str">
        <f>'Table Seed Map'!$A$12&amp;"-"&amp;FormFields[[#This Row],[No]]</f>
        <v>Form Fields-10</v>
      </c>
      <c r="N12" s="66" t="s">
        <v>1493</v>
      </c>
      <c r="O12" s="67">
        <f>COUNTA($N$1:FormFields[[#This Row],[Form Name]])-1</f>
        <v>10</v>
      </c>
      <c r="P12" s="65" t="str">
        <f>FormFields[[#This Row],[Form Name]]&amp;"/"&amp;FormFields[[#This Row],[Name]]</f>
        <v>UserStoreArea/AddUserStoreAreaForm/user</v>
      </c>
      <c r="Q12" s="67">
        <f>IF(FormFields[[#This Row],[No]]=0,"id",FormFields[[#This Row],[No]]+IF(ISNUMBER(VLOOKUP('Table Seed Map'!$A$12,SeedMap[],9,0)),VLOOKUP('Table Seed Map'!$A$12,SeedMap[],9,0),0))</f>
        <v>310110</v>
      </c>
      <c r="R12" s="68">
        <f>IFERROR(VLOOKUP(FormFields[[#This Row],[Form Name]],ResourceForms[[FormName]:[ID]],4,0),"resource_form")</f>
        <v>309104</v>
      </c>
      <c r="S12" s="69" t="s">
        <v>64</v>
      </c>
      <c r="T12" s="69" t="s">
        <v>1371</v>
      </c>
      <c r="U12" s="69" t="s">
        <v>1494</v>
      </c>
      <c r="V12" s="70"/>
      <c r="W12" s="70"/>
      <c r="X12" s="70"/>
      <c r="Y12" s="70"/>
      <c r="Z12" s="71" t="str">
        <f>'Table Seed Map'!$A$13&amp;"-"&amp;FormFields[[#This Row],[NO2]]</f>
        <v>Field Data-10</v>
      </c>
      <c r="AA12" s="72">
        <f>COUNTIFS($AB$1:FormFields[[#This Row],[Exists]],1)-1</f>
        <v>10</v>
      </c>
      <c r="AB12" s="72">
        <f>IF(AND(FormFields[[#This Row],[Attribute]]="",FormFields[[#This Row],[Rel]]=""),0,1)</f>
        <v>1</v>
      </c>
      <c r="AC12" s="72">
        <f>IF(FormFields[[#This Row],[NO2]]=0,"id",FormFields[[#This Row],[NO2]]+IF(ISNUMBER(VLOOKUP('Table Seed Map'!$A$13,SeedMap[],9,0)),VLOOKUP('Table Seed Map'!$A$13,SeedMap[],9,0),0))</f>
        <v>311110</v>
      </c>
      <c r="AD12" s="77">
        <f>IF(FormFields[[#This Row],[ID]]="id","form_field",FormFields[[#This Row],[ID]])</f>
        <v>310110</v>
      </c>
      <c r="AE12" s="72" t="str">
        <f>IF(FormFields[[#This Row],[No]]=0,"attribute",FormFields[[#This Row],[Name]])</f>
        <v>user</v>
      </c>
      <c r="AF12" s="73" t="str">
        <f>IF(FormFields[[#This Row],[NO2]]=0,"relation",IF(FormFields[[#This Row],[Rel]]="","",VLOOKUP(FormFields[[#This Row],[Rel]],RelationTable[[Display]:[RELID]],2,0)))</f>
        <v/>
      </c>
      <c r="AG12" s="73" t="str">
        <f>IF(FormFields[[#This Row],[NO2]]=0,"nest_relation1",IF(FormFields[[#This Row],[Rel1]]="","",VLOOKUP(FormFields[[#This Row],[Rel1]],RelationTable[[Display]:[RELID]],2,0)))</f>
        <v/>
      </c>
      <c r="AH12" s="73" t="str">
        <f>IF(FormFields[[#This Row],[NO2]]=0,"nest_relation2",IF(FormFields[[#This Row],[Rel2]]="","",VLOOKUP(FormFields[[#This Row],[Rel2]],RelationTable[[Display]:[RELID]],2,0)))</f>
        <v/>
      </c>
      <c r="AI12" s="73" t="str">
        <f>IF(FormFields[[#This Row],[NO2]]=0,"nest_relation2",IF(FormFields[[#This Row],[Rel2]]="","",VLOOKUP(FormFields[[#This Row],[Rel2]],RelationTable[[Display]:[RELID]],2,0)))</f>
        <v/>
      </c>
      <c r="AJ12" s="67">
        <f>IF(OR(FormFields[[#This Row],[Option Type]]="",FormFields[[#This Row],[Option Type]]="type"),0,1)</f>
        <v>1</v>
      </c>
      <c r="AK12" s="67" t="str">
        <f>'Table Seed Map'!$A$14&amp;"-"&amp;FormFields[[#This Row],[NO4]]</f>
        <v>Field Options-5</v>
      </c>
      <c r="AL12" s="67">
        <f>COUNTIF($AJ$2:FormFields[[#This Row],[Exists FO]],1)</f>
        <v>5</v>
      </c>
      <c r="AM12" s="67">
        <f>IF(FormFields[[#This Row],[NO4]]=0,"id",FormFields[[#This Row],[NO4]]+IF(ISNUMBER(VLOOKUP('Table Seed Map'!$A$14,SeedMap[],9,0)),VLOOKUP('Table Seed Map'!$A$14,SeedMap[],9,0),0))</f>
        <v>312105</v>
      </c>
      <c r="AN12" s="67">
        <f>IF(FormFields[[#This Row],[ID]]="id","form_field",FormFields[[#This Row],[ID]])</f>
        <v>310110</v>
      </c>
      <c r="AO12" s="75" t="s">
        <v>122</v>
      </c>
      <c r="AP12" s="75">
        <v>322113</v>
      </c>
      <c r="AQ12" s="75" t="s">
        <v>21</v>
      </c>
      <c r="AR12" s="75" t="s">
        <v>23</v>
      </c>
      <c r="AS12" s="75" t="s">
        <v>1440</v>
      </c>
      <c r="AT12" s="67">
        <f>IF(OR(FormFields[[#This Row],[Colspan]]="",FormFields[[#This Row],[Colspan]]="colspan"),0,1)</f>
        <v>0</v>
      </c>
      <c r="AU12" s="67" t="str">
        <f>'Table Seed Map'!$A$19&amp;"-"&amp;FormFields[[#This Row],[NO8]]</f>
        <v>Form Layout-7</v>
      </c>
      <c r="AV12" s="67">
        <f>COUNTIF($AT$1:FormFields[[#This Row],[Exists FL]],1)</f>
        <v>7</v>
      </c>
      <c r="AW12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2" s="67">
        <f>FormFields[Form]</f>
        <v>309104</v>
      </c>
      <c r="AY12" s="67">
        <f>IF(FormFields[[#This Row],[ID]]="id","form_field",FormFields[[#This Row],[ID]])</f>
        <v>310110</v>
      </c>
      <c r="AZ12" s="76"/>
      <c r="BA12" s="67">
        <f>FormFields[[#This Row],[ID]]</f>
        <v>310110</v>
      </c>
    </row>
    <row r="13" spans="1:149" x14ac:dyDescent="0.25">
      <c r="A13" s="30" t="str">
        <f>'Table Seed Map'!$A$11&amp;"-"&amp;(COUNTA($F$1:ResourceForms[[#This Row],[Resource]])-2)</f>
        <v>Resource Forms-11</v>
      </c>
      <c r="B13" s="30" t="str">
        <f>ResourceForms[[#This Row],[Resource Name]]&amp;"/"&amp;ResourceForms[[#This Row],[Name]]</f>
        <v>Printing/NewPrintThroughUpload</v>
      </c>
      <c r="C13" s="30">
        <f>COUNTA($A$1:ResourceForms[[#This Row],[Primary]])-2</f>
        <v>11</v>
      </c>
      <c r="D13" s="64" t="s">
        <v>2001</v>
      </c>
      <c r="E13" s="30">
        <f>IF(ResourceForms[[#This Row],[No]]=0,"id",ResourceForms[[#This Row],[No]]+IF(ISNUMBER(VLOOKUP('Table Seed Map'!$A$11,SeedMap[],9,0)),VLOOKUP('Table Seed Map'!$A$11,SeedMap[],9,0),0))</f>
        <v>309111</v>
      </c>
      <c r="F13" s="30">
        <f>IFERROR(VLOOKUP(ResourceForms[[#This Row],[Resource Name]],ResourceTable[[RName]:[No]],3,0),"resource")</f>
        <v>305129</v>
      </c>
      <c r="G13" s="8" t="s">
        <v>2027</v>
      </c>
      <c r="H13" s="30" t="s">
        <v>2028</v>
      </c>
      <c r="I13" s="8" t="s">
        <v>2026</v>
      </c>
      <c r="J13" s="8" t="s">
        <v>1357</v>
      </c>
      <c r="K13" s="32">
        <f>ResourceForms[ID]</f>
        <v>309111</v>
      </c>
      <c r="M13" s="65" t="str">
        <f>'Table Seed Map'!$A$12&amp;"-"&amp;FormFields[[#This Row],[No]]</f>
        <v>Form Fields-11</v>
      </c>
      <c r="N13" s="66" t="s">
        <v>1493</v>
      </c>
      <c r="O13" s="67">
        <f>COUNTA($N$1:FormFields[[#This Row],[Form Name]])-1</f>
        <v>11</v>
      </c>
      <c r="P13" s="65" t="str">
        <f>FormFields[[#This Row],[Form Name]]&amp;"/"&amp;FormFields[[#This Row],[Name]]</f>
        <v>UserStoreArea/AddUserStoreAreaForm/store</v>
      </c>
      <c r="Q13" s="67">
        <f>IF(FormFields[[#This Row],[No]]=0,"id",FormFields[[#This Row],[No]]+IF(ISNUMBER(VLOOKUP('Table Seed Map'!$A$12,SeedMap[],9,0)),VLOOKUP('Table Seed Map'!$A$12,SeedMap[],9,0),0))</f>
        <v>310111</v>
      </c>
      <c r="R13" s="68">
        <f>IFERROR(VLOOKUP(FormFields[[#This Row],[Form Name]],ResourceForms[[FormName]:[ID]],4,0),"resource_form")</f>
        <v>309104</v>
      </c>
      <c r="S13" s="69" t="s">
        <v>756</v>
      </c>
      <c r="T13" s="69" t="s">
        <v>1371</v>
      </c>
      <c r="U13" s="69" t="s">
        <v>1283</v>
      </c>
      <c r="V13" s="70"/>
      <c r="W13" s="70"/>
      <c r="X13" s="70"/>
      <c r="Y13" s="70"/>
      <c r="Z13" s="71" t="str">
        <f>'Table Seed Map'!$A$13&amp;"-"&amp;FormFields[[#This Row],[NO2]]</f>
        <v>Field Data-11</v>
      </c>
      <c r="AA13" s="72">
        <f>COUNTIFS($AB$1:FormFields[[#This Row],[Exists]],1)-1</f>
        <v>11</v>
      </c>
      <c r="AB13" s="72">
        <f>IF(AND(FormFields[[#This Row],[Attribute]]="",FormFields[[#This Row],[Rel]]=""),0,1)</f>
        <v>1</v>
      </c>
      <c r="AC13" s="72">
        <f>IF(FormFields[[#This Row],[NO2]]=0,"id",FormFields[[#This Row],[NO2]]+IF(ISNUMBER(VLOOKUP('Table Seed Map'!$A$13,SeedMap[],9,0)),VLOOKUP('Table Seed Map'!$A$13,SeedMap[],9,0),0))</f>
        <v>311111</v>
      </c>
      <c r="AD13" s="77">
        <f>IF(FormFields[[#This Row],[ID]]="id","form_field",FormFields[[#This Row],[ID]])</f>
        <v>310111</v>
      </c>
      <c r="AE13" s="72" t="str">
        <f>IF(FormFields[[#This Row],[No]]=0,"attribute",FormFields[[#This Row],[Name]])</f>
        <v>store</v>
      </c>
      <c r="AF13" s="73" t="str">
        <f>IF(FormFields[[#This Row],[NO2]]=0,"relation",IF(FormFields[[#This Row],[Rel]]="","",VLOOKUP(FormFields[[#This Row],[Rel]],RelationTable[[Display]:[RELID]],2,0)))</f>
        <v/>
      </c>
      <c r="AG13" s="73" t="str">
        <f>IF(FormFields[[#This Row],[NO2]]=0,"nest_relation1",IF(FormFields[[#This Row],[Rel1]]="","",VLOOKUP(FormFields[[#This Row],[Rel1]],RelationTable[[Display]:[RELID]],2,0)))</f>
        <v/>
      </c>
      <c r="AH13" s="73" t="str">
        <f>IF(FormFields[[#This Row],[NO2]]=0,"nest_relation2",IF(FormFields[[#This Row],[Rel2]]="","",VLOOKUP(FormFields[[#This Row],[Rel2]],RelationTable[[Display]:[RELID]],2,0)))</f>
        <v/>
      </c>
      <c r="AI13" s="73" t="str">
        <f>IF(FormFields[[#This Row],[NO2]]=0,"nest_relation2",IF(FormFields[[#This Row],[Rel2]]="","",VLOOKUP(FormFields[[#This Row],[Rel2]],RelationTable[[Display]:[RELID]],2,0)))</f>
        <v/>
      </c>
      <c r="AJ13" s="67">
        <f>IF(OR(FormFields[[#This Row],[Option Type]]="",FormFields[[#This Row],[Option Type]]="type"),0,1)</f>
        <v>1</v>
      </c>
      <c r="AK13" s="67" t="str">
        <f>'Table Seed Map'!$A$14&amp;"-"&amp;FormFields[[#This Row],[NO4]]</f>
        <v>Field Options-6</v>
      </c>
      <c r="AL13" s="67">
        <f>COUNTIF($AJ$2:FormFields[[#This Row],[Exists FO]],1)</f>
        <v>6</v>
      </c>
      <c r="AM13" s="67">
        <f>IF(FormFields[[#This Row],[NO4]]=0,"id",FormFields[[#This Row],[NO4]]+IF(ISNUMBER(VLOOKUP('Table Seed Map'!$A$14,SeedMap[],9,0)),VLOOKUP('Table Seed Map'!$A$14,SeedMap[],9,0),0))</f>
        <v>312106</v>
      </c>
      <c r="AN13" s="67">
        <f>IF(FormFields[[#This Row],[ID]]="id","form_field",FormFields[[#This Row],[ID]])</f>
        <v>310111</v>
      </c>
      <c r="AO13" s="75" t="s">
        <v>278</v>
      </c>
      <c r="AP13" s="75"/>
      <c r="AQ13" s="75" t="s">
        <v>21</v>
      </c>
      <c r="AR13" s="75" t="s">
        <v>23</v>
      </c>
      <c r="AS13" s="75" t="s">
        <v>1440</v>
      </c>
      <c r="AT13" s="67">
        <f>IF(OR(FormFields[[#This Row],[Colspan]]="",FormFields[[#This Row],[Colspan]]="colspan"),0,1)</f>
        <v>0</v>
      </c>
      <c r="AU13" s="67" t="str">
        <f>'Table Seed Map'!$A$19&amp;"-"&amp;FormFields[[#This Row],[NO8]]</f>
        <v>Form Layout-7</v>
      </c>
      <c r="AV13" s="67">
        <f>COUNTIF($AT$1:FormFields[[#This Row],[Exists FL]],1)</f>
        <v>7</v>
      </c>
      <c r="AW13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3" s="67">
        <f>FormFields[Form]</f>
        <v>309104</v>
      </c>
      <c r="AY13" s="67">
        <f>IF(FormFields[[#This Row],[ID]]="id","form_field",FormFields[[#This Row],[ID]])</f>
        <v>310111</v>
      </c>
      <c r="AZ13" s="76"/>
      <c r="BA13" s="67">
        <f>FormFields[[#This Row],[ID]]</f>
        <v>310111</v>
      </c>
    </row>
    <row r="14" spans="1:149" x14ac:dyDescent="0.25">
      <c r="M14" s="65" t="str">
        <f>'Table Seed Map'!$A$12&amp;"-"&amp;FormFields[[#This Row],[No]]</f>
        <v>Form Fields-12</v>
      </c>
      <c r="N14" s="66" t="s">
        <v>1493</v>
      </c>
      <c r="O14" s="67">
        <f>COUNTA($N$1:FormFields[[#This Row],[Form Name]])-1</f>
        <v>12</v>
      </c>
      <c r="P14" s="65" t="str">
        <f>FormFields[[#This Row],[Form Name]]&amp;"/"&amp;FormFields[[#This Row],[Name]]</f>
        <v>UserStoreArea/AddUserStoreAreaForm/area</v>
      </c>
      <c r="Q14" s="67">
        <f>IF(FormFields[[#This Row],[No]]=0,"id",FormFields[[#This Row],[No]]+IF(ISNUMBER(VLOOKUP('Table Seed Map'!$A$12,SeedMap[],9,0)),VLOOKUP('Table Seed Map'!$A$12,SeedMap[],9,0),0))</f>
        <v>310112</v>
      </c>
      <c r="R14" s="68">
        <f>IFERROR(VLOOKUP(FormFields[[#This Row],[Form Name]],ResourceForms[[FormName]:[ID]],4,0),"resource_form")</f>
        <v>309104</v>
      </c>
      <c r="S14" s="69" t="s">
        <v>754</v>
      </c>
      <c r="T14" s="69" t="s">
        <v>1371</v>
      </c>
      <c r="U14" s="69" t="s">
        <v>1284</v>
      </c>
      <c r="V14" s="70"/>
      <c r="W14" s="70"/>
      <c r="X14" s="70"/>
      <c r="Y14" s="70"/>
      <c r="Z14" s="71" t="str">
        <f>'Table Seed Map'!$A$13&amp;"-"&amp;FormFields[[#This Row],[NO2]]</f>
        <v>Field Data-12</v>
      </c>
      <c r="AA14" s="72">
        <f>COUNTIFS($AB$1:FormFields[[#This Row],[Exists]],1)-1</f>
        <v>12</v>
      </c>
      <c r="AB14" s="72">
        <f>IF(AND(FormFields[[#This Row],[Attribute]]="",FormFields[[#This Row],[Rel]]=""),0,1)</f>
        <v>1</v>
      </c>
      <c r="AC14" s="72">
        <f>IF(FormFields[[#This Row],[NO2]]=0,"id",FormFields[[#This Row],[NO2]]+IF(ISNUMBER(VLOOKUP('Table Seed Map'!$A$13,SeedMap[],9,0)),VLOOKUP('Table Seed Map'!$A$13,SeedMap[],9,0),0))</f>
        <v>311112</v>
      </c>
      <c r="AD14" s="77">
        <f>IF(FormFields[[#This Row],[ID]]="id","form_field",FormFields[[#This Row],[ID]])</f>
        <v>310112</v>
      </c>
      <c r="AE14" s="72" t="str">
        <f>IF(FormFields[[#This Row],[No]]=0,"attribute",FormFields[[#This Row],[Name]])</f>
        <v>area</v>
      </c>
      <c r="AF14" s="73" t="str">
        <f>IF(FormFields[[#This Row],[NO2]]=0,"relation",IF(FormFields[[#This Row],[Rel]]="","",VLOOKUP(FormFields[[#This Row],[Rel]],RelationTable[[Display]:[RELID]],2,0)))</f>
        <v/>
      </c>
      <c r="AG14" s="73" t="str">
        <f>IF(FormFields[[#This Row],[NO2]]=0,"nest_relation1",IF(FormFields[[#This Row],[Rel1]]="","",VLOOKUP(FormFields[[#This Row],[Rel1]],RelationTable[[Display]:[RELID]],2,0)))</f>
        <v/>
      </c>
      <c r="AH14" s="73" t="str">
        <f>IF(FormFields[[#This Row],[NO2]]=0,"nest_relation2",IF(FormFields[[#This Row],[Rel2]]="","",VLOOKUP(FormFields[[#This Row],[Rel2]],RelationTable[[Display]:[RELID]],2,0)))</f>
        <v/>
      </c>
      <c r="AI14" s="73" t="str">
        <f>IF(FormFields[[#This Row],[NO2]]=0,"nest_relation2",IF(FormFields[[#This Row],[Rel2]]="","",VLOOKUP(FormFields[[#This Row],[Rel2]],RelationTable[[Display]:[RELID]],2,0)))</f>
        <v/>
      </c>
      <c r="AJ14" s="67">
        <f>IF(OR(FormFields[[#This Row],[Option Type]]="",FormFields[[#This Row],[Option Type]]="type"),0,1)</f>
        <v>1</v>
      </c>
      <c r="AK14" s="67" t="str">
        <f>'Table Seed Map'!$A$14&amp;"-"&amp;FormFields[[#This Row],[NO4]]</f>
        <v>Field Options-7</v>
      </c>
      <c r="AL14" s="67">
        <f>COUNTIF($AJ$2:FormFields[[#This Row],[Exists FO]],1)</f>
        <v>7</v>
      </c>
      <c r="AM14" s="67">
        <f>IF(FormFields[[#This Row],[NO4]]=0,"id",FormFields[[#This Row],[NO4]]+IF(ISNUMBER(VLOOKUP('Table Seed Map'!$A$14,SeedMap[],9,0)),VLOOKUP('Table Seed Map'!$A$14,SeedMap[],9,0),0))</f>
        <v>312107</v>
      </c>
      <c r="AN14" s="67">
        <f>IF(FormFields[[#This Row],[ID]]="id","form_field",FormFields[[#This Row],[ID]])</f>
        <v>310112</v>
      </c>
      <c r="AO14" s="75" t="s">
        <v>278</v>
      </c>
      <c r="AP14" s="75"/>
      <c r="AQ14" s="75" t="s">
        <v>21</v>
      </c>
      <c r="AR14" s="75" t="s">
        <v>23</v>
      </c>
      <c r="AS14" s="75" t="s">
        <v>1440</v>
      </c>
      <c r="AT14" s="67">
        <f>IF(OR(FormFields[[#This Row],[Colspan]]="",FormFields[[#This Row],[Colspan]]="colspan"),0,1)</f>
        <v>0</v>
      </c>
      <c r="AU14" s="67" t="str">
        <f>'Table Seed Map'!$A$19&amp;"-"&amp;FormFields[[#This Row],[NO8]]</f>
        <v>Form Layout-7</v>
      </c>
      <c r="AV14" s="67">
        <f>COUNTIF($AT$1:FormFields[[#This Row],[Exists FL]],1)</f>
        <v>7</v>
      </c>
      <c r="AW14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67">
        <f>FormFields[Form]</f>
        <v>309104</v>
      </c>
      <c r="AY14" s="67">
        <f>IF(FormFields[[#This Row],[ID]]="id","form_field",FormFields[[#This Row],[ID]])</f>
        <v>310112</v>
      </c>
      <c r="AZ14" s="76"/>
      <c r="BA14" s="67">
        <f>FormFields[[#This Row],[ID]]</f>
        <v>310112</v>
      </c>
    </row>
    <row r="15" spans="1:149" x14ac:dyDescent="0.25">
      <c r="M15" s="65" t="str">
        <f>'Table Seed Map'!$A$12&amp;"-"&amp;FormFields[[#This Row],[No]]</f>
        <v>Form Fields-13</v>
      </c>
      <c r="N15" s="66" t="s">
        <v>1493</v>
      </c>
      <c r="O15" s="67">
        <f>COUNTA($N$1:FormFields[[#This Row],[Form Name]])-1</f>
        <v>13</v>
      </c>
      <c r="P15" s="65" t="str">
        <f>FormFields[[#This Row],[Form Name]]&amp;"/"&amp;FormFields[[#This Row],[Name]]</f>
        <v>UserStoreArea/AddUserStoreAreaForm/status</v>
      </c>
      <c r="Q15" s="67">
        <f>IF(FormFields[[#This Row],[No]]=0,"id",FormFields[[#This Row],[No]]+IF(ISNUMBER(VLOOKUP('Table Seed Map'!$A$12,SeedMap[],9,0)),VLOOKUP('Table Seed Map'!$A$12,SeedMap[],9,0),0))</f>
        <v>310113</v>
      </c>
      <c r="R15" s="68">
        <f>IFERROR(VLOOKUP(FormFields[[#This Row],[Form Name]],ResourceForms[[FormName]:[ID]],4,0),"resource_form")</f>
        <v>309104</v>
      </c>
      <c r="S15" s="69" t="s">
        <v>776</v>
      </c>
      <c r="T15" s="69" t="s">
        <v>1371</v>
      </c>
      <c r="U15" s="69" t="s">
        <v>1356</v>
      </c>
      <c r="V15" s="70"/>
      <c r="W15" s="70"/>
      <c r="X15" s="70"/>
      <c r="Y15" s="70"/>
      <c r="Z15" s="71" t="str">
        <f>'Table Seed Map'!$A$13&amp;"-"&amp;FormFields[[#This Row],[NO2]]</f>
        <v>Field Data-13</v>
      </c>
      <c r="AA15" s="72">
        <f>COUNTIFS($AB$1:FormFields[[#This Row],[Exists]],1)-1</f>
        <v>13</v>
      </c>
      <c r="AB15" s="72">
        <f>IF(AND(FormFields[[#This Row],[Attribute]]="",FormFields[[#This Row],[Rel]]=""),0,1)</f>
        <v>1</v>
      </c>
      <c r="AC15" s="72">
        <f>IF(FormFields[[#This Row],[NO2]]=0,"id",FormFields[[#This Row],[NO2]]+IF(ISNUMBER(VLOOKUP('Table Seed Map'!$A$13,SeedMap[],9,0)),VLOOKUP('Table Seed Map'!$A$13,SeedMap[],9,0),0))</f>
        <v>311113</v>
      </c>
      <c r="AD15" s="77">
        <f>IF(FormFields[[#This Row],[ID]]="id","form_field",FormFields[[#This Row],[ID]])</f>
        <v>310113</v>
      </c>
      <c r="AE15" s="72" t="str">
        <f>IF(FormFields[[#This Row],[No]]=0,"attribute",FormFields[[#This Row],[Name]])</f>
        <v>status</v>
      </c>
      <c r="AF15" s="73" t="str">
        <f>IF(FormFields[[#This Row],[NO2]]=0,"relation",IF(FormFields[[#This Row],[Rel]]="","",VLOOKUP(FormFields[[#This Row],[Rel]],RelationTable[[Display]:[RELID]],2,0)))</f>
        <v/>
      </c>
      <c r="AG15" s="73" t="str">
        <f>IF(FormFields[[#This Row],[NO2]]=0,"nest_relation1",IF(FormFields[[#This Row],[Rel1]]="","",VLOOKUP(FormFields[[#This Row],[Rel1]],RelationTable[[Display]:[RELID]],2,0)))</f>
        <v/>
      </c>
      <c r="AH15" s="73" t="str">
        <f>IF(FormFields[[#This Row],[NO2]]=0,"nest_relation2",IF(FormFields[[#This Row],[Rel2]]="","",VLOOKUP(FormFields[[#This Row],[Rel2]],RelationTable[[Display]:[RELID]],2,0)))</f>
        <v/>
      </c>
      <c r="AI15" s="73" t="str">
        <f>IF(FormFields[[#This Row],[NO2]]=0,"nest_relation2",IF(FormFields[[#This Row],[Rel2]]="","",VLOOKUP(FormFields[[#This Row],[Rel2]],RelationTable[[Display]:[RELID]],2,0)))</f>
        <v/>
      </c>
      <c r="AJ15" s="67">
        <f>IF(OR(FormFields[[#This Row],[Option Type]]="",FormFields[[#This Row],[Option Type]]="type"),0,1)</f>
        <v>1</v>
      </c>
      <c r="AK15" s="67" t="str">
        <f>'Table Seed Map'!$A$14&amp;"-"&amp;FormFields[[#This Row],[NO4]]</f>
        <v>Field Options-8</v>
      </c>
      <c r="AL15" s="67">
        <f>COUNTIF($AJ$2:FormFields[[#This Row],[Exists FO]],1)</f>
        <v>8</v>
      </c>
      <c r="AM15" s="67">
        <f>IF(FormFields[[#This Row],[NO4]]=0,"id",FormFields[[#This Row],[NO4]]+IF(ISNUMBER(VLOOKUP('Table Seed Map'!$A$14,SeedMap[],9,0)),VLOOKUP('Table Seed Map'!$A$14,SeedMap[],9,0),0))</f>
        <v>312108</v>
      </c>
      <c r="AN15" s="67">
        <f>IF(FormFields[[#This Row],[ID]]="id","form_field",FormFields[[#This Row],[ID]])</f>
        <v>310113</v>
      </c>
      <c r="AO15" s="75" t="s">
        <v>1441</v>
      </c>
      <c r="AP15" s="75"/>
      <c r="AQ15" s="75"/>
      <c r="AR15" s="75"/>
      <c r="AS15" s="75"/>
      <c r="AT15" s="67">
        <f>IF(OR(FormFields[[#This Row],[Colspan]]="",FormFields[[#This Row],[Colspan]]="colspan"),0,1)</f>
        <v>0</v>
      </c>
      <c r="AU15" s="67" t="str">
        <f>'Table Seed Map'!$A$19&amp;"-"&amp;FormFields[[#This Row],[NO8]]</f>
        <v>Form Layout-7</v>
      </c>
      <c r="AV15" s="67">
        <f>COUNTIF($AT$1:FormFields[[#This Row],[Exists FL]],1)</f>
        <v>7</v>
      </c>
      <c r="AW15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67">
        <f>FormFields[Form]</f>
        <v>309104</v>
      </c>
      <c r="AY15" s="67">
        <f>IF(FormFields[[#This Row],[ID]]="id","form_field",FormFields[[#This Row],[ID]])</f>
        <v>310113</v>
      </c>
      <c r="AZ15" s="76"/>
      <c r="BA15" s="67">
        <f>FormFields[[#This Row],[ID]]</f>
        <v>310113</v>
      </c>
    </row>
    <row r="16" spans="1:149" x14ac:dyDescent="0.25">
      <c r="M16" s="80" t="str">
        <f>'Table Seed Map'!$A$12&amp;"-"&amp;FormFields[[#This Row],[No]]</f>
        <v>Form Fields-14</v>
      </c>
      <c r="N16" s="66" t="s">
        <v>1719</v>
      </c>
      <c r="O16" s="79">
        <f>COUNTA($N$1:FormFields[[#This Row],[Form Name]])-1</f>
        <v>14</v>
      </c>
      <c r="P16" s="80" t="str">
        <f>FormFields[[#This Row],[Form Name]]&amp;"/"&amp;FormFields[[#This Row],[Name]]</f>
        <v>ProductImage/AddProductImage/product</v>
      </c>
      <c r="Q16" s="79">
        <f>IF(FormFields[[#This Row],[No]]=0,"id",FormFields[[#This Row],[No]]+IF(ISNUMBER(VLOOKUP('Table Seed Map'!$A$12,SeedMap[],9,0)),VLOOKUP('Table Seed Map'!$A$12,SeedMap[],9,0),0))</f>
        <v>310114</v>
      </c>
      <c r="R16" s="107">
        <f>IFERROR(VLOOKUP(FormFields[[#This Row],[Form Name]],ResourceForms[[FormName]:[ID]],4,0),"resource_form")</f>
        <v>309105</v>
      </c>
      <c r="S16" s="89" t="s">
        <v>813</v>
      </c>
      <c r="T16" s="69" t="s">
        <v>1371</v>
      </c>
      <c r="U16" s="89" t="s">
        <v>1280</v>
      </c>
      <c r="V16" s="108"/>
      <c r="W16" s="108"/>
      <c r="X16" s="108"/>
      <c r="Y16" s="108"/>
      <c r="Z16" s="109" t="str">
        <f>'Table Seed Map'!$A$13&amp;"-"&amp;FormFields[[#This Row],[NO2]]</f>
        <v>Field Data-14</v>
      </c>
      <c r="AA16" s="110">
        <f>COUNTIFS($AB$1:FormFields[[#This Row],[Exists]],1)-1</f>
        <v>14</v>
      </c>
      <c r="AB16" s="110">
        <f>IF(AND(FormFields[[#This Row],[Attribute]]="",FormFields[[#This Row],[Rel]]=""),0,1)</f>
        <v>1</v>
      </c>
      <c r="AC16" s="110">
        <f>IF(FormFields[[#This Row],[NO2]]=0,"id",FormFields[[#This Row],[NO2]]+IF(ISNUMBER(VLOOKUP('Table Seed Map'!$A$13,SeedMap[],9,0)),VLOOKUP('Table Seed Map'!$A$13,SeedMap[],9,0),0))</f>
        <v>311114</v>
      </c>
      <c r="AD16" s="111">
        <f>IF(FormFields[[#This Row],[ID]]="id","form_field",FormFields[[#This Row],[ID]])</f>
        <v>310114</v>
      </c>
      <c r="AE16" s="110" t="str">
        <f>IF(FormFields[[#This Row],[No]]=0,"attribute",FormFields[[#This Row],[Name]])</f>
        <v>product</v>
      </c>
      <c r="AF16" s="84" t="str">
        <f>IF(FormFields[[#This Row],[NO2]]=0,"relation",IF(FormFields[[#This Row],[Rel]]="","",VLOOKUP(FormFields[[#This Row],[Rel]],RelationTable[[Display]:[RELID]],2,0)))</f>
        <v/>
      </c>
      <c r="AG16" s="84" t="str">
        <f>IF(FormFields[[#This Row],[NO2]]=0,"nest_relation1",IF(FormFields[[#This Row],[Rel1]]="","",VLOOKUP(FormFields[[#This Row],[Rel1]],RelationTable[[Display]:[RELID]],2,0)))</f>
        <v/>
      </c>
      <c r="AH16" s="84" t="str">
        <f>IF(FormFields[[#This Row],[NO2]]=0,"nest_relation2",IF(FormFields[[#This Row],[Rel2]]="","",VLOOKUP(FormFields[[#This Row],[Rel2]],RelationTable[[Display]:[RELID]],2,0)))</f>
        <v/>
      </c>
      <c r="AI16" s="84" t="str">
        <f>IF(FormFields[[#This Row],[NO2]]=0,"nest_relation2",IF(FormFields[[#This Row],[Rel2]]="","",VLOOKUP(FormFields[[#This Row],[Rel2]],RelationTable[[Display]:[RELID]],2,0)))</f>
        <v/>
      </c>
      <c r="AJ16" s="79">
        <f>IF(OR(FormFields[[#This Row],[Option Type]]="",FormFields[[#This Row],[Option Type]]="type"),0,1)</f>
        <v>1</v>
      </c>
      <c r="AK16" s="79" t="str">
        <f>'Table Seed Map'!$A$14&amp;"-"&amp;FormFields[[#This Row],[NO4]]</f>
        <v>Field Options-9</v>
      </c>
      <c r="AL16" s="79">
        <f>COUNTIF($AJ$2:FormFields[[#This Row],[Exists FO]],1)</f>
        <v>9</v>
      </c>
      <c r="AM16" s="79">
        <f>IF(FormFields[[#This Row],[NO4]]=0,"id",FormFields[[#This Row],[NO4]]+IF(ISNUMBER(VLOOKUP('Table Seed Map'!$A$14,SeedMap[],9,0)),VLOOKUP('Table Seed Map'!$A$14,SeedMap[],9,0),0))</f>
        <v>312109</v>
      </c>
      <c r="AN16" s="79">
        <f>IF(FormFields[[#This Row],[ID]]="id","form_field",FormFields[[#This Row],[ID]])</f>
        <v>310114</v>
      </c>
      <c r="AO16" s="112" t="s">
        <v>278</v>
      </c>
      <c r="AP16" s="112"/>
      <c r="AQ16" s="112" t="s">
        <v>21</v>
      </c>
      <c r="AR16" s="112" t="s">
        <v>796</v>
      </c>
      <c r="AS16" s="112" t="s">
        <v>1440</v>
      </c>
      <c r="AT16" s="79">
        <f>IF(OR(FormFields[[#This Row],[Colspan]]="",FormFields[[#This Row],[Colspan]]="colspan"),0,1)</f>
        <v>0</v>
      </c>
      <c r="AU16" s="79" t="str">
        <f>'Table Seed Map'!$A$19&amp;"-"&amp;FormFields[[#This Row],[NO8]]</f>
        <v>Form Layout-7</v>
      </c>
      <c r="AV16" s="79">
        <f>COUNTIF($AT$1:FormFields[[#This Row],[Exists FL]],1)</f>
        <v>7</v>
      </c>
      <c r="AW1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79">
        <f>FormFields[Form]</f>
        <v>309105</v>
      </c>
      <c r="AY16" s="79">
        <f>IF(FormFields[[#This Row],[ID]]="id","form_field",FormFields[[#This Row],[ID]])</f>
        <v>310114</v>
      </c>
      <c r="AZ16" s="113"/>
      <c r="BA16" s="79">
        <f>FormFields[[#This Row],[ID]]</f>
        <v>310114</v>
      </c>
    </row>
    <row r="17" spans="13:53" x14ac:dyDescent="0.25">
      <c r="M17" s="80" t="str">
        <f>'Table Seed Map'!$A$12&amp;"-"&amp;FormFields[[#This Row],[No]]</f>
        <v>Form Fields-15</v>
      </c>
      <c r="N17" s="66" t="s">
        <v>1719</v>
      </c>
      <c r="O17" s="79">
        <f>COUNTA($N$1:FormFields[[#This Row],[Form Name]])-1</f>
        <v>15</v>
      </c>
      <c r="P17" s="80" t="str">
        <f>FormFields[[#This Row],[Form Name]]&amp;"/"&amp;FormFields[[#This Row],[Name]]</f>
        <v>ProductImage/AddProductImage/image01</v>
      </c>
      <c r="Q17" s="79">
        <f>IF(FormFields[[#This Row],[No]]=0,"id",FormFields[[#This Row],[No]]+IF(ISNUMBER(VLOOKUP('Table Seed Map'!$A$12,SeedMap[],9,0)),VLOOKUP('Table Seed Map'!$A$12,SeedMap[],9,0),0))</f>
        <v>310115</v>
      </c>
      <c r="R17" s="107">
        <f>IFERROR(VLOOKUP(FormFields[[#This Row],[Form Name]],ResourceForms[[FormName]:[ID]],4,0),"resource_form")</f>
        <v>309105</v>
      </c>
      <c r="S17" s="89" t="s">
        <v>1699</v>
      </c>
      <c r="T17" s="89" t="s">
        <v>1720</v>
      </c>
      <c r="U17" s="89" t="s">
        <v>1721</v>
      </c>
      <c r="V17" s="108"/>
      <c r="W17" s="108"/>
      <c r="X17" s="108"/>
      <c r="Y17" s="108"/>
      <c r="Z17" s="109" t="str">
        <f>'Table Seed Map'!$A$13&amp;"-"&amp;FormFields[[#This Row],[NO2]]</f>
        <v>Field Data-15</v>
      </c>
      <c r="AA17" s="110">
        <f>COUNTIFS($AB$1:FormFields[[#This Row],[Exists]],1)-1</f>
        <v>15</v>
      </c>
      <c r="AB17" s="110">
        <f>IF(AND(FormFields[[#This Row],[Attribute]]="",FormFields[[#This Row],[Rel]]=""),0,1)</f>
        <v>1</v>
      </c>
      <c r="AC17" s="110">
        <f>IF(FormFields[[#This Row],[NO2]]=0,"id",FormFields[[#This Row],[NO2]]+IF(ISNUMBER(VLOOKUP('Table Seed Map'!$A$13,SeedMap[],9,0)),VLOOKUP('Table Seed Map'!$A$13,SeedMap[],9,0),0))</f>
        <v>311115</v>
      </c>
      <c r="AD17" s="111">
        <f>IF(FormFields[[#This Row],[ID]]="id","form_field",FormFields[[#This Row],[ID]])</f>
        <v>310115</v>
      </c>
      <c r="AE17" s="110" t="str">
        <f>IF(FormFields[[#This Row],[No]]=0,"attribute",FormFields[[#This Row],[Name]])</f>
        <v>image01</v>
      </c>
      <c r="AF17" s="84" t="str">
        <f>IF(FormFields[[#This Row],[NO2]]=0,"relation",IF(FormFields[[#This Row],[Rel]]="","",VLOOKUP(FormFields[[#This Row],[Rel]],RelationTable[[Display]:[RELID]],2,0)))</f>
        <v/>
      </c>
      <c r="AG17" s="84" t="str">
        <f>IF(FormFields[[#This Row],[NO2]]=0,"nest_relation1",IF(FormFields[[#This Row],[Rel1]]="","",VLOOKUP(FormFields[[#This Row],[Rel1]],RelationTable[[Display]:[RELID]],2,0)))</f>
        <v/>
      </c>
      <c r="AH17" s="84" t="str">
        <f>IF(FormFields[[#This Row],[NO2]]=0,"nest_relation2",IF(FormFields[[#This Row],[Rel2]]="","",VLOOKUP(FormFields[[#This Row],[Rel2]],RelationTable[[Display]:[RELID]],2,0)))</f>
        <v/>
      </c>
      <c r="AI17" s="84" t="str">
        <f>IF(FormFields[[#This Row],[NO2]]=0,"nest_relation2",IF(FormFields[[#This Row],[Rel2]]="","",VLOOKUP(FormFields[[#This Row],[Rel2]],RelationTable[[Display]:[RELID]],2,0)))</f>
        <v/>
      </c>
      <c r="AJ17" s="79">
        <f>IF(OR(FormFields[[#This Row],[Option Type]]="",FormFields[[#This Row],[Option Type]]="type"),0,1)</f>
        <v>0</v>
      </c>
      <c r="AK17" s="79" t="str">
        <f>'Table Seed Map'!$A$14&amp;"-"&amp;FormFields[[#This Row],[NO4]]</f>
        <v>Field Options-9</v>
      </c>
      <c r="AL17" s="79">
        <f>COUNTIF($AJ$2:FormFields[[#This Row],[Exists FO]],1)</f>
        <v>9</v>
      </c>
      <c r="AM17" s="79">
        <f>IF(FormFields[[#This Row],[NO4]]=0,"id",FormFields[[#This Row],[NO4]]+IF(ISNUMBER(VLOOKUP('Table Seed Map'!$A$14,SeedMap[],9,0)),VLOOKUP('Table Seed Map'!$A$14,SeedMap[],9,0),0))</f>
        <v>312109</v>
      </c>
      <c r="AN17" s="79">
        <f>IF(FormFields[[#This Row],[ID]]="id","form_field",FormFields[[#This Row],[ID]])</f>
        <v>310115</v>
      </c>
      <c r="AO17" s="112"/>
      <c r="AP17" s="112"/>
      <c r="AQ17" s="112"/>
      <c r="AR17" s="112"/>
      <c r="AS17" s="112"/>
      <c r="AT17" s="79">
        <f>IF(OR(FormFields[[#This Row],[Colspan]]="",FormFields[[#This Row],[Colspan]]="colspan"),0,1)</f>
        <v>0</v>
      </c>
      <c r="AU17" s="79" t="str">
        <f>'Table Seed Map'!$A$19&amp;"-"&amp;FormFields[[#This Row],[NO8]]</f>
        <v>Form Layout-7</v>
      </c>
      <c r="AV17" s="79">
        <f>COUNTIF($AT$1:FormFields[[#This Row],[Exists FL]],1)</f>
        <v>7</v>
      </c>
      <c r="AW1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79">
        <f>FormFields[Form]</f>
        <v>309105</v>
      </c>
      <c r="AY17" s="79">
        <f>IF(FormFields[[#This Row],[ID]]="id","form_field",FormFields[[#This Row],[ID]])</f>
        <v>310115</v>
      </c>
      <c r="AZ17" s="113"/>
      <c r="BA17" s="79">
        <f>FormFields[[#This Row],[ID]]</f>
        <v>310115</v>
      </c>
    </row>
    <row r="18" spans="13:53" x14ac:dyDescent="0.25">
      <c r="M18" s="80" t="str">
        <f>'Table Seed Map'!$A$12&amp;"-"&amp;FormFields[[#This Row],[No]]</f>
        <v>Form Fields-16</v>
      </c>
      <c r="N18" s="66" t="s">
        <v>1719</v>
      </c>
      <c r="O18" s="79">
        <f>COUNTA($N$1:FormFields[[#This Row],[Form Name]])-1</f>
        <v>16</v>
      </c>
      <c r="P18" s="80" t="str">
        <f>FormFields[[#This Row],[Form Name]]&amp;"/"&amp;FormFields[[#This Row],[Name]]</f>
        <v>ProductImage/AddProductImage/image02</v>
      </c>
      <c r="Q18" s="79">
        <f>IF(FormFields[[#This Row],[No]]=0,"id",FormFields[[#This Row],[No]]+IF(ISNUMBER(VLOOKUP('Table Seed Map'!$A$12,SeedMap[],9,0)),VLOOKUP('Table Seed Map'!$A$12,SeedMap[],9,0),0))</f>
        <v>310116</v>
      </c>
      <c r="R18" s="107">
        <f>IFERROR(VLOOKUP(FormFields[[#This Row],[Form Name]],ResourceForms[[FormName]:[ID]],4,0),"resource_form")</f>
        <v>309105</v>
      </c>
      <c r="S18" s="89" t="s">
        <v>1700</v>
      </c>
      <c r="T18" s="89" t="s">
        <v>1720</v>
      </c>
      <c r="U18" s="89" t="s">
        <v>1722</v>
      </c>
      <c r="V18" s="108"/>
      <c r="W18" s="108"/>
      <c r="X18" s="108"/>
      <c r="Y18" s="108"/>
      <c r="Z18" s="109" t="str">
        <f>'Table Seed Map'!$A$13&amp;"-"&amp;FormFields[[#This Row],[NO2]]</f>
        <v>Field Data-16</v>
      </c>
      <c r="AA18" s="110">
        <f>COUNTIFS($AB$1:FormFields[[#This Row],[Exists]],1)-1</f>
        <v>16</v>
      </c>
      <c r="AB18" s="110">
        <f>IF(AND(FormFields[[#This Row],[Attribute]]="",FormFields[[#This Row],[Rel]]=""),0,1)</f>
        <v>1</v>
      </c>
      <c r="AC18" s="110">
        <f>IF(FormFields[[#This Row],[NO2]]=0,"id",FormFields[[#This Row],[NO2]]+IF(ISNUMBER(VLOOKUP('Table Seed Map'!$A$13,SeedMap[],9,0)),VLOOKUP('Table Seed Map'!$A$13,SeedMap[],9,0),0))</f>
        <v>311116</v>
      </c>
      <c r="AD18" s="111">
        <f>IF(FormFields[[#This Row],[ID]]="id","form_field",FormFields[[#This Row],[ID]])</f>
        <v>310116</v>
      </c>
      <c r="AE18" s="110" t="str">
        <f>IF(FormFields[[#This Row],[No]]=0,"attribute",FormFields[[#This Row],[Name]])</f>
        <v>image02</v>
      </c>
      <c r="AF18" s="84" t="str">
        <f>IF(FormFields[[#This Row],[NO2]]=0,"relation",IF(FormFields[[#This Row],[Rel]]="","",VLOOKUP(FormFields[[#This Row],[Rel]],RelationTable[[Display]:[RELID]],2,0)))</f>
        <v/>
      </c>
      <c r="AG18" s="84" t="str">
        <f>IF(FormFields[[#This Row],[NO2]]=0,"nest_relation1",IF(FormFields[[#This Row],[Rel1]]="","",VLOOKUP(FormFields[[#This Row],[Rel1]],RelationTable[[Display]:[RELID]],2,0)))</f>
        <v/>
      </c>
      <c r="AH18" s="84" t="str">
        <f>IF(FormFields[[#This Row],[NO2]]=0,"nest_relation2",IF(FormFields[[#This Row],[Rel2]]="","",VLOOKUP(FormFields[[#This Row],[Rel2]],RelationTable[[Display]:[RELID]],2,0)))</f>
        <v/>
      </c>
      <c r="AI18" s="84" t="str">
        <f>IF(FormFields[[#This Row],[NO2]]=0,"nest_relation2",IF(FormFields[[#This Row],[Rel2]]="","",VLOOKUP(FormFields[[#This Row],[Rel2]],RelationTable[[Display]:[RELID]],2,0)))</f>
        <v/>
      </c>
      <c r="AJ18" s="79">
        <f>IF(OR(FormFields[[#This Row],[Option Type]]="",FormFields[[#This Row],[Option Type]]="type"),0,1)</f>
        <v>0</v>
      </c>
      <c r="AK18" s="79" t="str">
        <f>'Table Seed Map'!$A$14&amp;"-"&amp;FormFields[[#This Row],[NO4]]</f>
        <v>Field Options-9</v>
      </c>
      <c r="AL18" s="79">
        <f>COUNTIF($AJ$2:FormFields[[#This Row],[Exists FO]],1)</f>
        <v>9</v>
      </c>
      <c r="AM18" s="79">
        <f>IF(FormFields[[#This Row],[NO4]]=0,"id",FormFields[[#This Row],[NO4]]+IF(ISNUMBER(VLOOKUP('Table Seed Map'!$A$14,SeedMap[],9,0)),VLOOKUP('Table Seed Map'!$A$14,SeedMap[],9,0),0))</f>
        <v>312109</v>
      </c>
      <c r="AN18" s="79">
        <f>IF(FormFields[[#This Row],[ID]]="id","form_field",FormFields[[#This Row],[ID]])</f>
        <v>310116</v>
      </c>
      <c r="AO18" s="112"/>
      <c r="AP18" s="112"/>
      <c r="AQ18" s="112"/>
      <c r="AR18" s="112"/>
      <c r="AS18" s="112"/>
      <c r="AT18" s="79">
        <f>IF(OR(FormFields[[#This Row],[Colspan]]="",FormFields[[#This Row],[Colspan]]="colspan"),0,1)</f>
        <v>0</v>
      </c>
      <c r="AU18" s="79" t="str">
        <f>'Table Seed Map'!$A$19&amp;"-"&amp;FormFields[[#This Row],[NO8]]</f>
        <v>Form Layout-7</v>
      </c>
      <c r="AV18" s="79">
        <f>COUNTIF($AT$1:FormFields[[#This Row],[Exists FL]],1)</f>
        <v>7</v>
      </c>
      <c r="AW18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79">
        <f>FormFields[Form]</f>
        <v>309105</v>
      </c>
      <c r="AY18" s="79">
        <f>IF(FormFields[[#This Row],[ID]]="id","form_field",FormFields[[#This Row],[ID]])</f>
        <v>310116</v>
      </c>
      <c r="AZ18" s="113"/>
      <c r="BA18" s="79">
        <f>FormFields[[#This Row],[ID]]</f>
        <v>310116</v>
      </c>
    </row>
    <row r="19" spans="13:53" x14ac:dyDescent="0.25">
      <c r="M19" s="80" t="str">
        <f>'Table Seed Map'!$A$12&amp;"-"&amp;FormFields[[#This Row],[No]]</f>
        <v>Form Fields-17</v>
      </c>
      <c r="N19" s="66" t="s">
        <v>1719</v>
      </c>
      <c r="O19" s="79">
        <f>COUNTA($N$1:FormFields[[#This Row],[Form Name]])-1</f>
        <v>17</v>
      </c>
      <c r="P19" s="80" t="str">
        <f>FormFields[[#This Row],[Form Name]]&amp;"/"&amp;FormFields[[#This Row],[Name]]</f>
        <v>ProductImage/AddProductImage/image03</v>
      </c>
      <c r="Q19" s="79">
        <f>IF(FormFields[[#This Row],[No]]=0,"id",FormFields[[#This Row],[No]]+IF(ISNUMBER(VLOOKUP('Table Seed Map'!$A$12,SeedMap[],9,0)),VLOOKUP('Table Seed Map'!$A$12,SeedMap[],9,0),0))</f>
        <v>310117</v>
      </c>
      <c r="R19" s="107">
        <f>IFERROR(VLOOKUP(FormFields[[#This Row],[Form Name]],ResourceForms[[FormName]:[ID]],4,0),"resource_form")</f>
        <v>309105</v>
      </c>
      <c r="S19" s="89" t="s">
        <v>1701</v>
      </c>
      <c r="T19" s="89" t="s">
        <v>1720</v>
      </c>
      <c r="U19" s="89" t="s">
        <v>1723</v>
      </c>
      <c r="V19" s="108"/>
      <c r="W19" s="108"/>
      <c r="X19" s="108"/>
      <c r="Y19" s="108"/>
      <c r="Z19" s="109" t="str">
        <f>'Table Seed Map'!$A$13&amp;"-"&amp;FormFields[[#This Row],[NO2]]</f>
        <v>Field Data-17</v>
      </c>
      <c r="AA19" s="110">
        <f>COUNTIFS($AB$1:FormFields[[#This Row],[Exists]],1)-1</f>
        <v>17</v>
      </c>
      <c r="AB19" s="110">
        <f>IF(AND(FormFields[[#This Row],[Attribute]]="",FormFields[[#This Row],[Rel]]=""),0,1)</f>
        <v>1</v>
      </c>
      <c r="AC19" s="110">
        <f>IF(FormFields[[#This Row],[NO2]]=0,"id",FormFields[[#This Row],[NO2]]+IF(ISNUMBER(VLOOKUP('Table Seed Map'!$A$13,SeedMap[],9,0)),VLOOKUP('Table Seed Map'!$A$13,SeedMap[],9,0),0))</f>
        <v>311117</v>
      </c>
      <c r="AD19" s="111">
        <f>IF(FormFields[[#This Row],[ID]]="id","form_field",FormFields[[#This Row],[ID]])</f>
        <v>310117</v>
      </c>
      <c r="AE19" s="110" t="str">
        <f>IF(FormFields[[#This Row],[No]]=0,"attribute",FormFields[[#This Row],[Name]])</f>
        <v>image03</v>
      </c>
      <c r="AF19" s="84" t="str">
        <f>IF(FormFields[[#This Row],[NO2]]=0,"relation",IF(FormFields[[#This Row],[Rel]]="","",VLOOKUP(FormFields[[#This Row],[Rel]],RelationTable[[Display]:[RELID]],2,0)))</f>
        <v/>
      </c>
      <c r="AG19" s="84" t="str">
        <f>IF(FormFields[[#This Row],[NO2]]=0,"nest_relation1",IF(FormFields[[#This Row],[Rel1]]="","",VLOOKUP(FormFields[[#This Row],[Rel1]],RelationTable[[Display]:[RELID]],2,0)))</f>
        <v/>
      </c>
      <c r="AH19" s="84" t="str">
        <f>IF(FormFields[[#This Row],[NO2]]=0,"nest_relation2",IF(FormFields[[#This Row],[Rel2]]="","",VLOOKUP(FormFields[[#This Row],[Rel2]],RelationTable[[Display]:[RELID]],2,0)))</f>
        <v/>
      </c>
      <c r="AI19" s="84" t="str">
        <f>IF(FormFields[[#This Row],[NO2]]=0,"nest_relation2",IF(FormFields[[#This Row],[Rel2]]="","",VLOOKUP(FormFields[[#This Row],[Rel2]],RelationTable[[Display]:[RELID]],2,0)))</f>
        <v/>
      </c>
      <c r="AJ19" s="79">
        <f>IF(OR(FormFields[[#This Row],[Option Type]]="",FormFields[[#This Row],[Option Type]]="type"),0,1)</f>
        <v>0</v>
      </c>
      <c r="AK19" s="79" t="str">
        <f>'Table Seed Map'!$A$14&amp;"-"&amp;FormFields[[#This Row],[NO4]]</f>
        <v>Field Options-9</v>
      </c>
      <c r="AL19" s="79">
        <f>COUNTIF($AJ$2:FormFields[[#This Row],[Exists FO]],1)</f>
        <v>9</v>
      </c>
      <c r="AM19" s="79">
        <f>IF(FormFields[[#This Row],[NO4]]=0,"id",FormFields[[#This Row],[NO4]]+IF(ISNUMBER(VLOOKUP('Table Seed Map'!$A$14,SeedMap[],9,0)),VLOOKUP('Table Seed Map'!$A$14,SeedMap[],9,0),0))</f>
        <v>312109</v>
      </c>
      <c r="AN19" s="79">
        <f>IF(FormFields[[#This Row],[ID]]="id","form_field",FormFields[[#This Row],[ID]])</f>
        <v>310117</v>
      </c>
      <c r="AO19" s="112"/>
      <c r="AP19" s="112"/>
      <c r="AQ19" s="112"/>
      <c r="AR19" s="112"/>
      <c r="AS19" s="112"/>
      <c r="AT19" s="79">
        <f>IF(OR(FormFields[[#This Row],[Colspan]]="",FormFields[[#This Row],[Colspan]]="colspan"),0,1)</f>
        <v>0</v>
      </c>
      <c r="AU19" s="79" t="str">
        <f>'Table Seed Map'!$A$19&amp;"-"&amp;FormFields[[#This Row],[NO8]]</f>
        <v>Form Layout-7</v>
      </c>
      <c r="AV19" s="79">
        <f>COUNTIF($AT$1:FormFields[[#This Row],[Exists FL]],1)</f>
        <v>7</v>
      </c>
      <c r="AW19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9" s="79">
        <f>FormFields[Form]</f>
        <v>309105</v>
      </c>
      <c r="AY19" s="79">
        <f>IF(FormFields[[#This Row],[ID]]="id","form_field",FormFields[[#This Row],[ID]])</f>
        <v>310117</v>
      </c>
      <c r="AZ19" s="113"/>
      <c r="BA19" s="79">
        <f>FormFields[[#This Row],[ID]]</f>
        <v>310117</v>
      </c>
    </row>
    <row r="20" spans="13:53" x14ac:dyDescent="0.25">
      <c r="M20" s="80" t="str">
        <f>'Table Seed Map'!$A$12&amp;"-"&amp;FormFields[[#This Row],[No]]</f>
        <v>Form Fields-18</v>
      </c>
      <c r="N20" s="66" t="s">
        <v>1719</v>
      </c>
      <c r="O20" s="79">
        <f>COUNTA($N$1:FormFields[[#This Row],[Form Name]])-1</f>
        <v>18</v>
      </c>
      <c r="P20" s="80" t="str">
        <f>FormFields[[#This Row],[Form Name]]&amp;"/"&amp;FormFields[[#This Row],[Name]]</f>
        <v>ProductImage/AddProductImage/image04</v>
      </c>
      <c r="Q20" s="79">
        <f>IF(FormFields[[#This Row],[No]]=0,"id",FormFields[[#This Row],[No]]+IF(ISNUMBER(VLOOKUP('Table Seed Map'!$A$12,SeedMap[],9,0)),VLOOKUP('Table Seed Map'!$A$12,SeedMap[],9,0),0))</f>
        <v>310118</v>
      </c>
      <c r="R20" s="107">
        <f>IFERROR(VLOOKUP(FormFields[[#This Row],[Form Name]],ResourceForms[[FormName]:[ID]],4,0),"resource_form")</f>
        <v>309105</v>
      </c>
      <c r="S20" s="89" t="s">
        <v>1702</v>
      </c>
      <c r="T20" s="89" t="s">
        <v>1720</v>
      </c>
      <c r="U20" s="89" t="s">
        <v>1724</v>
      </c>
      <c r="V20" s="108"/>
      <c r="W20" s="108"/>
      <c r="X20" s="108"/>
      <c r="Y20" s="108"/>
      <c r="Z20" s="109" t="str">
        <f>'Table Seed Map'!$A$13&amp;"-"&amp;FormFields[[#This Row],[NO2]]</f>
        <v>Field Data-18</v>
      </c>
      <c r="AA20" s="110">
        <f>COUNTIFS($AB$1:FormFields[[#This Row],[Exists]],1)-1</f>
        <v>18</v>
      </c>
      <c r="AB20" s="110">
        <f>IF(AND(FormFields[[#This Row],[Attribute]]="",FormFields[[#This Row],[Rel]]=""),0,1)</f>
        <v>1</v>
      </c>
      <c r="AC20" s="110">
        <f>IF(FormFields[[#This Row],[NO2]]=0,"id",FormFields[[#This Row],[NO2]]+IF(ISNUMBER(VLOOKUP('Table Seed Map'!$A$13,SeedMap[],9,0)),VLOOKUP('Table Seed Map'!$A$13,SeedMap[],9,0),0))</f>
        <v>311118</v>
      </c>
      <c r="AD20" s="111">
        <f>IF(FormFields[[#This Row],[ID]]="id","form_field",FormFields[[#This Row],[ID]])</f>
        <v>310118</v>
      </c>
      <c r="AE20" s="110" t="str">
        <f>IF(FormFields[[#This Row],[No]]=0,"attribute",FormFields[[#This Row],[Name]])</f>
        <v>image04</v>
      </c>
      <c r="AF20" s="84" t="str">
        <f>IF(FormFields[[#This Row],[NO2]]=0,"relation",IF(FormFields[[#This Row],[Rel]]="","",VLOOKUP(FormFields[[#This Row],[Rel]],RelationTable[[Display]:[RELID]],2,0)))</f>
        <v/>
      </c>
      <c r="AG20" s="84" t="str">
        <f>IF(FormFields[[#This Row],[NO2]]=0,"nest_relation1",IF(FormFields[[#This Row],[Rel1]]="","",VLOOKUP(FormFields[[#This Row],[Rel1]],RelationTable[[Display]:[RELID]],2,0)))</f>
        <v/>
      </c>
      <c r="AH20" s="84" t="str">
        <f>IF(FormFields[[#This Row],[NO2]]=0,"nest_relation2",IF(FormFields[[#This Row],[Rel2]]="","",VLOOKUP(FormFields[[#This Row],[Rel2]],RelationTable[[Display]:[RELID]],2,0)))</f>
        <v/>
      </c>
      <c r="AI20" s="84" t="str">
        <f>IF(FormFields[[#This Row],[NO2]]=0,"nest_relation2",IF(FormFields[[#This Row],[Rel2]]="","",VLOOKUP(FormFields[[#This Row],[Rel2]],RelationTable[[Display]:[RELID]],2,0)))</f>
        <v/>
      </c>
      <c r="AJ20" s="79">
        <f>IF(OR(FormFields[[#This Row],[Option Type]]="",FormFields[[#This Row],[Option Type]]="type"),0,1)</f>
        <v>0</v>
      </c>
      <c r="AK20" s="79" t="str">
        <f>'Table Seed Map'!$A$14&amp;"-"&amp;FormFields[[#This Row],[NO4]]</f>
        <v>Field Options-9</v>
      </c>
      <c r="AL20" s="79">
        <f>COUNTIF($AJ$2:FormFields[[#This Row],[Exists FO]],1)</f>
        <v>9</v>
      </c>
      <c r="AM20" s="79">
        <f>IF(FormFields[[#This Row],[NO4]]=0,"id",FormFields[[#This Row],[NO4]]+IF(ISNUMBER(VLOOKUP('Table Seed Map'!$A$14,SeedMap[],9,0)),VLOOKUP('Table Seed Map'!$A$14,SeedMap[],9,0),0))</f>
        <v>312109</v>
      </c>
      <c r="AN20" s="79">
        <f>IF(FormFields[[#This Row],[ID]]="id","form_field",FormFields[[#This Row],[ID]])</f>
        <v>310118</v>
      </c>
      <c r="AO20" s="112"/>
      <c r="AP20" s="112"/>
      <c r="AQ20" s="112"/>
      <c r="AR20" s="112"/>
      <c r="AS20" s="112"/>
      <c r="AT20" s="79">
        <f>IF(OR(FormFields[[#This Row],[Colspan]]="",FormFields[[#This Row],[Colspan]]="colspan"),0,1)</f>
        <v>0</v>
      </c>
      <c r="AU20" s="79" t="str">
        <f>'Table Seed Map'!$A$19&amp;"-"&amp;FormFields[[#This Row],[NO8]]</f>
        <v>Form Layout-7</v>
      </c>
      <c r="AV20" s="79">
        <f>COUNTIF($AT$1:FormFields[[#This Row],[Exists FL]],1)</f>
        <v>7</v>
      </c>
      <c r="AW20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0" s="79">
        <f>FormFields[Form]</f>
        <v>309105</v>
      </c>
      <c r="AY20" s="79">
        <f>IF(FormFields[[#This Row],[ID]]="id","form_field",FormFields[[#This Row],[ID]])</f>
        <v>310118</v>
      </c>
      <c r="AZ20" s="113"/>
      <c r="BA20" s="79">
        <f>FormFields[[#This Row],[ID]]</f>
        <v>310118</v>
      </c>
    </row>
    <row r="21" spans="13:53" x14ac:dyDescent="0.25">
      <c r="M21" s="80" t="str">
        <f>'Table Seed Map'!$A$12&amp;"-"&amp;FormFields[[#This Row],[No]]</f>
        <v>Form Fields-19</v>
      </c>
      <c r="N21" s="66" t="s">
        <v>1719</v>
      </c>
      <c r="O21" s="79">
        <f>COUNTA($N$1:FormFields[[#This Row],[Form Name]])-1</f>
        <v>19</v>
      </c>
      <c r="P21" s="80" t="str">
        <f>FormFields[[#This Row],[Form Name]]&amp;"/"&amp;FormFields[[#This Row],[Name]]</f>
        <v>ProductImage/AddProductImage/image05</v>
      </c>
      <c r="Q21" s="79">
        <f>IF(FormFields[[#This Row],[No]]=0,"id",FormFields[[#This Row],[No]]+IF(ISNUMBER(VLOOKUP('Table Seed Map'!$A$12,SeedMap[],9,0)),VLOOKUP('Table Seed Map'!$A$12,SeedMap[],9,0),0))</f>
        <v>310119</v>
      </c>
      <c r="R21" s="107">
        <f>IFERROR(VLOOKUP(FormFields[[#This Row],[Form Name]],ResourceForms[[FormName]:[ID]],4,0),"resource_form")</f>
        <v>309105</v>
      </c>
      <c r="S21" s="89" t="s">
        <v>1703</v>
      </c>
      <c r="T21" s="89" t="s">
        <v>1720</v>
      </c>
      <c r="U21" s="89" t="s">
        <v>1725</v>
      </c>
      <c r="V21" s="108"/>
      <c r="W21" s="108"/>
      <c r="X21" s="108"/>
      <c r="Y21" s="108"/>
      <c r="Z21" s="109" t="str">
        <f>'Table Seed Map'!$A$13&amp;"-"&amp;FormFields[[#This Row],[NO2]]</f>
        <v>Field Data-19</v>
      </c>
      <c r="AA21" s="110">
        <f>COUNTIFS($AB$1:FormFields[[#This Row],[Exists]],1)-1</f>
        <v>19</v>
      </c>
      <c r="AB21" s="110">
        <f>IF(AND(FormFields[[#This Row],[Attribute]]="",FormFields[[#This Row],[Rel]]=""),0,1)</f>
        <v>1</v>
      </c>
      <c r="AC21" s="110">
        <f>IF(FormFields[[#This Row],[NO2]]=0,"id",FormFields[[#This Row],[NO2]]+IF(ISNUMBER(VLOOKUP('Table Seed Map'!$A$13,SeedMap[],9,0)),VLOOKUP('Table Seed Map'!$A$13,SeedMap[],9,0),0))</f>
        <v>311119</v>
      </c>
      <c r="AD21" s="111">
        <f>IF(FormFields[[#This Row],[ID]]="id","form_field",FormFields[[#This Row],[ID]])</f>
        <v>310119</v>
      </c>
      <c r="AE21" s="110" t="str">
        <f>IF(FormFields[[#This Row],[No]]=0,"attribute",FormFields[[#This Row],[Name]])</f>
        <v>image05</v>
      </c>
      <c r="AF21" s="84" t="str">
        <f>IF(FormFields[[#This Row],[NO2]]=0,"relation",IF(FormFields[[#This Row],[Rel]]="","",VLOOKUP(FormFields[[#This Row],[Rel]],RelationTable[[Display]:[RELID]],2,0)))</f>
        <v/>
      </c>
      <c r="AG21" s="84" t="str">
        <f>IF(FormFields[[#This Row],[NO2]]=0,"nest_relation1",IF(FormFields[[#This Row],[Rel1]]="","",VLOOKUP(FormFields[[#This Row],[Rel1]],RelationTable[[Display]:[RELID]],2,0)))</f>
        <v/>
      </c>
      <c r="AH21" s="84" t="str">
        <f>IF(FormFields[[#This Row],[NO2]]=0,"nest_relation2",IF(FormFields[[#This Row],[Rel2]]="","",VLOOKUP(FormFields[[#This Row],[Rel2]],RelationTable[[Display]:[RELID]],2,0)))</f>
        <v/>
      </c>
      <c r="AI21" s="84" t="str">
        <f>IF(FormFields[[#This Row],[NO2]]=0,"nest_relation2",IF(FormFields[[#This Row],[Rel2]]="","",VLOOKUP(FormFields[[#This Row],[Rel2]],RelationTable[[Display]:[RELID]],2,0)))</f>
        <v/>
      </c>
      <c r="AJ21" s="79">
        <f>IF(OR(FormFields[[#This Row],[Option Type]]="",FormFields[[#This Row],[Option Type]]="type"),0,1)</f>
        <v>0</v>
      </c>
      <c r="AK21" s="79" t="str">
        <f>'Table Seed Map'!$A$14&amp;"-"&amp;FormFields[[#This Row],[NO4]]</f>
        <v>Field Options-9</v>
      </c>
      <c r="AL21" s="79">
        <f>COUNTIF($AJ$2:FormFields[[#This Row],[Exists FO]],1)</f>
        <v>9</v>
      </c>
      <c r="AM21" s="79">
        <f>IF(FormFields[[#This Row],[NO4]]=0,"id",FormFields[[#This Row],[NO4]]+IF(ISNUMBER(VLOOKUP('Table Seed Map'!$A$14,SeedMap[],9,0)),VLOOKUP('Table Seed Map'!$A$14,SeedMap[],9,0),0))</f>
        <v>312109</v>
      </c>
      <c r="AN21" s="79">
        <f>IF(FormFields[[#This Row],[ID]]="id","form_field",FormFields[[#This Row],[ID]])</f>
        <v>310119</v>
      </c>
      <c r="AO21" s="112"/>
      <c r="AP21" s="112"/>
      <c r="AQ21" s="112"/>
      <c r="AR21" s="112"/>
      <c r="AS21" s="112"/>
      <c r="AT21" s="79">
        <f>IF(OR(FormFields[[#This Row],[Colspan]]="",FormFields[[#This Row],[Colspan]]="colspan"),0,1)</f>
        <v>0</v>
      </c>
      <c r="AU21" s="79" t="str">
        <f>'Table Seed Map'!$A$19&amp;"-"&amp;FormFields[[#This Row],[NO8]]</f>
        <v>Form Layout-7</v>
      </c>
      <c r="AV21" s="79">
        <f>COUNTIF($AT$1:FormFields[[#This Row],[Exists FL]],1)</f>
        <v>7</v>
      </c>
      <c r="AW21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1" s="79">
        <f>FormFields[Form]</f>
        <v>309105</v>
      </c>
      <c r="AY21" s="79">
        <f>IF(FormFields[[#This Row],[ID]]="id","form_field",FormFields[[#This Row],[ID]])</f>
        <v>310119</v>
      </c>
      <c r="AZ21" s="113"/>
      <c r="BA21" s="79">
        <f>FormFields[[#This Row],[ID]]</f>
        <v>310119</v>
      </c>
    </row>
    <row r="22" spans="13:53" x14ac:dyDescent="0.25">
      <c r="M22" s="80" t="str">
        <f>'Table Seed Map'!$A$12&amp;"-"&amp;FormFields[[#This Row],[No]]</f>
        <v>Form Fields-20</v>
      </c>
      <c r="N22" s="66" t="s">
        <v>1719</v>
      </c>
      <c r="O22" s="79">
        <f>COUNTA($N$1:FormFields[[#This Row],[Form Name]])-1</f>
        <v>20</v>
      </c>
      <c r="P22" s="80" t="str">
        <f>FormFields[[#This Row],[Form Name]]&amp;"/"&amp;FormFields[[#This Row],[Name]]</f>
        <v>ProductImage/AddProductImage/default</v>
      </c>
      <c r="Q22" s="79">
        <f>IF(FormFields[[#This Row],[No]]=0,"id",FormFields[[#This Row],[No]]+IF(ISNUMBER(VLOOKUP('Table Seed Map'!$A$12,SeedMap[],9,0)),VLOOKUP('Table Seed Map'!$A$12,SeedMap[],9,0),0))</f>
        <v>310120</v>
      </c>
      <c r="R22" s="107">
        <f>IFERROR(VLOOKUP(FormFields[[#This Row],[Form Name]],ResourceForms[[FormName]:[ID]],4,0),"resource_form")</f>
        <v>309105</v>
      </c>
      <c r="S22" s="89" t="s">
        <v>1705</v>
      </c>
      <c r="T22" s="89" t="s">
        <v>1371</v>
      </c>
      <c r="U22" s="89" t="s">
        <v>1726</v>
      </c>
      <c r="V22" s="108"/>
      <c r="W22" s="108"/>
      <c r="X22" s="108"/>
      <c r="Y22" s="108"/>
      <c r="Z22" s="109" t="str">
        <f>'Table Seed Map'!$A$13&amp;"-"&amp;FormFields[[#This Row],[NO2]]</f>
        <v>Field Data-20</v>
      </c>
      <c r="AA22" s="110">
        <f>COUNTIFS($AB$1:FormFields[[#This Row],[Exists]],1)-1</f>
        <v>20</v>
      </c>
      <c r="AB22" s="110">
        <f>IF(AND(FormFields[[#This Row],[Attribute]]="",FormFields[[#This Row],[Rel]]=""),0,1)</f>
        <v>1</v>
      </c>
      <c r="AC22" s="110">
        <f>IF(FormFields[[#This Row],[NO2]]=0,"id",FormFields[[#This Row],[NO2]]+IF(ISNUMBER(VLOOKUP('Table Seed Map'!$A$13,SeedMap[],9,0)),VLOOKUP('Table Seed Map'!$A$13,SeedMap[],9,0),0))</f>
        <v>311120</v>
      </c>
      <c r="AD22" s="111">
        <f>IF(FormFields[[#This Row],[ID]]="id","form_field",FormFields[[#This Row],[ID]])</f>
        <v>310120</v>
      </c>
      <c r="AE22" s="110" t="str">
        <f>IF(FormFields[[#This Row],[No]]=0,"attribute",FormFields[[#This Row],[Name]])</f>
        <v>default</v>
      </c>
      <c r="AF22" s="84" t="str">
        <f>IF(FormFields[[#This Row],[NO2]]=0,"relation",IF(FormFields[[#This Row],[Rel]]="","",VLOOKUP(FormFields[[#This Row],[Rel]],RelationTable[[Display]:[RELID]],2,0)))</f>
        <v/>
      </c>
      <c r="AG22" s="84" t="str">
        <f>IF(FormFields[[#This Row],[NO2]]=0,"nest_relation1",IF(FormFields[[#This Row],[Rel1]]="","",VLOOKUP(FormFields[[#This Row],[Rel1]],RelationTable[[Display]:[RELID]],2,0)))</f>
        <v/>
      </c>
      <c r="AH22" s="84" t="str">
        <f>IF(FormFields[[#This Row],[NO2]]=0,"nest_relation2",IF(FormFields[[#This Row],[Rel2]]="","",VLOOKUP(FormFields[[#This Row],[Rel2]],RelationTable[[Display]:[RELID]],2,0)))</f>
        <v/>
      </c>
      <c r="AI22" s="84" t="str">
        <f>IF(FormFields[[#This Row],[NO2]]=0,"nest_relation2",IF(FormFields[[#This Row],[Rel2]]="","",VLOOKUP(FormFields[[#This Row],[Rel2]],RelationTable[[Display]:[RELID]],2,0)))</f>
        <v/>
      </c>
      <c r="AJ22" s="79">
        <f>IF(OR(FormFields[[#This Row],[Option Type]]="",FormFields[[#This Row],[Option Type]]="type"),0,1)</f>
        <v>1</v>
      </c>
      <c r="AK22" s="79" t="str">
        <f>'Table Seed Map'!$A$14&amp;"-"&amp;FormFields[[#This Row],[NO4]]</f>
        <v>Field Options-10</v>
      </c>
      <c r="AL22" s="79">
        <f>COUNTIF($AJ$2:FormFields[[#This Row],[Exists FO]],1)</f>
        <v>10</v>
      </c>
      <c r="AM22" s="79">
        <f>IF(FormFields[[#This Row],[NO4]]=0,"id",FormFields[[#This Row],[NO4]]+IF(ISNUMBER(VLOOKUP('Table Seed Map'!$A$14,SeedMap[],9,0)),VLOOKUP('Table Seed Map'!$A$14,SeedMap[],9,0),0))</f>
        <v>312110</v>
      </c>
      <c r="AN22" s="79">
        <f>IF(FormFields[[#This Row],[ID]]="id","form_field",FormFields[[#This Row],[ID]])</f>
        <v>310120</v>
      </c>
      <c r="AO22" s="112" t="s">
        <v>1441</v>
      </c>
      <c r="AP22" s="112"/>
      <c r="AQ22" s="112"/>
      <c r="AR22" s="112"/>
      <c r="AS22" s="112"/>
      <c r="AT22" s="79">
        <f>IF(OR(FormFields[[#This Row],[Colspan]]="",FormFields[[#This Row],[Colspan]]="colspan"),0,1)</f>
        <v>0</v>
      </c>
      <c r="AU22" s="79" t="str">
        <f>'Table Seed Map'!$A$19&amp;"-"&amp;FormFields[[#This Row],[NO8]]</f>
        <v>Form Layout-7</v>
      </c>
      <c r="AV22" s="79">
        <f>COUNTIF($AT$1:FormFields[[#This Row],[Exists FL]],1)</f>
        <v>7</v>
      </c>
      <c r="AW22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2" s="79">
        <f>FormFields[Form]</f>
        <v>309105</v>
      </c>
      <c r="AY22" s="79">
        <f>IF(FormFields[[#This Row],[ID]]="id","form_field",FormFields[[#This Row],[ID]])</f>
        <v>310120</v>
      </c>
      <c r="AZ22" s="113"/>
      <c r="BA22" s="79">
        <f>FormFields[[#This Row],[ID]]</f>
        <v>310120</v>
      </c>
    </row>
    <row r="23" spans="13:53" x14ac:dyDescent="0.25">
      <c r="M23" s="80" t="str">
        <f>'Table Seed Map'!$A$12&amp;"-"&amp;FormFields[[#This Row],[No]]</f>
        <v>Form Fields-21</v>
      </c>
      <c r="N23" s="66" t="s">
        <v>1760</v>
      </c>
      <c r="O23" s="79">
        <f>COUNTA($N$1:FormFields[[#This Row],[Form Name]])-1</f>
        <v>21</v>
      </c>
      <c r="P23" s="80" t="str">
        <f>FormFields[[#This Row],[Form Name]]&amp;"/"&amp;FormFields[[#This Row],[Name]]</f>
        <v>FnReserve/AddFNReserves/fncode</v>
      </c>
      <c r="Q23" s="79">
        <f>IF(FormFields[[#This Row],[No]]=0,"id",FormFields[[#This Row],[No]]+IF(ISNUMBER(VLOOKUP('Table Seed Map'!$A$12,SeedMap[],9,0)),VLOOKUP('Table Seed Map'!$A$12,SeedMap[],9,0),0))</f>
        <v>310121</v>
      </c>
      <c r="R23" s="107">
        <f>IFERROR(VLOOKUP(FormFields[[#This Row],[Form Name]],ResourceForms[[FormName]:[ID]],4,0),"resource_form")</f>
        <v>309106</v>
      </c>
      <c r="S23" s="89" t="s">
        <v>858</v>
      </c>
      <c r="T23" s="89" t="s">
        <v>1371</v>
      </c>
      <c r="U23" s="89" t="s">
        <v>1761</v>
      </c>
      <c r="V23" s="108"/>
      <c r="W23" s="108"/>
      <c r="X23" s="108"/>
      <c r="Y23" s="108"/>
      <c r="Z23" s="109" t="str">
        <f>'Table Seed Map'!$A$13&amp;"-"&amp;FormFields[[#This Row],[NO2]]</f>
        <v>Field Data-21</v>
      </c>
      <c r="AA23" s="110">
        <f>COUNTIFS($AB$1:FormFields[[#This Row],[Exists]],1)-1</f>
        <v>21</v>
      </c>
      <c r="AB23" s="110">
        <f>IF(AND(FormFields[[#This Row],[Attribute]]="",FormFields[[#This Row],[Rel]]=""),0,1)</f>
        <v>1</v>
      </c>
      <c r="AC23" s="110">
        <f>IF(FormFields[[#This Row],[NO2]]=0,"id",FormFields[[#This Row],[NO2]]+IF(ISNUMBER(VLOOKUP('Table Seed Map'!$A$13,SeedMap[],9,0)),VLOOKUP('Table Seed Map'!$A$13,SeedMap[],9,0),0))</f>
        <v>311121</v>
      </c>
      <c r="AD23" s="111">
        <f>IF(FormFields[[#This Row],[ID]]="id","form_field",FormFields[[#This Row],[ID]])</f>
        <v>310121</v>
      </c>
      <c r="AE23" s="110" t="str">
        <f>IF(FormFields[[#This Row],[No]]=0,"attribute",FormFields[[#This Row],[Name]])</f>
        <v>fncode</v>
      </c>
      <c r="AF23" s="84" t="str">
        <f>IF(FormFields[[#This Row],[NO2]]=0,"relation",IF(FormFields[[#This Row],[Rel]]="","",VLOOKUP(FormFields[[#This Row],[Rel]],RelationTable[[Display]:[RELID]],2,0)))</f>
        <v/>
      </c>
      <c r="AG23" s="84" t="str">
        <f>IF(FormFields[[#This Row],[NO2]]=0,"nest_relation1",IF(FormFields[[#This Row],[Rel1]]="","",VLOOKUP(FormFields[[#This Row],[Rel1]],RelationTable[[Display]:[RELID]],2,0)))</f>
        <v/>
      </c>
      <c r="AH23" s="84" t="str">
        <f>IF(FormFields[[#This Row],[NO2]]=0,"nest_relation2",IF(FormFields[[#This Row],[Rel2]]="","",VLOOKUP(FormFields[[#This Row],[Rel2]],RelationTable[[Display]:[RELID]],2,0)))</f>
        <v/>
      </c>
      <c r="AI23" s="84" t="str">
        <f>IF(FormFields[[#This Row],[NO2]]=0,"nest_relation2",IF(FormFields[[#This Row],[Rel2]]="","",VLOOKUP(FormFields[[#This Row],[Rel2]],RelationTable[[Display]:[RELID]],2,0)))</f>
        <v/>
      </c>
      <c r="AJ23" s="79">
        <f>IF(OR(FormFields[[#This Row],[Option Type]]="",FormFields[[#This Row],[Option Type]]="type"),0,1)</f>
        <v>1</v>
      </c>
      <c r="AK23" s="79" t="str">
        <f>'Table Seed Map'!$A$14&amp;"-"&amp;FormFields[[#This Row],[NO4]]</f>
        <v>Field Options-11</v>
      </c>
      <c r="AL23" s="79">
        <f>COUNTIF($AJ$2:FormFields[[#This Row],[Exists FO]],1)</f>
        <v>11</v>
      </c>
      <c r="AM23" s="79">
        <f>IF(FormFields[[#This Row],[NO4]]=0,"id",FormFields[[#This Row],[NO4]]+IF(ISNUMBER(VLOOKUP('Table Seed Map'!$A$14,SeedMap[],9,0)),VLOOKUP('Table Seed Map'!$A$14,SeedMap[],9,0),0))</f>
        <v>312111</v>
      </c>
      <c r="AN23" s="79">
        <f>IF(FormFields[[#This Row],[ID]]="id","form_field",FormFields[[#This Row],[ID]])</f>
        <v>310121</v>
      </c>
      <c r="AO23" s="112" t="s">
        <v>122</v>
      </c>
      <c r="AP23" s="112">
        <v>322109</v>
      </c>
      <c r="AQ23" s="112" t="s">
        <v>768</v>
      </c>
      <c r="AR23" s="112" t="s">
        <v>2064</v>
      </c>
      <c r="AS23" s="112" t="s">
        <v>1440</v>
      </c>
      <c r="AT23" s="79">
        <f>IF(OR(FormFields[[#This Row],[Colspan]]="",FormFields[[#This Row],[Colspan]]="colspan"),0,1)</f>
        <v>0</v>
      </c>
      <c r="AU23" s="79" t="str">
        <f>'Table Seed Map'!$A$19&amp;"-"&amp;FormFields[[#This Row],[NO8]]</f>
        <v>Form Layout-7</v>
      </c>
      <c r="AV23" s="79">
        <f>COUNTIF($AT$1:FormFields[[#This Row],[Exists FL]],1)</f>
        <v>7</v>
      </c>
      <c r="AW23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3" s="79">
        <f>FormFields[Form]</f>
        <v>309106</v>
      </c>
      <c r="AY23" s="79">
        <f>IF(FormFields[[#This Row],[ID]]="id","form_field",FormFields[[#This Row],[ID]])</f>
        <v>310121</v>
      </c>
      <c r="AZ23" s="113"/>
      <c r="BA23" s="79">
        <f>FormFields[[#This Row],[ID]]</f>
        <v>310121</v>
      </c>
    </row>
    <row r="24" spans="13:53" x14ac:dyDescent="0.25">
      <c r="M24" s="80" t="str">
        <f>'Table Seed Map'!$A$12&amp;"-"&amp;FormFields[[#This Row],[No]]</f>
        <v>Form Fields-22</v>
      </c>
      <c r="N24" s="66" t="s">
        <v>1760</v>
      </c>
      <c r="O24" s="79">
        <f>COUNTA($N$1:FormFields[[#This Row],[Form Name]])-1</f>
        <v>22</v>
      </c>
      <c r="P24" s="80" t="str">
        <f>FormFields[[#This Row],[Form Name]]&amp;"/"&amp;FormFields[[#This Row],[Name]]</f>
        <v>FnReserve/AddFNReserves/store</v>
      </c>
      <c r="Q24" s="79">
        <f>IF(FormFields[[#This Row],[No]]=0,"id",FormFields[[#This Row],[No]]+IF(ISNUMBER(VLOOKUP('Table Seed Map'!$A$12,SeedMap[],9,0)),VLOOKUP('Table Seed Map'!$A$12,SeedMap[],9,0),0))</f>
        <v>310122</v>
      </c>
      <c r="R24" s="107">
        <f>IFERROR(VLOOKUP(FormFields[[#This Row],[Form Name]],ResourceForms[[FormName]:[ID]],4,0),"resource_form")</f>
        <v>309106</v>
      </c>
      <c r="S24" s="89" t="s">
        <v>756</v>
      </c>
      <c r="T24" s="89" t="s">
        <v>1371</v>
      </c>
      <c r="U24" s="89" t="s">
        <v>1762</v>
      </c>
      <c r="V24" s="108"/>
      <c r="W24" s="108"/>
      <c r="X24" s="108"/>
      <c r="Y24" s="108"/>
      <c r="Z24" s="109" t="str">
        <f>'Table Seed Map'!$A$13&amp;"-"&amp;FormFields[[#This Row],[NO2]]</f>
        <v>Field Data-22</v>
      </c>
      <c r="AA24" s="110">
        <f>COUNTIFS($AB$1:FormFields[[#This Row],[Exists]],1)-1</f>
        <v>22</v>
      </c>
      <c r="AB24" s="110">
        <f>IF(AND(FormFields[[#This Row],[Attribute]]="",FormFields[[#This Row],[Rel]]=""),0,1)</f>
        <v>1</v>
      </c>
      <c r="AC24" s="110">
        <f>IF(FormFields[[#This Row],[NO2]]=0,"id",FormFields[[#This Row],[NO2]]+IF(ISNUMBER(VLOOKUP('Table Seed Map'!$A$13,SeedMap[],9,0)),VLOOKUP('Table Seed Map'!$A$13,SeedMap[],9,0),0))</f>
        <v>311122</v>
      </c>
      <c r="AD24" s="111">
        <f>IF(FormFields[[#This Row],[ID]]="id","form_field",FormFields[[#This Row],[ID]])</f>
        <v>310122</v>
      </c>
      <c r="AE24" s="110" t="str">
        <f>IF(FormFields[[#This Row],[No]]=0,"attribute",FormFields[[#This Row],[Name]])</f>
        <v>store</v>
      </c>
      <c r="AF24" s="84" t="str">
        <f>IF(FormFields[[#This Row],[NO2]]=0,"relation",IF(FormFields[[#This Row],[Rel]]="","",VLOOKUP(FormFields[[#This Row],[Rel]],RelationTable[[Display]:[RELID]],2,0)))</f>
        <v/>
      </c>
      <c r="AG24" s="84" t="str">
        <f>IF(FormFields[[#This Row],[NO2]]=0,"nest_relation1",IF(FormFields[[#This Row],[Rel1]]="","",VLOOKUP(FormFields[[#This Row],[Rel1]],RelationTable[[Display]:[RELID]],2,0)))</f>
        <v/>
      </c>
      <c r="AH24" s="84" t="str">
        <f>IF(FormFields[[#This Row],[NO2]]=0,"nest_relation2",IF(FormFields[[#This Row],[Rel2]]="","",VLOOKUP(FormFields[[#This Row],[Rel2]],RelationTable[[Display]:[RELID]],2,0)))</f>
        <v/>
      </c>
      <c r="AI24" s="84" t="str">
        <f>IF(FormFields[[#This Row],[NO2]]=0,"nest_relation2",IF(FormFields[[#This Row],[Rel2]]="","",VLOOKUP(FormFields[[#This Row],[Rel2]],RelationTable[[Display]:[RELID]],2,0)))</f>
        <v/>
      </c>
      <c r="AJ24" s="79">
        <f>IF(OR(FormFields[[#This Row],[Option Type]]="",FormFields[[#This Row],[Option Type]]="type"),0,1)</f>
        <v>1</v>
      </c>
      <c r="AK24" s="79" t="str">
        <f>'Table Seed Map'!$A$14&amp;"-"&amp;FormFields[[#This Row],[NO4]]</f>
        <v>Field Options-12</v>
      </c>
      <c r="AL24" s="79">
        <f>COUNTIF($AJ$2:FormFields[[#This Row],[Exists FO]],1)</f>
        <v>12</v>
      </c>
      <c r="AM24" s="79">
        <f>IF(FormFields[[#This Row],[NO4]]=0,"id",FormFields[[#This Row],[NO4]]+IF(ISNUMBER(VLOOKUP('Table Seed Map'!$A$14,SeedMap[],9,0)),VLOOKUP('Table Seed Map'!$A$14,SeedMap[],9,0),0))</f>
        <v>312112</v>
      </c>
      <c r="AN24" s="79">
        <f>IF(FormFields[[#This Row],[ID]]="id","form_field",FormFields[[#This Row],[ID]])</f>
        <v>310122</v>
      </c>
      <c r="AO24" s="112" t="s">
        <v>278</v>
      </c>
      <c r="AP24" s="112"/>
      <c r="AQ24" s="112" t="s">
        <v>21</v>
      </c>
      <c r="AR24" s="112" t="s">
        <v>23</v>
      </c>
      <c r="AS24" s="112" t="s">
        <v>1440</v>
      </c>
      <c r="AT24" s="79">
        <f>IF(OR(FormFields[[#This Row],[Colspan]]="",FormFields[[#This Row],[Colspan]]="colspan"),0,1)</f>
        <v>0</v>
      </c>
      <c r="AU24" s="79" t="str">
        <f>'Table Seed Map'!$A$19&amp;"-"&amp;FormFields[[#This Row],[NO8]]</f>
        <v>Form Layout-7</v>
      </c>
      <c r="AV24" s="79">
        <f>COUNTIF($AT$1:FormFields[[#This Row],[Exists FL]],1)</f>
        <v>7</v>
      </c>
      <c r="AW24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4" s="79">
        <f>FormFields[Form]</f>
        <v>309106</v>
      </c>
      <c r="AY24" s="79">
        <f>IF(FormFields[[#This Row],[ID]]="id","form_field",FormFields[[#This Row],[ID]])</f>
        <v>310122</v>
      </c>
      <c r="AZ24" s="113"/>
      <c r="BA24" s="79">
        <f>FormFields[[#This Row],[ID]]</f>
        <v>310122</v>
      </c>
    </row>
    <row r="25" spans="13:53" x14ac:dyDescent="0.25">
      <c r="M25" s="80" t="str">
        <f>'Table Seed Map'!$A$12&amp;"-"&amp;FormFields[[#This Row],[No]]</f>
        <v>Form Fields-23</v>
      </c>
      <c r="N25" s="66" t="s">
        <v>1760</v>
      </c>
      <c r="O25" s="79">
        <f>COUNTA($N$1:FormFields[[#This Row],[Form Name]])-1</f>
        <v>23</v>
      </c>
      <c r="P25" s="80" t="str">
        <f>FormFields[[#This Row],[Form Name]]&amp;"/"&amp;FormFields[[#This Row],[Name]]</f>
        <v>FnReserve/AddFNReserves/start_num</v>
      </c>
      <c r="Q25" s="79">
        <f>IF(FormFields[[#This Row],[No]]=0,"id",FormFields[[#This Row],[No]]+IF(ISNUMBER(VLOOKUP('Table Seed Map'!$A$12,SeedMap[],9,0)),VLOOKUP('Table Seed Map'!$A$12,SeedMap[],9,0),0))</f>
        <v>310123</v>
      </c>
      <c r="R25" s="107">
        <f>IFERROR(VLOOKUP(FormFields[[#This Row],[Form Name]],ResourceForms[[FormName]:[ID]],4,0),"resource_form")</f>
        <v>309106</v>
      </c>
      <c r="S25" s="89" t="s">
        <v>1621</v>
      </c>
      <c r="T25" s="89" t="s">
        <v>1370</v>
      </c>
      <c r="U25" s="89" t="s">
        <v>1763</v>
      </c>
      <c r="V25" s="108"/>
      <c r="W25" s="108"/>
      <c r="X25" s="108"/>
      <c r="Y25" s="108"/>
      <c r="Z25" s="109" t="str">
        <f>'Table Seed Map'!$A$13&amp;"-"&amp;FormFields[[#This Row],[NO2]]</f>
        <v>Field Data-23</v>
      </c>
      <c r="AA25" s="110">
        <f>COUNTIFS($AB$1:FormFields[[#This Row],[Exists]],1)-1</f>
        <v>23</v>
      </c>
      <c r="AB25" s="110">
        <f>IF(AND(FormFields[[#This Row],[Attribute]]="",FormFields[[#This Row],[Rel]]=""),0,1)</f>
        <v>1</v>
      </c>
      <c r="AC25" s="110">
        <f>IF(FormFields[[#This Row],[NO2]]=0,"id",FormFields[[#This Row],[NO2]]+IF(ISNUMBER(VLOOKUP('Table Seed Map'!$A$13,SeedMap[],9,0)),VLOOKUP('Table Seed Map'!$A$13,SeedMap[],9,0),0))</f>
        <v>311123</v>
      </c>
      <c r="AD25" s="111">
        <f>IF(FormFields[[#This Row],[ID]]="id","form_field",FormFields[[#This Row],[ID]])</f>
        <v>310123</v>
      </c>
      <c r="AE25" s="110" t="str">
        <f>IF(FormFields[[#This Row],[No]]=0,"attribute",FormFields[[#This Row],[Name]])</f>
        <v>start_num</v>
      </c>
      <c r="AF25" s="84" t="str">
        <f>IF(FormFields[[#This Row],[NO2]]=0,"relation",IF(FormFields[[#This Row],[Rel]]="","",VLOOKUP(FormFields[[#This Row],[Rel]],RelationTable[[Display]:[RELID]],2,0)))</f>
        <v/>
      </c>
      <c r="AG25" s="84" t="str">
        <f>IF(FormFields[[#This Row],[NO2]]=0,"nest_relation1",IF(FormFields[[#This Row],[Rel1]]="","",VLOOKUP(FormFields[[#This Row],[Rel1]],RelationTable[[Display]:[RELID]],2,0)))</f>
        <v/>
      </c>
      <c r="AH25" s="84" t="str">
        <f>IF(FormFields[[#This Row],[NO2]]=0,"nest_relation2",IF(FormFields[[#This Row],[Rel2]]="","",VLOOKUP(FormFields[[#This Row],[Rel2]],RelationTable[[Display]:[RELID]],2,0)))</f>
        <v/>
      </c>
      <c r="AI25" s="84" t="str">
        <f>IF(FormFields[[#This Row],[NO2]]=0,"nest_relation2",IF(FormFields[[#This Row],[Rel2]]="","",VLOOKUP(FormFields[[#This Row],[Rel2]],RelationTable[[Display]:[RELID]],2,0)))</f>
        <v/>
      </c>
      <c r="AJ25" s="79">
        <f>IF(OR(FormFields[[#This Row],[Option Type]]="",FormFields[[#This Row],[Option Type]]="type"),0,1)</f>
        <v>0</v>
      </c>
      <c r="AK25" s="79" t="str">
        <f>'Table Seed Map'!$A$14&amp;"-"&amp;FormFields[[#This Row],[NO4]]</f>
        <v>Field Options-12</v>
      </c>
      <c r="AL25" s="79">
        <f>COUNTIF($AJ$2:FormFields[[#This Row],[Exists FO]],1)</f>
        <v>12</v>
      </c>
      <c r="AM25" s="79">
        <f>IF(FormFields[[#This Row],[NO4]]=0,"id",FormFields[[#This Row],[NO4]]+IF(ISNUMBER(VLOOKUP('Table Seed Map'!$A$14,SeedMap[],9,0)),VLOOKUP('Table Seed Map'!$A$14,SeedMap[],9,0),0))</f>
        <v>312112</v>
      </c>
      <c r="AN25" s="79">
        <f>IF(FormFields[[#This Row],[ID]]="id","form_field",FormFields[[#This Row],[ID]])</f>
        <v>310123</v>
      </c>
      <c r="AO25" s="112"/>
      <c r="AP25" s="112"/>
      <c r="AQ25" s="112"/>
      <c r="AR25" s="112"/>
      <c r="AS25" s="112"/>
      <c r="AT25" s="79">
        <f>IF(OR(FormFields[[#This Row],[Colspan]]="",FormFields[[#This Row],[Colspan]]="colspan"),0,1)</f>
        <v>0</v>
      </c>
      <c r="AU25" s="79" t="str">
        <f>'Table Seed Map'!$A$19&amp;"-"&amp;FormFields[[#This Row],[NO8]]</f>
        <v>Form Layout-7</v>
      </c>
      <c r="AV25" s="79">
        <f>COUNTIF($AT$1:FormFields[[#This Row],[Exists FL]],1)</f>
        <v>7</v>
      </c>
      <c r="AW2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5" s="79">
        <f>FormFields[Form]</f>
        <v>309106</v>
      </c>
      <c r="AY25" s="79">
        <f>IF(FormFields[[#This Row],[ID]]="id","form_field",FormFields[[#This Row],[ID]])</f>
        <v>310123</v>
      </c>
      <c r="AZ25" s="113"/>
      <c r="BA25" s="79">
        <f>FormFields[[#This Row],[ID]]</f>
        <v>310123</v>
      </c>
    </row>
    <row r="26" spans="13:53" x14ac:dyDescent="0.25">
      <c r="M26" s="80" t="str">
        <f>'Table Seed Map'!$A$12&amp;"-"&amp;FormFields[[#This Row],[No]]</f>
        <v>Form Fields-24</v>
      </c>
      <c r="N26" s="66" t="s">
        <v>1760</v>
      </c>
      <c r="O26" s="79">
        <f>COUNTA($N$1:FormFields[[#This Row],[Form Name]])-1</f>
        <v>24</v>
      </c>
      <c r="P26" s="80" t="str">
        <f>FormFields[[#This Row],[Form Name]]&amp;"/"&amp;FormFields[[#This Row],[Name]]</f>
        <v>FnReserve/AddFNReserves/end_num</v>
      </c>
      <c r="Q26" s="79">
        <f>IF(FormFields[[#This Row],[No]]=0,"id",FormFields[[#This Row],[No]]+IF(ISNUMBER(VLOOKUP('Table Seed Map'!$A$12,SeedMap[],9,0)),VLOOKUP('Table Seed Map'!$A$12,SeedMap[],9,0),0))</f>
        <v>310124</v>
      </c>
      <c r="R26" s="107">
        <f>IFERROR(VLOOKUP(FormFields[[#This Row],[Form Name]],ResourceForms[[FormName]:[ID]],4,0),"resource_form")</f>
        <v>309106</v>
      </c>
      <c r="S26" s="89" t="s">
        <v>1622</v>
      </c>
      <c r="T26" s="89" t="s">
        <v>1370</v>
      </c>
      <c r="U26" s="89" t="s">
        <v>1938</v>
      </c>
      <c r="V26" s="108"/>
      <c r="W26" s="108"/>
      <c r="X26" s="108"/>
      <c r="Y26" s="108"/>
      <c r="Z26" s="109" t="str">
        <f>'Table Seed Map'!$A$13&amp;"-"&amp;FormFields[[#This Row],[NO2]]</f>
        <v>Field Data-24</v>
      </c>
      <c r="AA26" s="110">
        <f>COUNTIFS($AB$1:FormFields[[#This Row],[Exists]],1)-1</f>
        <v>24</v>
      </c>
      <c r="AB26" s="110">
        <f>IF(AND(FormFields[[#This Row],[Attribute]]="",FormFields[[#This Row],[Rel]]=""),0,1)</f>
        <v>1</v>
      </c>
      <c r="AC26" s="110">
        <f>IF(FormFields[[#This Row],[NO2]]=0,"id",FormFields[[#This Row],[NO2]]+IF(ISNUMBER(VLOOKUP('Table Seed Map'!$A$13,SeedMap[],9,0)),VLOOKUP('Table Seed Map'!$A$13,SeedMap[],9,0),0))</f>
        <v>311124</v>
      </c>
      <c r="AD26" s="111">
        <f>IF(FormFields[[#This Row],[ID]]="id","form_field",FormFields[[#This Row],[ID]])</f>
        <v>310124</v>
      </c>
      <c r="AE26" s="110" t="str">
        <f>IF(FormFields[[#This Row],[No]]=0,"attribute",FormFields[[#This Row],[Name]])</f>
        <v>end_num</v>
      </c>
      <c r="AF26" s="84" t="str">
        <f>IF(FormFields[[#This Row],[NO2]]=0,"relation",IF(FormFields[[#This Row],[Rel]]="","",VLOOKUP(FormFields[[#This Row],[Rel]],RelationTable[[Display]:[RELID]],2,0)))</f>
        <v/>
      </c>
      <c r="AG26" s="84" t="str">
        <f>IF(FormFields[[#This Row],[NO2]]=0,"nest_relation1",IF(FormFields[[#This Row],[Rel1]]="","",VLOOKUP(FormFields[[#This Row],[Rel1]],RelationTable[[Display]:[RELID]],2,0)))</f>
        <v/>
      </c>
      <c r="AH26" s="84" t="str">
        <f>IF(FormFields[[#This Row],[NO2]]=0,"nest_relation2",IF(FormFields[[#This Row],[Rel2]]="","",VLOOKUP(FormFields[[#This Row],[Rel2]],RelationTable[[Display]:[RELID]],2,0)))</f>
        <v/>
      </c>
      <c r="AI26" s="84" t="str">
        <f>IF(FormFields[[#This Row],[NO2]]=0,"nest_relation2",IF(FormFields[[#This Row],[Rel2]]="","",VLOOKUP(FormFields[[#This Row],[Rel2]],RelationTable[[Display]:[RELID]],2,0)))</f>
        <v/>
      </c>
      <c r="AJ26" s="79">
        <f>IF(OR(FormFields[[#This Row],[Option Type]]="",FormFields[[#This Row],[Option Type]]="type"),0,1)</f>
        <v>0</v>
      </c>
      <c r="AK26" s="79" t="str">
        <f>'Table Seed Map'!$A$14&amp;"-"&amp;FormFields[[#This Row],[NO4]]</f>
        <v>Field Options-12</v>
      </c>
      <c r="AL26" s="79">
        <f>COUNTIF($AJ$2:FormFields[[#This Row],[Exists FO]],1)</f>
        <v>12</v>
      </c>
      <c r="AM26" s="79">
        <f>IF(FormFields[[#This Row],[NO4]]=0,"id",FormFields[[#This Row],[NO4]]+IF(ISNUMBER(VLOOKUP('Table Seed Map'!$A$14,SeedMap[],9,0)),VLOOKUP('Table Seed Map'!$A$14,SeedMap[],9,0),0))</f>
        <v>312112</v>
      </c>
      <c r="AN26" s="79">
        <f>IF(FormFields[[#This Row],[ID]]="id","form_field",FormFields[[#This Row],[ID]])</f>
        <v>310124</v>
      </c>
      <c r="AO26" s="112"/>
      <c r="AP26" s="112"/>
      <c r="AQ26" s="112"/>
      <c r="AR26" s="112"/>
      <c r="AS26" s="112"/>
      <c r="AT26" s="79">
        <f>IF(OR(FormFields[[#This Row],[Colspan]]="",FormFields[[#This Row],[Colspan]]="colspan"),0,1)</f>
        <v>0</v>
      </c>
      <c r="AU26" s="79" t="str">
        <f>'Table Seed Map'!$A$19&amp;"-"&amp;FormFields[[#This Row],[NO8]]</f>
        <v>Form Layout-7</v>
      </c>
      <c r="AV26" s="79">
        <f>COUNTIF($AT$1:FormFields[[#This Row],[Exists FL]],1)</f>
        <v>7</v>
      </c>
      <c r="AW2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6" s="79">
        <f>FormFields[Form]</f>
        <v>309106</v>
      </c>
      <c r="AY26" s="79">
        <f>IF(FormFields[[#This Row],[ID]]="id","form_field",FormFields[[#This Row],[ID]])</f>
        <v>310124</v>
      </c>
      <c r="AZ26" s="113"/>
      <c r="BA26" s="79">
        <f>FormFields[[#This Row],[ID]]</f>
        <v>310124</v>
      </c>
    </row>
    <row r="27" spans="13:53" x14ac:dyDescent="0.25">
      <c r="M27" s="80" t="str">
        <f>'Table Seed Map'!$A$12&amp;"-"&amp;FormFields[[#This Row],[No]]</f>
        <v>Form Fields-25</v>
      </c>
      <c r="N27" s="66" t="s">
        <v>1794</v>
      </c>
      <c r="O27" s="79">
        <f>COUNTA($N$1:FormFields[[#This Row],[Form Name]])-1</f>
        <v>25</v>
      </c>
      <c r="P27" s="80" t="str">
        <f>FormFields[[#This Row],[Form Name]]&amp;"/"&amp;FormFields[[#This Row],[Name]]</f>
        <v>FnReserve/UpdateReserves/start_num</v>
      </c>
      <c r="Q27" s="79">
        <f>IF(FormFields[[#This Row],[No]]=0,"id",FormFields[[#This Row],[No]]+IF(ISNUMBER(VLOOKUP('Table Seed Map'!$A$12,SeedMap[],9,0)),VLOOKUP('Table Seed Map'!$A$12,SeedMap[],9,0),0))</f>
        <v>310125</v>
      </c>
      <c r="R27" s="107">
        <f>IFERROR(VLOOKUP(FormFields[[#This Row],[Form Name]],ResourceForms[[FormName]:[ID]],4,0),"resource_form")</f>
        <v>309107</v>
      </c>
      <c r="S27" s="89" t="s">
        <v>1621</v>
      </c>
      <c r="T27" s="89" t="s">
        <v>1370</v>
      </c>
      <c r="U27" s="89" t="s">
        <v>1795</v>
      </c>
      <c r="V27" s="108"/>
      <c r="W27" s="108"/>
      <c r="X27" s="108"/>
      <c r="Y27" s="108"/>
      <c r="Z27" s="109" t="str">
        <f>'Table Seed Map'!$A$13&amp;"-"&amp;FormFields[[#This Row],[NO2]]</f>
        <v>Field Data-25</v>
      </c>
      <c r="AA27" s="110">
        <f>COUNTIFS($AB$1:FormFields[[#This Row],[Exists]],1)-1</f>
        <v>25</v>
      </c>
      <c r="AB27" s="110">
        <f>IF(AND(FormFields[[#This Row],[Attribute]]="",FormFields[[#This Row],[Rel]]=""),0,1)</f>
        <v>1</v>
      </c>
      <c r="AC27" s="110">
        <f>IF(FormFields[[#This Row],[NO2]]=0,"id",FormFields[[#This Row],[NO2]]+IF(ISNUMBER(VLOOKUP('Table Seed Map'!$A$13,SeedMap[],9,0)),VLOOKUP('Table Seed Map'!$A$13,SeedMap[],9,0),0))</f>
        <v>311125</v>
      </c>
      <c r="AD27" s="111">
        <f>IF(FormFields[[#This Row],[ID]]="id","form_field",FormFields[[#This Row],[ID]])</f>
        <v>310125</v>
      </c>
      <c r="AE27" s="110" t="str">
        <f>IF(FormFields[[#This Row],[No]]=0,"attribute",FormFields[[#This Row],[Name]])</f>
        <v>start_num</v>
      </c>
      <c r="AF27" s="84" t="str">
        <f>IF(FormFields[[#This Row],[NO2]]=0,"relation",IF(FormFields[[#This Row],[Rel]]="","",VLOOKUP(FormFields[[#This Row],[Rel]],RelationTable[[Display]:[RELID]],2,0)))</f>
        <v/>
      </c>
      <c r="AG27" s="84" t="str">
        <f>IF(FormFields[[#This Row],[NO2]]=0,"nest_relation1",IF(FormFields[[#This Row],[Rel1]]="","",VLOOKUP(FormFields[[#This Row],[Rel1]],RelationTable[[Display]:[RELID]],2,0)))</f>
        <v/>
      </c>
      <c r="AH27" s="84" t="str">
        <f>IF(FormFields[[#This Row],[NO2]]=0,"nest_relation2",IF(FormFields[[#This Row],[Rel2]]="","",VLOOKUP(FormFields[[#This Row],[Rel2]],RelationTable[[Display]:[RELID]],2,0)))</f>
        <v/>
      </c>
      <c r="AI27" s="84" t="str">
        <f>IF(FormFields[[#This Row],[NO2]]=0,"nest_relation2",IF(FormFields[[#This Row],[Rel2]]="","",VLOOKUP(FormFields[[#This Row],[Rel2]],RelationTable[[Display]:[RELID]],2,0)))</f>
        <v/>
      </c>
      <c r="AJ27" s="79">
        <f>IF(OR(FormFields[[#This Row],[Option Type]]="",FormFields[[#This Row],[Option Type]]="type"),0,1)</f>
        <v>0</v>
      </c>
      <c r="AK27" s="79" t="str">
        <f>'Table Seed Map'!$A$14&amp;"-"&amp;FormFields[[#This Row],[NO4]]</f>
        <v>Field Options-12</v>
      </c>
      <c r="AL27" s="79">
        <f>COUNTIF($AJ$2:FormFields[[#This Row],[Exists FO]],1)</f>
        <v>12</v>
      </c>
      <c r="AM27" s="79">
        <f>IF(FormFields[[#This Row],[NO4]]=0,"id",FormFields[[#This Row],[NO4]]+IF(ISNUMBER(VLOOKUP('Table Seed Map'!$A$14,SeedMap[],9,0)),VLOOKUP('Table Seed Map'!$A$14,SeedMap[],9,0),0))</f>
        <v>312112</v>
      </c>
      <c r="AN27" s="79">
        <f>IF(FormFields[[#This Row],[ID]]="id","form_field",FormFields[[#This Row],[ID]])</f>
        <v>310125</v>
      </c>
      <c r="AO27" s="112"/>
      <c r="AP27" s="112"/>
      <c r="AQ27" s="112"/>
      <c r="AR27" s="112"/>
      <c r="AS27" s="112"/>
      <c r="AT27" s="79">
        <f>IF(OR(FormFields[[#This Row],[Colspan]]="",FormFields[[#This Row],[Colspan]]="colspan"),0,1)</f>
        <v>0</v>
      </c>
      <c r="AU27" s="79" t="str">
        <f>'Table Seed Map'!$A$19&amp;"-"&amp;FormFields[[#This Row],[NO8]]</f>
        <v>Form Layout-7</v>
      </c>
      <c r="AV27" s="79">
        <f>COUNTIF($AT$1:FormFields[[#This Row],[Exists FL]],1)</f>
        <v>7</v>
      </c>
      <c r="AW2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7" s="79">
        <f>FormFields[Form]</f>
        <v>309107</v>
      </c>
      <c r="AY27" s="79">
        <f>IF(FormFields[[#This Row],[ID]]="id","form_field",FormFields[[#This Row],[ID]])</f>
        <v>310125</v>
      </c>
      <c r="AZ27" s="113"/>
      <c r="BA27" s="79">
        <f>FormFields[[#This Row],[ID]]</f>
        <v>310125</v>
      </c>
    </row>
    <row r="28" spans="13:53" x14ac:dyDescent="0.25">
      <c r="M28" s="80" t="str">
        <f>'Table Seed Map'!$A$12&amp;"-"&amp;FormFields[[#This Row],[No]]</f>
        <v>Form Fields-26</v>
      </c>
      <c r="N28" s="66" t="s">
        <v>1794</v>
      </c>
      <c r="O28" s="79">
        <f>COUNTA($N$1:FormFields[[#This Row],[Form Name]])-1</f>
        <v>26</v>
      </c>
      <c r="P28" s="80" t="str">
        <f>FormFields[[#This Row],[Form Name]]&amp;"/"&amp;FormFields[[#This Row],[Name]]</f>
        <v>FnReserve/UpdateReserves/end_num</v>
      </c>
      <c r="Q28" s="79">
        <f>IF(FormFields[[#This Row],[No]]=0,"id",FormFields[[#This Row],[No]]+IF(ISNUMBER(VLOOKUP('Table Seed Map'!$A$12,SeedMap[],9,0)),VLOOKUP('Table Seed Map'!$A$12,SeedMap[],9,0),0))</f>
        <v>310126</v>
      </c>
      <c r="R28" s="107">
        <f>IFERROR(VLOOKUP(FormFields[[#This Row],[Form Name]],ResourceForms[[FormName]:[ID]],4,0),"resource_form")</f>
        <v>309107</v>
      </c>
      <c r="S28" s="89" t="s">
        <v>1622</v>
      </c>
      <c r="T28" s="89" t="s">
        <v>1370</v>
      </c>
      <c r="U28" s="89" t="s">
        <v>1796</v>
      </c>
      <c r="V28" s="108"/>
      <c r="W28" s="108"/>
      <c r="X28" s="108"/>
      <c r="Y28" s="108"/>
      <c r="Z28" s="109" t="str">
        <f>'Table Seed Map'!$A$13&amp;"-"&amp;FormFields[[#This Row],[NO2]]</f>
        <v>Field Data-26</v>
      </c>
      <c r="AA28" s="110">
        <f>COUNTIFS($AB$1:FormFields[[#This Row],[Exists]],1)-1</f>
        <v>26</v>
      </c>
      <c r="AB28" s="110">
        <f>IF(AND(FormFields[[#This Row],[Attribute]]="",FormFields[[#This Row],[Rel]]=""),0,1)</f>
        <v>1</v>
      </c>
      <c r="AC28" s="110">
        <f>IF(FormFields[[#This Row],[NO2]]=0,"id",FormFields[[#This Row],[NO2]]+IF(ISNUMBER(VLOOKUP('Table Seed Map'!$A$13,SeedMap[],9,0)),VLOOKUP('Table Seed Map'!$A$13,SeedMap[],9,0),0))</f>
        <v>311126</v>
      </c>
      <c r="AD28" s="111">
        <f>IF(FormFields[[#This Row],[ID]]="id","form_field",FormFields[[#This Row],[ID]])</f>
        <v>310126</v>
      </c>
      <c r="AE28" s="110" t="str">
        <f>IF(FormFields[[#This Row],[No]]=0,"attribute",FormFields[[#This Row],[Name]])</f>
        <v>end_num</v>
      </c>
      <c r="AF28" s="84" t="str">
        <f>IF(FormFields[[#This Row],[NO2]]=0,"relation",IF(FormFields[[#This Row],[Rel]]="","",VLOOKUP(FormFields[[#This Row],[Rel]],RelationTable[[Display]:[RELID]],2,0)))</f>
        <v/>
      </c>
      <c r="AG28" s="84" t="str">
        <f>IF(FormFields[[#This Row],[NO2]]=0,"nest_relation1",IF(FormFields[[#This Row],[Rel1]]="","",VLOOKUP(FormFields[[#This Row],[Rel1]],RelationTable[[Display]:[RELID]],2,0)))</f>
        <v/>
      </c>
      <c r="AH28" s="84" t="str">
        <f>IF(FormFields[[#This Row],[NO2]]=0,"nest_relation2",IF(FormFields[[#This Row],[Rel2]]="","",VLOOKUP(FormFields[[#This Row],[Rel2]],RelationTable[[Display]:[RELID]],2,0)))</f>
        <v/>
      </c>
      <c r="AI28" s="84" t="str">
        <f>IF(FormFields[[#This Row],[NO2]]=0,"nest_relation2",IF(FormFields[[#This Row],[Rel2]]="","",VLOOKUP(FormFields[[#This Row],[Rel2]],RelationTable[[Display]:[RELID]],2,0)))</f>
        <v/>
      </c>
      <c r="AJ28" s="79">
        <f>IF(OR(FormFields[[#This Row],[Option Type]]="",FormFields[[#This Row],[Option Type]]="type"),0,1)</f>
        <v>0</v>
      </c>
      <c r="AK28" s="79" t="str">
        <f>'Table Seed Map'!$A$14&amp;"-"&amp;FormFields[[#This Row],[NO4]]</f>
        <v>Field Options-12</v>
      </c>
      <c r="AL28" s="79">
        <f>COUNTIF($AJ$2:FormFields[[#This Row],[Exists FO]],1)</f>
        <v>12</v>
      </c>
      <c r="AM28" s="79">
        <f>IF(FormFields[[#This Row],[NO4]]=0,"id",FormFields[[#This Row],[NO4]]+IF(ISNUMBER(VLOOKUP('Table Seed Map'!$A$14,SeedMap[],9,0)),VLOOKUP('Table Seed Map'!$A$14,SeedMap[],9,0),0))</f>
        <v>312112</v>
      </c>
      <c r="AN28" s="79">
        <f>IF(FormFields[[#This Row],[ID]]="id","form_field",FormFields[[#This Row],[ID]])</f>
        <v>310126</v>
      </c>
      <c r="AO28" s="112"/>
      <c r="AP28" s="112"/>
      <c r="AQ28" s="112"/>
      <c r="AR28" s="112"/>
      <c r="AS28" s="112"/>
      <c r="AT28" s="79">
        <f>IF(OR(FormFields[[#This Row],[Colspan]]="",FormFields[[#This Row],[Colspan]]="colspan"),0,1)</f>
        <v>0</v>
      </c>
      <c r="AU28" s="79" t="str">
        <f>'Table Seed Map'!$A$19&amp;"-"&amp;FormFields[[#This Row],[NO8]]</f>
        <v>Form Layout-7</v>
      </c>
      <c r="AV28" s="79">
        <f>COUNTIF($AT$1:FormFields[[#This Row],[Exists FL]],1)</f>
        <v>7</v>
      </c>
      <c r="AW28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8" s="79">
        <f>FormFields[Form]</f>
        <v>309107</v>
      </c>
      <c r="AY28" s="79">
        <f>IF(FormFields[[#This Row],[ID]]="id","form_field",FormFields[[#This Row],[ID]])</f>
        <v>310126</v>
      </c>
      <c r="AZ28" s="113"/>
      <c r="BA28" s="79">
        <f>FormFields[[#This Row],[ID]]</f>
        <v>310126</v>
      </c>
    </row>
    <row r="29" spans="13:53" x14ac:dyDescent="0.25">
      <c r="M29" s="80" t="str">
        <f>'Table Seed Map'!$A$12&amp;"-"&amp;FormFields[[#This Row],[No]]</f>
        <v>Form Fields-27</v>
      </c>
      <c r="N29" s="66" t="s">
        <v>1794</v>
      </c>
      <c r="O29" s="79">
        <f>COUNTA($N$1:FormFields[[#This Row],[Form Name]])-1</f>
        <v>27</v>
      </c>
      <c r="P29" s="80" t="str">
        <f>FormFields[[#This Row],[Form Name]]&amp;"/"&amp;FormFields[[#This Row],[Name]]</f>
        <v>FnReserve/UpdateReserves/current</v>
      </c>
      <c r="Q29" s="79">
        <f>IF(FormFields[[#This Row],[No]]=0,"id",FormFields[[#This Row],[No]]+IF(ISNUMBER(VLOOKUP('Table Seed Map'!$A$12,SeedMap[],9,0)),VLOOKUP('Table Seed Map'!$A$12,SeedMap[],9,0),0))</f>
        <v>310127</v>
      </c>
      <c r="R29" s="107">
        <f>IFERROR(VLOOKUP(FormFields[[#This Row],[Form Name]],ResourceForms[[FormName]:[ID]],4,0),"resource_form")</f>
        <v>309107</v>
      </c>
      <c r="S29" s="89" t="s">
        <v>1639</v>
      </c>
      <c r="T29" s="89" t="s">
        <v>1370</v>
      </c>
      <c r="U29" s="89" t="s">
        <v>1779</v>
      </c>
      <c r="V29" s="108"/>
      <c r="W29" s="108"/>
      <c r="X29" s="108"/>
      <c r="Y29" s="108"/>
      <c r="Z29" s="109" t="str">
        <f>'Table Seed Map'!$A$13&amp;"-"&amp;FormFields[[#This Row],[NO2]]</f>
        <v>Field Data-27</v>
      </c>
      <c r="AA29" s="110">
        <f>COUNTIFS($AB$1:FormFields[[#This Row],[Exists]],1)-1</f>
        <v>27</v>
      </c>
      <c r="AB29" s="110">
        <f>IF(AND(FormFields[[#This Row],[Attribute]]="",FormFields[[#This Row],[Rel]]=""),0,1)</f>
        <v>1</v>
      </c>
      <c r="AC29" s="110">
        <f>IF(FormFields[[#This Row],[NO2]]=0,"id",FormFields[[#This Row],[NO2]]+IF(ISNUMBER(VLOOKUP('Table Seed Map'!$A$13,SeedMap[],9,0)),VLOOKUP('Table Seed Map'!$A$13,SeedMap[],9,0),0))</f>
        <v>311127</v>
      </c>
      <c r="AD29" s="111">
        <f>IF(FormFields[[#This Row],[ID]]="id","form_field",FormFields[[#This Row],[ID]])</f>
        <v>310127</v>
      </c>
      <c r="AE29" s="110" t="str">
        <f>IF(FormFields[[#This Row],[No]]=0,"attribute",FormFields[[#This Row],[Name]])</f>
        <v>current</v>
      </c>
      <c r="AF29" s="84" t="str">
        <f>IF(FormFields[[#This Row],[NO2]]=0,"relation",IF(FormFields[[#This Row],[Rel]]="","",VLOOKUP(FormFields[[#This Row],[Rel]],RelationTable[[Display]:[RELID]],2,0)))</f>
        <v/>
      </c>
      <c r="AG29" s="84" t="str">
        <f>IF(FormFields[[#This Row],[NO2]]=0,"nest_relation1",IF(FormFields[[#This Row],[Rel1]]="","",VLOOKUP(FormFields[[#This Row],[Rel1]],RelationTable[[Display]:[RELID]],2,0)))</f>
        <v/>
      </c>
      <c r="AH29" s="84" t="str">
        <f>IF(FormFields[[#This Row],[NO2]]=0,"nest_relation2",IF(FormFields[[#This Row],[Rel2]]="","",VLOOKUP(FormFields[[#This Row],[Rel2]],RelationTable[[Display]:[RELID]],2,0)))</f>
        <v/>
      </c>
      <c r="AI29" s="84" t="str">
        <f>IF(FormFields[[#This Row],[NO2]]=0,"nest_relation2",IF(FormFields[[#This Row],[Rel2]]="","",VLOOKUP(FormFields[[#This Row],[Rel2]],RelationTable[[Display]:[RELID]],2,0)))</f>
        <v/>
      </c>
      <c r="AJ29" s="79">
        <f>IF(OR(FormFields[[#This Row],[Option Type]]="",FormFields[[#This Row],[Option Type]]="type"),0,1)</f>
        <v>0</v>
      </c>
      <c r="AK29" s="79" t="str">
        <f>'Table Seed Map'!$A$14&amp;"-"&amp;FormFields[[#This Row],[NO4]]</f>
        <v>Field Options-12</v>
      </c>
      <c r="AL29" s="79">
        <f>COUNTIF($AJ$2:FormFields[[#This Row],[Exists FO]],1)</f>
        <v>12</v>
      </c>
      <c r="AM29" s="79">
        <f>IF(FormFields[[#This Row],[NO4]]=0,"id",FormFields[[#This Row],[NO4]]+IF(ISNUMBER(VLOOKUP('Table Seed Map'!$A$14,SeedMap[],9,0)),VLOOKUP('Table Seed Map'!$A$14,SeedMap[],9,0),0))</f>
        <v>312112</v>
      </c>
      <c r="AN29" s="79">
        <f>IF(FormFields[[#This Row],[ID]]="id","form_field",FormFields[[#This Row],[ID]])</f>
        <v>310127</v>
      </c>
      <c r="AO29" s="112"/>
      <c r="AP29" s="112"/>
      <c r="AQ29" s="112"/>
      <c r="AR29" s="112"/>
      <c r="AS29" s="112"/>
      <c r="AT29" s="79">
        <f>IF(OR(FormFields[[#This Row],[Colspan]]="",FormFields[[#This Row],[Colspan]]="colspan"),0,1)</f>
        <v>0</v>
      </c>
      <c r="AU29" s="79" t="str">
        <f>'Table Seed Map'!$A$19&amp;"-"&amp;FormFields[[#This Row],[NO8]]</f>
        <v>Form Layout-7</v>
      </c>
      <c r="AV29" s="79">
        <f>COUNTIF($AT$1:FormFields[[#This Row],[Exists FL]],1)</f>
        <v>7</v>
      </c>
      <c r="AW29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9" s="79">
        <f>FormFields[Form]</f>
        <v>309107</v>
      </c>
      <c r="AY29" s="79">
        <f>IF(FormFields[[#This Row],[ID]]="id","form_field",FormFields[[#This Row],[ID]])</f>
        <v>310127</v>
      </c>
      <c r="AZ29" s="113"/>
      <c r="BA29" s="79">
        <f>FormFields[[#This Row],[ID]]</f>
        <v>310127</v>
      </c>
    </row>
    <row r="30" spans="13:53" x14ac:dyDescent="0.25">
      <c r="M30" s="80" t="str">
        <f>'Table Seed Map'!$A$12&amp;"-"&amp;FormFields[[#This Row],[No]]</f>
        <v>Form Fields-28</v>
      </c>
      <c r="N30" s="66" t="s">
        <v>1794</v>
      </c>
      <c r="O30" s="79">
        <f>COUNTA($N$1:FormFields[[#This Row],[Form Name]])-1</f>
        <v>28</v>
      </c>
      <c r="P30" s="80" t="str">
        <f>FormFields[[#This Row],[Form Name]]&amp;"/"&amp;FormFields[[#This Row],[Name]]</f>
        <v>FnReserve/UpdateReserves/progress</v>
      </c>
      <c r="Q30" s="79">
        <f>IF(FormFields[[#This Row],[No]]=0,"id",FormFields[[#This Row],[No]]+IF(ISNUMBER(VLOOKUP('Table Seed Map'!$A$12,SeedMap[],9,0)),VLOOKUP('Table Seed Map'!$A$12,SeedMap[],9,0),0))</f>
        <v>310128</v>
      </c>
      <c r="R30" s="107">
        <f>IFERROR(VLOOKUP(FormFields[[#This Row],[Form Name]],ResourceForms[[FormName]:[ID]],4,0),"resource_form")</f>
        <v>309107</v>
      </c>
      <c r="S30" s="89" t="s">
        <v>950</v>
      </c>
      <c r="T30" s="89" t="s">
        <v>1371</v>
      </c>
      <c r="U30" s="89" t="s">
        <v>1768</v>
      </c>
      <c r="V30" s="108"/>
      <c r="W30" s="108"/>
      <c r="X30" s="108"/>
      <c r="Y30" s="108"/>
      <c r="Z30" s="109" t="str">
        <f>'Table Seed Map'!$A$13&amp;"-"&amp;FormFields[[#This Row],[NO2]]</f>
        <v>Field Data-28</v>
      </c>
      <c r="AA30" s="110">
        <f>COUNTIFS($AB$1:FormFields[[#This Row],[Exists]],1)-1</f>
        <v>28</v>
      </c>
      <c r="AB30" s="110">
        <f>IF(AND(FormFields[[#This Row],[Attribute]]="",FormFields[[#This Row],[Rel]]=""),0,1)</f>
        <v>1</v>
      </c>
      <c r="AC30" s="110">
        <f>IF(FormFields[[#This Row],[NO2]]=0,"id",FormFields[[#This Row],[NO2]]+IF(ISNUMBER(VLOOKUP('Table Seed Map'!$A$13,SeedMap[],9,0)),VLOOKUP('Table Seed Map'!$A$13,SeedMap[],9,0),0))</f>
        <v>311128</v>
      </c>
      <c r="AD30" s="111">
        <f>IF(FormFields[[#This Row],[ID]]="id","form_field",FormFields[[#This Row],[ID]])</f>
        <v>310128</v>
      </c>
      <c r="AE30" s="110" t="str">
        <f>IF(FormFields[[#This Row],[No]]=0,"attribute",FormFields[[#This Row],[Name]])</f>
        <v>progress</v>
      </c>
      <c r="AF30" s="84" t="str">
        <f>IF(FormFields[[#This Row],[NO2]]=0,"relation",IF(FormFields[[#This Row],[Rel]]="","",VLOOKUP(FormFields[[#This Row],[Rel]],RelationTable[[Display]:[RELID]],2,0)))</f>
        <v/>
      </c>
      <c r="AG30" s="84" t="str">
        <f>IF(FormFields[[#This Row],[NO2]]=0,"nest_relation1",IF(FormFields[[#This Row],[Rel1]]="","",VLOOKUP(FormFields[[#This Row],[Rel1]],RelationTable[[Display]:[RELID]],2,0)))</f>
        <v/>
      </c>
      <c r="AH30" s="84" t="str">
        <f>IF(FormFields[[#This Row],[NO2]]=0,"nest_relation2",IF(FormFields[[#This Row],[Rel2]]="","",VLOOKUP(FormFields[[#This Row],[Rel2]],RelationTable[[Display]:[RELID]],2,0)))</f>
        <v/>
      </c>
      <c r="AI30" s="84" t="str">
        <f>IF(FormFields[[#This Row],[NO2]]=0,"nest_relation2",IF(FormFields[[#This Row],[Rel2]]="","",VLOOKUP(FormFields[[#This Row],[Rel2]],RelationTable[[Display]:[RELID]],2,0)))</f>
        <v/>
      </c>
      <c r="AJ30" s="79">
        <f>IF(OR(FormFields[[#This Row],[Option Type]]="",FormFields[[#This Row],[Option Type]]="type"),0,1)</f>
        <v>1</v>
      </c>
      <c r="AK30" s="79" t="str">
        <f>'Table Seed Map'!$A$14&amp;"-"&amp;FormFields[[#This Row],[NO4]]</f>
        <v>Field Options-13</v>
      </c>
      <c r="AL30" s="79">
        <f>COUNTIF($AJ$2:FormFields[[#This Row],[Exists FO]],1)</f>
        <v>13</v>
      </c>
      <c r="AM30" s="79">
        <f>IF(FormFields[[#This Row],[NO4]]=0,"id",FormFields[[#This Row],[NO4]]+IF(ISNUMBER(VLOOKUP('Table Seed Map'!$A$14,SeedMap[],9,0)),VLOOKUP('Table Seed Map'!$A$14,SeedMap[],9,0),0))</f>
        <v>312113</v>
      </c>
      <c r="AN30" s="79">
        <f>IF(FormFields[[#This Row],[ID]]="id","form_field",FormFields[[#This Row],[ID]])</f>
        <v>310128</v>
      </c>
      <c r="AO30" s="112" t="s">
        <v>1441</v>
      </c>
      <c r="AP30" s="112"/>
      <c r="AQ30" s="112"/>
      <c r="AR30" s="112"/>
      <c r="AS30" s="112"/>
      <c r="AT30" s="79">
        <f>IF(OR(FormFields[[#This Row],[Colspan]]="",FormFields[[#This Row],[Colspan]]="colspan"),0,1)</f>
        <v>0</v>
      </c>
      <c r="AU30" s="79" t="str">
        <f>'Table Seed Map'!$A$19&amp;"-"&amp;FormFields[[#This Row],[NO8]]</f>
        <v>Form Layout-7</v>
      </c>
      <c r="AV30" s="79">
        <f>COUNTIF($AT$1:FormFields[[#This Row],[Exists FL]],1)</f>
        <v>7</v>
      </c>
      <c r="AW30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0" s="79">
        <f>FormFields[Form]</f>
        <v>309107</v>
      </c>
      <c r="AY30" s="79">
        <f>IF(FormFields[[#This Row],[ID]]="id","form_field",FormFields[[#This Row],[ID]])</f>
        <v>310128</v>
      </c>
      <c r="AZ30" s="113"/>
      <c r="BA30" s="79">
        <f>FormFields[[#This Row],[ID]]</f>
        <v>310128</v>
      </c>
    </row>
    <row r="31" spans="13:53" x14ac:dyDescent="0.25">
      <c r="M31" s="80" t="str">
        <f>'Table Seed Map'!$A$12&amp;"-"&amp;FormFields[[#This Row],[No]]</f>
        <v>Form Fields-29</v>
      </c>
      <c r="N31" s="66" t="s">
        <v>1794</v>
      </c>
      <c r="O31" s="79">
        <f>COUNTA($N$1:FormFields[[#This Row],[Form Name]])-1</f>
        <v>29</v>
      </c>
      <c r="P31" s="80" t="str">
        <f>FormFields[[#This Row],[Form Name]]&amp;"/"&amp;FormFields[[#This Row],[Name]]</f>
        <v>FnReserve/UpdateReserves/status</v>
      </c>
      <c r="Q31" s="79">
        <f>IF(FormFields[[#This Row],[No]]=0,"id",FormFields[[#This Row],[No]]+IF(ISNUMBER(VLOOKUP('Table Seed Map'!$A$12,SeedMap[],9,0)),VLOOKUP('Table Seed Map'!$A$12,SeedMap[],9,0),0))</f>
        <v>310129</v>
      </c>
      <c r="R31" s="107">
        <f>IFERROR(VLOOKUP(FormFields[[#This Row],[Form Name]],ResourceForms[[FormName]:[ID]],4,0),"resource_form")</f>
        <v>309107</v>
      </c>
      <c r="S31" s="89" t="s">
        <v>776</v>
      </c>
      <c r="T31" s="89" t="s">
        <v>1371</v>
      </c>
      <c r="U31" s="89" t="s">
        <v>1356</v>
      </c>
      <c r="V31" s="108"/>
      <c r="W31" s="108"/>
      <c r="X31" s="108"/>
      <c r="Y31" s="108"/>
      <c r="Z31" s="109" t="str">
        <f>'Table Seed Map'!$A$13&amp;"-"&amp;FormFields[[#This Row],[NO2]]</f>
        <v>Field Data-29</v>
      </c>
      <c r="AA31" s="110">
        <f>COUNTIFS($AB$1:FormFields[[#This Row],[Exists]],1)-1</f>
        <v>29</v>
      </c>
      <c r="AB31" s="110">
        <f>IF(AND(FormFields[[#This Row],[Attribute]]="",FormFields[[#This Row],[Rel]]=""),0,1)</f>
        <v>1</v>
      </c>
      <c r="AC31" s="110">
        <f>IF(FormFields[[#This Row],[NO2]]=0,"id",FormFields[[#This Row],[NO2]]+IF(ISNUMBER(VLOOKUP('Table Seed Map'!$A$13,SeedMap[],9,0)),VLOOKUP('Table Seed Map'!$A$13,SeedMap[],9,0),0))</f>
        <v>311129</v>
      </c>
      <c r="AD31" s="111">
        <f>IF(FormFields[[#This Row],[ID]]="id","form_field",FormFields[[#This Row],[ID]])</f>
        <v>310129</v>
      </c>
      <c r="AE31" s="110" t="str">
        <f>IF(FormFields[[#This Row],[No]]=0,"attribute",FormFields[[#This Row],[Name]])</f>
        <v>status</v>
      </c>
      <c r="AF31" s="84" t="str">
        <f>IF(FormFields[[#This Row],[NO2]]=0,"relation",IF(FormFields[[#This Row],[Rel]]="","",VLOOKUP(FormFields[[#This Row],[Rel]],RelationTable[[Display]:[RELID]],2,0)))</f>
        <v/>
      </c>
      <c r="AG31" s="84" t="str">
        <f>IF(FormFields[[#This Row],[NO2]]=0,"nest_relation1",IF(FormFields[[#This Row],[Rel1]]="","",VLOOKUP(FormFields[[#This Row],[Rel1]],RelationTable[[Display]:[RELID]],2,0)))</f>
        <v/>
      </c>
      <c r="AH31" s="84" t="str">
        <f>IF(FormFields[[#This Row],[NO2]]=0,"nest_relation2",IF(FormFields[[#This Row],[Rel2]]="","",VLOOKUP(FormFields[[#This Row],[Rel2]],RelationTable[[Display]:[RELID]],2,0)))</f>
        <v/>
      </c>
      <c r="AI31" s="84" t="str">
        <f>IF(FormFields[[#This Row],[NO2]]=0,"nest_relation2",IF(FormFields[[#This Row],[Rel2]]="","",VLOOKUP(FormFields[[#This Row],[Rel2]],RelationTable[[Display]:[RELID]],2,0)))</f>
        <v/>
      </c>
      <c r="AJ31" s="79">
        <f>IF(OR(FormFields[[#This Row],[Option Type]]="",FormFields[[#This Row],[Option Type]]="type"),0,1)</f>
        <v>1</v>
      </c>
      <c r="AK31" s="79" t="str">
        <f>'Table Seed Map'!$A$14&amp;"-"&amp;FormFields[[#This Row],[NO4]]</f>
        <v>Field Options-14</v>
      </c>
      <c r="AL31" s="79">
        <f>COUNTIF($AJ$2:FormFields[[#This Row],[Exists FO]],1)</f>
        <v>14</v>
      </c>
      <c r="AM31" s="79">
        <f>IF(FormFields[[#This Row],[NO4]]=0,"id",FormFields[[#This Row],[NO4]]+IF(ISNUMBER(VLOOKUP('Table Seed Map'!$A$14,SeedMap[],9,0)),VLOOKUP('Table Seed Map'!$A$14,SeedMap[],9,0),0))</f>
        <v>312114</v>
      </c>
      <c r="AN31" s="79">
        <f>IF(FormFields[[#This Row],[ID]]="id","form_field",FormFields[[#This Row],[ID]])</f>
        <v>310129</v>
      </c>
      <c r="AO31" s="112" t="s">
        <v>1441</v>
      </c>
      <c r="AP31" s="112"/>
      <c r="AQ31" s="112"/>
      <c r="AR31" s="112"/>
      <c r="AS31" s="112"/>
      <c r="AT31" s="79">
        <f>IF(OR(FormFields[[#This Row],[Colspan]]="",FormFields[[#This Row],[Colspan]]="colspan"),0,1)</f>
        <v>0</v>
      </c>
      <c r="AU31" s="79" t="str">
        <f>'Table Seed Map'!$A$19&amp;"-"&amp;FormFields[[#This Row],[NO8]]</f>
        <v>Form Layout-7</v>
      </c>
      <c r="AV31" s="79">
        <f>COUNTIF($AT$1:FormFields[[#This Row],[Exists FL]],1)</f>
        <v>7</v>
      </c>
      <c r="AW31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1" s="79">
        <f>FormFields[Form]</f>
        <v>309107</v>
      </c>
      <c r="AY31" s="79">
        <f>IF(FormFields[[#This Row],[ID]]="id","form_field",FormFields[[#This Row],[ID]])</f>
        <v>310129</v>
      </c>
      <c r="AZ31" s="113"/>
      <c r="BA31" s="79">
        <f>FormFields[[#This Row],[ID]]</f>
        <v>310129</v>
      </c>
    </row>
    <row r="32" spans="13:53" x14ac:dyDescent="0.25">
      <c r="M32" s="80" t="str">
        <f>'Table Seed Map'!$A$12&amp;"-"&amp;FormFields[[#This Row],[No]]</f>
        <v>Form Fields-30</v>
      </c>
      <c r="N32" s="66" t="s">
        <v>1913</v>
      </c>
      <c r="O32" s="79">
        <f>COUNTA($N$1:FormFields[[#This Row],[Form Name]])-1</f>
        <v>30</v>
      </c>
      <c r="P32" s="80" t="str">
        <f>FormFields[[#This Row],[Form Name]]&amp;"/"&amp;FormFields[[#This Row],[Name]]</f>
        <v>Menu/UpdateMenu/name</v>
      </c>
      <c r="Q32" s="79">
        <f>IF(FormFields[[#This Row],[No]]=0,"id",FormFields[[#This Row],[No]]+IF(ISNUMBER(VLOOKUP('Table Seed Map'!$A$12,SeedMap[],9,0)),VLOOKUP('Table Seed Map'!$A$12,SeedMap[],9,0),0))</f>
        <v>310130</v>
      </c>
      <c r="R32" s="107">
        <f>IFERROR(VLOOKUP(FormFields[[#This Row],[Form Name]],ResourceForms[[FormName]:[ID]],4,0),"resource_form")</f>
        <v>309108</v>
      </c>
      <c r="S32" s="89" t="s">
        <v>23</v>
      </c>
      <c r="T32" s="89" t="s">
        <v>1370</v>
      </c>
      <c r="U32" s="89" t="s">
        <v>97</v>
      </c>
      <c r="V32" s="108"/>
      <c r="W32" s="108"/>
      <c r="X32" s="108"/>
      <c r="Y32" s="108"/>
      <c r="Z32" s="109" t="str">
        <f>'Table Seed Map'!$A$13&amp;"-"&amp;FormFields[[#This Row],[NO2]]</f>
        <v>Field Data-30</v>
      </c>
      <c r="AA32" s="110">
        <f>COUNTIFS($AB$1:FormFields[[#This Row],[Exists]],1)-1</f>
        <v>30</v>
      </c>
      <c r="AB32" s="110">
        <f>IF(AND(FormFields[[#This Row],[Attribute]]="",FormFields[[#This Row],[Rel]]=""),0,1)</f>
        <v>1</v>
      </c>
      <c r="AC32" s="110">
        <f>IF(FormFields[[#This Row],[NO2]]=0,"id",FormFields[[#This Row],[NO2]]+IF(ISNUMBER(VLOOKUP('Table Seed Map'!$A$13,SeedMap[],9,0)),VLOOKUP('Table Seed Map'!$A$13,SeedMap[],9,0),0))</f>
        <v>311130</v>
      </c>
      <c r="AD32" s="111">
        <f>IF(FormFields[[#This Row],[ID]]="id","form_field",FormFields[[#This Row],[ID]])</f>
        <v>310130</v>
      </c>
      <c r="AE32" s="110" t="str">
        <f>IF(FormFields[[#This Row],[No]]=0,"attribute",FormFields[[#This Row],[Name]])</f>
        <v>name</v>
      </c>
      <c r="AF32" s="84" t="str">
        <f>IF(FormFields[[#This Row],[NO2]]=0,"relation",IF(FormFields[[#This Row],[Rel]]="","",VLOOKUP(FormFields[[#This Row],[Rel]],RelationTable[[Display]:[RELID]],2,0)))</f>
        <v/>
      </c>
      <c r="AG32" s="84" t="str">
        <f>IF(FormFields[[#This Row],[NO2]]=0,"nest_relation1",IF(FormFields[[#This Row],[Rel1]]="","",VLOOKUP(FormFields[[#This Row],[Rel1]],RelationTable[[Display]:[RELID]],2,0)))</f>
        <v/>
      </c>
      <c r="AH32" s="84" t="str">
        <f>IF(FormFields[[#This Row],[NO2]]=0,"nest_relation2",IF(FormFields[[#This Row],[Rel2]]="","",VLOOKUP(FormFields[[#This Row],[Rel2]],RelationTable[[Display]:[RELID]],2,0)))</f>
        <v/>
      </c>
      <c r="AI32" s="84" t="str">
        <f>IF(FormFields[[#This Row],[NO2]]=0,"nest_relation2",IF(FormFields[[#This Row],[Rel2]]="","",VLOOKUP(FormFields[[#This Row],[Rel2]],RelationTable[[Display]:[RELID]],2,0)))</f>
        <v/>
      </c>
      <c r="AJ32" s="79">
        <f>IF(OR(FormFields[[#This Row],[Option Type]]="",FormFields[[#This Row],[Option Type]]="type"),0,1)</f>
        <v>0</v>
      </c>
      <c r="AK32" s="79" t="str">
        <f>'Table Seed Map'!$A$14&amp;"-"&amp;FormFields[[#This Row],[NO4]]</f>
        <v>Field Options-14</v>
      </c>
      <c r="AL32" s="79">
        <f>COUNTIF($AJ$2:FormFields[[#This Row],[Exists FO]],1)</f>
        <v>14</v>
      </c>
      <c r="AM32" s="79">
        <f>IF(FormFields[[#This Row],[NO4]]=0,"id",FormFields[[#This Row],[NO4]]+IF(ISNUMBER(VLOOKUP('Table Seed Map'!$A$14,SeedMap[],9,0)),VLOOKUP('Table Seed Map'!$A$14,SeedMap[],9,0),0))</f>
        <v>312114</v>
      </c>
      <c r="AN32" s="79">
        <f>IF(FormFields[[#This Row],[ID]]="id","form_field",FormFields[[#This Row],[ID]])</f>
        <v>310130</v>
      </c>
      <c r="AO32" s="112"/>
      <c r="AP32" s="112"/>
      <c r="AQ32" s="112"/>
      <c r="AR32" s="112"/>
      <c r="AS32" s="112"/>
      <c r="AT32" s="79">
        <f>IF(OR(FormFields[[#This Row],[Colspan]]="",FormFields[[#This Row],[Colspan]]="colspan"),0,1)</f>
        <v>0</v>
      </c>
      <c r="AU32" s="79" t="str">
        <f>'Table Seed Map'!$A$19&amp;"-"&amp;FormFields[[#This Row],[NO8]]</f>
        <v>Form Layout-7</v>
      </c>
      <c r="AV32" s="79">
        <f>COUNTIF($AT$1:FormFields[[#This Row],[Exists FL]],1)</f>
        <v>7</v>
      </c>
      <c r="AW32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2" s="79">
        <f>FormFields[Form]</f>
        <v>309108</v>
      </c>
      <c r="AY32" s="79">
        <f>IF(FormFields[[#This Row],[ID]]="id","form_field",FormFields[[#This Row],[ID]])</f>
        <v>310130</v>
      </c>
      <c r="AZ32" s="113"/>
      <c r="BA32" s="79">
        <f>FormFields[[#This Row],[ID]]</f>
        <v>310130</v>
      </c>
    </row>
    <row r="33" spans="13:53" x14ac:dyDescent="0.25">
      <c r="M33" s="80" t="str">
        <f>'Table Seed Map'!$A$12&amp;"-"&amp;FormFields[[#This Row],[No]]</f>
        <v>Form Fields-31</v>
      </c>
      <c r="N33" s="66" t="s">
        <v>1913</v>
      </c>
      <c r="O33" s="79">
        <f>COUNTA($N$1:FormFields[[#This Row],[Form Name]])-1</f>
        <v>31</v>
      </c>
      <c r="P33" s="80" t="str">
        <f>FormFields[[#This Row],[Form Name]]&amp;"/"&amp;FormFields[[#This Row],[Name]]</f>
        <v>Menu/UpdateMenu/icon</v>
      </c>
      <c r="Q33" s="79">
        <f>IF(FormFields[[#This Row],[No]]=0,"id",FormFields[[#This Row],[No]]+IF(ISNUMBER(VLOOKUP('Table Seed Map'!$A$12,SeedMap[],9,0)),VLOOKUP('Table Seed Map'!$A$12,SeedMap[],9,0),0))</f>
        <v>310131</v>
      </c>
      <c r="R33" s="107">
        <f>IFERROR(VLOOKUP(FormFields[[#This Row],[Form Name]],ResourceForms[[FormName]:[ID]],4,0),"resource_form")</f>
        <v>309108</v>
      </c>
      <c r="S33" s="89" t="s">
        <v>1826</v>
      </c>
      <c r="T33" s="89" t="s">
        <v>1370</v>
      </c>
      <c r="U33" s="89" t="s">
        <v>1914</v>
      </c>
      <c r="V33" s="108"/>
      <c r="W33" s="108"/>
      <c r="X33" s="108"/>
      <c r="Y33" s="108"/>
      <c r="Z33" s="109" t="str">
        <f>'Table Seed Map'!$A$13&amp;"-"&amp;FormFields[[#This Row],[NO2]]</f>
        <v>Field Data-31</v>
      </c>
      <c r="AA33" s="110">
        <f>COUNTIFS($AB$1:FormFields[[#This Row],[Exists]],1)-1</f>
        <v>31</v>
      </c>
      <c r="AB33" s="110">
        <f>IF(AND(FormFields[[#This Row],[Attribute]]="",FormFields[[#This Row],[Rel]]=""),0,1)</f>
        <v>1</v>
      </c>
      <c r="AC33" s="110">
        <f>IF(FormFields[[#This Row],[NO2]]=0,"id",FormFields[[#This Row],[NO2]]+IF(ISNUMBER(VLOOKUP('Table Seed Map'!$A$13,SeedMap[],9,0)),VLOOKUP('Table Seed Map'!$A$13,SeedMap[],9,0),0))</f>
        <v>311131</v>
      </c>
      <c r="AD33" s="111">
        <f>IF(FormFields[[#This Row],[ID]]="id","form_field",FormFields[[#This Row],[ID]])</f>
        <v>310131</v>
      </c>
      <c r="AE33" s="110" t="str">
        <f>IF(FormFields[[#This Row],[No]]=0,"attribute",FormFields[[#This Row],[Name]])</f>
        <v>icon</v>
      </c>
      <c r="AF33" s="84" t="str">
        <f>IF(FormFields[[#This Row],[NO2]]=0,"relation",IF(FormFields[[#This Row],[Rel]]="","",VLOOKUP(FormFields[[#This Row],[Rel]],RelationTable[[Display]:[RELID]],2,0)))</f>
        <v/>
      </c>
      <c r="AG33" s="84" t="str">
        <f>IF(FormFields[[#This Row],[NO2]]=0,"nest_relation1",IF(FormFields[[#This Row],[Rel1]]="","",VLOOKUP(FormFields[[#This Row],[Rel1]],RelationTable[[Display]:[RELID]],2,0)))</f>
        <v/>
      </c>
      <c r="AH33" s="84" t="str">
        <f>IF(FormFields[[#This Row],[NO2]]=0,"nest_relation2",IF(FormFields[[#This Row],[Rel2]]="","",VLOOKUP(FormFields[[#This Row],[Rel2]],RelationTable[[Display]:[RELID]],2,0)))</f>
        <v/>
      </c>
      <c r="AI33" s="84" t="str">
        <f>IF(FormFields[[#This Row],[NO2]]=0,"nest_relation2",IF(FormFields[[#This Row],[Rel2]]="","",VLOOKUP(FormFields[[#This Row],[Rel2]],RelationTable[[Display]:[RELID]],2,0)))</f>
        <v/>
      </c>
      <c r="AJ33" s="79">
        <f>IF(OR(FormFields[[#This Row],[Option Type]]="",FormFields[[#This Row],[Option Type]]="type"),0,1)</f>
        <v>0</v>
      </c>
      <c r="AK33" s="79" t="str">
        <f>'Table Seed Map'!$A$14&amp;"-"&amp;FormFields[[#This Row],[NO4]]</f>
        <v>Field Options-14</v>
      </c>
      <c r="AL33" s="79">
        <f>COUNTIF($AJ$2:FormFields[[#This Row],[Exists FO]],1)</f>
        <v>14</v>
      </c>
      <c r="AM33" s="79">
        <f>IF(FormFields[[#This Row],[NO4]]=0,"id",FormFields[[#This Row],[NO4]]+IF(ISNUMBER(VLOOKUP('Table Seed Map'!$A$14,SeedMap[],9,0)),VLOOKUP('Table Seed Map'!$A$14,SeedMap[],9,0),0))</f>
        <v>312114</v>
      </c>
      <c r="AN33" s="79">
        <f>IF(FormFields[[#This Row],[ID]]="id","form_field",FormFields[[#This Row],[ID]])</f>
        <v>310131</v>
      </c>
      <c r="AO33" s="112"/>
      <c r="AP33" s="112"/>
      <c r="AQ33" s="112"/>
      <c r="AR33" s="112"/>
      <c r="AS33" s="112"/>
      <c r="AT33" s="79">
        <f>IF(OR(FormFields[[#This Row],[Colspan]]="",FormFields[[#This Row],[Colspan]]="colspan"),0,1)</f>
        <v>0</v>
      </c>
      <c r="AU33" s="79" t="str">
        <f>'Table Seed Map'!$A$19&amp;"-"&amp;FormFields[[#This Row],[NO8]]</f>
        <v>Form Layout-7</v>
      </c>
      <c r="AV33" s="79">
        <f>COUNTIF($AT$1:FormFields[[#This Row],[Exists FL]],1)</f>
        <v>7</v>
      </c>
      <c r="AW33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3" s="79">
        <f>FormFields[Form]</f>
        <v>309108</v>
      </c>
      <c r="AY33" s="79">
        <f>IF(FormFields[[#This Row],[ID]]="id","form_field",FormFields[[#This Row],[ID]])</f>
        <v>310131</v>
      </c>
      <c r="AZ33" s="113"/>
      <c r="BA33" s="79">
        <f>FormFields[[#This Row],[ID]]</f>
        <v>310131</v>
      </c>
    </row>
    <row r="34" spans="13:53" x14ac:dyDescent="0.25">
      <c r="M34" s="80" t="str">
        <f>'Table Seed Map'!$A$12&amp;"-"&amp;FormFields[[#This Row],[No]]</f>
        <v>Form Fields-32</v>
      </c>
      <c r="N34" s="66" t="s">
        <v>1913</v>
      </c>
      <c r="O34" s="79">
        <f>COUNTA($N$1:FormFields[[#This Row],[Form Name]])-1</f>
        <v>32</v>
      </c>
      <c r="P34" s="80" t="str">
        <f>FormFields[[#This Row],[Form Name]]&amp;"/"&amp;FormFields[[#This Row],[Name]]</f>
        <v>Menu/UpdateMenu/home_display</v>
      </c>
      <c r="Q34" s="79">
        <f>IF(FormFields[[#This Row],[No]]=0,"id",FormFields[[#This Row],[No]]+IF(ISNUMBER(VLOOKUP('Table Seed Map'!$A$12,SeedMap[],9,0)),VLOOKUP('Table Seed Map'!$A$12,SeedMap[],9,0),0))</f>
        <v>310132</v>
      </c>
      <c r="R34" s="107">
        <f>IFERROR(VLOOKUP(FormFields[[#This Row],[Form Name]],ResourceForms[[FormName]:[ID]],4,0),"resource_form")</f>
        <v>309108</v>
      </c>
      <c r="S34" s="89" t="s">
        <v>1872</v>
      </c>
      <c r="T34" s="89" t="s">
        <v>1370</v>
      </c>
      <c r="U34" s="89" t="s">
        <v>1915</v>
      </c>
      <c r="V34" s="108"/>
      <c r="W34" s="108"/>
      <c r="X34" s="108"/>
      <c r="Y34" s="108"/>
      <c r="Z34" s="109" t="str">
        <f>'Table Seed Map'!$A$13&amp;"-"&amp;FormFields[[#This Row],[NO2]]</f>
        <v>Field Data-32</v>
      </c>
      <c r="AA34" s="110">
        <f>COUNTIFS($AB$1:FormFields[[#This Row],[Exists]],1)-1</f>
        <v>32</v>
      </c>
      <c r="AB34" s="110">
        <f>IF(AND(FormFields[[#This Row],[Attribute]]="",FormFields[[#This Row],[Rel]]=""),0,1)</f>
        <v>1</v>
      </c>
      <c r="AC34" s="110">
        <f>IF(FormFields[[#This Row],[NO2]]=0,"id",FormFields[[#This Row],[NO2]]+IF(ISNUMBER(VLOOKUP('Table Seed Map'!$A$13,SeedMap[],9,0)),VLOOKUP('Table Seed Map'!$A$13,SeedMap[],9,0),0))</f>
        <v>311132</v>
      </c>
      <c r="AD34" s="111">
        <f>IF(FormFields[[#This Row],[ID]]="id","form_field",FormFields[[#This Row],[ID]])</f>
        <v>310132</v>
      </c>
      <c r="AE34" s="110" t="str">
        <f>IF(FormFields[[#This Row],[No]]=0,"attribute",FormFields[[#This Row],[Name]])</f>
        <v>home_display</v>
      </c>
      <c r="AF34" s="84" t="str">
        <f>IF(FormFields[[#This Row],[NO2]]=0,"relation",IF(FormFields[[#This Row],[Rel]]="","",VLOOKUP(FormFields[[#This Row],[Rel]],RelationTable[[Display]:[RELID]],2,0)))</f>
        <v/>
      </c>
      <c r="AG34" s="84" t="str">
        <f>IF(FormFields[[#This Row],[NO2]]=0,"nest_relation1",IF(FormFields[[#This Row],[Rel1]]="","",VLOOKUP(FormFields[[#This Row],[Rel1]],RelationTable[[Display]:[RELID]],2,0)))</f>
        <v/>
      </c>
      <c r="AH34" s="84" t="str">
        <f>IF(FormFields[[#This Row],[NO2]]=0,"nest_relation2",IF(FormFields[[#This Row],[Rel2]]="","",VLOOKUP(FormFields[[#This Row],[Rel2]],RelationTable[[Display]:[RELID]],2,0)))</f>
        <v/>
      </c>
      <c r="AI34" s="84" t="str">
        <f>IF(FormFields[[#This Row],[NO2]]=0,"nest_relation2",IF(FormFields[[#This Row],[Rel2]]="","",VLOOKUP(FormFields[[#This Row],[Rel2]],RelationTable[[Display]:[RELID]],2,0)))</f>
        <v/>
      </c>
      <c r="AJ34" s="79">
        <f>IF(OR(FormFields[[#This Row],[Option Type]]="",FormFields[[#This Row],[Option Type]]="type"),0,1)</f>
        <v>0</v>
      </c>
      <c r="AK34" s="79" t="str">
        <f>'Table Seed Map'!$A$14&amp;"-"&amp;FormFields[[#This Row],[NO4]]</f>
        <v>Field Options-14</v>
      </c>
      <c r="AL34" s="79">
        <f>COUNTIF($AJ$2:FormFields[[#This Row],[Exists FO]],1)</f>
        <v>14</v>
      </c>
      <c r="AM34" s="79">
        <f>IF(FormFields[[#This Row],[NO4]]=0,"id",FormFields[[#This Row],[NO4]]+IF(ISNUMBER(VLOOKUP('Table Seed Map'!$A$14,SeedMap[],9,0)),VLOOKUP('Table Seed Map'!$A$14,SeedMap[],9,0),0))</f>
        <v>312114</v>
      </c>
      <c r="AN34" s="79">
        <f>IF(FormFields[[#This Row],[ID]]="id","form_field",FormFields[[#This Row],[ID]])</f>
        <v>310132</v>
      </c>
      <c r="AO34" s="112"/>
      <c r="AP34" s="112"/>
      <c r="AQ34" s="112"/>
      <c r="AR34" s="112"/>
      <c r="AS34" s="112"/>
      <c r="AT34" s="79">
        <f>IF(OR(FormFields[[#This Row],[Colspan]]="",FormFields[[#This Row],[Colspan]]="colspan"),0,1)</f>
        <v>0</v>
      </c>
      <c r="AU34" s="79" t="str">
        <f>'Table Seed Map'!$A$19&amp;"-"&amp;FormFields[[#This Row],[NO8]]</f>
        <v>Form Layout-7</v>
      </c>
      <c r="AV34" s="79">
        <f>COUNTIF($AT$1:FormFields[[#This Row],[Exists FL]],1)</f>
        <v>7</v>
      </c>
      <c r="AW34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4" s="79">
        <f>FormFields[Form]</f>
        <v>309108</v>
      </c>
      <c r="AY34" s="79">
        <f>IF(FormFields[[#This Row],[ID]]="id","form_field",FormFields[[#This Row],[ID]])</f>
        <v>310132</v>
      </c>
      <c r="AZ34" s="113"/>
      <c r="BA34" s="79">
        <f>FormFields[[#This Row],[ID]]</f>
        <v>310132</v>
      </c>
    </row>
    <row r="35" spans="13:53" x14ac:dyDescent="0.25">
      <c r="M35" s="80" t="str">
        <f>'Table Seed Map'!$A$12&amp;"-"&amp;FormFields[[#This Row],[No]]</f>
        <v>Form Fields-33</v>
      </c>
      <c r="N35" s="66" t="s">
        <v>1913</v>
      </c>
      <c r="O35" s="79">
        <f>COUNTA($N$1:FormFields[[#This Row],[Form Name]])-1</f>
        <v>33</v>
      </c>
      <c r="P35" s="80" t="str">
        <f>FormFields[[#This Row],[Form Name]]&amp;"/"&amp;FormFields[[#This Row],[Name]]</f>
        <v>Menu/UpdateMenu/drawer_display</v>
      </c>
      <c r="Q35" s="79">
        <f>IF(FormFields[[#This Row],[No]]=0,"id",FormFields[[#This Row],[No]]+IF(ISNUMBER(VLOOKUP('Table Seed Map'!$A$12,SeedMap[],9,0)),VLOOKUP('Table Seed Map'!$A$12,SeedMap[],9,0),0))</f>
        <v>310133</v>
      </c>
      <c r="R35" s="107">
        <f>IFERROR(VLOOKUP(FormFields[[#This Row],[Form Name]],ResourceForms[[FormName]:[ID]],4,0),"resource_form")</f>
        <v>309108</v>
      </c>
      <c r="S35" s="89" t="s">
        <v>1828</v>
      </c>
      <c r="T35" s="89" t="s">
        <v>1370</v>
      </c>
      <c r="U35" s="89" t="s">
        <v>1916</v>
      </c>
      <c r="V35" s="108"/>
      <c r="W35" s="108"/>
      <c r="X35" s="108"/>
      <c r="Y35" s="108"/>
      <c r="Z35" s="109" t="str">
        <f>'Table Seed Map'!$A$13&amp;"-"&amp;FormFields[[#This Row],[NO2]]</f>
        <v>Field Data-33</v>
      </c>
      <c r="AA35" s="110">
        <f>COUNTIFS($AB$1:FormFields[[#This Row],[Exists]],1)-1</f>
        <v>33</v>
      </c>
      <c r="AB35" s="110">
        <f>IF(AND(FormFields[[#This Row],[Attribute]]="",FormFields[[#This Row],[Rel]]=""),0,1)</f>
        <v>1</v>
      </c>
      <c r="AC35" s="110">
        <f>IF(FormFields[[#This Row],[NO2]]=0,"id",FormFields[[#This Row],[NO2]]+IF(ISNUMBER(VLOOKUP('Table Seed Map'!$A$13,SeedMap[],9,0)),VLOOKUP('Table Seed Map'!$A$13,SeedMap[],9,0),0))</f>
        <v>311133</v>
      </c>
      <c r="AD35" s="111">
        <f>IF(FormFields[[#This Row],[ID]]="id","form_field",FormFields[[#This Row],[ID]])</f>
        <v>310133</v>
      </c>
      <c r="AE35" s="110" t="str">
        <f>IF(FormFields[[#This Row],[No]]=0,"attribute",FormFields[[#This Row],[Name]])</f>
        <v>drawer_display</v>
      </c>
      <c r="AF35" s="84" t="str">
        <f>IF(FormFields[[#This Row],[NO2]]=0,"relation",IF(FormFields[[#This Row],[Rel]]="","",VLOOKUP(FormFields[[#This Row],[Rel]],RelationTable[[Display]:[RELID]],2,0)))</f>
        <v/>
      </c>
      <c r="AG35" s="84" t="str">
        <f>IF(FormFields[[#This Row],[NO2]]=0,"nest_relation1",IF(FormFields[[#This Row],[Rel1]]="","",VLOOKUP(FormFields[[#This Row],[Rel1]],RelationTable[[Display]:[RELID]],2,0)))</f>
        <v/>
      </c>
      <c r="AH35" s="84" t="str">
        <f>IF(FormFields[[#This Row],[NO2]]=0,"nest_relation2",IF(FormFields[[#This Row],[Rel2]]="","",VLOOKUP(FormFields[[#This Row],[Rel2]],RelationTable[[Display]:[RELID]],2,0)))</f>
        <v/>
      </c>
      <c r="AI35" s="84" t="str">
        <f>IF(FormFields[[#This Row],[NO2]]=0,"nest_relation2",IF(FormFields[[#This Row],[Rel2]]="","",VLOOKUP(FormFields[[#This Row],[Rel2]],RelationTable[[Display]:[RELID]],2,0)))</f>
        <v/>
      </c>
      <c r="AJ35" s="79">
        <f>IF(OR(FormFields[[#This Row],[Option Type]]="",FormFields[[#This Row],[Option Type]]="type"),0,1)</f>
        <v>0</v>
      </c>
      <c r="AK35" s="79" t="str">
        <f>'Table Seed Map'!$A$14&amp;"-"&amp;FormFields[[#This Row],[NO4]]</f>
        <v>Field Options-14</v>
      </c>
      <c r="AL35" s="79">
        <f>COUNTIF($AJ$2:FormFields[[#This Row],[Exists FO]],1)</f>
        <v>14</v>
      </c>
      <c r="AM35" s="79">
        <f>IF(FormFields[[#This Row],[NO4]]=0,"id",FormFields[[#This Row],[NO4]]+IF(ISNUMBER(VLOOKUP('Table Seed Map'!$A$14,SeedMap[],9,0)),VLOOKUP('Table Seed Map'!$A$14,SeedMap[],9,0),0))</f>
        <v>312114</v>
      </c>
      <c r="AN35" s="79">
        <f>IF(FormFields[[#This Row],[ID]]="id","form_field",FormFields[[#This Row],[ID]])</f>
        <v>310133</v>
      </c>
      <c r="AO35" s="112"/>
      <c r="AP35" s="112"/>
      <c r="AQ35" s="112"/>
      <c r="AR35" s="112"/>
      <c r="AS35" s="112"/>
      <c r="AT35" s="79">
        <f>IF(OR(FormFields[[#This Row],[Colspan]]="",FormFields[[#This Row],[Colspan]]="colspan"),0,1)</f>
        <v>0</v>
      </c>
      <c r="AU35" s="79" t="str">
        <f>'Table Seed Map'!$A$19&amp;"-"&amp;FormFields[[#This Row],[NO8]]</f>
        <v>Form Layout-7</v>
      </c>
      <c r="AV35" s="79">
        <f>COUNTIF($AT$1:FormFields[[#This Row],[Exists FL]],1)</f>
        <v>7</v>
      </c>
      <c r="AW3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5" s="79">
        <f>FormFields[Form]</f>
        <v>309108</v>
      </c>
      <c r="AY35" s="79">
        <f>IF(FormFields[[#This Row],[ID]]="id","form_field",FormFields[[#This Row],[ID]])</f>
        <v>310133</v>
      </c>
      <c r="AZ35" s="113"/>
      <c r="BA35" s="79">
        <f>FormFields[[#This Row],[ID]]</f>
        <v>310133</v>
      </c>
    </row>
    <row r="36" spans="13:53" x14ac:dyDescent="0.25">
      <c r="M36" s="80" t="str">
        <f>'Table Seed Map'!$A$12&amp;"-"&amp;FormFields[[#This Row],[No]]</f>
        <v>Form Fields-34</v>
      </c>
      <c r="N36" s="66" t="s">
        <v>1913</v>
      </c>
      <c r="O36" s="79">
        <f>COUNTA($N$1:FormFields[[#This Row],[Form Name]])-1</f>
        <v>34</v>
      </c>
      <c r="P36" s="80" t="str">
        <f>FormFields[[#This Row],[Form Name]]&amp;"/"&amp;FormFields[[#This Row],[Name]]</f>
        <v>Menu/UpdateMenu/order</v>
      </c>
      <c r="Q36" s="79">
        <f>IF(FormFields[[#This Row],[No]]=0,"id",FormFields[[#This Row],[No]]+IF(ISNUMBER(VLOOKUP('Table Seed Map'!$A$12,SeedMap[],9,0)),VLOOKUP('Table Seed Map'!$A$12,SeedMap[],9,0),0))</f>
        <v>310134</v>
      </c>
      <c r="R36" s="107">
        <f>IFERROR(VLOOKUP(FormFields[[#This Row],[Form Name]],ResourceForms[[FormName]:[ID]],4,0),"resource_form")</f>
        <v>309108</v>
      </c>
      <c r="S36" s="89" t="s">
        <v>1830</v>
      </c>
      <c r="T36" s="89" t="s">
        <v>1370</v>
      </c>
      <c r="U36" s="89" t="s">
        <v>1917</v>
      </c>
      <c r="V36" s="108"/>
      <c r="W36" s="108"/>
      <c r="X36" s="108"/>
      <c r="Y36" s="108"/>
      <c r="Z36" s="109" t="str">
        <f>'Table Seed Map'!$A$13&amp;"-"&amp;FormFields[[#This Row],[NO2]]</f>
        <v>Field Data-34</v>
      </c>
      <c r="AA36" s="110">
        <f>COUNTIFS($AB$1:FormFields[[#This Row],[Exists]],1)-1</f>
        <v>34</v>
      </c>
      <c r="AB36" s="110">
        <f>IF(AND(FormFields[[#This Row],[Attribute]]="",FormFields[[#This Row],[Rel]]=""),0,1)</f>
        <v>1</v>
      </c>
      <c r="AC36" s="110">
        <f>IF(FormFields[[#This Row],[NO2]]=0,"id",FormFields[[#This Row],[NO2]]+IF(ISNUMBER(VLOOKUP('Table Seed Map'!$A$13,SeedMap[],9,0)),VLOOKUP('Table Seed Map'!$A$13,SeedMap[],9,0),0))</f>
        <v>311134</v>
      </c>
      <c r="AD36" s="111">
        <f>IF(FormFields[[#This Row],[ID]]="id","form_field",FormFields[[#This Row],[ID]])</f>
        <v>310134</v>
      </c>
      <c r="AE36" s="110" t="str">
        <f>IF(FormFields[[#This Row],[No]]=0,"attribute",FormFields[[#This Row],[Name]])</f>
        <v>order</v>
      </c>
      <c r="AF36" s="84" t="str">
        <f>IF(FormFields[[#This Row],[NO2]]=0,"relation",IF(FormFields[[#This Row],[Rel]]="","",VLOOKUP(FormFields[[#This Row],[Rel]],RelationTable[[Display]:[RELID]],2,0)))</f>
        <v/>
      </c>
      <c r="AG36" s="84" t="str">
        <f>IF(FormFields[[#This Row],[NO2]]=0,"nest_relation1",IF(FormFields[[#This Row],[Rel1]]="","",VLOOKUP(FormFields[[#This Row],[Rel1]],RelationTable[[Display]:[RELID]],2,0)))</f>
        <v/>
      </c>
      <c r="AH36" s="84" t="str">
        <f>IF(FormFields[[#This Row],[NO2]]=0,"nest_relation2",IF(FormFields[[#This Row],[Rel2]]="","",VLOOKUP(FormFields[[#This Row],[Rel2]],RelationTable[[Display]:[RELID]],2,0)))</f>
        <v/>
      </c>
      <c r="AI36" s="84" t="str">
        <f>IF(FormFields[[#This Row],[NO2]]=0,"nest_relation2",IF(FormFields[[#This Row],[Rel2]]="","",VLOOKUP(FormFields[[#This Row],[Rel2]],RelationTable[[Display]:[RELID]],2,0)))</f>
        <v/>
      </c>
      <c r="AJ36" s="79">
        <f>IF(OR(FormFields[[#This Row],[Option Type]]="",FormFields[[#This Row],[Option Type]]="type"),0,1)</f>
        <v>0</v>
      </c>
      <c r="AK36" s="79" t="str">
        <f>'Table Seed Map'!$A$14&amp;"-"&amp;FormFields[[#This Row],[NO4]]</f>
        <v>Field Options-14</v>
      </c>
      <c r="AL36" s="79">
        <f>COUNTIF($AJ$2:FormFields[[#This Row],[Exists FO]],1)</f>
        <v>14</v>
      </c>
      <c r="AM36" s="79">
        <f>IF(FormFields[[#This Row],[NO4]]=0,"id",FormFields[[#This Row],[NO4]]+IF(ISNUMBER(VLOOKUP('Table Seed Map'!$A$14,SeedMap[],9,0)),VLOOKUP('Table Seed Map'!$A$14,SeedMap[],9,0),0))</f>
        <v>312114</v>
      </c>
      <c r="AN36" s="79">
        <f>IF(FormFields[[#This Row],[ID]]="id","form_field",FormFields[[#This Row],[ID]])</f>
        <v>310134</v>
      </c>
      <c r="AO36" s="112"/>
      <c r="AP36" s="112"/>
      <c r="AQ36" s="112"/>
      <c r="AR36" s="112"/>
      <c r="AS36" s="112"/>
      <c r="AT36" s="79">
        <f>IF(OR(FormFields[[#This Row],[Colspan]]="",FormFields[[#This Row],[Colspan]]="colspan"),0,1)</f>
        <v>0</v>
      </c>
      <c r="AU36" s="79" t="str">
        <f>'Table Seed Map'!$A$19&amp;"-"&amp;FormFields[[#This Row],[NO8]]</f>
        <v>Form Layout-7</v>
      </c>
      <c r="AV36" s="79">
        <f>COUNTIF($AT$1:FormFields[[#This Row],[Exists FL]],1)</f>
        <v>7</v>
      </c>
      <c r="AW3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6" s="79">
        <f>FormFields[Form]</f>
        <v>309108</v>
      </c>
      <c r="AY36" s="79">
        <f>IF(FormFields[[#This Row],[ID]]="id","form_field",FormFields[[#This Row],[ID]])</f>
        <v>310134</v>
      </c>
      <c r="AZ36" s="113"/>
      <c r="BA36" s="79">
        <f>FormFields[[#This Row],[ID]]</f>
        <v>310134</v>
      </c>
    </row>
    <row r="37" spans="13:53" x14ac:dyDescent="0.25">
      <c r="M37" s="80" t="str">
        <f>'Table Seed Map'!$A$12&amp;"-"&amp;FormFields[[#This Row],[No]]</f>
        <v>Form Fields-35</v>
      </c>
      <c r="N37" s="66" t="s">
        <v>1913</v>
      </c>
      <c r="O37" s="79">
        <f>COUNTA($N$1:FormFields[[#This Row],[Form Name]])-1</f>
        <v>35</v>
      </c>
      <c r="P37" s="80" t="str">
        <f>FormFields[[#This Row],[Form Name]]&amp;"/"&amp;FormFields[[#This Row],[Name]]</f>
        <v>Menu/UpdateMenu/status</v>
      </c>
      <c r="Q37" s="79">
        <f>IF(FormFields[[#This Row],[No]]=0,"id",FormFields[[#This Row],[No]]+IF(ISNUMBER(VLOOKUP('Table Seed Map'!$A$12,SeedMap[],9,0)),VLOOKUP('Table Seed Map'!$A$12,SeedMap[],9,0),0))</f>
        <v>310135</v>
      </c>
      <c r="R37" s="107">
        <f>IFERROR(VLOOKUP(FormFields[[#This Row],[Form Name]],ResourceForms[[FormName]:[ID]],4,0),"resource_form")</f>
        <v>309108</v>
      </c>
      <c r="S37" s="89" t="s">
        <v>776</v>
      </c>
      <c r="T37" s="89" t="s">
        <v>1371</v>
      </c>
      <c r="U37" s="89" t="s">
        <v>1356</v>
      </c>
      <c r="V37" s="108"/>
      <c r="W37" s="108"/>
      <c r="X37" s="108"/>
      <c r="Y37" s="108"/>
      <c r="Z37" s="109" t="str">
        <f>'Table Seed Map'!$A$13&amp;"-"&amp;FormFields[[#This Row],[NO2]]</f>
        <v>Field Data-35</v>
      </c>
      <c r="AA37" s="110">
        <f>COUNTIFS($AB$1:FormFields[[#This Row],[Exists]],1)-1</f>
        <v>35</v>
      </c>
      <c r="AB37" s="110">
        <f>IF(AND(FormFields[[#This Row],[Attribute]]="",FormFields[[#This Row],[Rel]]=""),0,1)</f>
        <v>1</v>
      </c>
      <c r="AC37" s="110">
        <f>IF(FormFields[[#This Row],[NO2]]=0,"id",FormFields[[#This Row],[NO2]]+IF(ISNUMBER(VLOOKUP('Table Seed Map'!$A$13,SeedMap[],9,0)),VLOOKUP('Table Seed Map'!$A$13,SeedMap[],9,0),0))</f>
        <v>311135</v>
      </c>
      <c r="AD37" s="111">
        <f>IF(FormFields[[#This Row],[ID]]="id","form_field",FormFields[[#This Row],[ID]])</f>
        <v>310135</v>
      </c>
      <c r="AE37" s="110" t="str">
        <f>IF(FormFields[[#This Row],[No]]=0,"attribute",FormFields[[#This Row],[Name]])</f>
        <v>status</v>
      </c>
      <c r="AF37" s="84" t="str">
        <f>IF(FormFields[[#This Row],[NO2]]=0,"relation",IF(FormFields[[#This Row],[Rel]]="","",VLOOKUP(FormFields[[#This Row],[Rel]],RelationTable[[Display]:[RELID]],2,0)))</f>
        <v/>
      </c>
      <c r="AG37" s="84" t="str">
        <f>IF(FormFields[[#This Row],[NO2]]=0,"nest_relation1",IF(FormFields[[#This Row],[Rel1]]="","",VLOOKUP(FormFields[[#This Row],[Rel1]],RelationTable[[Display]:[RELID]],2,0)))</f>
        <v/>
      </c>
      <c r="AH37" s="84" t="str">
        <f>IF(FormFields[[#This Row],[NO2]]=0,"nest_relation2",IF(FormFields[[#This Row],[Rel2]]="","",VLOOKUP(FormFields[[#This Row],[Rel2]],RelationTable[[Display]:[RELID]],2,0)))</f>
        <v/>
      </c>
      <c r="AI37" s="84" t="str">
        <f>IF(FormFields[[#This Row],[NO2]]=0,"nest_relation2",IF(FormFields[[#This Row],[Rel2]]="","",VLOOKUP(FormFields[[#This Row],[Rel2]],RelationTable[[Display]:[RELID]],2,0)))</f>
        <v/>
      </c>
      <c r="AJ37" s="79">
        <f>IF(OR(FormFields[[#This Row],[Option Type]]="",FormFields[[#This Row],[Option Type]]="type"),0,1)</f>
        <v>1</v>
      </c>
      <c r="AK37" s="79" t="str">
        <f>'Table Seed Map'!$A$14&amp;"-"&amp;FormFields[[#This Row],[NO4]]</f>
        <v>Field Options-15</v>
      </c>
      <c r="AL37" s="79">
        <f>COUNTIF($AJ$2:FormFields[[#This Row],[Exists FO]],1)</f>
        <v>15</v>
      </c>
      <c r="AM37" s="79">
        <f>IF(FormFields[[#This Row],[NO4]]=0,"id",FormFields[[#This Row],[NO4]]+IF(ISNUMBER(VLOOKUP('Table Seed Map'!$A$14,SeedMap[],9,0)),VLOOKUP('Table Seed Map'!$A$14,SeedMap[],9,0),0))</f>
        <v>312115</v>
      </c>
      <c r="AN37" s="79">
        <f>IF(FormFields[[#This Row],[ID]]="id","form_field",FormFields[[#This Row],[ID]])</f>
        <v>310135</v>
      </c>
      <c r="AO37" s="112" t="s">
        <v>1441</v>
      </c>
      <c r="AP37" s="112"/>
      <c r="AQ37" s="112"/>
      <c r="AR37" s="112"/>
      <c r="AS37" s="112"/>
      <c r="AT37" s="79">
        <f>IF(OR(FormFields[[#This Row],[Colspan]]="",FormFields[[#This Row],[Colspan]]="colspan"),0,1)</f>
        <v>0</v>
      </c>
      <c r="AU37" s="79" t="str">
        <f>'Table Seed Map'!$A$19&amp;"-"&amp;FormFields[[#This Row],[NO8]]</f>
        <v>Form Layout-7</v>
      </c>
      <c r="AV37" s="79">
        <f>COUNTIF($AT$1:FormFields[[#This Row],[Exists FL]],1)</f>
        <v>7</v>
      </c>
      <c r="AW3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7" s="79">
        <f>FormFields[Form]</f>
        <v>309108</v>
      </c>
      <c r="AY37" s="79">
        <f>IF(FormFields[[#This Row],[ID]]="id","form_field",FormFields[[#This Row],[ID]])</f>
        <v>310135</v>
      </c>
      <c r="AZ37" s="113"/>
      <c r="BA37" s="79">
        <f>FormFields[[#This Row],[ID]]</f>
        <v>310135</v>
      </c>
    </row>
    <row r="38" spans="13:53" x14ac:dyDescent="0.25">
      <c r="M38" s="39" t="str">
        <f>'Table Seed Map'!$A$12&amp;"-"&amp;FormFields[[#This Row],[No]]</f>
        <v>Form Fields-36</v>
      </c>
      <c r="N38" s="121" t="s">
        <v>1974</v>
      </c>
      <c r="O38" s="37">
        <f>COUNTA($N$1:FormFields[[#This Row],[Form Name]])-1</f>
        <v>36</v>
      </c>
      <c r="P38" s="39" t="str">
        <f>FormFields[[#This Row],[Form Name]]&amp;"/"&amp;FormFields[[#This Row],[Name]]</f>
        <v>UserExecutive/NewExecutiveLoginMap/login_user</v>
      </c>
      <c r="Q38" s="37">
        <f>IF(FormFields[[#This Row],[No]]=0,"id",FormFields[[#This Row],[No]]+IF(ISNUMBER(VLOOKUP('Table Seed Map'!$A$12,SeedMap[],9,0)),VLOOKUP('Table Seed Map'!$A$12,SeedMap[],9,0),0))</f>
        <v>310136</v>
      </c>
      <c r="R38" s="40">
        <f>IFERROR(VLOOKUP(FormFields[[#This Row],[Form Name]],ResourceForms[[FormName]:[ID]],4,0),"resource_form")</f>
        <v>309109</v>
      </c>
      <c r="S38" s="42" t="s">
        <v>1941</v>
      </c>
      <c r="T38" s="89" t="s">
        <v>1371</v>
      </c>
      <c r="U38" s="42" t="s">
        <v>1975</v>
      </c>
      <c r="V38" s="43"/>
      <c r="W38" s="43"/>
      <c r="X38" s="43"/>
      <c r="Y38" s="43"/>
      <c r="Z38" s="44" t="str">
        <f>'Table Seed Map'!$A$13&amp;"-"&amp;FormFields[[#This Row],[NO2]]</f>
        <v>Field Data-36</v>
      </c>
      <c r="AA38" s="45">
        <f>COUNTIFS($AB$1:FormFields[[#This Row],[Exists]],1)-1</f>
        <v>36</v>
      </c>
      <c r="AB38" s="45">
        <f>IF(AND(FormFields[[#This Row],[Attribute]]="",FormFields[[#This Row],[Rel]]=""),0,1)</f>
        <v>1</v>
      </c>
      <c r="AC38" s="45">
        <f>IF(FormFields[[#This Row],[NO2]]=0,"id",FormFields[[#This Row],[NO2]]+IF(ISNUMBER(VLOOKUP('Table Seed Map'!$A$13,SeedMap[],9,0)),VLOOKUP('Table Seed Map'!$A$13,SeedMap[],9,0),0))</f>
        <v>311136</v>
      </c>
      <c r="AD38" s="122">
        <f>IF(FormFields[[#This Row],[ID]]="id","form_field",FormFields[[#This Row],[ID]])</f>
        <v>310136</v>
      </c>
      <c r="AE38" s="45" t="str">
        <f>IF(FormFields[[#This Row],[No]]=0,"attribute",FormFields[[#This Row],[Name]])</f>
        <v>login_user</v>
      </c>
      <c r="AF38" s="54" t="str">
        <f>IF(FormFields[[#This Row],[NO2]]=0,"relation",IF(FormFields[[#This Row],[Rel]]="","",VLOOKUP(FormFields[[#This Row],[Rel]],RelationTable[[Display]:[RELID]],2,0)))</f>
        <v/>
      </c>
      <c r="AG38" s="54" t="str">
        <f>IF(FormFields[[#This Row],[NO2]]=0,"nest_relation1",IF(FormFields[[#This Row],[Rel1]]="","",VLOOKUP(FormFields[[#This Row],[Rel1]],RelationTable[[Display]:[RELID]],2,0)))</f>
        <v/>
      </c>
      <c r="AH38" s="54" t="str">
        <f>IF(FormFields[[#This Row],[NO2]]=0,"nest_relation2",IF(FormFields[[#This Row],[Rel2]]="","",VLOOKUP(FormFields[[#This Row],[Rel2]],RelationTable[[Display]:[RELID]],2,0)))</f>
        <v/>
      </c>
      <c r="AI38" s="54" t="str">
        <f>IF(FormFields[[#This Row],[NO2]]=0,"nest_relation2",IF(FormFields[[#This Row],[Rel2]]="","",VLOOKUP(FormFields[[#This Row],[Rel2]],RelationTable[[Display]:[RELID]],2,0)))</f>
        <v/>
      </c>
      <c r="AJ38" s="37">
        <f>IF(OR(FormFields[[#This Row],[Option Type]]="",FormFields[[#This Row],[Option Type]]="type"),0,1)</f>
        <v>1</v>
      </c>
      <c r="AK38" s="37" t="str">
        <f>'Table Seed Map'!$A$14&amp;"-"&amp;FormFields[[#This Row],[NO4]]</f>
        <v>Field Options-16</v>
      </c>
      <c r="AL38" s="37">
        <f>COUNTIF($AJ$2:FormFields[[#This Row],[Exists FO]],1)</f>
        <v>16</v>
      </c>
      <c r="AM38" s="37">
        <f>IF(FormFields[[#This Row],[NO4]]=0,"id",FormFields[[#This Row],[NO4]]+IF(ISNUMBER(VLOOKUP('Table Seed Map'!$A$14,SeedMap[],9,0)),VLOOKUP('Table Seed Map'!$A$14,SeedMap[],9,0),0))</f>
        <v>312116</v>
      </c>
      <c r="AN38" s="37">
        <f>IF(FormFields[[#This Row],[ID]]="id","form_field",FormFields[[#This Row],[ID]])</f>
        <v>310136</v>
      </c>
      <c r="AO38" s="47" t="s">
        <v>122</v>
      </c>
      <c r="AP38" s="47">
        <v>322112</v>
      </c>
      <c r="AQ38" s="47" t="s">
        <v>21</v>
      </c>
      <c r="AR38" s="47" t="s">
        <v>1985</v>
      </c>
      <c r="AS38" s="47" t="s">
        <v>1440</v>
      </c>
      <c r="AT38" s="37">
        <f>IF(OR(FormFields[[#This Row],[Colspan]]="",FormFields[[#This Row],[Colspan]]="colspan"),0,1)</f>
        <v>0</v>
      </c>
      <c r="AU38" s="37" t="str">
        <f>'Table Seed Map'!$A$19&amp;"-"&amp;FormFields[[#This Row],[NO8]]</f>
        <v>Form Layout-7</v>
      </c>
      <c r="AV38" s="37">
        <f>COUNTIF($AT$1:FormFields[[#This Row],[Exists FL]],1)</f>
        <v>7</v>
      </c>
      <c r="AW38" s="3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8" s="37">
        <f>FormFields[Form]</f>
        <v>309109</v>
      </c>
      <c r="AY38" s="37">
        <f>IF(FormFields[[#This Row],[ID]]="id","form_field",FormFields[[#This Row],[ID]])</f>
        <v>310136</v>
      </c>
      <c r="AZ38" s="46"/>
      <c r="BA38" s="37">
        <f>FormFields[[#This Row],[ID]]</f>
        <v>310136</v>
      </c>
    </row>
    <row r="39" spans="13:53" x14ac:dyDescent="0.25">
      <c r="M39" s="39" t="str">
        <f>'Table Seed Map'!$A$12&amp;"-"&amp;FormFields[[#This Row],[No]]</f>
        <v>Form Fields-37</v>
      </c>
      <c r="N39" s="121" t="s">
        <v>1974</v>
      </c>
      <c r="O39" s="37">
        <f>COUNTA($N$1:FormFields[[#This Row],[Form Name]])-1</f>
        <v>37</v>
      </c>
      <c r="P39" s="39" t="str">
        <f>FormFields[[#This Row],[Form Name]]&amp;"/"&amp;FormFields[[#This Row],[Name]]</f>
        <v>UserExecutive/NewExecutiveLoginMap/executive_user</v>
      </c>
      <c r="Q39" s="37">
        <f>IF(FormFields[[#This Row],[No]]=0,"id",FormFields[[#This Row],[No]]+IF(ISNUMBER(VLOOKUP('Table Seed Map'!$A$12,SeedMap[],9,0)),VLOOKUP('Table Seed Map'!$A$12,SeedMap[],9,0),0))</f>
        <v>310137</v>
      </c>
      <c r="R39" s="40">
        <f>IFERROR(VLOOKUP(FormFields[[#This Row],[Form Name]],ResourceForms[[FormName]:[ID]],4,0),"resource_form")</f>
        <v>309109</v>
      </c>
      <c r="S39" s="42" t="s">
        <v>1942</v>
      </c>
      <c r="T39" s="89" t="s">
        <v>1371</v>
      </c>
      <c r="U39" s="42" t="s">
        <v>1976</v>
      </c>
      <c r="V39" s="43"/>
      <c r="W39" s="43"/>
      <c r="X39" s="43"/>
      <c r="Y39" s="43"/>
      <c r="Z39" s="44" t="str">
        <f>'Table Seed Map'!$A$13&amp;"-"&amp;FormFields[[#This Row],[NO2]]</f>
        <v>Field Data-37</v>
      </c>
      <c r="AA39" s="45">
        <f>COUNTIFS($AB$1:FormFields[[#This Row],[Exists]],1)-1</f>
        <v>37</v>
      </c>
      <c r="AB39" s="45">
        <f>IF(AND(FormFields[[#This Row],[Attribute]]="",FormFields[[#This Row],[Rel]]=""),0,1)</f>
        <v>1</v>
      </c>
      <c r="AC39" s="45">
        <f>IF(FormFields[[#This Row],[NO2]]=0,"id",FormFields[[#This Row],[NO2]]+IF(ISNUMBER(VLOOKUP('Table Seed Map'!$A$13,SeedMap[],9,0)),VLOOKUP('Table Seed Map'!$A$13,SeedMap[],9,0),0))</f>
        <v>311137</v>
      </c>
      <c r="AD39" s="122">
        <f>IF(FormFields[[#This Row],[ID]]="id","form_field",FormFields[[#This Row],[ID]])</f>
        <v>310137</v>
      </c>
      <c r="AE39" s="45" t="str">
        <f>IF(FormFields[[#This Row],[No]]=0,"attribute",FormFields[[#This Row],[Name]])</f>
        <v>executive_user</v>
      </c>
      <c r="AF39" s="54" t="str">
        <f>IF(FormFields[[#This Row],[NO2]]=0,"relation",IF(FormFields[[#This Row],[Rel]]="","",VLOOKUP(FormFields[[#This Row],[Rel]],RelationTable[[Display]:[RELID]],2,0)))</f>
        <v/>
      </c>
      <c r="AG39" s="54" t="str">
        <f>IF(FormFields[[#This Row],[NO2]]=0,"nest_relation1",IF(FormFields[[#This Row],[Rel1]]="","",VLOOKUP(FormFields[[#This Row],[Rel1]],RelationTable[[Display]:[RELID]],2,0)))</f>
        <v/>
      </c>
      <c r="AH39" s="54" t="str">
        <f>IF(FormFields[[#This Row],[NO2]]=0,"nest_relation2",IF(FormFields[[#This Row],[Rel2]]="","",VLOOKUP(FormFields[[#This Row],[Rel2]],RelationTable[[Display]:[RELID]],2,0)))</f>
        <v/>
      </c>
      <c r="AI39" s="54" t="str">
        <f>IF(FormFields[[#This Row],[NO2]]=0,"nest_relation2",IF(FormFields[[#This Row],[Rel2]]="","",VLOOKUP(FormFields[[#This Row],[Rel2]],RelationTable[[Display]:[RELID]],2,0)))</f>
        <v/>
      </c>
      <c r="AJ39" s="37">
        <f>IF(OR(FormFields[[#This Row],[Option Type]]="",FormFields[[#This Row],[Option Type]]="type"),0,1)</f>
        <v>1</v>
      </c>
      <c r="AK39" s="37" t="str">
        <f>'Table Seed Map'!$A$14&amp;"-"&amp;FormFields[[#This Row],[NO4]]</f>
        <v>Field Options-17</v>
      </c>
      <c r="AL39" s="37">
        <f>COUNTIF($AJ$2:FormFields[[#This Row],[Exists FO]],1)</f>
        <v>17</v>
      </c>
      <c r="AM39" s="37">
        <f>IF(FormFields[[#This Row],[NO4]]=0,"id",FormFields[[#This Row],[NO4]]+IF(ISNUMBER(VLOOKUP('Table Seed Map'!$A$14,SeedMap[],9,0)),VLOOKUP('Table Seed Map'!$A$14,SeedMap[],9,0),0))</f>
        <v>312117</v>
      </c>
      <c r="AN39" s="37">
        <f>IF(FormFields[[#This Row],[ID]]="id","form_field",FormFields[[#This Row],[ID]])</f>
        <v>310137</v>
      </c>
      <c r="AO39" s="47" t="s">
        <v>122</v>
      </c>
      <c r="AP39" s="47">
        <v>322104</v>
      </c>
      <c r="AQ39" s="47" t="s">
        <v>21</v>
      </c>
      <c r="AR39" s="47" t="s">
        <v>1984</v>
      </c>
      <c r="AS39" s="47" t="s">
        <v>1440</v>
      </c>
      <c r="AT39" s="37">
        <f>IF(OR(FormFields[[#This Row],[Colspan]]="",FormFields[[#This Row],[Colspan]]="colspan"),0,1)</f>
        <v>0</v>
      </c>
      <c r="AU39" s="37" t="str">
        <f>'Table Seed Map'!$A$19&amp;"-"&amp;FormFields[[#This Row],[NO8]]</f>
        <v>Form Layout-7</v>
      </c>
      <c r="AV39" s="37">
        <f>COUNTIF($AT$1:FormFields[[#This Row],[Exists FL]],1)</f>
        <v>7</v>
      </c>
      <c r="AW39" s="3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9" s="37">
        <f>FormFields[Form]</f>
        <v>309109</v>
      </c>
      <c r="AY39" s="37">
        <f>IF(FormFields[[#This Row],[ID]]="id","form_field",FormFields[[#This Row],[ID]])</f>
        <v>310137</v>
      </c>
      <c r="AZ39" s="46"/>
      <c r="BA39" s="37">
        <f>FormFields[[#This Row],[ID]]</f>
        <v>310137</v>
      </c>
    </row>
    <row r="40" spans="13:53" x14ac:dyDescent="0.25">
      <c r="M40" s="80" t="str">
        <f>'Table Seed Map'!$A$12&amp;"-"&amp;FormFields[[#This Row],[No]]</f>
        <v>Form Fields-38</v>
      </c>
      <c r="N40" s="66" t="s">
        <v>2008</v>
      </c>
      <c r="O40" s="79">
        <f>COUNTA($N$1:FormFields[[#This Row],[Form Name]])-1</f>
        <v>38</v>
      </c>
      <c r="P40" s="80" t="str">
        <f>FormFields[[#This Row],[Form Name]]&amp;"/"&amp;FormFields[[#This Row],[Name]]</f>
        <v>Printing/NewPrintThroughForm/name</v>
      </c>
      <c r="Q40" s="79">
        <f>IF(FormFields[[#This Row],[No]]=0,"id",FormFields[[#This Row],[No]]+IF(ISNUMBER(VLOOKUP('Table Seed Map'!$A$12,SeedMap[],9,0)),VLOOKUP('Table Seed Map'!$A$12,SeedMap[],9,0),0))</f>
        <v>310138</v>
      </c>
      <c r="R40" s="107">
        <f>IFERROR(VLOOKUP(FormFields[[#This Row],[Form Name]],ResourceForms[[FormName]:[ID]],4,0),"resource_form")</f>
        <v>309110</v>
      </c>
      <c r="S40" s="89" t="s">
        <v>23</v>
      </c>
      <c r="T40" s="89" t="s">
        <v>1370</v>
      </c>
      <c r="U40" s="89" t="s">
        <v>1</v>
      </c>
      <c r="V40" s="108"/>
      <c r="W40" s="108"/>
      <c r="X40" s="108"/>
      <c r="Y40" s="108"/>
      <c r="Z40" s="109" t="str">
        <f>'Table Seed Map'!$A$13&amp;"-"&amp;FormFields[[#This Row],[NO2]]</f>
        <v>Field Data-38</v>
      </c>
      <c r="AA40" s="110">
        <f>COUNTIFS($AB$1:FormFields[[#This Row],[Exists]],1)-1</f>
        <v>38</v>
      </c>
      <c r="AB40" s="110">
        <f>IF(AND(FormFields[[#This Row],[Attribute]]="",FormFields[[#This Row],[Rel]]=""),0,1)</f>
        <v>1</v>
      </c>
      <c r="AC40" s="110">
        <f>IF(FormFields[[#This Row],[NO2]]=0,"id",FormFields[[#This Row],[NO2]]+IF(ISNUMBER(VLOOKUP('Table Seed Map'!$A$13,SeedMap[],9,0)),VLOOKUP('Table Seed Map'!$A$13,SeedMap[],9,0),0))</f>
        <v>311138</v>
      </c>
      <c r="AD40" s="111">
        <f>IF(FormFields[[#This Row],[ID]]="id","form_field",FormFields[[#This Row],[ID]])</f>
        <v>310138</v>
      </c>
      <c r="AE40" s="110" t="str">
        <f>IF(FormFields[[#This Row],[No]]=0,"attribute",FormFields[[#This Row],[Name]])</f>
        <v>name</v>
      </c>
      <c r="AF40" s="84" t="str">
        <f>IF(FormFields[[#This Row],[NO2]]=0,"relation",IF(FormFields[[#This Row],[Rel]]="","",VLOOKUP(FormFields[[#This Row],[Rel]],RelationTable[[Display]:[RELID]],2,0)))</f>
        <v/>
      </c>
      <c r="AG40" s="84" t="str">
        <f>IF(FormFields[[#This Row],[NO2]]=0,"nest_relation1",IF(FormFields[[#This Row],[Rel1]]="","",VLOOKUP(FormFields[[#This Row],[Rel1]],RelationTable[[Display]:[RELID]],2,0)))</f>
        <v/>
      </c>
      <c r="AH40" s="84" t="str">
        <f>IF(FormFields[[#This Row],[NO2]]=0,"nest_relation2",IF(FormFields[[#This Row],[Rel2]]="","",VLOOKUP(FormFields[[#This Row],[Rel2]],RelationTable[[Display]:[RELID]],2,0)))</f>
        <v/>
      </c>
      <c r="AI40" s="84" t="str">
        <f>IF(FormFields[[#This Row],[NO2]]=0,"nest_relation2",IF(FormFields[[#This Row],[Rel2]]="","",VLOOKUP(FormFields[[#This Row],[Rel2]],RelationTable[[Display]:[RELID]],2,0)))</f>
        <v/>
      </c>
      <c r="AJ40" s="79">
        <f>IF(OR(FormFields[[#This Row],[Option Type]]="",FormFields[[#This Row],[Option Type]]="type"),0,1)</f>
        <v>0</v>
      </c>
      <c r="AK40" s="79" t="str">
        <f>'Table Seed Map'!$A$14&amp;"-"&amp;FormFields[[#This Row],[NO4]]</f>
        <v>Field Options-17</v>
      </c>
      <c r="AL40" s="79">
        <f>COUNTIF($AJ$2:FormFields[[#This Row],[Exists FO]],1)</f>
        <v>17</v>
      </c>
      <c r="AM40" s="79">
        <f>IF(FormFields[[#This Row],[NO4]]=0,"id",FormFields[[#This Row],[NO4]]+IF(ISNUMBER(VLOOKUP('Table Seed Map'!$A$14,SeedMap[],9,0)),VLOOKUP('Table Seed Map'!$A$14,SeedMap[],9,0),0))</f>
        <v>312117</v>
      </c>
      <c r="AN40" s="79">
        <f>IF(FormFields[[#This Row],[ID]]="id","form_field",FormFields[[#This Row],[ID]])</f>
        <v>310138</v>
      </c>
      <c r="AO40" s="112"/>
      <c r="AP40" s="112"/>
      <c r="AQ40" s="112"/>
      <c r="AR40" s="112"/>
      <c r="AS40" s="112"/>
      <c r="AT40" s="79">
        <f>IF(OR(FormFields[[#This Row],[Colspan]]="",FormFields[[#This Row],[Colspan]]="colspan"),0,1)</f>
        <v>1</v>
      </c>
      <c r="AU40" s="79" t="str">
        <f>'Table Seed Map'!$A$19&amp;"-"&amp;FormFields[[#This Row],[NO8]]</f>
        <v>Form Layout-8</v>
      </c>
      <c r="AV40" s="79">
        <f>COUNTIF($AT$1:FormFields[[#This Row],[Exists FL]],1)</f>
        <v>8</v>
      </c>
      <c r="AW40" s="79">
        <f>IF(FormFields[[#This Row],[NO8]]=0,"id",IF(FormFields[[#This Row],[Exists FL]]=1,FormFields[[#This Row],[NO8]]+IF(ISNUMBER(VLOOKUP('Table Seed Map'!$A$19,SeedMap[],9,0)),VLOOKUP('Table Seed Map'!$A$19,SeedMap[],9,0),0),""))</f>
        <v>317108</v>
      </c>
      <c r="AX40" s="79">
        <f>FormFields[Form]</f>
        <v>309110</v>
      </c>
      <c r="AY40" s="79">
        <f>IF(FormFields[[#This Row],[ID]]="id","form_field",FormFields[[#This Row],[ID]])</f>
        <v>310138</v>
      </c>
      <c r="AZ40" s="113">
        <v>6</v>
      </c>
      <c r="BA40" s="79">
        <f>FormFields[[#This Row],[ID]]</f>
        <v>310138</v>
      </c>
    </row>
    <row r="41" spans="13:53" x14ac:dyDescent="0.25">
      <c r="M41" s="80" t="str">
        <f>'Table Seed Map'!$A$12&amp;"-"&amp;FormFields[[#This Row],[No]]</f>
        <v>Form Fields-39</v>
      </c>
      <c r="N41" s="66" t="s">
        <v>2008</v>
      </c>
      <c r="O41" s="79">
        <f>COUNTA($N$1:FormFields[[#This Row],[Form Name]])-1</f>
        <v>39</v>
      </c>
      <c r="P41" s="80" t="str">
        <f>FormFields[[#This Row],[Form Name]]&amp;"/"&amp;FormFields[[#This Row],[Name]]</f>
        <v>Printing/NewPrintThroughForm/fncode</v>
      </c>
      <c r="Q41" s="79">
        <f>IF(FormFields[[#This Row],[No]]=0,"id",FormFields[[#This Row],[No]]+IF(ISNUMBER(VLOOKUP('Table Seed Map'!$A$12,SeedMap[],9,0)),VLOOKUP('Table Seed Map'!$A$12,SeedMap[],9,0),0))</f>
        <v>310139</v>
      </c>
      <c r="R41" s="107">
        <f>IFERROR(VLOOKUP(FormFields[[#This Row],[Form Name]],ResourceForms[[FormName]:[ID]],4,0),"resource_form")</f>
        <v>309110</v>
      </c>
      <c r="S41" s="89" t="s">
        <v>858</v>
      </c>
      <c r="T41" s="89" t="s">
        <v>1370</v>
      </c>
      <c r="U41" s="89" t="s">
        <v>2011</v>
      </c>
      <c r="V41" s="108"/>
      <c r="W41" s="108"/>
      <c r="X41" s="108"/>
      <c r="Y41" s="108"/>
      <c r="Z41" s="109" t="str">
        <f>'Table Seed Map'!$A$13&amp;"-"&amp;FormFields[[#This Row],[NO2]]</f>
        <v>Field Data-39</v>
      </c>
      <c r="AA41" s="110">
        <f>COUNTIFS($AB$1:FormFields[[#This Row],[Exists]],1)-1</f>
        <v>39</v>
      </c>
      <c r="AB41" s="110">
        <f>IF(AND(FormFields[[#This Row],[Attribute]]="",FormFields[[#This Row],[Rel]]=""),0,1)</f>
        <v>1</v>
      </c>
      <c r="AC41" s="110">
        <f>IF(FormFields[[#This Row],[NO2]]=0,"id",FormFields[[#This Row],[NO2]]+IF(ISNUMBER(VLOOKUP('Table Seed Map'!$A$13,SeedMap[],9,0)),VLOOKUP('Table Seed Map'!$A$13,SeedMap[],9,0),0))</f>
        <v>311139</v>
      </c>
      <c r="AD41" s="111">
        <f>IF(FormFields[[#This Row],[ID]]="id","form_field",FormFields[[#This Row],[ID]])</f>
        <v>310139</v>
      </c>
      <c r="AE41" s="110" t="str">
        <f>IF(FormFields[[#This Row],[No]]=0,"attribute",FormFields[[#This Row],[Name]])</f>
        <v>fncode</v>
      </c>
      <c r="AF41" s="84" t="str">
        <f>IF(FormFields[[#This Row],[NO2]]=0,"relation",IF(FormFields[[#This Row],[Rel]]="","",VLOOKUP(FormFields[[#This Row],[Rel]],RelationTable[[Display]:[RELID]],2,0)))</f>
        <v/>
      </c>
      <c r="AG41" s="84" t="str">
        <f>IF(FormFields[[#This Row],[NO2]]=0,"nest_relation1",IF(FormFields[[#This Row],[Rel1]]="","",VLOOKUP(FormFields[[#This Row],[Rel1]],RelationTable[[Display]:[RELID]],2,0)))</f>
        <v/>
      </c>
      <c r="AH41" s="84" t="str">
        <f>IF(FormFields[[#This Row],[NO2]]=0,"nest_relation2",IF(FormFields[[#This Row],[Rel2]]="","",VLOOKUP(FormFields[[#This Row],[Rel2]],RelationTable[[Display]:[RELID]],2,0)))</f>
        <v/>
      </c>
      <c r="AI41" s="84" t="str">
        <f>IF(FormFields[[#This Row],[NO2]]=0,"nest_relation2",IF(FormFields[[#This Row],[Rel2]]="","",VLOOKUP(FormFields[[#This Row],[Rel2]],RelationTable[[Display]:[RELID]],2,0)))</f>
        <v/>
      </c>
      <c r="AJ41" s="79">
        <f>IF(OR(FormFields[[#This Row],[Option Type]]="",FormFields[[#This Row],[Option Type]]="type"),0,1)</f>
        <v>0</v>
      </c>
      <c r="AK41" s="79" t="str">
        <f>'Table Seed Map'!$A$14&amp;"-"&amp;FormFields[[#This Row],[NO4]]</f>
        <v>Field Options-17</v>
      </c>
      <c r="AL41" s="79">
        <f>COUNTIF($AJ$2:FormFields[[#This Row],[Exists FO]],1)</f>
        <v>17</v>
      </c>
      <c r="AM41" s="79">
        <f>IF(FormFields[[#This Row],[NO4]]=0,"id",FormFields[[#This Row],[NO4]]+IF(ISNUMBER(VLOOKUP('Table Seed Map'!$A$14,SeedMap[],9,0)),VLOOKUP('Table Seed Map'!$A$14,SeedMap[],9,0),0))</f>
        <v>312117</v>
      </c>
      <c r="AN41" s="79">
        <f>IF(FormFields[[#This Row],[ID]]="id","form_field",FormFields[[#This Row],[ID]])</f>
        <v>310139</v>
      </c>
      <c r="AO41" s="112"/>
      <c r="AP41" s="112"/>
      <c r="AQ41" s="112"/>
      <c r="AR41" s="112"/>
      <c r="AS41" s="112"/>
      <c r="AT41" s="79">
        <f>IF(OR(FormFields[[#This Row],[Colspan]]="",FormFields[[#This Row],[Colspan]]="colspan"),0,1)</f>
        <v>1</v>
      </c>
      <c r="AU41" s="79" t="str">
        <f>'Table Seed Map'!$A$19&amp;"-"&amp;FormFields[[#This Row],[NO8]]</f>
        <v>Form Layout-9</v>
      </c>
      <c r="AV41" s="79">
        <f>COUNTIF($AT$1:FormFields[[#This Row],[Exists FL]],1)</f>
        <v>9</v>
      </c>
      <c r="AW41" s="79">
        <f>IF(FormFields[[#This Row],[NO8]]=0,"id",IF(FormFields[[#This Row],[Exists FL]]=1,FormFields[[#This Row],[NO8]]+IF(ISNUMBER(VLOOKUP('Table Seed Map'!$A$19,SeedMap[],9,0)),VLOOKUP('Table Seed Map'!$A$19,SeedMap[],9,0),0),""))</f>
        <v>317109</v>
      </c>
      <c r="AX41" s="79">
        <f>FormFields[Form]</f>
        <v>309110</v>
      </c>
      <c r="AY41" s="79">
        <f>IF(FormFields[[#This Row],[ID]]="id","form_field",FormFields[[#This Row],[ID]])</f>
        <v>310139</v>
      </c>
      <c r="AZ41" s="113">
        <v>3</v>
      </c>
      <c r="BA41" s="79">
        <f>FormFields[[#This Row],[ID]]</f>
        <v>310139</v>
      </c>
    </row>
    <row r="42" spans="13:53" x14ac:dyDescent="0.25">
      <c r="M42" s="80" t="str">
        <f>'Table Seed Map'!$A$12&amp;"-"&amp;FormFields[[#This Row],[No]]</f>
        <v>Form Fields-40</v>
      </c>
      <c r="N42" s="66" t="s">
        <v>2008</v>
      </c>
      <c r="O42" s="79">
        <f>COUNTA($N$1:FormFields[[#This Row],[Form Name]])-1</f>
        <v>40</v>
      </c>
      <c r="P42" s="80" t="str">
        <f>FormFields[[#This Row],[Form Name]]&amp;"/"&amp;FormFields[[#This Row],[Name]]</f>
        <v>Printing/NewPrintThroughForm/status</v>
      </c>
      <c r="Q42" s="79">
        <f>IF(FormFields[[#This Row],[No]]=0,"id",FormFields[[#This Row],[No]]+IF(ISNUMBER(VLOOKUP('Table Seed Map'!$A$12,SeedMap[],9,0)),VLOOKUP('Table Seed Map'!$A$12,SeedMap[],9,0),0))</f>
        <v>310140</v>
      </c>
      <c r="R42" s="107">
        <f>IFERROR(VLOOKUP(FormFields[[#This Row],[Form Name]],ResourceForms[[FormName]:[ID]],4,0),"resource_form")</f>
        <v>309110</v>
      </c>
      <c r="S42" s="89" t="s">
        <v>776</v>
      </c>
      <c r="T42" s="89" t="s">
        <v>1371</v>
      </c>
      <c r="U42" s="89" t="s">
        <v>1356</v>
      </c>
      <c r="V42" s="108"/>
      <c r="W42" s="108"/>
      <c r="X42" s="108"/>
      <c r="Y42" s="108"/>
      <c r="Z42" s="109" t="str">
        <f>'Table Seed Map'!$A$13&amp;"-"&amp;FormFields[[#This Row],[NO2]]</f>
        <v>Field Data-40</v>
      </c>
      <c r="AA42" s="110">
        <f>COUNTIFS($AB$1:FormFields[[#This Row],[Exists]],1)-1</f>
        <v>40</v>
      </c>
      <c r="AB42" s="110">
        <f>IF(AND(FormFields[[#This Row],[Attribute]]="",FormFields[[#This Row],[Rel]]=""),0,1)</f>
        <v>1</v>
      </c>
      <c r="AC42" s="110">
        <f>IF(FormFields[[#This Row],[NO2]]=0,"id",FormFields[[#This Row],[NO2]]+IF(ISNUMBER(VLOOKUP('Table Seed Map'!$A$13,SeedMap[],9,0)),VLOOKUP('Table Seed Map'!$A$13,SeedMap[],9,0),0))</f>
        <v>311140</v>
      </c>
      <c r="AD42" s="111">
        <f>IF(FormFields[[#This Row],[ID]]="id","form_field",FormFields[[#This Row],[ID]])</f>
        <v>310140</v>
      </c>
      <c r="AE42" s="110" t="str">
        <f>IF(FormFields[[#This Row],[No]]=0,"attribute",FormFields[[#This Row],[Name]])</f>
        <v>status</v>
      </c>
      <c r="AF42" s="84" t="str">
        <f>IF(FormFields[[#This Row],[NO2]]=0,"relation",IF(FormFields[[#This Row],[Rel]]="","",VLOOKUP(FormFields[[#This Row],[Rel]],RelationTable[[Display]:[RELID]],2,0)))</f>
        <v/>
      </c>
      <c r="AG42" s="84" t="str">
        <f>IF(FormFields[[#This Row],[NO2]]=0,"nest_relation1",IF(FormFields[[#This Row],[Rel1]]="","",VLOOKUP(FormFields[[#This Row],[Rel1]],RelationTable[[Display]:[RELID]],2,0)))</f>
        <v/>
      </c>
      <c r="AH42" s="84" t="str">
        <f>IF(FormFields[[#This Row],[NO2]]=0,"nest_relation2",IF(FormFields[[#This Row],[Rel2]]="","",VLOOKUP(FormFields[[#This Row],[Rel2]],RelationTable[[Display]:[RELID]],2,0)))</f>
        <v/>
      </c>
      <c r="AI42" s="84" t="str">
        <f>IF(FormFields[[#This Row],[NO2]]=0,"nest_relation2",IF(FormFields[[#This Row],[Rel2]]="","",VLOOKUP(FormFields[[#This Row],[Rel2]],RelationTable[[Display]:[RELID]],2,0)))</f>
        <v/>
      </c>
      <c r="AJ42" s="79">
        <f>IF(OR(FormFields[[#This Row],[Option Type]]="",FormFields[[#This Row],[Option Type]]="type"),0,1)</f>
        <v>1</v>
      </c>
      <c r="AK42" s="79" t="str">
        <f>'Table Seed Map'!$A$14&amp;"-"&amp;FormFields[[#This Row],[NO4]]</f>
        <v>Field Options-18</v>
      </c>
      <c r="AL42" s="79">
        <f>COUNTIF($AJ$2:FormFields[[#This Row],[Exists FO]],1)</f>
        <v>18</v>
      </c>
      <c r="AM42" s="79">
        <f>IF(FormFields[[#This Row],[NO4]]=0,"id",FormFields[[#This Row],[NO4]]+IF(ISNUMBER(VLOOKUP('Table Seed Map'!$A$14,SeedMap[],9,0)),VLOOKUP('Table Seed Map'!$A$14,SeedMap[],9,0),0))</f>
        <v>312118</v>
      </c>
      <c r="AN42" s="79">
        <f>IF(FormFields[[#This Row],[ID]]="id","form_field",FormFields[[#This Row],[ID]])</f>
        <v>310140</v>
      </c>
      <c r="AO42" s="112" t="s">
        <v>1441</v>
      </c>
      <c r="AP42" s="112"/>
      <c r="AQ42" s="112"/>
      <c r="AR42" s="112"/>
      <c r="AS42" s="112"/>
      <c r="AT42" s="79">
        <f>IF(OR(FormFields[[#This Row],[Colspan]]="",FormFields[[#This Row],[Colspan]]="colspan"),0,1)</f>
        <v>1</v>
      </c>
      <c r="AU42" s="79" t="str">
        <f>'Table Seed Map'!$A$19&amp;"-"&amp;FormFields[[#This Row],[NO8]]</f>
        <v>Form Layout-10</v>
      </c>
      <c r="AV42" s="79">
        <f>COUNTIF($AT$1:FormFields[[#This Row],[Exists FL]],1)</f>
        <v>10</v>
      </c>
      <c r="AW42" s="79">
        <f>IF(FormFields[[#This Row],[NO8]]=0,"id",IF(FormFields[[#This Row],[Exists FL]]=1,FormFields[[#This Row],[NO8]]+IF(ISNUMBER(VLOOKUP('Table Seed Map'!$A$19,SeedMap[],9,0)),VLOOKUP('Table Seed Map'!$A$19,SeedMap[],9,0),0),""))</f>
        <v>317110</v>
      </c>
      <c r="AX42" s="79">
        <f>FormFields[Form]</f>
        <v>309110</v>
      </c>
      <c r="AY42" s="79">
        <f>IF(FormFields[[#This Row],[ID]]="id","form_field",FormFields[[#This Row],[ID]])</f>
        <v>310140</v>
      </c>
      <c r="AZ42" s="113">
        <v>3</v>
      </c>
      <c r="BA42" s="79">
        <f>FormFields[[#This Row],[ID]]</f>
        <v>310140</v>
      </c>
    </row>
    <row r="43" spans="13:53" x14ac:dyDescent="0.25">
      <c r="M43" s="80" t="str">
        <f>'Table Seed Map'!$A$12&amp;"-"&amp;FormFields[[#This Row],[No]]</f>
        <v>Form Fields-41</v>
      </c>
      <c r="N43" s="66" t="s">
        <v>2008</v>
      </c>
      <c r="O43" s="79">
        <f>COUNTA($N$1:FormFields[[#This Row],[Form Name]])-1</f>
        <v>41</v>
      </c>
      <c r="P43" s="80" t="str">
        <f>FormFields[[#This Row],[Form Name]]&amp;"/"&amp;FormFields[[#This Row],[Name]]</f>
        <v>Printing/NewPrintThroughForm/description</v>
      </c>
      <c r="Q43" s="79">
        <f>IF(FormFields[[#This Row],[No]]=0,"id",FormFields[[#This Row],[No]]+IF(ISNUMBER(VLOOKUP('Table Seed Map'!$A$12,SeedMap[],9,0)),VLOOKUP('Table Seed Map'!$A$12,SeedMap[],9,0),0))</f>
        <v>310141</v>
      </c>
      <c r="R43" s="107">
        <f>IFERROR(VLOOKUP(FormFields[[#This Row],[Form Name]],ResourceForms[[FormName]:[ID]],4,0),"resource_form")</f>
        <v>309110</v>
      </c>
      <c r="S43" s="89" t="s">
        <v>24</v>
      </c>
      <c r="T43" s="89" t="s">
        <v>1372</v>
      </c>
      <c r="U43" s="89" t="s">
        <v>102</v>
      </c>
      <c r="V43" s="108"/>
      <c r="W43" s="108"/>
      <c r="X43" s="108"/>
      <c r="Y43" s="108"/>
      <c r="Z43" s="109" t="str">
        <f>'Table Seed Map'!$A$13&amp;"-"&amp;FormFields[[#This Row],[NO2]]</f>
        <v>Field Data-41</v>
      </c>
      <c r="AA43" s="110">
        <f>COUNTIFS($AB$1:FormFields[[#This Row],[Exists]],1)-1</f>
        <v>41</v>
      </c>
      <c r="AB43" s="110">
        <f>IF(AND(FormFields[[#This Row],[Attribute]]="",FormFields[[#This Row],[Rel]]=""),0,1)</f>
        <v>1</v>
      </c>
      <c r="AC43" s="110">
        <f>IF(FormFields[[#This Row],[NO2]]=0,"id",FormFields[[#This Row],[NO2]]+IF(ISNUMBER(VLOOKUP('Table Seed Map'!$A$13,SeedMap[],9,0)),VLOOKUP('Table Seed Map'!$A$13,SeedMap[],9,0),0))</f>
        <v>311141</v>
      </c>
      <c r="AD43" s="111">
        <f>IF(FormFields[[#This Row],[ID]]="id","form_field",FormFields[[#This Row],[ID]])</f>
        <v>310141</v>
      </c>
      <c r="AE43" s="110" t="str">
        <f>IF(FormFields[[#This Row],[No]]=0,"attribute",FormFields[[#This Row],[Name]])</f>
        <v>description</v>
      </c>
      <c r="AF43" s="84" t="str">
        <f>IF(FormFields[[#This Row],[NO2]]=0,"relation",IF(FormFields[[#This Row],[Rel]]="","",VLOOKUP(FormFields[[#This Row],[Rel]],RelationTable[[Display]:[RELID]],2,0)))</f>
        <v/>
      </c>
      <c r="AG43" s="84" t="str">
        <f>IF(FormFields[[#This Row],[NO2]]=0,"nest_relation1",IF(FormFields[[#This Row],[Rel1]]="","",VLOOKUP(FormFields[[#This Row],[Rel1]],RelationTable[[Display]:[RELID]],2,0)))</f>
        <v/>
      </c>
      <c r="AH43" s="84" t="str">
        <f>IF(FormFields[[#This Row],[NO2]]=0,"nest_relation2",IF(FormFields[[#This Row],[Rel2]]="","",VLOOKUP(FormFields[[#This Row],[Rel2]],RelationTable[[Display]:[RELID]],2,0)))</f>
        <v/>
      </c>
      <c r="AI43" s="84" t="str">
        <f>IF(FormFields[[#This Row],[NO2]]=0,"nest_relation2",IF(FormFields[[#This Row],[Rel2]]="","",VLOOKUP(FormFields[[#This Row],[Rel2]],RelationTable[[Display]:[RELID]],2,0)))</f>
        <v/>
      </c>
      <c r="AJ43" s="79">
        <f>IF(OR(FormFields[[#This Row],[Option Type]]="",FormFields[[#This Row],[Option Type]]="type"),0,1)</f>
        <v>0</v>
      </c>
      <c r="AK43" s="79" t="str">
        <f>'Table Seed Map'!$A$14&amp;"-"&amp;FormFields[[#This Row],[NO4]]</f>
        <v>Field Options-18</v>
      </c>
      <c r="AL43" s="79">
        <f>COUNTIF($AJ$2:FormFields[[#This Row],[Exists FO]],1)</f>
        <v>18</v>
      </c>
      <c r="AM43" s="79">
        <f>IF(FormFields[[#This Row],[NO4]]=0,"id",FormFields[[#This Row],[NO4]]+IF(ISNUMBER(VLOOKUP('Table Seed Map'!$A$14,SeedMap[],9,0)),VLOOKUP('Table Seed Map'!$A$14,SeedMap[],9,0),0))</f>
        <v>312118</v>
      </c>
      <c r="AN43" s="79">
        <f>IF(FormFields[[#This Row],[ID]]="id","form_field",FormFields[[#This Row],[ID]])</f>
        <v>310141</v>
      </c>
      <c r="AO43" s="112"/>
      <c r="AP43" s="112"/>
      <c r="AQ43" s="112"/>
      <c r="AR43" s="112"/>
      <c r="AS43" s="112"/>
      <c r="AT43" s="79">
        <f>IF(OR(FormFields[[#This Row],[Colspan]]="",FormFields[[#This Row],[Colspan]]="colspan"),0,1)</f>
        <v>1</v>
      </c>
      <c r="AU43" s="79" t="str">
        <f>'Table Seed Map'!$A$19&amp;"-"&amp;FormFields[[#This Row],[NO8]]</f>
        <v>Form Layout-11</v>
      </c>
      <c r="AV43" s="79">
        <f>COUNTIF($AT$1:FormFields[[#This Row],[Exists FL]],1)</f>
        <v>11</v>
      </c>
      <c r="AW43" s="79">
        <f>IF(FormFields[[#This Row],[NO8]]=0,"id",IF(FormFields[[#This Row],[Exists FL]]=1,FormFields[[#This Row],[NO8]]+IF(ISNUMBER(VLOOKUP('Table Seed Map'!$A$19,SeedMap[],9,0)),VLOOKUP('Table Seed Map'!$A$19,SeedMap[],9,0),0),""))</f>
        <v>317111</v>
      </c>
      <c r="AX43" s="79">
        <f>FormFields[Form]</f>
        <v>309110</v>
      </c>
      <c r="AY43" s="79">
        <f>IF(FormFields[[#This Row],[ID]]="id","form_field",FormFields[[#This Row],[ID]])</f>
        <v>310141</v>
      </c>
      <c r="AZ43" s="113">
        <v>12</v>
      </c>
      <c r="BA43" s="79">
        <f>FormFields[[#This Row],[ID]]</f>
        <v>310141</v>
      </c>
    </row>
    <row r="44" spans="13:53" x14ac:dyDescent="0.25">
      <c r="M44" s="80" t="str">
        <f>'Table Seed Map'!$A$12&amp;"-"&amp;FormFields[[#This Row],[No]]</f>
        <v>Form Fields-42</v>
      </c>
      <c r="N44" s="66" t="s">
        <v>2008</v>
      </c>
      <c r="O44" s="79">
        <f>COUNTA($N$1:FormFields[[#This Row],[Form Name]])-1</f>
        <v>42</v>
      </c>
      <c r="P44" s="80" t="str">
        <f>FormFields[[#This Row],[Form Name]]&amp;"/"&amp;FormFields[[#This Row],[Name]]</f>
        <v>Printing/NewPrintThroughForm/query1</v>
      </c>
      <c r="Q44" s="79">
        <f>IF(FormFields[[#This Row],[No]]=0,"id",FormFields[[#This Row],[No]]+IF(ISNUMBER(VLOOKUP('Table Seed Map'!$A$12,SeedMap[],9,0)),VLOOKUP('Table Seed Map'!$A$12,SeedMap[],9,0),0))</f>
        <v>310142</v>
      </c>
      <c r="R44" s="107">
        <f>IFERROR(VLOOKUP(FormFields[[#This Row],[Form Name]],ResourceForms[[FormName]:[ID]],4,0),"resource_form")</f>
        <v>309110</v>
      </c>
      <c r="S44" s="89" t="s">
        <v>1986</v>
      </c>
      <c r="T44" s="89" t="s">
        <v>1372</v>
      </c>
      <c r="U44" s="89" t="s">
        <v>2019</v>
      </c>
      <c r="V44" s="108"/>
      <c r="W44" s="108"/>
      <c r="X44" s="108"/>
      <c r="Y44" s="108"/>
      <c r="Z44" s="109" t="str">
        <f>'Table Seed Map'!$A$13&amp;"-"&amp;FormFields[[#This Row],[NO2]]</f>
        <v>Field Data-42</v>
      </c>
      <c r="AA44" s="110">
        <f>COUNTIFS($AB$1:FormFields[[#This Row],[Exists]],1)-1</f>
        <v>42</v>
      </c>
      <c r="AB44" s="110">
        <f>IF(AND(FormFields[[#This Row],[Attribute]]="",FormFields[[#This Row],[Rel]]=""),0,1)</f>
        <v>1</v>
      </c>
      <c r="AC44" s="110">
        <f>IF(FormFields[[#This Row],[NO2]]=0,"id",FormFields[[#This Row],[NO2]]+IF(ISNUMBER(VLOOKUP('Table Seed Map'!$A$13,SeedMap[],9,0)),VLOOKUP('Table Seed Map'!$A$13,SeedMap[],9,0),0))</f>
        <v>311142</v>
      </c>
      <c r="AD44" s="111">
        <f>IF(FormFields[[#This Row],[ID]]="id","form_field",FormFields[[#This Row],[ID]])</f>
        <v>310142</v>
      </c>
      <c r="AE44" s="110" t="str">
        <f>IF(FormFields[[#This Row],[No]]=0,"attribute",FormFields[[#This Row],[Name]])</f>
        <v>query1</v>
      </c>
      <c r="AF44" s="84" t="str">
        <f>IF(FormFields[[#This Row],[NO2]]=0,"relation",IF(FormFields[[#This Row],[Rel]]="","",VLOOKUP(FormFields[[#This Row],[Rel]],RelationTable[[Display]:[RELID]],2,0)))</f>
        <v/>
      </c>
      <c r="AG44" s="84" t="str">
        <f>IF(FormFields[[#This Row],[NO2]]=0,"nest_relation1",IF(FormFields[[#This Row],[Rel1]]="","",VLOOKUP(FormFields[[#This Row],[Rel1]],RelationTable[[Display]:[RELID]],2,0)))</f>
        <v/>
      </c>
      <c r="AH44" s="84" t="str">
        <f>IF(FormFields[[#This Row],[NO2]]=0,"nest_relation2",IF(FormFields[[#This Row],[Rel2]]="","",VLOOKUP(FormFields[[#This Row],[Rel2]],RelationTable[[Display]:[RELID]],2,0)))</f>
        <v/>
      </c>
      <c r="AI44" s="84" t="str">
        <f>IF(FormFields[[#This Row],[NO2]]=0,"nest_relation2",IF(FormFields[[#This Row],[Rel2]]="","",VLOOKUP(FormFields[[#This Row],[Rel2]],RelationTable[[Display]:[RELID]],2,0)))</f>
        <v/>
      </c>
      <c r="AJ44" s="79">
        <f>IF(OR(FormFields[[#This Row],[Option Type]]="",FormFields[[#This Row],[Option Type]]="type"),0,1)</f>
        <v>0</v>
      </c>
      <c r="AK44" s="79" t="str">
        <f>'Table Seed Map'!$A$14&amp;"-"&amp;FormFields[[#This Row],[NO4]]</f>
        <v>Field Options-18</v>
      </c>
      <c r="AL44" s="79">
        <f>COUNTIF($AJ$2:FormFields[[#This Row],[Exists FO]],1)</f>
        <v>18</v>
      </c>
      <c r="AM44" s="79">
        <f>IF(FormFields[[#This Row],[NO4]]=0,"id",FormFields[[#This Row],[NO4]]+IF(ISNUMBER(VLOOKUP('Table Seed Map'!$A$14,SeedMap[],9,0)),VLOOKUP('Table Seed Map'!$A$14,SeedMap[],9,0),0))</f>
        <v>312118</v>
      </c>
      <c r="AN44" s="79">
        <f>IF(FormFields[[#This Row],[ID]]="id","form_field",FormFields[[#This Row],[ID]])</f>
        <v>310142</v>
      </c>
      <c r="AO44" s="112"/>
      <c r="AP44" s="112"/>
      <c r="AQ44" s="112"/>
      <c r="AR44" s="112"/>
      <c r="AS44" s="112"/>
      <c r="AT44" s="79">
        <f>IF(OR(FormFields[[#This Row],[Colspan]]="",FormFields[[#This Row],[Colspan]]="colspan"),0,1)</f>
        <v>1</v>
      </c>
      <c r="AU44" s="79" t="str">
        <f>'Table Seed Map'!$A$19&amp;"-"&amp;FormFields[[#This Row],[NO8]]</f>
        <v>Form Layout-12</v>
      </c>
      <c r="AV44" s="79">
        <f>COUNTIF($AT$1:FormFields[[#This Row],[Exists FL]],1)</f>
        <v>12</v>
      </c>
      <c r="AW44" s="79">
        <f>IF(FormFields[[#This Row],[NO8]]=0,"id",IF(FormFields[[#This Row],[Exists FL]]=1,FormFields[[#This Row],[NO8]]+IF(ISNUMBER(VLOOKUP('Table Seed Map'!$A$19,SeedMap[],9,0)),VLOOKUP('Table Seed Map'!$A$19,SeedMap[],9,0),0),""))</f>
        <v>317112</v>
      </c>
      <c r="AX44" s="79">
        <f>FormFields[Form]</f>
        <v>309110</v>
      </c>
      <c r="AY44" s="79">
        <f>IF(FormFields[[#This Row],[ID]]="id","form_field",FormFields[[#This Row],[ID]])</f>
        <v>310142</v>
      </c>
      <c r="AZ44" s="113">
        <v>9</v>
      </c>
      <c r="BA44" s="79">
        <f>FormFields[[#This Row],[ID]]</f>
        <v>310142</v>
      </c>
    </row>
    <row r="45" spans="13:53" x14ac:dyDescent="0.25">
      <c r="M45" s="80" t="str">
        <f>'Table Seed Map'!$A$12&amp;"-"&amp;FormFields[[#This Row],[No]]</f>
        <v>Form Fields-43</v>
      </c>
      <c r="N45" s="66" t="s">
        <v>2008</v>
      </c>
      <c r="O45" s="79">
        <f>COUNTA($N$1:FormFields[[#This Row],[Form Name]])-1</f>
        <v>43</v>
      </c>
      <c r="P45" s="80" t="str">
        <f>FormFields[[#This Row],[Form Name]]&amp;"/"&amp;FormFields[[#This Row],[Name]]</f>
        <v>Printing/NewPrintThroughForm/query1_props</v>
      </c>
      <c r="Q45" s="79">
        <f>IF(FormFields[[#This Row],[No]]=0,"id",FormFields[[#This Row],[No]]+IF(ISNUMBER(VLOOKUP('Table Seed Map'!$A$12,SeedMap[],9,0)),VLOOKUP('Table Seed Map'!$A$12,SeedMap[],9,0),0))</f>
        <v>310143</v>
      </c>
      <c r="R45" s="107">
        <f>IFERROR(VLOOKUP(FormFields[[#This Row],[Form Name]],ResourceForms[[FormName]:[ID]],4,0),"resource_form")</f>
        <v>309110</v>
      </c>
      <c r="S45" s="89" t="s">
        <v>1992</v>
      </c>
      <c r="T45" s="89" t="s">
        <v>1372</v>
      </c>
      <c r="U45" s="89" t="s">
        <v>2020</v>
      </c>
      <c r="V45" s="108"/>
      <c r="W45" s="108"/>
      <c r="X45" s="108"/>
      <c r="Y45" s="108"/>
      <c r="Z45" s="109" t="str">
        <f>'Table Seed Map'!$A$13&amp;"-"&amp;FormFields[[#This Row],[NO2]]</f>
        <v>Field Data-43</v>
      </c>
      <c r="AA45" s="110">
        <f>COUNTIFS($AB$1:FormFields[[#This Row],[Exists]],1)-1</f>
        <v>43</v>
      </c>
      <c r="AB45" s="110">
        <f>IF(AND(FormFields[[#This Row],[Attribute]]="",FormFields[[#This Row],[Rel]]=""),0,1)</f>
        <v>1</v>
      </c>
      <c r="AC45" s="110">
        <f>IF(FormFields[[#This Row],[NO2]]=0,"id",FormFields[[#This Row],[NO2]]+IF(ISNUMBER(VLOOKUP('Table Seed Map'!$A$13,SeedMap[],9,0)),VLOOKUP('Table Seed Map'!$A$13,SeedMap[],9,0),0))</f>
        <v>311143</v>
      </c>
      <c r="AD45" s="111">
        <f>IF(FormFields[[#This Row],[ID]]="id","form_field",FormFields[[#This Row],[ID]])</f>
        <v>310143</v>
      </c>
      <c r="AE45" s="110" t="str">
        <f>IF(FormFields[[#This Row],[No]]=0,"attribute",FormFields[[#This Row],[Name]])</f>
        <v>query1_props</v>
      </c>
      <c r="AF45" s="84" t="str">
        <f>IF(FormFields[[#This Row],[NO2]]=0,"relation",IF(FormFields[[#This Row],[Rel]]="","",VLOOKUP(FormFields[[#This Row],[Rel]],RelationTable[[Display]:[RELID]],2,0)))</f>
        <v/>
      </c>
      <c r="AG45" s="84" t="str">
        <f>IF(FormFields[[#This Row],[NO2]]=0,"nest_relation1",IF(FormFields[[#This Row],[Rel1]]="","",VLOOKUP(FormFields[[#This Row],[Rel1]],RelationTable[[Display]:[RELID]],2,0)))</f>
        <v/>
      </c>
      <c r="AH45" s="84" t="str">
        <f>IF(FormFields[[#This Row],[NO2]]=0,"nest_relation2",IF(FormFields[[#This Row],[Rel2]]="","",VLOOKUP(FormFields[[#This Row],[Rel2]],RelationTable[[Display]:[RELID]],2,0)))</f>
        <v/>
      </c>
      <c r="AI45" s="84" t="str">
        <f>IF(FormFields[[#This Row],[NO2]]=0,"nest_relation2",IF(FormFields[[#This Row],[Rel2]]="","",VLOOKUP(FormFields[[#This Row],[Rel2]],RelationTable[[Display]:[RELID]],2,0)))</f>
        <v/>
      </c>
      <c r="AJ45" s="79">
        <f>IF(OR(FormFields[[#This Row],[Option Type]]="",FormFields[[#This Row],[Option Type]]="type"),0,1)</f>
        <v>0</v>
      </c>
      <c r="AK45" s="79" t="str">
        <f>'Table Seed Map'!$A$14&amp;"-"&amp;FormFields[[#This Row],[NO4]]</f>
        <v>Field Options-18</v>
      </c>
      <c r="AL45" s="79">
        <f>COUNTIF($AJ$2:FormFields[[#This Row],[Exists FO]],1)</f>
        <v>18</v>
      </c>
      <c r="AM45" s="79">
        <f>IF(FormFields[[#This Row],[NO4]]=0,"id",FormFields[[#This Row],[NO4]]+IF(ISNUMBER(VLOOKUP('Table Seed Map'!$A$14,SeedMap[],9,0)),VLOOKUP('Table Seed Map'!$A$14,SeedMap[],9,0),0))</f>
        <v>312118</v>
      </c>
      <c r="AN45" s="79">
        <f>IF(FormFields[[#This Row],[ID]]="id","form_field",FormFields[[#This Row],[ID]])</f>
        <v>310143</v>
      </c>
      <c r="AO45" s="112"/>
      <c r="AP45" s="112"/>
      <c r="AQ45" s="112"/>
      <c r="AR45" s="112"/>
      <c r="AS45" s="112"/>
      <c r="AT45" s="79">
        <f>IF(OR(FormFields[[#This Row],[Colspan]]="",FormFields[[#This Row],[Colspan]]="colspan"),0,1)</f>
        <v>1</v>
      </c>
      <c r="AU45" s="79" t="str">
        <f>'Table Seed Map'!$A$19&amp;"-"&amp;FormFields[[#This Row],[NO8]]</f>
        <v>Form Layout-13</v>
      </c>
      <c r="AV45" s="79">
        <f>COUNTIF($AT$1:FormFields[[#This Row],[Exists FL]],1)</f>
        <v>13</v>
      </c>
      <c r="AW45" s="79">
        <f>IF(FormFields[[#This Row],[NO8]]=0,"id",IF(FormFields[[#This Row],[Exists FL]]=1,FormFields[[#This Row],[NO8]]+IF(ISNUMBER(VLOOKUP('Table Seed Map'!$A$19,SeedMap[],9,0)),VLOOKUP('Table Seed Map'!$A$19,SeedMap[],9,0),0),""))</f>
        <v>317113</v>
      </c>
      <c r="AX45" s="79">
        <f>FormFields[Form]</f>
        <v>309110</v>
      </c>
      <c r="AY45" s="79">
        <f>IF(FormFields[[#This Row],[ID]]="id","form_field",FormFields[[#This Row],[ID]])</f>
        <v>310143</v>
      </c>
      <c r="AZ45" s="113">
        <v>3</v>
      </c>
      <c r="BA45" s="79">
        <f>FormFields[[#This Row],[ID]]</f>
        <v>310143</v>
      </c>
    </row>
    <row r="46" spans="13:53" x14ac:dyDescent="0.25">
      <c r="M46" s="80" t="str">
        <f>'Table Seed Map'!$A$12&amp;"-"&amp;FormFields[[#This Row],[No]]</f>
        <v>Form Fields-44</v>
      </c>
      <c r="N46" s="66" t="s">
        <v>2008</v>
      </c>
      <c r="O46" s="79">
        <f>COUNTA($N$1:FormFields[[#This Row],[Form Name]])-1</f>
        <v>44</v>
      </c>
      <c r="P46" s="80" t="str">
        <f>FormFields[[#This Row],[Form Name]]&amp;"/"&amp;FormFields[[#This Row],[Name]]</f>
        <v>Printing/NewPrintThroughForm/query2</v>
      </c>
      <c r="Q46" s="79">
        <f>IF(FormFields[[#This Row],[No]]=0,"id",FormFields[[#This Row],[No]]+IF(ISNUMBER(VLOOKUP('Table Seed Map'!$A$12,SeedMap[],9,0)),VLOOKUP('Table Seed Map'!$A$12,SeedMap[],9,0),0))</f>
        <v>310144</v>
      </c>
      <c r="R46" s="107">
        <f>IFERROR(VLOOKUP(FormFields[[#This Row],[Form Name]],ResourceForms[[FormName]:[ID]],4,0),"resource_form")</f>
        <v>309110</v>
      </c>
      <c r="S46" s="89" t="s">
        <v>1987</v>
      </c>
      <c r="T46" s="89" t="s">
        <v>1372</v>
      </c>
      <c r="U46" s="89" t="s">
        <v>2021</v>
      </c>
      <c r="V46" s="108"/>
      <c r="W46" s="108"/>
      <c r="X46" s="108"/>
      <c r="Y46" s="108"/>
      <c r="Z46" s="109" t="str">
        <f>'Table Seed Map'!$A$13&amp;"-"&amp;FormFields[[#This Row],[NO2]]</f>
        <v>Field Data-44</v>
      </c>
      <c r="AA46" s="110">
        <f>COUNTIFS($AB$1:FormFields[[#This Row],[Exists]],1)-1</f>
        <v>44</v>
      </c>
      <c r="AB46" s="110">
        <f>IF(AND(FormFields[[#This Row],[Attribute]]="",FormFields[[#This Row],[Rel]]=""),0,1)</f>
        <v>1</v>
      </c>
      <c r="AC46" s="110">
        <f>IF(FormFields[[#This Row],[NO2]]=0,"id",FormFields[[#This Row],[NO2]]+IF(ISNUMBER(VLOOKUP('Table Seed Map'!$A$13,SeedMap[],9,0)),VLOOKUP('Table Seed Map'!$A$13,SeedMap[],9,0),0))</f>
        <v>311144</v>
      </c>
      <c r="AD46" s="111">
        <f>IF(FormFields[[#This Row],[ID]]="id","form_field",FormFields[[#This Row],[ID]])</f>
        <v>310144</v>
      </c>
      <c r="AE46" s="110" t="str">
        <f>IF(FormFields[[#This Row],[No]]=0,"attribute",FormFields[[#This Row],[Name]])</f>
        <v>query2</v>
      </c>
      <c r="AF46" s="84" t="str">
        <f>IF(FormFields[[#This Row],[NO2]]=0,"relation",IF(FormFields[[#This Row],[Rel]]="","",VLOOKUP(FormFields[[#This Row],[Rel]],RelationTable[[Display]:[RELID]],2,0)))</f>
        <v/>
      </c>
      <c r="AG46" s="84" t="str">
        <f>IF(FormFields[[#This Row],[NO2]]=0,"nest_relation1",IF(FormFields[[#This Row],[Rel1]]="","",VLOOKUP(FormFields[[#This Row],[Rel1]],RelationTable[[Display]:[RELID]],2,0)))</f>
        <v/>
      </c>
      <c r="AH46" s="84" t="str">
        <f>IF(FormFields[[#This Row],[NO2]]=0,"nest_relation2",IF(FormFields[[#This Row],[Rel2]]="","",VLOOKUP(FormFields[[#This Row],[Rel2]],RelationTable[[Display]:[RELID]],2,0)))</f>
        <v/>
      </c>
      <c r="AI46" s="84" t="str">
        <f>IF(FormFields[[#This Row],[NO2]]=0,"nest_relation2",IF(FormFields[[#This Row],[Rel2]]="","",VLOOKUP(FormFields[[#This Row],[Rel2]],RelationTable[[Display]:[RELID]],2,0)))</f>
        <v/>
      </c>
      <c r="AJ46" s="79">
        <f>IF(OR(FormFields[[#This Row],[Option Type]]="",FormFields[[#This Row],[Option Type]]="type"),0,1)</f>
        <v>0</v>
      </c>
      <c r="AK46" s="79" t="str">
        <f>'Table Seed Map'!$A$14&amp;"-"&amp;FormFields[[#This Row],[NO4]]</f>
        <v>Field Options-18</v>
      </c>
      <c r="AL46" s="79">
        <f>COUNTIF($AJ$2:FormFields[[#This Row],[Exists FO]],1)</f>
        <v>18</v>
      </c>
      <c r="AM46" s="79">
        <f>IF(FormFields[[#This Row],[NO4]]=0,"id",FormFields[[#This Row],[NO4]]+IF(ISNUMBER(VLOOKUP('Table Seed Map'!$A$14,SeedMap[],9,0)),VLOOKUP('Table Seed Map'!$A$14,SeedMap[],9,0),0))</f>
        <v>312118</v>
      </c>
      <c r="AN46" s="79">
        <f>IF(FormFields[[#This Row],[ID]]="id","form_field",FormFields[[#This Row],[ID]])</f>
        <v>310144</v>
      </c>
      <c r="AO46" s="112"/>
      <c r="AP46" s="112"/>
      <c r="AQ46" s="112"/>
      <c r="AR46" s="112"/>
      <c r="AS46" s="112"/>
      <c r="AT46" s="79">
        <f>IF(OR(FormFields[[#This Row],[Colspan]]="",FormFields[[#This Row],[Colspan]]="colspan"),0,1)</f>
        <v>1</v>
      </c>
      <c r="AU46" s="79" t="str">
        <f>'Table Seed Map'!$A$19&amp;"-"&amp;FormFields[[#This Row],[NO8]]</f>
        <v>Form Layout-14</v>
      </c>
      <c r="AV46" s="79">
        <f>COUNTIF($AT$1:FormFields[[#This Row],[Exists FL]],1)</f>
        <v>14</v>
      </c>
      <c r="AW46" s="79">
        <f>IF(FormFields[[#This Row],[NO8]]=0,"id",IF(FormFields[[#This Row],[Exists FL]]=1,FormFields[[#This Row],[NO8]]+IF(ISNUMBER(VLOOKUP('Table Seed Map'!$A$19,SeedMap[],9,0)),VLOOKUP('Table Seed Map'!$A$19,SeedMap[],9,0),0),""))</f>
        <v>317114</v>
      </c>
      <c r="AX46" s="79">
        <f>FormFields[Form]</f>
        <v>309110</v>
      </c>
      <c r="AY46" s="79">
        <f>IF(FormFields[[#This Row],[ID]]="id","form_field",FormFields[[#This Row],[ID]])</f>
        <v>310144</v>
      </c>
      <c r="AZ46" s="113">
        <v>6</v>
      </c>
      <c r="BA46" s="79">
        <f>FormFields[[#This Row],[ID]]</f>
        <v>310144</v>
      </c>
    </row>
    <row r="47" spans="13:53" x14ac:dyDescent="0.25">
      <c r="M47" s="80" t="str">
        <f>'Table Seed Map'!$A$12&amp;"-"&amp;FormFields[[#This Row],[No]]</f>
        <v>Form Fields-45</v>
      </c>
      <c r="N47" s="66" t="s">
        <v>2008</v>
      </c>
      <c r="O47" s="79">
        <f>COUNTA($N$1:FormFields[[#This Row],[Form Name]])-1</f>
        <v>45</v>
      </c>
      <c r="P47" s="80" t="str">
        <f>FormFields[[#This Row],[Form Name]]&amp;"/"&amp;FormFields[[#This Row],[Name]]</f>
        <v>Printing/NewPrintThroughForm/query3</v>
      </c>
      <c r="Q47" s="79">
        <f>IF(FormFields[[#This Row],[No]]=0,"id",FormFields[[#This Row],[No]]+IF(ISNUMBER(VLOOKUP('Table Seed Map'!$A$12,SeedMap[],9,0)),VLOOKUP('Table Seed Map'!$A$12,SeedMap[],9,0),0))</f>
        <v>310145</v>
      </c>
      <c r="R47" s="107">
        <f>IFERROR(VLOOKUP(FormFields[[#This Row],[Form Name]],ResourceForms[[FormName]:[ID]],4,0),"resource_form")</f>
        <v>309110</v>
      </c>
      <c r="S47" s="89" t="s">
        <v>1988</v>
      </c>
      <c r="T47" s="89" t="s">
        <v>1372</v>
      </c>
      <c r="U47" s="89" t="s">
        <v>2022</v>
      </c>
      <c r="V47" s="108"/>
      <c r="W47" s="108"/>
      <c r="X47" s="108"/>
      <c r="Y47" s="108"/>
      <c r="Z47" s="109" t="str">
        <f>'Table Seed Map'!$A$13&amp;"-"&amp;FormFields[[#This Row],[NO2]]</f>
        <v>Field Data-45</v>
      </c>
      <c r="AA47" s="110">
        <f>COUNTIFS($AB$1:FormFields[[#This Row],[Exists]],1)-1</f>
        <v>45</v>
      </c>
      <c r="AB47" s="110">
        <f>IF(AND(FormFields[[#This Row],[Attribute]]="",FormFields[[#This Row],[Rel]]=""),0,1)</f>
        <v>1</v>
      </c>
      <c r="AC47" s="110">
        <f>IF(FormFields[[#This Row],[NO2]]=0,"id",FormFields[[#This Row],[NO2]]+IF(ISNUMBER(VLOOKUP('Table Seed Map'!$A$13,SeedMap[],9,0)),VLOOKUP('Table Seed Map'!$A$13,SeedMap[],9,0),0))</f>
        <v>311145</v>
      </c>
      <c r="AD47" s="111">
        <f>IF(FormFields[[#This Row],[ID]]="id","form_field",FormFields[[#This Row],[ID]])</f>
        <v>310145</v>
      </c>
      <c r="AE47" s="110" t="str">
        <f>IF(FormFields[[#This Row],[No]]=0,"attribute",FormFields[[#This Row],[Name]])</f>
        <v>query3</v>
      </c>
      <c r="AF47" s="84" t="str">
        <f>IF(FormFields[[#This Row],[NO2]]=0,"relation",IF(FormFields[[#This Row],[Rel]]="","",VLOOKUP(FormFields[[#This Row],[Rel]],RelationTable[[Display]:[RELID]],2,0)))</f>
        <v/>
      </c>
      <c r="AG47" s="84" t="str">
        <f>IF(FormFields[[#This Row],[NO2]]=0,"nest_relation1",IF(FormFields[[#This Row],[Rel1]]="","",VLOOKUP(FormFields[[#This Row],[Rel1]],RelationTable[[Display]:[RELID]],2,0)))</f>
        <v/>
      </c>
      <c r="AH47" s="84" t="str">
        <f>IF(FormFields[[#This Row],[NO2]]=0,"nest_relation2",IF(FormFields[[#This Row],[Rel2]]="","",VLOOKUP(FormFields[[#This Row],[Rel2]],RelationTable[[Display]:[RELID]],2,0)))</f>
        <v/>
      </c>
      <c r="AI47" s="84" t="str">
        <f>IF(FormFields[[#This Row],[NO2]]=0,"nest_relation2",IF(FormFields[[#This Row],[Rel2]]="","",VLOOKUP(FormFields[[#This Row],[Rel2]],RelationTable[[Display]:[RELID]],2,0)))</f>
        <v/>
      </c>
      <c r="AJ47" s="79">
        <f>IF(OR(FormFields[[#This Row],[Option Type]]="",FormFields[[#This Row],[Option Type]]="type"),0,1)</f>
        <v>0</v>
      </c>
      <c r="AK47" s="79" t="str">
        <f>'Table Seed Map'!$A$14&amp;"-"&amp;FormFields[[#This Row],[NO4]]</f>
        <v>Field Options-18</v>
      </c>
      <c r="AL47" s="79">
        <f>COUNTIF($AJ$2:FormFields[[#This Row],[Exists FO]],1)</f>
        <v>18</v>
      </c>
      <c r="AM47" s="79">
        <f>IF(FormFields[[#This Row],[NO4]]=0,"id",FormFields[[#This Row],[NO4]]+IF(ISNUMBER(VLOOKUP('Table Seed Map'!$A$14,SeedMap[],9,0)),VLOOKUP('Table Seed Map'!$A$14,SeedMap[],9,0),0))</f>
        <v>312118</v>
      </c>
      <c r="AN47" s="79">
        <f>IF(FormFields[[#This Row],[ID]]="id","form_field",FormFields[[#This Row],[ID]])</f>
        <v>310145</v>
      </c>
      <c r="AO47" s="112"/>
      <c r="AP47" s="112"/>
      <c r="AQ47" s="112"/>
      <c r="AR47" s="112"/>
      <c r="AS47" s="112"/>
      <c r="AT47" s="79">
        <f>IF(OR(FormFields[[#This Row],[Colspan]]="",FormFields[[#This Row],[Colspan]]="colspan"),0,1)</f>
        <v>1</v>
      </c>
      <c r="AU47" s="79" t="str">
        <f>'Table Seed Map'!$A$19&amp;"-"&amp;FormFields[[#This Row],[NO8]]</f>
        <v>Form Layout-15</v>
      </c>
      <c r="AV47" s="79">
        <f>COUNTIF($AT$1:FormFields[[#This Row],[Exists FL]],1)</f>
        <v>15</v>
      </c>
      <c r="AW47" s="79">
        <f>IF(FormFields[[#This Row],[NO8]]=0,"id",IF(FormFields[[#This Row],[Exists FL]]=1,FormFields[[#This Row],[NO8]]+IF(ISNUMBER(VLOOKUP('Table Seed Map'!$A$19,SeedMap[],9,0)),VLOOKUP('Table Seed Map'!$A$19,SeedMap[],9,0),0),""))</f>
        <v>317115</v>
      </c>
      <c r="AX47" s="79">
        <f>FormFields[Form]</f>
        <v>309110</v>
      </c>
      <c r="AY47" s="79">
        <f>IF(FormFields[[#This Row],[ID]]="id","form_field",FormFields[[#This Row],[ID]])</f>
        <v>310145</v>
      </c>
      <c r="AZ47" s="113">
        <v>6</v>
      </c>
      <c r="BA47" s="79">
        <f>FormFields[[#This Row],[ID]]</f>
        <v>310145</v>
      </c>
    </row>
    <row r="48" spans="13:53" x14ac:dyDescent="0.25">
      <c r="M48" s="80" t="str">
        <f>'Table Seed Map'!$A$12&amp;"-"&amp;FormFields[[#This Row],[No]]</f>
        <v>Form Fields-46</v>
      </c>
      <c r="N48" s="66" t="s">
        <v>2008</v>
      </c>
      <c r="O48" s="79">
        <f>COUNTA($N$1:FormFields[[#This Row],[Form Name]])-1</f>
        <v>46</v>
      </c>
      <c r="P48" s="80" t="str">
        <f>FormFields[[#This Row],[Form Name]]&amp;"/"&amp;FormFields[[#This Row],[Name]]</f>
        <v>Printing/NewPrintThroughForm/query2_props</v>
      </c>
      <c r="Q48" s="79">
        <f>IF(FormFields[[#This Row],[No]]=0,"id",FormFields[[#This Row],[No]]+IF(ISNUMBER(VLOOKUP('Table Seed Map'!$A$12,SeedMap[],9,0)),VLOOKUP('Table Seed Map'!$A$12,SeedMap[],9,0),0))</f>
        <v>310146</v>
      </c>
      <c r="R48" s="107">
        <f>IFERROR(VLOOKUP(FormFields[[#This Row],[Form Name]],ResourceForms[[FormName]:[ID]],4,0),"resource_form")</f>
        <v>309110</v>
      </c>
      <c r="S48" s="89" t="s">
        <v>1993</v>
      </c>
      <c r="T48" s="89" t="s">
        <v>1370</v>
      </c>
      <c r="U48" s="89" t="s">
        <v>2023</v>
      </c>
      <c r="V48" s="108"/>
      <c r="W48" s="108"/>
      <c r="X48" s="108"/>
      <c r="Y48" s="108"/>
      <c r="Z48" s="109" t="str">
        <f>'Table Seed Map'!$A$13&amp;"-"&amp;FormFields[[#This Row],[NO2]]</f>
        <v>Field Data-46</v>
      </c>
      <c r="AA48" s="110">
        <f>COUNTIFS($AB$1:FormFields[[#This Row],[Exists]],1)-1</f>
        <v>46</v>
      </c>
      <c r="AB48" s="110">
        <f>IF(AND(FormFields[[#This Row],[Attribute]]="",FormFields[[#This Row],[Rel]]=""),0,1)</f>
        <v>1</v>
      </c>
      <c r="AC48" s="110">
        <f>IF(FormFields[[#This Row],[NO2]]=0,"id",FormFields[[#This Row],[NO2]]+IF(ISNUMBER(VLOOKUP('Table Seed Map'!$A$13,SeedMap[],9,0)),VLOOKUP('Table Seed Map'!$A$13,SeedMap[],9,0),0))</f>
        <v>311146</v>
      </c>
      <c r="AD48" s="111">
        <f>IF(FormFields[[#This Row],[ID]]="id","form_field",FormFields[[#This Row],[ID]])</f>
        <v>310146</v>
      </c>
      <c r="AE48" s="110" t="str">
        <f>IF(FormFields[[#This Row],[No]]=0,"attribute",FormFields[[#This Row],[Name]])</f>
        <v>query2_props</v>
      </c>
      <c r="AF48" s="84" t="str">
        <f>IF(FormFields[[#This Row],[NO2]]=0,"relation",IF(FormFields[[#This Row],[Rel]]="","",VLOOKUP(FormFields[[#This Row],[Rel]],RelationTable[[Display]:[RELID]],2,0)))</f>
        <v/>
      </c>
      <c r="AG48" s="84" t="str">
        <f>IF(FormFields[[#This Row],[NO2]]=0,"nest_relation1",IF(FormFields[[#This Row],[Rel1]]="","",VLOOKUP(FormFields[[#This Row],[Rel1]],RelationTable[[Display]:[RELID]],2,0)))</f>
        <v/>
      </c>
      <c r="AH48" s="84" t="str">
        <f>IF(FormFields[[#This Row],[NO2]]=0,"nest_relation2",IF(FormFields[[#This Row],[Rel2]]="","",VLOOKUP(FormFields[[#This Row],[Rel2]],RelationTable[[Display]:[RELID]],2,0)))</f>
        <v/>
      </c>
      <c r="AI48" s="84" t="str">
        <f>IF(FormFields[[#This Row],[NO2]]=0,"nest_relation2",IF(FormFields[[#This Row],[Rel2]]="","",VLOOKUP(FormFields[[#This Row],[Rel2]],RelationTable[[Display]:[RELID]],2,0)))</f>
        <v/>
      </c>
      <c r="AJ48" s="79">
        <f>IF(OR(FormFields[[#This Row],[Option Type]]="",FormFields[[#This Row],[Option Type]]="type"),0,1)</f>
        <v>0</v>
      </c>
      <c r="AK48" s="79" t="str">
        <f>'Table Seed Map'!$A$14&amp;"-"&amp;FormFields[[#This Row],[NO4]]</f>
        <v>Field Options-18</v>
      </c>
      <c r="AL48" s="79">
        <f>COUNTIF($AJ$2:FormFields[[#This Row],[Exists FO]],1)</f>
        <v>18</v>
      </c>
      <c r="AM48" s="79">
        <f>IF(FormFields[[#This Row],[NO4]]=0,"id",FormFields[[#This Row],[NO4]]+IF(ISNUMBER(VLOOKUP('Table Seed Map'!$A$14,SeedMap[],9,0)),VLOOKUP('Table Seed Map'!$A$14,SeedMap[],9,0),0))</f>
        <v>312118</v>
      </c>
      <c r="AN48" s="79">
        <f>IF(FormFields[[#This Row],[ID]]="id","form_field",FormFields[[#This Row],[ID]])</f>
        <v>310146</v>
      </c>
      <c r="AO48" s="112"/>
      <c r="AP48" s="112"/>
      <c r="AQ48" s="112"/>
      <c r="AR48" s="112"/>
      <c r="AS48" s="112"/>
      <c r="AT48" s="79">
        <f>IF(OR(FormFields[[#This Row],[Colspan]]="",FormFields[[#This Row],[Colspan]]="colspan"),0,1)</f>
        <v>1</v>
      </c>
      <c r="AU48" s="79" t="str">
        <f>'Table Seed Map'!$A$19&amp;"-"&amp;FormFields[[#This Row],[NO8]]</f>
        <v>Form Layout-16</v>
      </c>
      <c r="AV48" s="79">
        <f>COUNTIF($AT$1:FormFields[[#This Row],[Exists FL]],1)</f>
        <v>16</v>
      </c>
      <c r="AW48" s="79">
        <f>IF(FormFields[[#This Row],[NO8]]=0,"id",IF(FormFields[[#This Row],[Exists FL]]=1,FormFields[[#This Row],[NO8]]+IF(ISNUMBER(VLOOKUP('Table Seed Map'!$A$19,SeedMap[],9,0)),VLOOKUP('Table Seed Map'!$A$19,SeedMap[],9,0),0),""))</f>
        <v>317116</v>
      </c>
      <c r="AX48" s="79">
        <f>FormFields[Form]</f>
        <v>309110</v>
      </c>
      <c r="AY48" s="79">
        <f>IF(FormFields[[#This Row],[ID]]="id","form_field",FormFields[[#This Row],[ID]])</f>
        <v>310146</v>
      </c>
      <c r="AZ48" s="113">
        <v>6</v>
      </c>
      <c r="BA48" s="79">
        <f>FormFields[[#This Row],[ID]]</f>
        <v>310146</v>
      </c>
    </row>
    <row r="49" spans="13:53" x14ac:dyDescent="0.25">
      <c r="M49" s="80" t="str">
        <f>'Table Seed Map'!$A$12&amp;"-"&amp;FormFields[[#This Row],[No]]</f>
        <v>Form Fields-47</v>
      </c>
      <c r="N49" s="66" t="s">
        <v>2008</v>
      </c>
      <c r="O49" s="79">
        <f>COUNTA($N$1:FormFields[[#This Row],[Form Name]])-1</f>
        <v>47</v>
      </c>
      <c r="P49" s="80" t="str">
        <f>FormFields[[#This Row],[Form Name]]&amp;"/"&amp;FormFields[[#This Row],[Name]]</f>
        <v>Printing/NewPrintThroughForm/query3_props</v>
      </c>
      <c r="Q49" s="79">
        <f>IF(FormFields[[#This Row],[No]]=0,"id",FormFields[[#This Row],[No]]+IF(ISNUMBER(VLOOKUP('Table Seed Map'!$A$12,SeedMap[],9,0)),VLOOKUP('Table Seed Map'!$A$12,SeedMap[],9,0),0))</f>
        <v>310147</v>
      </c>
      <c r="R49" s="107">
        <f>IFERROR(VLOOKUP(FormFields[[#This Row],[Form Name]],ResourceForms[[FormName]:[ID]],4,0),"resource_form")</f>
        <v>309110</v>
      </c>
      <c r="S49" s="89" t="s">
        <v>1994</v>
      </c>
      <c r="T49" s="89" t="s">
        <v>1370</v>
      </c>
      <c r="U49" s="89" t="s">
        <v>2024</v>
      </c>
      <c r="V49" s="108"/>
      <c r="W49" s="108"/>
      <c r="X49" s="108"/>
      <c r="Y49" s="108"/>
      <c r="Z49" s="109" t="str">
        <f>'Table Seed Map'!$A$13&amp;"-"&amp;FormFields[[#This Row],[NO2]]</f>
        <v>Field Data-47</v>
      </c>
      <c r="AA49" s="110">
        <f>COUNTIFS($AB$1:FormFields[[#This Row],[Exists]],1)-1</f>
        <v>47</v>
      </c>
      <c r="AB49" s="110">
        <f>IF(AND(FormFields[[#This Row],[Attribute]]="",FormFields[[#This Row],[Rel]]=""),0,1)</f>
        <v>1</v>
      </c>
      <c r="AC49" s="110">
        <f>IF(FormFields[[#This Row],[NO2]]=0,"id",FormFields[[#This Row],[NO2]]+IF(ISNUMBER(VLOOKUP('Table Seed Map'!$A$13,SeedMap[],9,0)),VLOOKUP('Table Seed Map'!$A$13,SeedMap[],9,0),0))</f>
        <v>311147</v>
      </c>
      <c r="AD49" s="111">
        <f>IF(FormFields[[#This Row],[ID]]="id","form_field",FormFields[[#This Row],[ID]])</f>
        <v>310147</v>
      </c>
      <c r="AE49" s="110" t="str">
        <f>IF(FormFields[[#This Row],[No]]=0,"attribute",FormFields[[#This Row],[Name]])</f>
        <v>query3_props</v>
      </c>
      <c r="AF49" s="84" t="str">
        <f>IF(FormFields[[#This Row],[NO2]]=0,"relation",IF(FormFields[[#This Row],[Rel]]="","",VLOOKUP(FormFields[[#This Row],[Rel]],RelationTable[[Display]:[RELID]],2,0)))</f>
        <v/>
      </c>
      <c r="AG49" s="84" t="str">
        <f>IF(FormFields[[#This Row],[NO2]]=0,"nest_relation1",IF(FormFields[[#This Row],[Rel1]]="","",VLOOKUP(FormFields[[#This Row],[Rel1]],RelationTable[[Display]:[RELID]],2,0)))</f>
        <v/>
      </c>
      <c r="AH49" s="84" t="str">
        <f>IF(FormFields[[#This Row],[NO2]]=0,"nest_relation2",IF(FormFields[[#This Row],[Rel2]]="","",VLOOKUP(FormFields[[#This Row],[Rel2]],RelationTable[[Display]:[RELID]],2,0)))</f>
        <v/>
      </c>
      <c r="AI49" s="84" t="str">
        <f>IF(FormFields[[#This Row],[NO2]]=0,"nest_relation2",IF(FormFields[[#This Row],[Rel2]]="","",VLOOKUP(FormFields[[#This Row],[Rel2]],RelationTable[[Display]:[RELID]],2,0)))</f>
        <v/>
      </c>
      <c r="AJ49" s="79">
        <f>IF(OR(FormFields[[#This Row],[Option Type]]="",FormFields[[#This Row],[Option Type]]="type"),0,1)</f>
        <v>0</v>
      </c>
      <c r="AK49" s="79" t="str">
        <f>'Table Seed Map'!$A$14&amp;"-"&amp;FormFields[[#This Row],[NO4]]</f>
        <v>Field Options-18</v>
      </c>
      <c r="AL49" s="79">
        <f>COUNTIF($AJ$2:FormFields[[#This Row],[Exists FO]],1)</f>
        <v>18</v>
      </c>
      <c r="AM49" s="79">
        <f>IF(FormFields[[#This Row],[NO4]]=0,"id",FormFields[[#This Row],[NO4]]+IF(ISNUMBER(VLOOKUP('Table Seed Map'!$A$14,SeedMap[],9,0)),VLOOKUP('Table Seed Map'!$A$14,SeedMap[],9,0),0))</f>
        <v>312118</v>
      </c>
      <c r="AN49" s="79">
        <f>IF(FormFields[[#This Row],[ID]]="id","form_field",FormFields[[#This Row],[ID]])</f>
        <v>310147</v>
      </c>
      <c r="AO49" s="112"/>
      <c r="AP49" s="112"/>
      <c r="AQ49" s="112"/>
      <c r="AR49" s="112"/>
      <c r="AS49" s="112"/>
      <c r="AT49" s="79">
        <f>IF(OR(FormFields[[#This Row],[Colspan]]="",FormFields[[#This Row],[Colspan]]="colspan"),0,1)</f>
        <v>1</v>
      </c>
      <c r="AU49" s="79" t="str">
        <f>'Table Seed Map'!$A$19&amp;"-"&amp;FormFields[[#This Row],[NO8]]</f>
        <v>Form Layout-17</v>
      </c>
      <c r="AV49" s="79">
        <f>COUNTIF($AT$1:FormFields[[#This Row],[Exists FL]],1)</f>
        <v>17</v>
      </c>
      <c r="AW49" s="79">
        <f>IF(FormFields[[#This Row],[NO8]]=0,"id",IF(FormFields[[#This Row],[Exists FL]]=1,FormFields[[#This Row],[NO8]]+IF(ISNUMBER(VLOOKUP('Table Seed Map'!$A$19,SeedMap[],9,0)),VLOOKUP('Table Seed Map'!$A$19,SeedMap[],9,0),0),""))</f>
        <v>317117</v>
      </c>
      <c r="AX49" s="79">
        <f>FormFields[Form]</f>
        <v>309110</v>
      </c>
      <c r="AY49" s="79">
        <f>IF(FormFields[[#This Row],[ID]]="id","form_field",FormFields[[#This Row],[ID]])</f>
        <v>310147</v>
      </c>
      <c r="AZ49" s="113">
        <v>6</v>
      </c>
      <c r="BA49" s="79">
        <f>FormFields[[#This Row],[ID]]</f>
        <v>310147</v>
      </c>
    </row>
    <row r="50" spans="13:53" x14ac:dyDescent="0.25">
      <c r="M50" s="80" t="str">
        <f>'Table Seed Map'!$A$12&amp;"-"&amp;FormFields[[#This Row],[No]]</f>
        <v>Form Fields-48</v>
      </c>
      <c r="N50" s="66" t="s">
        <v>2008</v>
      </c>
      <c r="O50" s="79">
        <f>COUNTA($N$1:FormFields[[#This Row],[Form Name]])-1</f>
        <v>48</v>
      </c>
      <c r="P50" s="80" t="str">
        <f>FormFields[[#This Row],[Form Name]]&amp;"/"&amp;FormFields[[#This Row],[Name]]</f>
        <v>Printing/NewPrintThroughForm/header1</v>
      </c>
      <c r="Q50" s="79">
        <f>IF(FormFields[[#This Row],[No]]=0,"id",FormFields[[#This Row],[No]]+IF(ISNUMBER(VLOOKUP('Table Seed Map'!$A$12,SeedMap[],9,0)),VLOOKUP('Table Seed Map'!$A$12,SeedMap[],9,0),0))</f>
        <v>310148</v>
      </c>
      <c r="R50" s="107">
        <f>IFERROR(VLOOKUP(FormFields[[#This Row],[Form Name]],ResourceForms[[FormName]:[ID]],4,0),"resource_form")</f>
        <v>309110</v>
      </c>
      <c r="S50" s="89" t="s">
        <v>1989</v>
      </c>
      <c r="T50" s="89" t="s">
        <v>1370</v>
      </c>
      <c r="U50" s="89" t="s">
        <v>2012</v>
      </c>
      <c r="V50" s="108"/>
      <c r="W50" s="108"/>
      <c r="X50" s="108"/>
      <c r="Y50" s="108"/>
      <c r="Z50" s="109" t="str">
        <f>'Table Seed Map'!$A$13&amp;"-"&amp;FormFields[[#This Row],[NO2]]</f>
        <v>Field Data-48</v>
      </c>
      <c r="AA50" s="110">
        <f>COUNTIFS($AB$1:FormFields[[#This Row],[Exists]],1)-1</f>
        <v>48</v>
      </c>
      <c r="AB50" s="110">
        <f>IF(AND(FormFields[[#This Row],[Attribute]]="",FormFields[[#This Row],[Rel]]=""),0,1)</f>
        <v>1</v>
      </c>
      <c r="AC50" s="110">
        <f>IF(FormFields[[#This Row],[NO2]]=0,"id",FormFields[[#This Row],[NO2]]+IF(ISNUMBER(VLOOKUP('Table Seed Map'!$A$13,SeedMap[],9,0)),VLOOKUP('Table Seed Map'!$A$13,SeedMap[],9,0),0))</f>
        <v>311148</v>
      </c>
      <c r="AD50" s="111">
        <f>IF(FormFields[[#This Row],[ID]]="id","form_field",FormFields[[#This Row],[ID]])</f>
        <v>310148</v>
      </c>
      <c r="AE50" s="110" t="str">
        <f>IF(FormFields[[#This Row],[No]]=0,"attribute",FormFields[[#This Row],[Name]])</f>
        <v>header1</v>
      </c>
      <c r="AF50" s="84" t="str">
        <f>IF(FormFields[[#This Row],[NO2]]=0,"relation",IF(FormFields[[#This Row],[Rel]]="","",VLOOKUP(FormFields[[#This Row],[Rel]],RelationTable[[Display]:[RELID]],2,0)))</f>
        <v/>
      </c>
      <c r="AG50" s="84" t="str">
        <f>IF(FormFields[[#This Row],[NO2]]=0,"nest_relation1",IF(FormFields[[#This Row],[Rel1]]="","",VLOOKUP(FormFields[[#This Row],[Rel1]],RelationTable[[Display]:[RELID]],2,0)))</f>
        <v/>
      </c>
      <c r="AH50" s="84" t="str">
        <f>IF(FormFields[[#This Row],[NO2]]=0,"nest_relation2",IF(FormFields[[#This Row],[Rel2]]="","",VLOOKUP(FormFields[[#This Row],[Rel2]],RelationTable[[Display]:[RELID]],2,0)))</f>
        <v/>
      </c>
      <c r="AI50" s="84" t="str">
        <f>IF(FormFields[[#This Row],[NO2]]=0,"nest_relation2",IF(FormFields[[#This Row],[Rel2]]="","",VLOOKUP(FormFields[[#This Row],[Rel2]],RelationTable[[Display]:[RELID]],2,0)))</f>
        <v/>
      </c>
      <c r="AJ50" s="79">
        <f>IF(OR(FormFields[[#This Row],[Option Type]]="",FormFields[[#This Row],[Option Type]]="type"),0,1)</f>
        <v>0</v>
      </c>
      <c r="AK50" s="79" t="str">
        <f>'Table Seed Map'!$A$14&amp;"-"&amp;FormFields[[#This Row],[NO4]]</f>
        <v>Field Options-18</v>
      </c>
      <c r="AL50" s="79">
        <f>COUNTIF($AJ$2:FormFields[[#This Row],[Exists FO]],1)</f>
        <v>18</v>
      </c>
      <c r="AM50" s="79">
        <f>IF(FormFields[[#This Row],[NO4]]=0,"id",FormFields[[#This Row],[NO4]]+IF(ISNUMBER(VLOOKUP('Table Seed Map'!$A$14,SeedMap[],9,0)),VLOOKUP('Table Seed Map'!$A$14,SeedMap[],9,0),0))</f>
        <v>312118</v>
      </c>
      <c r="AN50" s="79">
        <f>IF(FormFields[[#This Row],[ID]]="id","form_field",FormFields[[#This Row],[ID]])</f>
        <v>310148</v>
      </c>
      <c r="AO50" s="112"/>
      <c r="AP50" s="112"/>
      <c r="AQ50" s="112"/>
      <c r="AR50" s="112"/>
      <c r="AS50" s="112"/>
      <c r="AT50" s="79">
        <f>IF(OR(FormFields[[#This Row],[Colspan]]="",FormFields[[#This Row],[Colspan]]="colspan"),0,1)</f>
        <v>1</v>
      </c>
      <c r="AU50" s="79" t="str">
        <f>'Table Seed Map'!$A$19&amp;"-"&amp;FormFields[[#This Row],[NO8]]</f>
        <v>Form Layout-18</v>
      </c>
      <c r="AV50" s="79">
        <f>COUNTIF($AT$1:FormFields[[#This Row],[Exists FL]],1)</f>
        <v>18</v>
      </c>
      <c r="AW50" s="79">
        <f>IF(FormFields[[#This Row],[NO8]]=0,"id",IF(FormFields[[#This Row],[Exists FL]]=1,FormFields[[#This Row],[NO8]]+IF(ISNUMBER(VLOOKUP('Table Seed Map'!$A$19,SeedMap[],9,0)),VLOOKUP('Table Seed Map'!$A$19,SeedMap[],9,0),0),""))</f>
        <v>317118</v>
      </c>
      <c r="AX50" s="79">
        <f>FormFields[Form]</f>
        <v>309110</v>
      </c>
      <c r="AY50" s="79">
        <f>IF(FormFields[[#This Row],[ID]]="id","form_field",FormFields[[#This Row],[ID]])</f>
        <v>310148</v>
      </c>
      <c r="AZ50" s="113">
        <v>4</v>
      </c>
      <c r="BA50" s="79">
        <f>FormFields[[#This Row],[ID]]</f>
        <v>310148</v>
      </c>
    </row>
    <row r="51" spans="13:53" x14ac:dyDescent="0.25">
      <c r="M51" s="80" t="str">
        <f>'Table Seed Map'!$A$12&amp;"-"&amp;FormFields[[#This Row],[No]]</f>
        <v>Form Fields-49</v>
      </c>
      <c r="N51" s="66" t="s">
        <v>2008</v>
      </c>
      <c r="O51" s="79">
        <f>COUNTA($N$1:FormFields[[#This Row],[Form Name]])-1</f>
        <v>49</v>
      </c>
      <c r="P51" s="80" t="str">
        <f>FormFields[[#This Row],[Form Name]]&amp;"/"&amp;FormFields[[#This Row],[Name]]</f>
        <v>Printing/NewPrintThroughForm/header2</v>
      </c>
      <c r="Q51" s="79">
        <f>IF(FormFields[[#This Row],[No]]=0,"id",FormFields[[#This Row],[No]]+IF(ISNUMBER(VLOOKUP('Table Seed Map'!$A$12,SeedMap[],9,0)),VLOOKUP('Table Seed Map'!$A$12,SeedMap[],9,0),0))</f>
        <v>310149</v>
      </c>
      <c r="R51" s="107">
        <f>IFERROR(VLOOKUP(FormFields[[#This Row],[Form Name]],ResourceForms[[FormName]:[ID]],4,0),"resource_form")</f>
        <v>309110</v>
      </c>
      <c r="S51" s="89" t="s">
        <v>1990</v>
      </c>
      <c r="T51" s="89" t="s">
        <v>1370</v>
      </c>
      <c r="U51" s="89" t="s">
        <v>2013</v>
      </c>
      <c r="V51" s="108"/>
      <c r="W51" s="108"/>
      <c r="X51" s="108"/>
      <c r="Y51" s="108"/>
      <c r="Z51" s="109" t="str">
        <f>'Table Seed Map'!$A$13&amp;"-"&amp;FormFields[[#This Row],[NO2]]</f>
        <v>Field Data-49</v>
      </c>
      <c r="AA51" s="110">
        <f>COUNTIFS($AB$1:FormFields[[#This Row],[Exists]],1)-1</f>
        <v>49</v>
      </c>
      <c r="AB51" s="110">
        <f>IF(AND(FormFields[[#This Row],[Attribute]]="",FormFields[[#This Row],[Rel]]=""),0,1)</f>
        <v>1</v>
      </c>
      <c r="AC51" s="110">
        <f>IF(FormFields[[#This Row],[NO2]]=0,"id",FormFields[[#This Row],[NO2]]+IF(ISNUMBER(VLOOKUP('Table Seed Map'!$A$13,SeedMap[],9,0)),VLOOKUP('Table Seed Map'!$A$13,SeedMap[],9,0),0))</f>
        <v>311149</v>
      </c>
      <c r="AD51" s="111">
        <f>IF(FormFields[[#This Row],[ID]]="id","form_field",FormFields[[#This Row],[ID]])</f>
        <v>310149</v>
      </c>
      <c r="AE51" s="110" t="str">
        <f>IF(FormFields[[#This Row],[No]]=0,"attribute",FormFields[[#This Row],[Name]])</f>
        <v>header2</v>
      </c>
      <c r="AF51" s="84" t="str">
        <f>IF(FormFields[[#This Row],[NO2]]=0,"relation",IF(FormFields[[#This Row],[Rel]]="","",VLOOKUP(FormFields[[#This Row],[Rel]],RelationTable[[Display]:[RELID]],2,0)))</f>
        <v/>
      </c>
      <c r="AG51" s="84" t="str">
        <f>IF(FormFields[[#This Row],[NO2]]=0,"nest_relation1",IF(FormFields[[#This Row],[Rel1]]="","",VLOOKUP(FormFields[[#This Row],[Rel1]],RelationTable[[Display]:[RELID]],2,0)))</f>
        <v/>
      </c>
      <c r="AH51" s="84" t="str">
        <f>IF(FormFields[[#This Row],[NO2]]=0,"nest_relation2",IF(FormFields[[#This Row],[Rel2]]="","",VLOOKUP(FormFields[[#This Row],[Rel2]],RelationTable[[Display]:[RELID]],2,0)))</f>
        <v/>
      </c>
      <c r="AI51" s="84" t="str">
        <f>IF(FormFields[[#This Row],[NO2]]=0,"nest_relation2",IF(FormFields[[#This Row],[Rel2]]="","",VLOOKUP(FormFields[[#This Row],[Rel2]],RelationTable[[Display]:[RELID]],2,0)))</f>
        <v/>
      </c>
      <c r="AJ51" s="79">
        <f>IF(OR(FormFields[[#This Row],[Option Type]]="",FormFields[[#This Row],[Option Type]]="type"),0,1)</f>
        <v>0</v>
      </c>
      <c r="AK51" s="79" t="str">
        <f>'Table Seed Map'!$A$14&amp;"-"&amp;FormFields[[#This Row],[NO4]]</f>
        <v>Field Options-18</v>
      </c>
      <c r="AL51" s="79">
        <f>COUNTIF($AJ$2:FormFields[[#This Row],[Exists FO]],1)</f>
        <v>18</v>
      </c>
      <c r="AM51" s="79">
        <f>IF(FormFields[[#This Row],[NO4]]=0,"id",FormFields[[#This Row],[NO4]]+IF(ISNUMBER(VLOOKUP('Table Seed Map'!$A$14,SeedMap[],9,0)),VLOOKUP('Table Seed Map'!$A$14,SeedMap[],9,0),0))</f>
        <v>312118</v>
      </c>
      <c r="AN51" s="79">
        <f>IF(FormFields[[#This Row],[ID]]="id","form_field",FormFields[[#This Row],[ID]])</f>
        <v>310149</v>
      </c>
      <c r="AO51" s="112"/>
      <c r="AP51" s="112"/>
      <c r="AQ51" s="112"/>
      <c r="AR51" s="112"/>
      <c r="AS51" s="112"/>
      <c r="AT51" s="79">
        <f>IF(OR(FormFields[[#This Row],[Colspan]]="",FormFields[[#This Row],[Colspan]]="colspan"),0,1)</f>
        <v>1</v>
      </c>
      <c r="AU51" s="79" t="str">
        <f>'Table Seed Map'!$A$19&amp;"-"&amp;FormFields[[#This Row],[NO8]]</f>
        <v>Form Layout-19</v>
      </c>
      <c r="AV51" s="79">
        <f>COUNTIF($AT$1:FormFields[[#This Row],[Exists FL]],1)</f>
        <v>19</v>
      </c>
      <c r="AW51" s="79">
        <f>IF(FormFields[[#This Row],[NO8]]=0,"id",IF(FormFields[[#This Row],[Exists FL]]=1,FormFields[[#This Row],[NO8]]+IF(ISNUMBER(VLOOKUP('Table Seed Map'!$A$19,SeedMap[],9,0)),VLOOKUP('Table Seed Map'!$A$19,SeedMap[],9,0),0),""))</f>
        <v>317119</v>
      </c>
      <c r="AX51" s="79">
        <f>FormFields[Form]</f>
        <v>309110</v>
      </c>
      <c r="AY51" s="79">
        <f>IF(FormFields[[#This Row],[ID]]="id","form_field",FormFields[[#This Row],[ID]])</f>
        <v>310149</v>
      </c>
      <c r="AZ51" s="113">
        <v>4</v>
      </c>
      <c r="BA51" s="79">
        <f>FormFields[[#This Row],[ID]]</f>
        <v>310149</v>
      </c>
    </row>
    <row r="52" spans="13:53" x14ac:dyDescent="0.25">
      <c r="M52" s="80" t="str">
        <f>'Table Seed Map'!$A$12&amp;"-"&amp;FormFields[[#This Row],[No]]</f>
        <v>Form Fields-50</v>
      </c>
      <c r="N52" s="66" t="s">
        <v>2008</v>
      </c>
      <c r="O52" s="79">
        <f>COUNTA($N$1:FormFields[[#This Row],[Form Name]])-1</f>
        <v>50</v>
      </c>
      <c r="P52" s="80" t="str">
        <f>FormFields[[#This Row],[Form Name]]&amp;"/"&amp;FormFields[[#This Row],[Name]]</f>
        <v>Printing/NewPrintThroughForm/header3</v>
      </c>
      <c r="Q52" s="79">
        <f>IF(FormFields[[#This Row],[No]]=0,"id",FormFields[[#This Row],[No]]+IF(ISNUMBER(VLOOKUP('Table Seed Map'!$A$12,SeedMap[],9,0)),VLOOKUP('Table Seed Map'!$A$12,SeedMap[],9,0),0))</f>
        <v>310150</v>
      </c>
      <c r="R52" s="107">
        <f>IFERROR(VLOOKUP(FormFields[[#This Row],[Form Name]],ResourceForms[[FormName]:[ID]],4,0),"resource_form")</f>
        <v>309110</v>
      </c>
      <c r="S52" s="89" t="s">
        <v>1991</v>
      </c>
      <c r="T52" s="89" t="s">
        <v>1370</v>
      </c>
      <c r="U52" s="89" t="s">
        <v>2014</v>
      </c>
      <c r="V52" s="108"/>
      <c r="W52" s="108"/>
      <c r="X52" s="108"/>
      <c r="Y52" s="108"/>
      <c r="Z52" s="109" t="str">
        <f>'Table Seed Map'!$A$13&amp;"-"&amp;FormFields[[#This Row],[NO2]]</f>
        <v>Field Data-50</v>
      </c>
      <c r="AA52" s="110">
        <f>COUNTIFS($AB$1:FormFields[[#This Row],[Exists]],1)-1</f>
        <v>50</v>
      </c>
      <c r="AB52" s="110">
        <f>IF(AND(FormFields[[#This Row],[Attribute]]="",FormFields[[#This Row],[Rel]]=""),0,1)</f>
        <v>1</v>
      </c>
      <c r="AC52" s="110">
        <f>IF(FormFields[[#This Row],[NO2]]=0,"id",FormFields[[#This Row],[NO2]]+IF(ISNUMBER(VLOOKUP('Table Seed Map'!$A$13,SeedMap[],9,0)),VLOOKUP('Table Seed Map'!$A$13,SeedMap[],9,0),0))</f>
        <v>311150</v>
      </c>
      <c r="AD52" s="111">
        <f>IF(FormFields[[#This Row],[ID]]="id","form_field",FormFields[[#This Row],[ID]])</f>
        <v>310150</v>
      </c>
      <c r="AE52" s="110" t="str">
        <f>IF(FormFields[[#This Row],[No]]=0,"attribute",FormFields[[#This Row],[Name]])</f>
        <v>header3</v>
      </c>
      <c r="AF52" s="84" t="str">
        <f>IF(FormFields[[#This Row],[NO2]]=0,"relation",IF(FormFields[[#This Row],[Rel]]="","",VLOOKUP(FormFields[[#This Row],[Rel]],RelationTable[[Display]:[RELID]],2,0)))</f>
        <v/>
      </c>
      <c r="AG52" s="84" t="str">
        <f>IF(FormFields[[#This Row],[NO2]]=0,"nest_relation1",IF(FormFields[[#This Row],[Rel1]]="","",VLOOKUP(FormFields[[#This Row],[Rel1]],RelationTable[[Display]:[RELID]],2,0)))</f>
        <v/>
      </c>
      <c r="AH52" s="84" t="str">
        <f>IF(FormFields[[#This Row],[NO2]]=0,"nest_relation2",IF(FormFields[[#This Row],[Rel2]]="","",VLOOKUP(FormFields[[#This Row],[Rel2]],RelationTable[[Display]:[RELID]],2,0)))</f>
        <v/>
      </c>
      <c r="AI52" s="84" t="str">
        <f>IF(FormFields[[#This Row],[NO2]]=0,"nest_relation2",IF(FormFields[[#This Row],[Rel2]]="","",VLOOKUP(FormFields[[#This Row],[Rel2]],RelationTable[[Display]:[RELID]],2,0)))</f>
        <v/>
      </c>
      <c r="AJ52" s="79">
        <f>IF(OR(FormFields[[#This Row],[Option Type]]="",FormFields[[#This Row],[Option Type]]="type"),0,1)</f>
        <v>0</v>
      </c>
      <c r="AK52" s="79" t="str">
        <f>'Table Seed Map'!$A$14&amp;"-"&amp;FormFields[[#This Row],[NO4]]</f>
        <v>Field Options-18</v>
      </c>
      <c r="AL52" s="79">
        <f>COUNTIF($AJ$2:FormFields[[#This Row],[Exists FO]],1)</f>
        <v>18</v>
      </c>
      <c r="AM52" s="79">
        <f>IF(FormFields[[#This Row],[NO4]]=0,"id",FormFields[[#This Row],[NO4]]+IF(ISNUMBER(VLOOKUP('Table Seed Map'!$A$14,SeedMap[],9,0)),VLOOKUP('Table Seed Map'!$A$14,SeedMap[],9,0),0))</f>
        <v>312118</v>
      </c>
      <c r="AN52" s="79">
        <f>IF(FormFields[[#This Row],[ID]]="id","form_field",FormFields[[#This Row],[ID]])</f>
        <v>310150</v>
      </c>
      <c r="AO52" s="112"/>
      <c r="AP52" s="112"/>
      <c r="AQ52" s="112"/>
      <c r="AR52" s="112"/>
      <c r="AS52" s="112"/>
      <c r="AT52" s="79">
        <f>IF(OR(FormFields[[#This Row],[Colspan]]="",FormFields[[#This Row],[Colspan]]="colspan"),0,1)</f>
        <v>1</v>
      </c>
      <c r="AU52" s="79" t="str">
        <f>'Table Seed Map'!$A$19&amp;"-"&amp;FormFields[[#This Row],[NO8]]</f>
        <v>Form Layout-20</v>
      </c>
      <c r="AV52" s="79">
        <f>COUNTIF($AT$1:FormFields[[#This Row],[Exists FL]],1)</f>
        <v>20</v>
      </c>
      <c r="AW52" s="79">
        <f>IF(FormFields[[#This Row],[NO8]]=0,"id",IF(FormFields[[#This Row],[Exists FL]]=1,FormFields[[#This Row],[NO8]]+IF(ISNUMBER(VLOOKUP('Table Seed Map'!$A$19,SeedMap[],9,0)),VLOOKUP('Table Seed Map'!$A$19,SeedMap[],9,0),0),""))</f>
        <v>317120</v>
      </c>
      <c r="AX52" s="79">
        <f>FormFields[Form]</f>
        <v>309110</v>
      </c>
      <c r="AY52" s="79">
        <f>IF(FormFields[[#This Row],[ID]]="id","form_field",FormFields[[#This Row],[ID]])</f>
        <v>310150</v>
      </c>
      <c r="AZ52" s="113">
        <v>4</v>
      </c>
      <c r="BA52" s="79">
        <f>FormFields[[#This Row],[ID]]</f>
        <v>310150</v>
      </c>
    </row>
    <row r="53" spans="13:53" x14ac:dyDescent="0.25">
      <c r="M53" s="80" t="str">
        <f>'Table Seed Map'!$A$12&amp;"-"&amp;FormFields[[#This Row],[No]]</f>
        <v>Form Fields-51</v>
      </c>
      <c r="N53" s="66" t="s">
        <v>2008</v>
      </c>
      <c r="O53" s="79">
        <f>COUNTA($N$1:FormFields[[#This Row],[Form Name]])-1</f>
        <v>51</v>
      </c>
      <c r="P53" s="80" t="str">
        <f>FormFields[[#This Row],[Form Name]]&amp;"/"&amp;FormFields[[#This Row],[Name]]</f>
        <v>Printing/NewPrintThroughForm/footer1</v>
      </c>
      <c r="Q53" s="79">
        <f>IF(FormFields[[#This Row],[No]]=0,"id",FormFields[[#This Row],[No]]+IF(ISNUMBER(VLOOKUP('Table Seed Map'!$A$12,SeedMap[],9,0)),VLOOKUP('Table Seed Map'!$A$12,SeedMap[],9,0),0))</f>
        <v>310151</v>
      </c>
      <c r="R53" s="107">
        <f>IFERROR(VLOOKUP(FormFields[[#This Row],[Form Name]],ResourceForms[[FormName]:[ID]],4,0),"resource_form")</f>
        <v>309110</v>
      </c>
      <c r="S53" s="89" t="s">
        <v>1995</v>
      </c>
      <c r="T53" s="89" t="s">
        <v>1370</v>
      </c>
      <c r="U53" s="89" t="s">
        <v>2015</v>
      </c>
      <c r="V53" s="108"/>
      <c r="W53" s="108"/>
      <c r="X53" s="108"/>
      <c r="Y53" s="108"/>
      <c r="Z53" s="109" t="str">
        <f>'Table Seed Map'!$A$13&amp;"-"&amp;FormFields[[#This Row],[NO2]]</f>
        <v>Field Data-51</v>
      </c>
      <c r="AA53" s="110">
        <f>COUNTIFS($AB$1:FormFields[[#This Row],[Exists]],1)-1</f>
        <v>51</v>
      </c>
      <c r="AB53" s="110">
        <f>IF(AND(FormFields[[#This Row],[Attribute]]="",FormFields[[#This Row],[Rel]]=""),0,1)</f>
        <v>1</v>
      </c>
      <c r="AC53" s="110">
        <f>IF(FormFields[[#This Row],[NO2]]=0,"id",FormFields[[#This Row],[NO2]]+IF(ISNUMBER(VLOOKUP('Table Seed Map'!$A$13,SeedMap[],9,0)),VLOOKUP('Table Seed Map'!$A$13,SeedMap[],9,0),0))</f>
        <v>311151</v>
      </c>
      <c r="AD53" s="111">
        <f>IF(FormFields[[#This Row],[ID]]="id","form_field",FormFields[[#This Row],[ID]])</f>
        <v>310151</v>
      </c>
      <c r="AE53" s="110" t="str">
        <f>IF(FormFields[[#This Row],[No]]=0,"attribute",FormFields[[#This Row],[Name]])</f>
        <v>footer1</v>
      </c>
      <c r="AF53" s="84" t="str">
        <f>IF(FormFields[[#This Row],[NO2]]=0,"relation",IF(FormFields[[#This Row],[Rel]]="","",VLOOKUP(FormFields[[#This Row],[Rel]],RelationTable[[Display]:[RELID]],2,0)))</f>
        <v/>
      </c>
      <c r="AG53" s="84" t="str">
        <f>IF(FormFields[[#This Row],[NO2]]=0,"nest_relation1",IF(FormFields[[#This Row],[Rel1]]="","",VLOOKUP(FormFields[[#This Row],[Rel1]],RelationTable[[Display]:[RELID]],2,0)))</f>
        <v/>
      </c>
      <c r="AH53" s="84" t="str">
        <f>IF(FormFields[[#This Row],[NO2]]=0,"nest_relation2",IF(FormFields[[#This Row],[Rel2]]="","",VLOOKUP(FormFields[[#This Row],[Rel2]],RelationTable[[Display]:[RELID]],2,0)))</f>
        <v/>
      </c>
      <c r="AI53" s="84" t="str">
        <f>IF(FormFields[[#This Row],[NO2]]=0,"nest_relation2",IF(FormFields[[#This Row],[Rel2]]="","",VLOOKUP(FormFields[[#This Row],[Rel2]],RelationTable[[Display]:[RELID]],2,0)))</f>
        <v/>
      </c>
      <c r="AJ53" s="79">
        <f>IF(OR(FormFields[[#This Row],[Option Type]]="",FormFields[[#This Row],[Option Type]]="type"),0,1)</f>
        <v>0</v>
      </c>
      <c r="AK53" s="79" t="str">
        <f>'Table Seed Map'!$A$14&amp;"-"&amp;FormFields[[#This Row],[NO4]]</f>
        <v>Field Options-18</v>
      </c>
      <c r="AL53" s="79">
        <f>COUNTIF($AJ$2:FormFields[[#This Row],[Exists FO]],1)</f>
        <v>18</v>
      </c>
      <c r="AM53" s="79">
        <f>IF(FormFields[[#This Row],[NO4]]=0,"id",FormFields[[#This Row],[NO4]]+IF(ISNUMBER(VLOOKUP('Table Seed Map'!$A$14,SeedMap[],9,0)),VLOOKUP('Table Seed Map'!$A$14,SeedMap[],9,0),0))</f>
        <v>312118</v>
      </c>
      <c r="AN53" s="79">
        <f>IF(FormFields[[#This Row],[ID]]="id","form_field",FormFields[[#This Row],[ID]])</f>
        <v>310151</v>
      </c>
      <c r="AO53" s="112"/>
      <c r="AP53" s="112"/>
      <c r="AQ53" s="112"/>
      <c r="AR53" s="112"/>
      <c r="AS53" s="112"/>
      <c r="AT53" s="79">
        <f>IF(OR(FormFields[[#This Row],[Colspan]]="",FormFields[[#This Row],[Colspan]]="colspan"),0,1)</f>
        <v>1</v>
      </c>
      <c r="AU53" s="79" t="str">
        <f>'Table Seed Map'!$A$19&amp;"-"&amp;FormFields[[#This Row],[NO8]]</f>
        <v>Form Layout-21</v>
      </c>
      <c r="AV53" s="79">
        <f>COUNTIF($AT$1:FormFields[[#This Row],[Exists FL]],1)</f>
        <v>21</v>
      </c>
      <c r="AW53" s="79">
        <f>IF(FormFields[[#This Row],[NO8]]=0,"id",IF(FormFields[[#This Row],[Exists FL]]=1,FormFields[[#This Row],[NO8]]+IF(ISNUMBER(VLOOKUP('Table Seed Map'!$A$19,SeedMap[],9,0)),VLOOKUP('Table Seed Map'!$A$19,SeedMap[],9,0),0),""))</f>
        <v>317121</v>
      </c>
      <c r="AX53" s="79">
        <f>FormFields[Form]</f>
        <v>309110</v>
      </c>
      <c r="AY53" s="79">
        <f>IF(FormFields[[#This Row],[ID]]="id","form_field",FormFields[[#This Row],[ID]])</f>
        <v>310151</v>
      </c>
      <c r="AZ53" s="113">
        <v>4</v>
      </c>
      <c r="BA53" s="79">
        <f>FormFields[[#This Row],[ID]]</f>
        <v>310151</v>
      </c>
    </row>
    <row r="54" spans="13:53" x14ac:dyDescent="0.25">
      <c r="M54" s="80" t="str">
        <f>'Table Seed Map'!$A$12&amp;"-"&amp;FormFields[[#This Row],[No]]</f>
        <v>Form Fields-52</v>
      </c>
      <c r="N54" s="66" t="s">
        <v>2008</v>
      </c>
      <c r="O54" s="79">
        <f>COUNTA($N$1:FormFields[[#This Row],[Form Name]])-1</f>
        <v>52</v>
      </c>
      <c r="P54" s="80" t="str">
        <f>FormFields[[#This Row],[Form Name]]&amp;"/"&amp;FormFields[[#This Row],[Name]]</f>
        <v>Printing/NewPrintThroughForm/footer2</v>
      </c>
      <c r="Q54" s="79">
        <f>IF(FormFields[[#This Row],[No]]=0,"id",FormFields[[#This Row],[No]]+IF(ISNUMBER(VLOOKUP('Table Seed Map'!$A$12,SeedMap[],9,0)),VLOOKUP('Table Seed Map'!$A$12,SeedMap[],9,0),0))</f>
        <v>310152</v>
      </c>
      <c r="R54" s="107">
        <f>IFERROR(VLOOKUP(FormFields[[#This Row],[Form Name]],ResourceForms[[FormName]:[ID]],4,0),"resource_form")</f>
        <v>309110</v>
      </c>
      <c r="S54" s="89" t="s">
        <v>1996</v>
      </c>
      <c r="T54" s="89" t="s">
        <v>1370</v>
      </c>
      <c r="U54" s="89" t="s">
        <v>2016</v>
      </c>
      <c r="V54" s="108"/>
      <c r="W54" s="108"/>
      <c r="X54" s="108"/>
      <c r="Y54" s="108"/>
      <c r="Z54" s="109" t="str">
        <f>'Table Seed Map'!$A$13&amp;"-"&amp;FormFields[[#This Row],[NO2]]</f>
        <v>Field Data-52</v>
      </c>
      <c r="AA54" s="110">
        <f>COUNTIFS($AB$1:FormFields[[#This Row],[Exists]],1)-1</f>
        <v>52</v>
      </c>
      <c r="AB54" s="110">
        <f>IF(AND(FormFields[[#This Row],[Attribute]]="",FormFields[[#This Row],[Rel]]=""),0,1)</f>
        <v>1</v>
      </c>
      <c r="AC54" s="110">
        <f>IF(FormFields[[#This Row],[NO2]]=0,"id",FormFields[[#This Row],[NO2]]+IF(ISNUMBER(VLOOKUP('Table Seed Map'!$A$13,SeedMap[],9,0)),VLOOKUP('Table Seed Map'!$A$13,SeedMap[],9,0),0))</f>
        <v>311152</v>
      </c>
      <c r="AD54" s="111">
        <f>IF(FormFields[[#This Row],[ID]]="id","form_field",FormFields[[#This Row],[ID]])</f>
        <v>310152</v>
      </c>
      <c r="AE54" s="110" t="str">
        <f>IF(FormFields[[#This Row],[No]]=0,"attribute",FormFields[[#This Row],[Name]])</f>
        <v>footer2</v>
      </c>
      <c r="AF54" s="84" t="str">
        <f>IF(FormFields[[#This Row],[NO2]]=0,"relation",IF(FormFields[[#This Row],[Rel]]="","",VLOOKUP(FormFields[[#This Row],[Rel]],RelationTable[[Display]:[RELID]],2,0)))</f>
        <v/>
      </c>
      <c r="AG54" s="84" t="str">
        <f>IF(FormFields[[#This Row],[NO2]]=0,"nest_relation1",IF(FormFields[[#This Row],[Rel1]]="","",VLOOKUP(FormFields[[#This Row],[Rel1]],RelationTable[[Display]:[RELID]],2,0)))</f>
        <v/>
      </c>
      <c r="AH54" s="84" t="str">
        <f>IF(FormFields[[#This Row],[NO2]]=0,"nest_relation2",IF(FormFields[[#This Row],[Rel2]]="","",VLOOKUP(FormFields[[#This Row],[Rel2]],RelationTable[[Display]:[RELID]],2,0)))</f>
        <v/>
      </c>
      <c r="AI54" s="84" t="str">
        <f>IF(FormFields[[#This Row],[NO2]]=0,"nest_relation2",IF(FormFields[[#This Row],[Rel2]]="","",VLOOKUP(FormFields[[#This Row],[Rel2]],RelationTable[[Display]:[RELID]],2,0)))</f>
        <v/>
      </c>
      <c r="AJ54" s="79">
        <f>IF(OR(FormFields[[#This Row],[Option Type]]="",FormFields[[#This Row],[Option Type]]="type"),0,1)</f>
        <v>0</v>
      </c>
      <c r="AK54" s="79" t="str">
        <f>'Table Seed Map'!$A$14&amp;"-"&amp;FormFields[[#This Row],[NO4]]</f>
        <v>Field Options-18</v>
      </c>
      <c r="AL54" s="79">
        <f>COUNTIF($AJ$2:FormFields[[#This Row],[Exists FO]],1)</f>
        <v>18</v>
      </c>
      <c r="AM54" s="79">
        <f>IF(FormFields[[#This Row],[NO4]]=0,"id",FormFields[[#This Row],[NO4]]+IF(ISNUMBER(VLOOKUP('Table Seed Map'!$A$14,SeedMap[],9,0)),VLOOKUP('Table Seed Map'!$A$14,SeedMap[],9,0),0))</f>
        <v>312118</v>
      </c>
      <c r="AN54" s="79">
        <f>IF(FormFields[[#This Row],[ID]]="id","form_field",FormFields[[#This Row],[ID]])</f>
        <v>310152</v>
      </c>
      <c r="AO54" s="112"/>
      <c r="AP54" s="112"/>
      <c r="AQ54" s="112"/>
      <c r="AR54" s="112"/>
      <c r="AS54" s="112"/>
      <c r="AT54" s="79">
        <f>IF(OR(FormFields[[#This Row],[Colspan]]="",FormFields[[#This Row],[Colspan]]="colspan"),0,1)</f>
        <v>1</v>
      </c>
      <c r="AU54" s="79" t="str">
        <f>'Table Seed Map'!$A$19&amp;"-"&amp;FormFields[[#This Row],[NO8]]</f>
        <v>Form Layout-22</v>
      </c>
      <c r="AV54" s="79">
        <f>COUNTIF($AT$1:FormFields[[#This Row],[Exists FL]],1)</f>
        <v>22</v>
      </c>
      <c r="AW54" s="79">
        <f>IF(FormFields[[#This Row],[NO8]]=0,"id",IF(FormFields[[#This Row],[Exists FL]]=1,FormFields[[#This Row],[NO8]]+IF(ISNUMBER(VLOOKUP('Table Seed Map'!$A$19,SeedMap[],9,0)),VLOOKUP('Table Seed Map'!$A$19,SeedMap[],9,0),0),""))</f>
        <v>317122</v>
      </c>
      <c r="AX54" s="79">
        <f>FormFields[Form]</f>
        <v>309110</v>
      </c>
      <c r="AY54" s="79">
        <f>IF(FormFields[[#This Row],[ID]]="id","form_field",FormFields[[#This Row],[ID]])</f>
        <v>310152</v>
      </c>
      <c r="AZ54" s="113">
        <v>4</v>
      </c>
      <c r="BA54" s="79">
        <f>FormFields[[#This Row],[ID]]</f>
        <v>310152</v>
      </c>
    </row>
    <row r="55" spans="13:53" x14ac:dyDescent="0.25">
      <c r="M55" s="80" t="str">
        <f>'Table Seed Map'!$A$12&amp;"-"&amp;FormFields[[#This Row],[No]]</f>
        <v>Form Fields-53</v>
      </c>
      <c r="N55" s="66" t="s">
        <v>2008</v>
      </c>
      <c r="O55" s="79">
        <f>COUNTA($N$1:FormFields[[#This Row],[Form Name]])-1</f>
        <v>53</v>
      </c>
      <c r="P55" s="80" t="str">
        <f>FormFields[[#This Row],[Form Name]]&amp;"/"&amp;FormFields[[#This Row],[Name]]</f>
        <v>Printing/NewPrintThroughForm/footer3</v>
      </c>
      <c r="Q55" s="79">
        <f>IF(FormFields[[#This Row],[No]]=0,"id",FormFields[[#This Row],[No]]+IF(ISNUMBER(VLOOKUP('Table Seed Map'!$A$12,SeedMap[],9,0)),VLOOKUP('Table Seed Map'!$A$12,SeedMap[],9,0),0))</f>
        <v>310153</v>
      </c>
      <c r="R55" s="107">
        <f>IFERROR(VLOOKUP(FormFields[[#This Row],[Form Name]],ResourceForms[[FormName]:[ID]],4,0),"resource_form")</f>
        <v>309110</v>
      </c>
      <c r="S55" s="89" t="s">
        <v>1997</v>
      </c>
      <c r="T55" s="89" t="s">
        <v>1370</v>
      </c>
      <c r="U55" s="89" t="s">
        <v>2017</v>
      </c>
      <c r="V55" s="108"/>
      <c r="W55" s="108"/>
      <c r="X55" s="108"/>
      <c r="Y55" s="108"/>
      <c r="Z55" s="109" t="str">
        <f>'Table Seed Map'!$A$13&amp;"-"&amp;FormFields[[#This Row],[NO2]]</f>
        <v>Field Data-53</v>
      </c>
      <c r="AA55" s="110">
        <f>COUNTIFS($AB$1:FormFields[[#This Row],[Exists]],1)-1</f>
        <v>53</v>
      </c>
      <c r="AB55" s="110">
        <f>IF(AND(FormFields[[#This Row],[Attribute]]="",FormFields[[#This Row],[Rel]]=""),0,1)</f>
        <v>1</v>
      </c>
      <c r="AC55" s="110">
        <f>IF(FormFields[[#This Row],[NO2]]=0,"id",FormFields[[#This Row],[NO2]]+IF(ISNUMBER(VLOOKUP('Table Seed Map'!$A$13,SeedMap[],9,0)),VLOOKUP('Table Seed Map'!$A$13,SeedMap[],9,0),0))</f>
        <v>311153</v>
      </c>
      <c r="AD55" s="111">
        <f>IF(FormFields[[#This Row],[ID]]="id","form_field",FormFields[[#This Row],[ID]])</f>
        <v>310153</v>
      </c>
      <c r="AE55" s="110" t="str">
        <f>IF(FormFields[[#This Row],[No]]=0,"attribute",FormFields[[#This Row],[Name]])</f>
        <v>footer3</v>
      </c>
      <c r="AF55" s="84" t="str">
        <f>IF(FormFields[[#This Row],[NO2]]=0,"relation",IF(FormFields[[#This Row],[Rel]]="","",VLOOKUP(FormFields[[#This Row],[Rel]],RelationTable[[Display]:[RELID]],2,0)))</f>
        <v/>
      </c>
      <c r="AG55" s="84" t="str">
        <f>IF(FormFields[[#This Row],[NO2]]=0,"nest_relation1",IF(FormFields[[#This Row],[Rel1]]="","",VLOOKUP(FormFields[[#This Row],[Rel1]],RelationTable[[Display]:[RELID]],2,0)))</f>
        <v/>
      </c>
      <c r="AH55" s="84" t="str">
        <f>IF(FormFields[[#This Row],[NO2]]=0,"nest_relation2",IF(FormFields[[#This Row],[Rel2]]="","",VLOOKUP(FormFields[[#This Row],[Rel2]],RelationTable[[Display]:[RELID]],2,0)))</f>
        <v/>
      </c>
      <c r="AI55" s="84" t="str">
        <f>IF(FormFields[[#This Row],[NO2]]=0,"nest_relation2",IF(FormFields[[#This Row],[Rel2]]="","",VLOOKUP(FormFields[[#This Row],[Rel2]],RelationTable[[Display]:[RELID]],2,0)))</f>
        <v/>
      </c>
      <c r="AJ55" s="79">
        <f>IF(OR(FormFields[[#This Row],[Option Type]]="",FormFields[[#This Row],[Option Type]]="type"),0,1)</f>
        <v>0</v>
      </c>
      <c r="AK55" s="79" t="str">
        <f>'Table Seed Map'!$A$14&amp;"-"&amp;FormFields[[#This Row],[NO4]]</f>
        <v>Field Options-18</v>
      </c>
      <c r="AL55" s="79">
        <f>COUNTIF($AJ$2:FormFields[[#This Row],[Exists FO]],1)</f>
        <v>18</v>
      </c>
      <c r="AM55" s="79">
        <f>IF(FormFields[[#This Row],[NO4]]=0,"id",FormFields[[#This Row],[NO4]]+IF(ISNUMBER(VLOOKUP('Table Seed Map'!$A$14,SeedMap[],9,0)),VLOOKUP('Table Seed Map'!$A$14,SeedMap[],9,0),0))</f>
        <v>312118</v>
      </c>
      <c r="AN55" s="79">
        <f>IF(FormFields[[#This Row],[ID]]="id","form_field",FormFields[[#This Row],[ID]])</f>
        <v>310153</v>
      </c>
      <c r="AO55" s="112"/>
      <c r="AP55" s="112"/>
      <c r="AQ55" s="112"/>
      <c r="AR55" s="112"/>
      <c r="AS55" s="112"/>
      <c r="AT55" s="79">
        <f>IF(OR(FormFields[[#This Row],[Colspan]]="",FormFields[[#This Row],[Colspan]]="colspan"),0,1)</f>
        <v>1</v>
      </c>
      <c r="AU55" s="79" t="str">
        <f>'Table Seed Map'!$A$19&amp;"-"&amp;FormFields[[#This Row],[NO8]]</f>
        <v>Form Layout-23</v>
      </c>
      <c r="AV55" s="79">
        <f>COUNTIF($AT$1:FormFields[[#This Row],[Exists FL]],1)</f>
        <v>23</v>
      </c>
      <c r="AW55" s="79">
        <f>IF(FormFields[[#This Row],[NO8]]=0,"id",IF(FormFields[[#This Row],[Exists FL]]=1,FormFields[[#This Row],[NO8]]+IF(ISNUMBER(VLOOKUP('Table Seed Map'!$A$19,SeedMap[],9,0)),VLOOKUP('Table Seed Map'!$A$19,SeedMap[],9,0),0),""))</f>
        <v>317123</v>
      </c>
      <c r="AX55" s="79">
        <f>FormFields[Form]</f>
        <v>309110</v>
      </c>
      <c r="AY55" s="79">
        <f>IF(FormFields[[#This Row],[ID]]="id","form_field",FormFields[[#This Row],[ID]])</f>
        <v>310153</v>
      </c>
      <c r="AZ55" s="113">
        <v>4</v>
      </c>
      <c r="BA55" s="79">
        <f>FormFields[[#This Row],[ID]]</f>
        <v>310153</v>
      </c>
    </row>
    <row r="56" spans="13:53" x14ac:dyDescent="0.25">
      <c r="M56" s="80" t="str">
        <f>'Table Seed Map'!$A$12&amp;"-"&amp;FormFields[[#This Row],[No]]</f>
        <v>Form Fields-54</v>
      </c>
      <c r="N56" s="66" t="s">
        <v>2008</v>
      </c>
      <c r="O56" s="79">
        <f>COUNTA($N$1:FormFields[[#This Row],[Form Name]])-1</f>
        <v>54</v>
      </c>
      <c r="P56" s="80" t="str">
        <f>FormFields[[#This Row],[Form Name]]&amp;"/"&amp;FormFields[[#This Row],[Name]]</f>
        <v>Printing/NewPrintThroughForm/template</v>
      </c>
      <c r="Q56" s="79">
        <f>IF(FormFields[[#This Row],[No]]=0,"id",FormFields[[#This Row],[No]]+IF(ISNUMBER(VLOOKUP('Table Seed Map'!$A$12,SeedMap[],9,0)),VLOOKUP('Table Seed Map'!$A$12,SeedMap[],9,0),0))</f>
        <v>310154</v>
      </c>
      <c r="R56" s="107">
        <f>IFERROR(VLOOKUP(FormFields[[#This Row],[Form Name]],ResourceForms[[FormName]:[ID]],4,0),"resource_form")</f>
        <v>309110</v>
      </c>
      <c r="S56" s="89" t="s">
        <v>2005</v>
      </c>
      <c r="T56" s="89" t="s">
        <v>1372</v>
      </c>
      <c r="U56" s="89" t="s">
        <v>2009</v>
      </c>
      <c r="V56" s="108"/>
      <c r="W56" s="108"/>
      <c r="X56" s="108"/>
      <c r="Y56" s="108"/>
      <c r="Z56" s="109" t="str">
        <f>'Table Seed Map'!$A$13&amp;"-"&amp;FormFields[[#This Row],[NO2]]</f>
        <v>Field Data-54</v>
      </c>
      <c r="AA56" s="110">
        <f>COUNTIFS($AB$1:FormFields[[#This Row],[Exists]],1)-1</f>
        <v>54</v>
      </c>
      <c r="AB56" s="110">
        <f>IF(AND(FormFields[[#This Row],[Attribute]]="",FormFields[[#This Row],[Rel]]=""),0,1)</f>
        <v>1</v>
      </c>
      <c r="AC56" s="110">
        <f>IF(FormFields[[#This Row],[NO2]]=0,"id",FormFields[[#This Row],[NO2]]+IF(ISNUMBER(VLOOKUP('Table Seed Map'!$A$13,SeedMap[],9,0)),VLOOKUP('Table Seed Map'!$A$13,SeedMap[],9,0),0))</f>
        <v>311154</v>
      </c>
      <c r="AD56" s="111">
        <f>IF(FormFields[[#This Row],[ID]]="id","form_field",FormFields[[#This Row],[ID]])</f>
        <v>310154</v>
      </c>
      <c r="AE56" s="110" t="str">
        <f>IF(FormFields[[#This Row],[No]]=0,"attribute",FormFields[[#This Row],[Name]])</f>
        <v>template</v>
      </c>
      <c r="AF56" s="84" t="str">
        <f>IF(FormFields[[#This Row],[NO2]]=0,"relation",IF(FormFields[[#This Row],[Rel]]="","",VLOOKUP(FormFields[[#This Row],[Rel]],RelationTable[[Display]:[RELID]],2,0)))</f>
        <v/>
      </c>
      <c r="AG56" s="84" t="str">
        <f>IF(FormFields[[#This Row],[NO2]]=0,"nest_relation1",IF(FormFields[[#This Row],[Rel1]]="","",VLOOKUP(FormFields[[#This Row],[Rel1]],RelationTable[[Display]:[RELID]],2,0)))</f>
        <v/>
      </c>
      <c r="AH56" s="84" t="str">
        <f>IF(FormFields[[#This Row],[NO2]]=0,"nest_relation2",IF(FormFields[[#This Row],[Rel2]]="","",VLOOKUP(FormFields[[#This Row],[Rel2]],RelationTable[[Display]:[RELID]],2,0)))</f>
        <v/>
      </c>
      <c r="AI56" s="84" t="str">
        <f>IF(FormFields[[#This Row],[NO2]]=0,"nest_relation2",IF(FormFields[[#This Row],[Rel2]]="","",VLOOKUP(FormFields[[#This Row],[Rel2]],RelationTable[[Display]:[RELID]],2,0)))</f>
        <v/>
      </c>
      <c r="AJ56" s="79">
        <f>IF(OR(FormFields[[#This Row],[Option Type]]="",FormFields[[#This Row],[Option Type]]="type"),0,1)</f>
        <v>0</v>
      </c>
      <c r="AK56" s="79" t="str">
        <f>'Table Seed Map'!$A$14&amp;"-"&amp;FormFields[[#This Row],[NO4]]</f>
        <v>Field Options-18</v>
      </c>
      <c r="AL56" s="79">
        <f>COUNTIF($AJ$2:FormFields[[#This Row],[Exists FO]],1)</f>
        <v>18</v>
      </c>
      <c r="AM56" s="79">
        <f>IF(FormFields[[#This Row],[NO4]]=0,"id",FormFields[[#This Row],[NO4]]+IF(ISNUMBER(VLOOKUP('Table Seed Map'!$A$14,SeedMap[],9,0)),VLOOKUP('Table Seed Map'!$A$14,SeedMap[],9,0),0))</f>
        <v>312118</v>
      </c>
      <c r="AN56" s="79">
        <f>IF(FormFields[[#This Row],[ID]]="id","form_field",FormFields[[#This Row],[ID]])</f>
        <v>310154</v>
      </c>
      <c r="AO56" s="112"/>
      <c r="AP56" s="112"/>
      <c r="AQ56" s="112"/>
      <c r="AR56" s="112"/>
      <c r="AS56" s="112"/>
      <c r="AT56" s="79">
        <f>IF(OR(FormFields[[#This Row],[Colspan]]="",FormFields[[#This Row],[Colspan]]="colspan"),0,1)</f>
        <v>1</v>
      </c>
      <c r="AU56" s="79" t="str">
        <f>'Table Seed Map'!$A$19&amp;"-"&amp;FormFields[[#This Row],[NO8]]</f>
        <v>Form Layout-24</v>
      </c>
      <c r="AV56" s="79">
        <f>COUNTIF($AT$1:FormFields[[#This Row],[Exists FL]],1)</f>
        <v>24</v>
      </c>
      <c r="AW56" s="79">
        <f>IF(FormFields[[#This Row],[NO8]]=0,"id",IF(FormFields[[#This Row],[Exists FL]]=1,FormFields[[#This Row],[NO8]]+IF(ISNUMBER(VLOOKUP('Table Seed Map'!$A$19,SeedMap[],9,0)),VLOOKUP('Table Seed Map'!$A$19,SeedMap[],9,0),0),""))</f>
        <v>317124</v>
      </c>
      <c r="AX56" s="79">
        <f>FormFields[Form]</f>
        <v>309110</v>
      </c>
      <c r="AY56" s="79">
        <f>IF(FormFields[[#This Row],[ID]]="id","form_field",FormFields[[#This Row],[ID]])</f>
        <v>310154</v>
      </c>
      <c r="AZ56" s="113">
        <v>12</v>
      </c>
      <c r="BA56" s="79">
        <f>FormFields[[#This Row],[ID]]</f>
        <v>310154</v>
      </c>
    </row>
    <row r="57" spans="13:53" x14ac:dyDescent="0.25">
      <c r="M57" s="80" t="str">
        <f>'Table Seed Map'!$A$12&amp;"-"&amp;FormFields[[#This Row],[No]]</f>
        <v>Form Fields-55</v>
      </c>
      <c r="N57" s="66" t="s">
        <v>2008</v>
      </c>
      <c r="O57" s="79">
        <f>COUNTA($N$1:FormFields[[#This Row],[Form Name]])-1</f>
        <v>55</v>
      </c>
      <c r="P57" s="80" t="str">
        <f>FormFields[[#This Row],[Form Name]]&amp;"/"&amp;FormFields[[#This Row],[Name]]</f>
        <v>Printing/NewPrintThroughForm/object</v>
      </c>
      <c r="Q57" s="79">
        <f>IF(FormFields[[#This Row],[No]]=0,"id",FormFields[[#This Row],[No]]+IF(ISNUMBER(VLOOKUP('Table Seed Map'!$A$12,SeedMap[],9,0)),VLOOKUP('Table Seed Map'!$A$12,SeedMap[],9,0),0))</f>
        <v>310155</v>
      </c>
      <c r="R57" s="107">
        <f>IFERROR(VLOOKUP(FormFields[[#This Row],[Form Name]],ResourceForms[[FormName]:[ID]],4,0),"resource_form")</f>
        <v>309110</v>
      </c>
      <c r="S57" s="89" t="s">
        <v>1998</v>
      </c>
      <c r="T57" s="89" t="s">
        <v>1372</v>
      </c>
      <c r="U57" s="89" t="s">
        <v>2018</v>
      </c>
      <c r="V57" s="108"/>
      <c r="W57" s="108"/>
      <c r="X57" s="108"/>
      <c r="Y57" s="108"/>
      <c r="Z57" s="109" t="str">
        <f>'Table Seed Map'!$A$13&amp;"-"&amp;FormFields[[#This Row],[NO2]]</f>
        <v>Field Data-55</v>
      </c>
      <c r="AA57" s="110">
        <f>COUNTIFS($AB$1:FormFields[[#This Row],[Exists]],1)-1</f>
        <v>55</v>
      </c>
      <c r="AB57" s="110">
        <f>IF(AND(FormFields[[#This Row],[Attribute]]="",FormFields[[#This Row],[Rel]]=""),0,1)</f>
        <v>1</v>
      </c>
      <c r="AC57" s="110">
        <f>IF(FormFields[[#This Row],[NO2]]=0,"id",FormFields[[#This Row],[NO2]]+IF(ISNUMBER(VLOOKUP('Table Seed Map'!$A$13,SeedMap[],9,0)),VLOOKUP('Table Seed Map'!$A$13,SeedMap[],9,0),0))</f>
        <v>311155</v>
      </c>
      <c r="AD57" s="111">
        <f>IF(FormFields[[#This Row],[ID]]="id","form_field",FormFields[[#This Row],[ID]])</f>
        <v>310155</v>
      </c>
      <c r="AE57" s="110" t="str">
        <f>IF(FormFields[[#This Row],[No]]=0,"attribute",FormFields[[#This Row],[Name]])</f>
        <v>object</v>
      </c>
      <c r="AF57" s="84" t="str">
        <f>IF(FormFields[[#This Row],[NO2]]=0,"relation",IF(FormFields[[#This Row],[Rel]]="","",VLOOKUP(FormFields[[#This Row],[Rel]],RelationTable[[Display]:[RELID]],2,0)))</f>
        <v/>
      </c>
      <c r="AG57" s="84" t="str">
        <f>IF(FormFields[[#This Row],[NO2]]=0,"nest_relation1",IF(FormFields[[#This Row],[Rel1]]="","",VLOOKUP(FormFields[[#This Row],[Rel1]],RelationTable[[Display]:[RELID]],2,0)))</f>
        <v/>
      </c>
      <c r="AH57" s="84" t="str">
        <f>IF(FormFields[[#This Row],[NO2]]=0,"nest_relation2",IF(FormFields[[#This Row],[Rel2]]="","",VLOOKUP(FormFields[[#This Row],[Rel2]],RelationTable[[Display]:[RELID]],2,0)))</f>
        <v/>
      </c>
      <c r="AI57" s="84" t="str">
        <f>IF(FormFields[[#This Row],[NO2]]=0,"nest_relation2",IF(FormFields[[#This Row],[Rel2]]="","",VLOOKUP(FormFields[[#This Row],[Rel2]],RelationTable[[Display]:[RELID]],2,0)))</f>
        <v/>
      </c>
      <c r="AJ57" s="79">
        <f>IF(OR(FormFields[[#This Row],[Option Type]]="",FormFields[[#This Row],[Option Type]]="type"),0,1)</f>
        <v>0</v>
      </c>
      <c r="AK57" s="79" t="str">
        <f>'Table Seed Map'!$A$14&amp;"-"&amp;FormFields[[#This Row],[NO4]]</f>
        <v>Field Options-18</v>
      </c>
      <c r="AL57" s="79">
        <f>COUNTIF($AJ$2:FormFields[[#This Row],[Exists FO]],1)</f>
        <v>18</v>
      </c>
      <c r="AM57" s="79">
        <f>IF(FormFields[[#This Row],[NO4]]=0,"id",FormFields[[#This Row],[NO4]]+IF(ISNUMBER(VLOOKUP('Table Seed Map'!$A$14,SeedMap[],9,0)),VLOOKUP('Table Seed Map'!$A$14,SeedMap[],9,0),0))</f>
        <v>312118</v>
      </c>
      <c r="AN57" s="79">
        <f>IF(FormFields[[#This Row],[ID]]="id","form_field",FormFields[[#This Row],[ID]])</f>
        <v>310155</v>
      </c>
      <c r="AO57" s="112"/>
      <c r="AP57" s="112"/>
      <c r="AQ57" s="112"/>
      <c r="AR57" s="112"/>
      <c r="AS57" s="112"/>
      <c r="AT57" s="79">
        <f>IF(OR(FormFields[[#This Row],[Colspan]]="",FormFields[[#This Row],[Colspan]]="colspan"),0,1)</f>
        <v>1</v>
      </c>
      <c r="AU57" s="79" t="str">
        <f>'Table Seed Map'!$A$19&amp;"-"&amp;FormFields[[#This Row],[NO8]]</f>
        <v>Form Layout-25</v>
      </c>
      <c r="AV57" s="79">
        <f>COUNTIF($AT$1:FormFields[[#This Row],[Exists FL]],1)</f>
        <v>25</v>
      </c>
      <c r="AW57" s="79">
        <f>IF(FormFields[[#This Row],[NO8]]=0,"id",IF(FormFields[[#This Row],[Exists FL]]=1,FormFields[[#This Row],[NO8]]+IF(ISNUMBER(VLOOKUP('Table Seed Map'!$A$19,SeedMap[],9,0)),VLOOKUP('Table Seed Map'!$A$19,SeedMap[],9,0),0),""))</f>
        <v>317125</v>
      </c>
      <c r="AX57" s="79">
        <f>FormFields[Form]</f>
        <v>309110</v>
      </c>
      <c r="AY57" s="79">
        <f>IF(FormFields[[#This Row],[ID]]="id","form_field",FormFields[[#This Row],[ID]])</f>
        <v>310155</v>
      </c>
      <c r="AZ57" s="113">
        <v>12</v>
      </c>
      <c r="BA57" s="79">
        <f>FormFields[[#This Row],[ID]]</f>
        <v>310155</v>
      </c>
    </row>
    <row r="58" spans="13:53" x14ac:dyDescent="0.25">
      <c r="M58" s="80" t="str">
        <f>'Table Seed Map'!$A$12&amp;"-"&amp;FormFields[[#This Row],[No]]</f>
        <v>Form Fields-56</v>
      </c>
      <c r="N58" s="66" t="s">
        <v>2029</v>
      </c>
      <c r="O58" s="79">
        <f>COUNTA($N$1:FormFields[[#This Row],[Form Name]])-1</f>
        <v>56</v>
      </c>
      <c r="P58" s="80" t="str">
        <f>FormFields[[#This Row],[Form Name]]&amp;"/"&amp;FormFields[[#This Row],[Name]]</f>
        <v>Printing/NewPrintThroughUpload/name</v>
      </c>
      <c r="Q58" s="79">
        <f>IF(FormFields[[#This Row],[No]]=0,"id",FormFields[[#This Row],[No]]+IF(ISNUMBER(VLOOKUP('Table Seed Map'!$A$12,SeedMap[],9,0)),VLOOKUP('Table Seed Map'!$A$12,SeedMap[],9,0),0))</f>
        <v>310156</v>
      </c>
      <c r="R58" s="107">
        <f>IFERROR(VLOOKUP(FormFields[[#This Row],[Form Name]],ResourceForms[[FormName]:[ID]],4,0),"resource_form")</f>
        <v>309111</v>
      </c>
      <c r="S58" s="89" t="s">
        <v>23</v>
      </c>
      <c r="T58" s="89" t="s">
        <v>1370</v>
      </c>
      <c r="U58" s="89" t="s">
        <v>1</v>
      </c>
      <c r="V58" s="108"/>
      <c r="W58" s="108"/>
      <c r="X58" s="108"/>
      <c r="Y58" s="108"/>
      <c r="Z58" s="109" t="str">
        <f>'Table Seed Map'!$A$13&amp;"-"&amp;FormFields[[#This Row],[NO2]]</f>
        <v>Field Data-56</v>
      </c>
      <c r="AA58" s="110">
        <f>COUNTIFS($AB$1:FormFields[[#This Row],[Exists]],1)-1</f>
        <v>56</v>
      </c>
      <c r="AB58" s="110">
        <f>IF(AND(FormFields[[#This Row],[Attribute]]="",FormFields[[#This Row],[Rel]]=""),0,1)</f>
        <v>1</v>
      </c>
      <c r="AC58" s="110">
        <f>IF(FormFields[[#This Row],[NO2]]=0,"id",FormFields[[#This Row],[NO2]]+IF(ISNUMBER(VLOOKUP('Table Seed Map'!$A$13,SeedMap[],9,0)),VLOOKUP('Table Seed Map'!$A$13,SeedMap[],9,0),0))</f>
        <v>311156</v>
      </c>
      <c r="AD58" s="111">
        <f>IF(FormFields[[#This Row],[ID]]="id","form_field",FormFields[[#This Row],[ID]])</f>
        <v>310156</v>
      </c>
      <c r="AE58" s="110" t="str">
        <f>IF(FormFields[[#This Row],[No]]=0,"attribute",FormFields[[#This Row],[Name]])</f>
        <v>name</v>
      </c>
      <c r="AF58" s="84" t="str">
        <f>IF(FormFields[[#This Row],[NO2]]=0,"relation",IF(FormFields[[#This Row],[Rel]]="","",VLOOKUP(FormFields[[#This Row],[Rel]],RelationTable[[Display]:[RELID]],2,0)))</f>
        <v/>
      </c>
      <c r="AG58" s="84" t="str">
        <f>IF(FormFields[[#This Row],[NO2]]=0,"nest_relation1",IF(FormFields[[#This Row],[Rel1]]="","",VLOOKUP(FormFields[[#This Row],[Rel1]],RelationTable[[Display]:[RELID]],2,0)))</f>
        <v/>
      </c>
      <c r="AH58" s="84" t="str">
        <f>IF(FormFields[[#This Row],[NO2]]=0,"nest_relation2",IF(FormFields[[#This Row],[Rel2]]="","",VLOOKUP(FormFields[[#This Row],[Rel2]],RelationTable[[Display]:[RELID]],2,0)))</f>
        <v/>
      </c>
      <c r="AI58" s="84" t="str">
        <f>IF(FormFields[[#This Row],[NO2]]=0,"nest_relation2",IF(FormFields[[#This Row],[Rel2]]="","",VLOOKUP(FormFields[[#This Row],[Rel2]],RelationTable[[Display]:[RELID]],2,0)))</f>
        <v/>
      </c>
      <c r="AJ58" s="79">
        <f>IF(OR(FormFields[[#This Row],[Option Type]]="",FormFields[[#This Row],[Option Type]]="type"),0,1)</f>
        <v>0</v>
      </c>
      <c r="AK58" s="79" t="str">
        <f>'Table Seed Map'!$A$14&amp;"-"&amp;FormFields[[#This Row],[NO4]]</f>
        <v>Field Options-18</v>
      </c>
      <c r="AL58" s="79">
        <f>COUNTIF($AJ$2:FormFields[[#This Row],[Exists FO]],1)</f>
        <v>18</v>
      </c>
      <c r="AM58" s="79">
        <f>IF(FormFields[[#This Row],[NO4]]=0,"id",FormFields[[#This Row],[NO4]]+IF(ISNUMBER(VLOOKUP('Table Seed Map'!$A$14,SeedMap[],9,0)),VLOOKUP('Table Seed Map'!$A$14,SeedMap[],9,0),0))</f>
        <v>312118</v>
      </c>
      <c r="AN58" s="79">
        <f>IF(FormFields[[#This Row],[ID]]="id","form_field",FormFields[[#This Row],[ID]])</f>
        <v>310156</v>
      </c>
      <c r="AO58" s="112"/>
      <c r="AP58" s="112"/>
      <c r="AQ58" s="112"/>
      <c r="AR58" s="112"/>
      <c r="AS58" s="112"/>
      <c r="AT58" s="79">
        <f>IF(OR(FormFields[[#This Row],[Colspan]]="",FormFields[[#This Row],[Colspan]]="colspan"),0,1)</f>
        <v>1</v>
      </c>
      <c r="AU58" s="79" t="str">
        <f>'Table Seed Map'!$A$19&amp;"-"&amp;FormFields[[#This Row],[NO8]]</f>
        <v>Form Layout-26</v>
      </c>
      <c r="AV58" s="79">
        <f>COUNTIF($AT$1:FormFields[[#This Row],[Exists FL]],1)</f>
        <v>26</v>
      </c>
      <c r="AW58" s="79">
        <f>IF(FormFields[[#This Row],[NO8]]=0,"id",IF(FormFields[[#This Row],[Exists FL]]=1,FormFields[[#This Row],[NO8]]+IF(ISNUMBER(VLOOKUP('Table Seed Map'!$A$19,SeedMap[],9,0)),VLOOKUP('Table Seed Map'!$A$19,SeedMap[],9,0),0),""))</f>
        <v>317126</v>
      </c>
      <c r="AX58" s="79">
        <f>FormFields[Form]</f>
        <v>309111</v>
      </c>
      <c r="AY58" s="79">
        <f>IF(FormFields[[#This Row],[ID]]="id","form_field",FormFields[[#This Row],[ID]])</f>
        <v>310156</v>
      </c>
      <c r="AZ58" s="113">
        <v>6</v>
      </c>
      <c r="BA58" s="79">
        <f>FormFields[[#This Row],[ID]]</f>
        <v>310156</v>
      </c>
    </row>
    <row r="59" spans="13:53" x14ac:dyDescent="0.25">
      <c r="M59" s="80" t="str">
        <f>'Table Seed Map'!$A$12&amp;"-"&amp;FormFields[[#This Row],[No]]</f>
        <v>Form Fields-57</v>
      </c>
      <c r="N59" s="66" t="s">
        <v>2029</v>
      </c>
      <c r="O59" s="79">
        <f>COUNTA($N$1:FormFields[[#This Row],[Form Name]])-1</f>
        <v>57</v>
      </c>
      <c r="P59" s="80" t="str">
        <f>FormFields[[#This Row],[Form Name]]&amp;"/"&amp;FormFields[[#This Row],[Name]]</f>
        <v>Printing/NewPrintThroughUpload/status</v>
      </c>
      <c r="Q59" s="79">
        <f>IF(FormFields[[#This Row],[No]]=0,"id",FormFields[[#This Row],[No]]+IF(ISNUMBER(VLOOKUP('Table Seed Map'!$A$12,SeedMap[],9,0)),VLOOKUP('Table Seed Map'!$A$12,SeedMap[],9,0),0))</f>
        <v>310157</v>
      </c>
      <c r="R59" s="107">
        <f>IFERROR(VLOOKUP(FormFields[[#This Row],[Form Name]],ResourceForms[[FormName]:[ID]],4,0),"resource_form")</f>
        <v>309111</v>
      </c>
      <c r="S59" s="89" t="s">
        <v>776</v>
      </c>
      <c r="T59" s="89" t="s">
        <v>1371</v>
      </c>
      <c r="U59" s="89" t="s">
        <v>1356</v>
      </c>
      <c r="V59" s="108"/>
      <c r="W59" s="108"/>
      <c r="X59" s="108"/>
      <c r="Y59" s="108"/>
      <c r="Z59" s="109" t="str">
        <f>'Table Seed Map'!$A$13&amp;"-"&amp;FormFields[[#This Row],[NO2]]</f>
        <v>Field Data-57</v>
      </c>
      <c r="AA59" s="110">
        <f>COUNTIFS($AB$1:FormFields[[#This Row],[Exists]],1)-1</f>
        <v>57</v>
      </c>
      <c r="AB59" s="110">
        <f>IF(AND(FormFields[[#This Row],[Attribute]]="",FormFields[[#This Row],[Rel]]=""),0,1)</f>
        <v>1</v>
      </c>
      <c r="AC59" s="110">
        <f>IF(FormFields[[#This Row],[NO2]]=0,"id",FormFields[[#This Row],[NO2]]+IF(ISNUMBER(VLOOKUP('Table Seed Map'!$A$13,SeedMap[],9,0)),VLOOKUP('Table Seed Map'!$A$13,SeedMap[],9,0),0))</f>
        <v>311157</v>
      </c>
      <c r="AD59" s="111">
        <f>IF(FormFields[[#This Row],[ID]]="id","form_field",FormFields[[#This Row],[ID]])</f>
        <v>310157</v>
      </c>
      <c r="AE59" s="110" t="str">
        <f>IF(FormFields[[#This Row],[No]]=0,"attribute",FormFields[[#This Row],[Name]])</f>
        <v>status</v>
      </c>
      <c r="AF59" s="84" t="str">
        <f>IF(FormFields[[#This Row],[NO2]]=0,"relation",IF(FormFields[[#This Row],[Rel]]="","",VLOOKUP(FormFields[[#This Row],[Rel]],RelationTable[[Display]:[RELID]],2,0)))</f>
        <v/>
      </c>
      <c r="AG59" s="84" t="str">
        <f>IF(FormFields[[#This Row],[NO2]]=0,"nest_relation1",IF(FormFields[[#This Row],[Rel1]]="","",VLOOKUP(FormFields[[#This Row],[Rel1]],RelationTable[[Display]:[RELID]],2,0)))</f>
        <v/>
      </c>
      <c r="AH59" s="84" t="str">
        <f>IF(FormFields[[#This Row],[NO2]]=0,"nest_relation2",IF(FormFields[[#This Row],[Rel2]]="","",VLOOKUP(FormFields[[#This Row],[Rel2]],RelationTable[[Display]:[RELID]],2,0)))</f>
        <v/>
      </c>
      <c r="AI59" s="84" t="str">
        <f>IF(FormFields[[#This Row],[NO2]]=0,"nest_relation2",IF(FormFields[[#This Row],[Rel2]]="","",VLOOKUP(FormFields[[#This Row],[Rel2]],RelationTable[[Display]:[RELID]],2,0)))</f>
        <v/>
      </c>
      <c r="AJ59" s="79">
        <f>IF(OR(FormFields[[#This Row],[Option Type]]="",FormFields[[#This Row],[Option Type]]="type"),0,1)</f>
        <v>1</v>
      </c>
      <c r="AK59" s="79" t="str">
        <f>'Table Seed Map'!$A$14&amp;"-"&amp;FormFields[[#This Row],[NO4]]</f>
        <v>Field Options-19</v>
      </c>
      <c r="AL59" s="79">
        <f>COUNTIF($AJ$2:FormFields[[#This Row],[Exists FO]],1)</f>
        <v>19</v>
      </c>
      <c r="AM59" s="79">
        <f>IF(FormFields[[#This Row],[NO4]]=0,"id",FormFields[[#This Row],[NO4]]+IF(ISNUMBER(VLOOKUP('Table Seed Map'!$A$14,SeedMap[],9,0)),VLOOKUP('Table Seed Map'!$A$14,SeedMap[],9,0),0))</f>
        <v>312119</v>
      </c>
      <c r="AN59" s="79">
        <f>IF(FormFields[[#This Row],[ID]]="id","form_field",FormFields[[#This Row],[ID]])</f>
        <v>310157</v>
      </c>
      <c r="AO59" s="112" t="s">
        <v>1441</v>
      </c>
      <c r="AP59" s="112"/>
      <c r="AQ59" s="112"/>
      <c r="AR59" s="112"/>
      <c r="AS59" s="112"/>
      <c r="AT59" s="79">
        <f>IF(OR(FormFields[[#This Row],[Colspan]]="",FormFields[[#This Row],[Colspan]]="colspan"),0,1)</f>
        <v>1</v>
      </c>
      <c r="AU59" s="79" t="str">
        <f>'Table Seed Map'!$A$19&amp;"-"&amp;FormFields[[#This Row],[NO8]]</f>
        <v>Form Layout-27</v>
      </c>
      <c r="AV59" s="79">
        <f>COUNTIF($AT$1:FormFields[[#This Row],[Exists FL]],1)</f>
        <v>27</v>
      </c>
      <c r="AW59" s="79">
        <f>IF(FormFields[[#This Row],[NO8]]=0,"id",IF(FormFields[[#This Row],[Exists FL]]=1,FormFields[[#This Row],[NO8]]+IF(ISNUMBER(VLOOKUP('Table Seed Map'!$A$19,SeedMap[],9,0)),VLOOKUP('Table Seed Map'!$A$19,SeedMap[],9,0),0),""))</f>
        <v>317127</v>
      </c>
      <c r="AX59" s="79">
        <f>FormFields[Form]</f>
        <v>309111</v>
      </c>
      <c r="AY59" s="79">
        <f>IF(FormFields[[#This Row],[ID]]="id","form_field",FormFields[[#This Row],[ID]])</f>
        <v>310157</v>
      </c>
      <c r="AZ59" s="113">
        <v>6</v>
      </c>
      <c r="BA59" s="79">
        <f>FormFields[[#This Row],[ID]]</f>
        <v>310157</v>
      </c>
    </row>
    <row r="60" spans="13:53" x14ac:dyDescent="0.25">
      <c r="M60" s="80" t="str">
        <f>'Table Seed Map'!$A$12&amp;"-"&amp;FormFields[[#This Row],[No]]</f>
        <v>Form Fields-58</v>
      </c>
      <c r="N60" s="66" t="s">
        <v>2029</v>
      </c>
      <c r="O60" s="79">
        <f>COUNTA($N$1:FormFields[[#This Row],[Form Name]])-1</f>
        <v>58</v>
      </c>
      <c r="P60" s="80" t="str">
        <f>FormFields[[#This Row],[Form Name]]&amp;"/"&amp;FormFields[[#This Row],[Name]]</f>
        <v>Printing/NewPrintThroughUpload/description</v>
      </c>
      <c r="Q60" s="79">
        <f>IF(FormFields[[#This Row],[No]]=0,"id",FormFields[[#This Row],[No]]+IF(ISNUMBER(VLOOKUP('Table Seed Map'!$A$12,SeedMap[],9,0)),VLOOKUP('Table Seed Map'!$A$12,SeedMap[],9,0),0))</f>
        <v>310158</v>
      </c>
      <c r="R60" s="107">
        <f>IFERROR(VLOOKUP(FormFields[[#This Row],[Form Name]],ResourceForms[[FormName]:[ID]],4,0),"resource_form")</f>
        <v>309111</v>
      </c>
      <c r="S60" s="89" t="s">
        <v>24</v>
      </c>
      <c r="T60" s="89" t="s">
        <v>1372</v>
      </c>
      <c r="U60" s="89" t="s">
        <v>102</v>
      </c>
      <c r="V60" s="108"/>
      <c r="W60" s="108"/>
      <c r="X60" s="108"/>
      <c r="Y60" s="108"/>
      <c r="Z60" s="109" t="str">
        <f>'Table Seed Map'!$A$13&amp;"-"&amp;FormFields[[#This Row],[NO2]]</f>
        <v>Field Data-58</v>
      </c>
      <c r="AA60" s="110">
        <f>COUNTIFS($AB$1:FormFields[[#This Row],[Exists]],1)-1</f>
        <v>58</v>
      </c>
      <c r="AB60" s="110">
        <f>IF(AND(FormFields[[#This Row],[Attribute]]="",FormFields[[#This Row],[Rel]]=""),0,1)</f>
        <v>1</v>
      </c>
      <c r="AC60" s="110">
        <f>IF(FormFields[[#This Row],[NO2]]=0,"id",FormFields[[#This Row],[NO2]]+IF(ISNUMBER(VLOOKUP('Table Seed Map'!$A$13,SeedMap[],9,0)),VLOOKUP('Table Seed Map'!$A$13,SeedMap[],9,0),0))</f>
        <v>311158</v>
      </c>
      <c r="AD60" s="111">
        <f>IF(FormFields[[#This Row],[ID]]="id","form_field",FormFields[[#This Row],[ID]])</f>
        <v>310158</v>
      </c>
      <c r="AE60" s="110" t="str">
        <f>IF(FormFields[[#This Row],[No]]=0,"attribute",FormFields[[#This Row],[Name]])</f>
        <v>description</v>
      </c>
      <c r="AF60" s="84" t="str">
        <f>IF(FormFields[[#This Row],[NO2]]=0,"relation",IF(FormFields[[#This Row],[Rel]]="","",VLOOKUP(FormFields[[#This Row],[Rel]],RelationTable[[Display]:[RELID]],2,0)))</f>
        <v/>
      </c>
      <c r="AG60" s="84" t="str">
        <f>IF(FormFields[[#This Row],[NO2]]=0,"nest_relation1",IF(FormFields[[#This Row],[Rel1]]="","",VLOOKUP(FormFields[[#This Row],[Rel1]],RelationTable[[Display]:[RELID]],2,0)))</f>
        <v/>
      </c>
      <c r="AH60" s="84" t="str">
        <f>IF(FormFields[[#This Row],[NO2]]=0,"nest_relation2",IF(FormFields[[#This Row],[Rel2]]="","",VLOOKUP(FormFields[[#This Row],[Rel2]],RelationTable[[Display]:[RELID]],2,0)))</f>
        <v/>
      </c>
      <c r="AI60" s="84" t="str">
        <f>IF(FormFields[[#This Row],[NO2]]=0,"nest_relation2",IF(FormFields[[#This Row],[Rel2]]="","",VLOOKUP(FormFields[[#This Row],[Rel2]],RelationTable[[Display]:[RELID]],2,0)))</f>
        <v/>
      </c>
      <c r="AJ60" s="79">
        <f>IF(OR(FormFields[[#This Row],[Option Type]]="",FormFields[[#This Row],[Option Type]]="type"),0,1)</f>
        <v>0</v>
      </c>
      <c r="AK60" s="79" t="str">
        <f>'Table Seed Map'!$A$14&amp;"-"&amp;FormFields[[#This Row],[NO4]]</f>
        <v>Field Options-19</v>
      </c>
      <c r="AL60" s="79">
        <f>COUNTIF($AJ$2:FormFields[[#This Row],[Exists FO]],1)</f>
        <v>19</v>
      </c>
      <c r="AM60" s="79">
        <f>IF(FormFields[[#This Row],[NO4]]=0,"id",FormFields[[#This Row],[NO4]]+IF(ISNUMBER(VLOOKUP('Table Seed Map'!$A$14,SeedMap[],9,0)),VLOOKUP('Table Seed Map'!$A$14,SeedMap[],9,0),0))</f>
        <v>312119</v>
      </c>
      <c r="AN60" s="79">
        <f>IF(FormFields[[#This Row],[ID]]="id","form_field",FormFields[[#This Row],[ID]])</f>
        <v>310158</v>
      </c>
      <c r="AO60" s="112"/>
      <c r="AP60" s="112"/>
      <c r="AQ60" s="112"/>
      <c r="AR60" s="112"/>
      <c r="AS60" s="112"/>
      <c r="AT60" s="79">
        <f>IF(OR(FormFields[[#This Row],[Colspan]]="",FormFields[[#This Row],[Colspan]]="colspan"),0,1)</f>
        <v>1</v>
      </c>
      <c r="AU60" s="79" t="str">
        <f>'Table Seed Map'!$A$19&amp;"-"&amp;FormFields[[#This Row],[NO8]]</f>
        <v>Form Layout-28</v>
      </c>
      <c r="AV60" s="79">
        <f>COUNTIF($AT$1:FormFields[[#This Row],[Exists FL]],1)</f>
        <v>28</v>
      </c>
      <c r="AW60" s="79">
        <f>IF(FormFields[[#This Row],[NO8]]=0,"id",IF(FormFields[[#This Row],[Exists FL]]=1,FormFields[[#This Row],[NO8]]+IF(ISNUMBER(VLOOKUP('Table Seed Map'!$A$19,SeedMap[],9,0)),VLOOKUP('Table Seed Map'!$A$19,SeedMap[],9,0),0),""))</f>
        <v>317128</v>
      </c>
      <c r="AX60" s="79">
        <f>FormFields[Form]</f>
        <v>309111</v>
      </c>
      <c r="AY60" s="79">
        <f>IF(FormFields[[#This Row],[ID]]="id","form_field",FormFields[[#This Row],[ID]])</f>
        <v>310158</v>
      </c>
      <c r="AZ60" s="113">
        <v>12</v>
      </c>
      <c r="BA60" s="79">
        <f>FormFields[[#This Row],[ID]]</f>
        <v>310158</v>
      </c>
    </row>
    <row r="61" spans="13:53" x14ac:dyDescent="0.25">
      <c r="M61" s="80" t="str">
        <f>'Table Seed Map'!$A$12&amp;"-"&amp;FormFields[[#This Row],[No]]</f>
        <v>Form Fields-59</v>
      </c>
      <c r="N61" s="66" t="s">
        <v>2029</v>
      </c>
      <c r="O61" s="79">
        <f>COUNTA($N$1:FormFields[[#This Row],[Form Name]])-1</f>
        <v>59</v>
      </c>
      <c r="P61" s="80" t="str">
        <f>FormFields[[#This Row],[Form Name]]&amp;"/"&amp;FormFields[[#This Row],[Name]]</f>
        <v>Printing/NewPrintThroughUpload/file</v>
      </c>
      <c r="Q61" s="79">
        <f>IF(FormFields[[#This Row],[No]]=0,"id",FormFields[[#This Row],[No]]+IF(ISNUMBER(VLOOKUP('Table Seed Map'!$A$12,SeedMap[],9,0)),VLOOKUP('Table Seed Map'!$A$12,SeedMap[],9,0),0))</f>
        <v>310159</v>
      </c>
      <c r="R61" s="107">
        <f>IFERROR(VLOOKUP(FormFields[[#This Row],[Form Name]],ResourceForms[[FormName]:[ID]],4,0),"resource_form")</f>
        <v>309111</v>
      </c>
      <c r="S61" s="89" t="s">
        <v>1720</v>
      </c>
      <c r="T61" s="89" t="s">
        <v>1720</v>
      </c>
      <c r="U61" s="89" t="s">
        <v>2030</v>
      </c>
      <c r="V61" s="108"/>
      <c r="W61" s="108"/>
      <c r="X61" s="108"/>
      <c r="Y61" s="108"/>
      <c r="Z61" s="109" t="str">
        <f>'Table Seed Map'!$A$13&amp;"-"&amp;FormFields[[#This Row],[NO2]]</f>
        <v>Field Data-59</v>
      </c>
      <c r="AA61" s="110">
        <f>COUNTIFS($AB$1:FormFields[[#This Row],[Exists]],1)-1</f>
        <v>59</v>
      </c>
      <c r="AB61" s="110">
        <f>IF(AND(FormFields[[#This Row],[Attribute]]="",FormFields[[#This Row],[Rel]]=""),0,1)</f>
        <v>1</v>
      </c>
      <c r="AC61" s="110">
        <f>IF(FormFields[[#This Row],[NO2]]=0,"id",FormFields[[#This Row],[NO2]]+IF(ISNUMBER(VLOOKUP('Table Seed Map'!$A$13,SeedMap[],9,0)),VLOOKUP('Table Seed Map'!$A$13,SeedMap[],9,0),0))</f>
        <v>311159</v>
      </c>
      <c r="AD61" s="111">
        <f>IF(FormFields[[#This Row],[ID]]="id","form_field",FormFields[[#This Row],[ID]])</f>
        <v>310159</v>
      </c>
      <c r="AE61" s="110" t="str">
        <f>IF(FormFields[[#This Row],[No]]=0,"attribute",FormFields[[#This Row],[Name]])</f>
        <v>file</v>
      </c>
      <c r="AF61" s="84" t="str">
        <f>IF(FormFields[[#This Row],[NO2]]=0,"relation",IF(FormFields[[#This Row],[Rel]]="","",VLOOKUP(FormFields[[#This Row],[Rel]],RelationTable[[Display]:[RELID]],2,0)))</f>
        <v/>
      </c>
      <c r="AG61" s="84" t="str">
        <f>IF(FormFields[[#This Row],[NO2]]=0,"nest_relation1",IF(FormFields[[#This Row],[Rel1]]="","",VLOOKUP(FormFields[[#This Row],[Rel1]],RelationTable[[Display]:[RELID]],2,0)))</f>
        <v/>
      </c>
      <c r="AH61" s="84" t="str">
        <f>IF(FormFields[[#This Row],[NO2]]=0,"nest_relation2",IF(FormFields[[#This Row],[Rel2]]="","",VLOOKUP(FormFields[[#This Row],[Rel2]],RelationTable[[Display]:[RELID]],2,0)))</f>
        <v/>
      </c>
      <c r="AI61" s="84" t="str">
        <f>IF(FormFields[[#This Row],[NO2]]=0,"nest_relation2",IF(FormFields[[#This Row],[Rel2]]="","",VLOOKUP(FormFields[[#This Row],[Rel2]],RelationTable[[Display]:[RELID]],2,0)))</f>
        <v/>
      </c>
      <c r="AJ61" s="79">
        <f>IF(OR(FormFields[[#This Row],[Option Type]]="",FormFields[[#This Row],[Option Type]]="type"),0,1)</f>
        <v>0</v>
      </c>
      <c r="AK61" s="79" t="str">
        <f>'Table Seed Map'!$A$14&amp;"-"&amp;FormFields[[#This Row],[NO4]]</f>
        <v>Field Options-19</v>
      </c>
      <c r="AL61" s="79">
        <f>COUNTIF($AJ$2:FormFields[[#This Row],[Exists FO]],1)</f>
        <v>19</v>
      </c>
      <c r="AM61" s="79">
        <f>IF(FormFields[[#This Row],[NO4]]=0,"id",FormFields[[#This Row],[NO4]]+IF(ISNUMBER(VLOOKUP('Table Seed Map'!$A$14,SeedMap[],9,0)),VLOOKUP('Table Seed Map'!$A$14,SeedMap[],9,0),0))</f>
        <v>312119</v>
      </c>
      <c r="AN61" s="79">
        <f>IF(FormFields[[#This Row],[ID]]="id","form_field",FormFields[[#This Row],[ID]])</f>
        <v>310159</v>
      </c>
      <c r="AO61" s="112"/>
      <c r="AP61" s="112"/>
      <c r="AQ61" s="112"/>
      <c r="AR61" s="112"/>
      <c r="AS61" s="112"/>
      <c r="AT61" s="79">
        <f>IF(OR(FormFields[[#This Row],[Colspan]]="",FormFields[[#This Row],[Colspan]]="colspan"),0,1)</f>
        <v>1</v>
      </c>
      <c r="AU61" s="79" t="str">
        <f>'Table Seed Map'!$A$19&amp;"-"&amp;FormFields[[#This Row],[NO8]]</f>
        <v>Form Layout-29</v>
      </c>
      <c r="AV61" s="79">
        <f>COUNTIF($AT$1:FormFields[[#This Row],[Exists FL]],1)</f>
        <v>29</v>
      </c>
      <c r="AW61" s="79">
        <f>IF(FormFields[[#This Row],[NO8]]=0,"id",IF(FormFields[[#This Row],[Exists FL]]=1,FormFields[[#This Row],[NO8]]+IF(ISNUMBER(VLOOKUP('Table Seed Map'!$A$19,SeedMap[],9,0)),VLOOKUP('Table Seed Map'!$A$19,SeedMap[],9,0),0),""))</f>
        <v>317129</v>
      </c>
      <c r="AX61" s="79">
        <f>FormFields[Form]</f>
        <v>309111</v>
      </c>
      <c r="AY61" s="79">
        <f>IF(FormFields[[#This Row],[ID]]="id","form_field",FormFields[[#This Row],[ID]])</f>
        <v>310159</v>
      </c>
      <c r="AZ61" s="113">
        <v>12</v>
      </c>
      <c r="BA61" s="79">
        <f>FormFields[[#This Row],[ID]]</f>
        <v>310159</v>
      </c>
    </row>
  </sheetData>
  <dataValidations count="10">
    <dataValidation type="list" allowBlank="1" showInputMessage="1" showErrorMessage="1" sqref="EN2:ES2 CS2:CY2 BX2 V2:Y61">
      <formula1>Relations</formula1>
    </dataValidation>
    <dataValidation type="list" allowBlank="1" showInputMessage="1" showErrorMessage="1" sqref="CH2 DY2 BV2:BW2 N2:N61">
      <formula1>FormNames</formula1>
    </dataValidation>
    <dataValidation type="list" allowBlank="1" showInputMessage="1" showErrorMessage="1" sqref="DB2 DN2 EA2 BY2 BC2:BC7 BJ2:BJ3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13">
      <formula1>Resources</formula1>
    </dataValidation>
    <dataValidation type="list" allowBlank="1" showInputMessage="1" showErrorMessage="1" sqref="AO2:AO61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Helper-ResourceForm</vt:lpstr>
      <vt:lpstr>Migration Renamer</vt:lpstr>
      <vt:lpstr>Helper-ResourceList</vt:lpstr>
      <vt:lpstr>Helper-ResourceData</vt:lpstr>
      <vt:lpstr>Helper-ResourceAction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2020-07-15T08:21:29Z</dcterms:modified>
</cp:coreProperties>
</file>