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SS\"/>
    </mc:Choice>
  </mc:AlternateContent>
  <bookViews>
    <workbookView xWindow="240" yWindow="75" windowWidth="20055" windowHeight="7935" tabRatio="912" firstSheet="1" activeTab="2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  <sheet name="Helper-Resources" sheetId="14" r:id="rId7"/>
    <sheet name="Helper-Relation" sheetId="19" r:id="rId8"/>
    <sheet name="Helper-ResourceAction" sheetId="27" r:id="rId9"/>
    <sheet name="Helper-ResourceForm" sheetId="9" state="hidden" r:id="rId10"/>
    <sheet name="Migration Renamer" sheetId="26" r:id="rId11"/>
    <sheet name="Helper-ResourceList" sheetId="28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'Helper-Relation'!$F$2:$F$44,'Helper-Relation'!#REF!,'Helper-Relation'!#REF!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C280" i="3" l="1"/>
  <c r="D280" i="3"/>
  <c r="E280" i="3"/>
  <c r="F280" i="3"/>
  <c r="G280" i="3"/>
  <c r="H280" i="3"/>
  <c r="I280" i="3"/>
  <c r="J280" i="3"/>
  <c r="C225" i="3"/>
  <c r="D225" i="3"/>
  <c r="E225" i="3"/>
  <c r="F225" i="3"/>
  <c r="G225" i="3"/>
  <c r="H225" i="3"/>
  <c r="I225" i="3"/>
  <c r="J225" i="3"/>
  <c r="J155" i="2"/>
  <c r="K280" i="3" l="1"/>
  <c r="K225" i="3"/>
  <c r="J104" i="2"/>
  <c r="C150" i="3"/>
  <c r="D150" i="3"/>
  <c r="E150" i="3"/>
  <c r="F150" i="3"/>
  <c r="G150" i="3"/>
  <c r="H150" i="3"/>
  <c r="I150" i="3"/>
  <c r="J150" i="3"/>
  <c r="C147" i="3"/>
  <c r="D147" i="3"/>
  <c r="E147" i="3"/>
  <c r="F147" i="3"/>
  <c r="G147" i="3"/>
  <c r="H147" i="3"/>
  <c r="I147" i="3"/>
  <c r="J147" i="3"/>
  <c r="K150" i="3" l="1"/>
  <c r="K147" i="3"/>
  <c r="A2" i="26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E2" i="26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F19" i="26" s="1"/>
  <c r="G19" i="26" s="1"/>
  <c r="H19" i="26" s="1"/>
  <c r="E20" i="26"/>
  <c r="E21" i="26"/>
  <c r="E22" i="26"/>
  <c r="E23" i="26"/>
  <c r="G23" i="26" s="1"/>
  <c r="H23" i="26" s="1"/>
  <c r="E24" i="26"/>
  <c r="E25" i="26"/>
  <c r="E26" i="26"/>
  <c r="E27" i="26"/>
  <c r="E28" i="26"/>
  <c r="F28" i="26" s="1"/>
  <c r="E29" i="26"/>
  <c r="F2" i="26"/>
  <c r="F3" i="26"/>
  <c r="F4" i="26"/>
  <c r="F5" i="26"/>
  <c r="F6" i="26"/>
  <c r="F7" i="26"/>
  <c r="G7" i="26" s="1"/>
  <c r="H7" i="26" s="1"/>
  <c r="F8" i="26"/>
  <c r="G8" i="26" s="1"/>
  <c r="H8" i="26" s="1"/>
  <c r="F9" i="26"/>
  <c r="F10" i="26"/>
  <c r="F11" i="26"/>
  <c r="F12" i="26"/>
  <c r="F13" i="26"/>
  <c r="F14" i="26"/>
  <c r="G14" i="26" s="1"/>
  <c r="H14" i="26" s="1"/>
  <c r="F15" i="26"/>
  <c r="G15" i="26" s="1"/>
  <c r="H15" i="26" s="1"/>
  <c r="F16" i="26"/>
  <c r="G16" i="26" s="1"/>
  <c r="H16" i="26" s="1"/>
  <c r="F17" i="26"/>
  <c r="F18" i="26"/>
  <c r="F20" i="26"/>
  <c r="F21" i="26"/>
  <c r="F22" i="26"/>
  <c r="G22" i="26" s="1"/>
  <c r="H22" i="26" s="1"/>
  <c r="F23" i="26"/>
  <c r="F24" i="26"/>
  <c r="G24" i="26" s="1"/>
  <c r="H24" i="26" s="1"/>
  <c r="F25" i="26"/>
  <c r="F26" i="26"/>
  <c r="F29" i="26"/>
  <c r="G2" i="26"/>
  <c r="H2" i="26" s="1"/>
  <c r="G3" i="26"/>
  <c r="H3" i="26" s="1"/>
  <c r="G4" i="26"/>
  <c r="H4" i="26" s="1"/>
  <c r="G5" i="26"/>
  <c r="G6" i="26"/>
  <c r="G9" i="26"/>
  <c r="G10" i="26"/>
  <c r="H10" i="26" s="1"/>
  <c r="G11" i="26"/>
  <c r="H11" i="26" s="1"/>
  <c r="G12" i="26"/>
  <c r="H12" i="26" s="1"/>
  <c r="G13" i="26"/>
  <c r="G17" i="26"/>
  <c r="G18" i="26"/>
  <c r="H18" i="26" s="1"/>
  <c r="G20" i="26"/>
  <c r="H20" i="26" s="1"/>
  <c r="G21" i="26"/>
  <c r="G25" i="26"/>
  <c r="G26" i="26"/>
  <c r="H26" i="26" s="1"/>
  <c r="G29" i="26"/>
  <c r="H5" i="26"/>
  <c r="H6" i="26"/>
  <c r="H9" i="26"/>
  <c r="H13" i="26"/>
  <c r="H17" i="26"/>
  <c r="H21" i="26"/>
  <c r="H25" i="26"/>
  <c r="H29" i="26"/>
  <c r="F27" i="26" l="1"/>
  <c r="G27" i="26" s="1"/>
  <c r="H27" i="26" s="1"/>
  <c r="G28" i="26"/>
  <c r="H28" i="26" s="1"/>
  <c r="C52" i="21"/>
  <c r="D52" i="21"/>
  <c r="J52" i="21"/>
  <c r="K52" i="21"/>
  <c r="C50" i="21"/>
  <c r="D50" i="21"/>
  <c r="J50" i="21"/>
  <c r="K50" i="21"/>
  <c r="C118" i="3"/>
  <c r="D118" i="3"/>
  <c r="E118" i="3"/>
  <c r="F118" i="3"/>
  <c r="G118" i="3"/>
  <c r="H118" i="3"/>
  <c r="I118" i="3"/>
  <c r="J118" i="3"/>
  <c r="J118" i="2"/>
  <c r="B53" i="1"/>
  <c r="H53" i="1" s="1"/>
  <c r="C53" i="1"/>
  <c r="E53" i="1" s="1"/>
  <c r="D53" i="1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54" i="2"/>
  <c r="C134" i="3"/>
  <c r="C135" i="3"/>
  <c r="C136" i="3"/>
  <c r="C137" i="3"/>
  <c r="C138" i="3"/>
  <c r="D134" i="3"/>
  <c r="D135" i="3"/>
  <c r="D136" i="3"/>
  <c r="D137" i="3"/>
  <c r="D138" i="3"/>
  <c r="E134" i="3"/>
  <c r="E135" i="3"/>
  <c r="E136" i="3"/>
  <c r="E137" i="3"/>
  <c r="E138" i="3"/>
  <c r="F134" i="3"/>
  <c r="F135" i="3"/>
  <c r="F136" i="3"/>
  <c r="F137" i="3"/>
  <c r="F138" i="3"/>
  <c r="G134" i="3"/>
  <c r="G135" i="3"/>
  <c r="G136" i="3"/>
  <c r="G137" i="3"/>
  <c r="G138" i="3"/>
  <c r="H134" i="3"/>
  <c r="H135" i="3"/>
  <c r="H136" i="3"/>
  <c r="H137" i="3"/>
  <c r="H138" i="3"/>
  <c r="I134" i="3"/>
  <c r="I135" i="3"/>
  <c r="I136" i="3"/>
  <c r="I137" i="3"/>
  <c r="I138" i="3"/>
  <c r="J134" i="3"/>
  <c r="J135" i="3"/>
  <c r="J136" i="3"/>
  <c r="J137" i="3"/>
  <c r="J138" i="3"/>
  <c r="B51" i="1"/>
  <c r="H51" i="1" s="1"/>
  <c r="C51" i="1"/>
  <c r="E51" i="1" s="1"/>
  <c r="D51" i="1"/>
  <c r="K118" i="3" l="1"/>
  <c r="K163" i="3"/>
  <c r="K168" i="3"/>
  <c r="K160" i="3"/>
  <c r="K165" i="3"/>
  <c r="K157" i="3"/>
  <c r="K162" i="3"/>
  <c r="K167" i="3"/>
  <c r="K159" i="3"/>
  <c r="K164" i="3"/>
  <c r="K156" i="3"/>
  <c r="K161" i="3"/>
  <c r="K166" i="3"/>
  <c r="K158" i="3"/>
  <c r="F53" i="1"/>
  <c r="J53" i="1"/>
  <c r="G53" i="1"/>
  <c r="I53" i="1"/>
  <c r="K134" i="3"/>
  <c r="K138" i="3"/>
  <c r="K137" i="3"/>
  <c r="K136" i="3"/>
  <c r="K135" i="3"/>
  <c r="G51" i="1"/>
  <c r="J51" i="1"/>
  <c r="I51" i="1"/>
  <c r="F51" i="1"/>
  <c r="C152" i="3"/>
  <c r="D152" i="3"/>
  <c r="E152" i="3"/>
  <c r="F152" i="3"/>
  <c r="G152" i="3"/>
  <c r="H152" i="3"/>
  <c r="I152" i="3"/>
  <c r="J152" i="3"/>
  <c r="J50" i="2"/>
  <c r="J48" i="2"/>
  <c r="C149" i="3"/>
  <c r="D149" i="3"/>
  <c r="E149" i="3"/>
  <c r="F149" i="3"/>
  <c r="G149" i="3"/>
  <c r="H149" i="3"/>
  <c r="I149" i="3"/>
  <c r="J149" i="3"/>
  <c r="J47" i="2"/>
  <c r="J49" i="2"/>
  <c r="C148" i="3"/>
  <c r="C151" i="3"/>
  <c r="D148" i="3"/>
  <c r="D151" i="3"/>
  <c r="E148" i="3"/>
  <c r="E151" i="3"/>
  <c r="F148" i="3"/>
  <c r="F151" i="3"/>
  <c r="G148" i="3"/>
  <c r="G151" i="3"/>
  <c r="H148" i="3"/>
  <c r="H151" i="3"/>
  <c r="I148" i="3"/>
  <c r="I151" i="3"/>
  <c r="J148" i="3"/>
  <c r="J151" i="3"/>
  <c r="J153" i="2"/>
  <c r="C94" i="3"/>
  <c r="D94" i="3"/>
  <c r="E94" i="3"/>
  <c r="F94" i="3"/>
  <c r="G94" i="3"/>
  <c r="H94" i="3"/>
  <c r="I94" i="3"/>
  <c r="J94" i="3"/>
  <c r="P12" i="19"/>
  <c r="R12" i="19"/>
  <c r="S12" i="19"/>
  <c r="P11" i="19"/>
  <c r="R11" i="19"/>
  <c r="S11" i="19"/>
  <c r="P10" i="19"/>
  <c r="R10" i="19"/>
  <c r="S10" i="19"/>
  <c r="A44" i="19"/>
  <c r="B44" i="19"/>
  <c r="C44" i="19"/>
  <c r="A43" i="19"/>
  <c r="B43" i="19"/>
  <c r="C43" i="19"/>
  <c r="A42" i="19"/>
  <c r="B42" i="19"/>
  <c r="D42" i="19" s="1"/>
  <c r="N42" i="19" s="1"/>
  <c r="C42" i="19"/>
  <c r="K152" i="3" l="1"/>
  <c r="K149" i="3"/>
  <c r="K148" i="3"/>
  <c r="K151" i="3"/>
  <c r="K94" i="3"/>
  <c r="D44" i="19"/>
  <c r="N44" i="19" s="1"/>
  <c r="G44" i="19"/>
  <c r="D43" i="19"/>
  <c r="N43" i="19" s="1"/>
  <c r="G43" i="19"/>
  <c r="G42" i="19"/>
  <c r="J276" i="2"/>
  <c r="J275" i="2"/>
  <c r="J274" i="2"/>
  <c r="J273" i="2"/>
  <c r="J272" i="2"/>
  <c r="J271" i="2"/>
  <c r="C294" i="3"/>
  <c r="D294" i="3"/>
  <c r="E294" i="3"/>
  <c r="F294" i="3"/>
  <c r="G294" i="3"/>
  <c r="H294" i="3"/>
  <c r="I294" i="3"/>
  <c r="J294" i="3"/>
  <c r="J152" i="2"/>
  <c r="J151" i="2"/>
  <c r="C100" i="3"/>
  <c r="C101" i="3"/>
  <c r="C102" i="3"/>
  <c r="D100" i="3"/>
  <c r="D101" i="3"/>
  <c r="D102" i="3"/>
  <c r="E100" i="3"/>
  <c r="E101" i="3"/>
  <c r="E102" i="3"/>
  <c r="F100" i="3"/>
  <c r="F101" i="3"/>
  <c r="F102" i="3"/>
  <c r="G100" i="3"/>
  <c r="G101" i="3"/>
  <c r="G102" i="3"/>
  <c r="H100" i="3"/>
  <c r="H101" i="3"/>
  <c r="H102" i="3"/>
  <c r="I100" i="3"/>
  <c r="I101" i="3"/>
  <c r="I102" i="3"/>
  <c r="J100" i="3"/>
  <c r="J101" i="3"/>
  <c r="J102" i="3"/>
  <c r="P9" i="19"/>
  <c r="R9" i="19"/>
  <c r="S9" i="19"/>
  <c r="A41" i="19"/>
  <c r="B41" i="19"/>
  <c r="C41" i="19"/>
  <c r="A40" i="19"/>
  <c r="B40" i="19"/>
  <c r="D40" i="19" s="1"/>
  <c r="N40" i="19" s="1"/>
  <c r="C40" i="19"/>
  <c r="A29" i="14"/>
  <c r="B29" i="14"/>
  <c r="H29" i="14"/>
  <c r="C339" i="3"/>
  <c r="D339" i="3"/>
  <c r="E339" i="3"/>
  <c r="F339" i="3"/>
  <c r="G339" i="3"/>
  <c r="H339" i="3"/>
  <c r="I339" i="3"/>
  <c r="J339" i="3"/>
  <c r="C338" i="3"/>
  <c r="D338" i="3"/>
  <c r="E338" i="3"/>
  <c r="F338" i="3"/>
  <c r="G338" i="3"/>
  <c r="H338" i="3"/>
  <c r="I338" i="3"/>
  <c r="J338" i="3"/>
  <c r="J149" i="2"/>
  <c r="J150" i="2"/>
  <c r="C337" i="3"/>
  <c r="D337" i="3"/>
  <c r="E337" i="3"/>
  <c r="F337" i="3"/>
  <c r="G337" i="3"/>
  <c r="H337" i="3"/>
  <c r="I337" i="3"/>
  <c r="J337" i="3"/>
  <c r="C336" i="3"/>
  <c r="D336" i="3"/>
  <c r="E336" i="3"/>
  <c r="F336" i="3"/>
  <c r="G336" i="3"/>
  <c r="H336" i="3"/>
  <c r="I336" i="3"/>
  <c r="J336" i="3"/>
  <c r="C335" i="3"/>
  <c r="D335" i="3"/>
  <c r="E335" i="3"/>
  <c r="F335" i="3"/>
  <c r="G335" i="3"/>
  <c r="H335" i="3"/>
  <c r="I335" i="3"/>
  <c r="J335" i="3"/>
  <c r="C334" i="3"/>
  <c r="D334" i="3"/>
  <c r="E334" i="3"/>
  <c r="F334" i="3"/>
  <c r="G334" i="3"/>
  <c r="H334" i="3"/>
  <c r="I334" i="3"/>
  <c r="J334" i="3"/>
  <c r="C333" i="3"/>
  <c r="D333" i="3"/>
  <c r="E333" i="3"/>
  <c r="F333" i="3"/>
  <c r="G333" i="3"/>
  <c r="H333" i="3"/>
  <c r="I333" i="3"/>
  <c r="J333" i="3"/>
  <c r="B73" i="1"/>
  <c r="H73" i="1" s="1"/>
  <c r="C73" i="1"/>
  <c r="E73" i="1" s="1"/>
  <c r="I73" i="1" s="1"/>
  <c r="D73" i="1"/>
  <c r="C281" i="3"/>
  <c r="C282" i="3"/>
  <c r="C283" i="3"/>
  <c r="D281" i="3"/>
  <c r="D282" i="3"/>
  <c r="D283" i="3"/>
  <c r="E281" i="3"/>
  <c r="E282" i="3"/>
  <c r="E283" i="3"/>
  <c r="F281" i="3"/>
  <c r="F282" i="3"/>
  <c r="F283" i="3"/>
  <c r="G281" i="3"/>
  <c r="G282" i="3"/>
  <c r="G283" i="3"/>
  <c r="H281" i="3"/>
  <c r="H282" i="3"/>
  <c r="H283" i="3"/>
  <c r="I281" i="3"/>
  <c r="I282" i="3"/>
  <c r="I283" i="3"/>
  <c r="J281" i="3"/>
  <c r="J282" i="3"/>
  <c r="J283" i="3"/>
  <c r="C270" i="3"/>
  <c r="D270" i="3"/>
  <c r="E270" i="3"/>
  <c r="F270" i="3"/>
  <c r="G270" i="3"/>
  <c r="H270" i="3"/>
  <c r="I270" i="3"/>
  <c r="J270" i="3"/>
  <c r="C329" i="3"/>
  <c r="D329" i="3"/>
  <c r="E329" i="3"/>
  <c r="F329" i="3"/>
  <c r="G329" i="3"/>
  <c r="H329" i="3"/>
  <c r="I329" i="3"/>
  <c r="J329" i="3"/>
  <c r="J147" i="2"/>
  <c r="A28" i="14"/>
  <c r="B28" i="14"/>
  <c r="H28" i="14"/>
  <c r="A27" i="14"/>
  <c r="B27" i="14"/>
  <c r="H27" i="14"/>
  <c r="P8" i="19"/>
  <c r="R8" i="19"/>
  <c r="S8" i="19"/>
  <c r="C319" i="3"/>
  <c r="D319" i="3"/>
  <c r="E319" i="3"/>
  <c r="F319" i="3"/>
  <c r="G319" i="3"/>
  <c r="H319" i="3"/>
  <c r="I319" i="3"/>
  <c r="J319" i="3"/>
  <c r="J141" i="2"/>
  <c r="C218" i="3"/>
  <c r="D218" i="3"/>
  <c r="E218" i="3"/>
  <c r="F218" i="3"/>
  <c r="G218" i="3"/>
  <c r="H218" i="3"/>
  <c r="I218" i="3"/>
  <c r="J218" i="3"/>
  <c r="C309" i="3"/>
  <c r="C310" i="3"/>
  <c r="D309" i="3"/>
  <c r="D310" i="3"/>
  <c r="E309" i="3"/>
  <c r="E310" i="3"/>
  <c r="F309" i="3"/>
  <c r="F310" i="3"/>
  <c r="G309" i="3"/>
  <c r="G310" i="3"/>
  <c r="H309" i="3"/>
  <c r="H310" i="3"/>
  <c r="I309" i="3"/>
  <c r="I310" i="3"/>
  <c r="J309" i="3"/>
  <c r="J310" i="3"/>
  <c r="C332" i="3"/>
  <c r="D332" i="3"/>
  <c r="E332" i="3"/>
  <c r="F332" i="3"/>
  <c r="G332" i="3"/>
  <c r="H332" i="3"/>
  <c r="I332" i="3"/>
  <c r="J332" i="3"/>
  <c r="C331" i="3"/>
  <c r="D331" i="3"/>
  <c r="E331" i="3"/>
  <c r="F331" i="3"/>
  <c r="G331" i="3"/>
  <c r="H331" i="3"/>
  <c r="I331" i="3"/>
  <c r="J331" i="3"/>
  <c r="C330" i="3"/>
  <c r="D330" i="3"/>
  <c r="E330" i="3"/>
  <c r="F330" i="3"/>
  <c r="G330" i="3"/>
  <c r="H330" i="3"/>
  <c r="I330" i="3"/>
  <c r="J330" i="3"/>
  <c r="J148" i="2"/>
  <c r="C328" i="3"/>
  <c r="D328" i="3"/>
  <c r="E328" i="3"/>
  <c r="F328" i="3"/>
  <c r="G328" i="3"/>
  <c r="H328" i="3"/>
  <c r="I328" i="3"/>
  <c r="J328" i="3"/>
  <c r="C326" i="3"/>
  <c r="C327" i="3"/>
  <c r="D326" i="3"/>
  <c r="D327" i="3"/>
  <c r="E326" i="3"/>
  <c r="E327" i="3"/>
  <c r="F326" i="3"/>
  <c r="F327" i="3"/>
  <c r="G326" i="3"/>
  <c r="G327" i="3"/>
  <c r="H326" i="3"/>
  <c r="H327" i="3"/>
  <c r="I326" i="3"/>
  <c r="I327" i="3"/>
  <c r="J326" i="3"/>
  <c r="J327" i="3"/>
  <c r="J145" i="2"/>
  <c r="J146" i="2"/>
  <c r="C325" i="3"/>
  <c r="D325" i="3"/>
  <c r="E325" i="3"/>
  <c r="F325" i="3"/>
  <c r="G325" i="3"/>
  <c r="H325" i="3"/>
  <c r="I325" i="3"/>
  <c r="J325" i="3"/>
  <c r="C324" i="3"/>
  <c r="D324" i="3"/>
  <c r="E324" i="3"/>
  <c r="F324" i="3"/>
  <c r="G324" i="3"/>
  <c r="H324" i="3"/>
  <c r="I324" i="3"/>
  <c r="J324" i="3"/>
  <c r="C323" i="3"/>
  <c r="D323" i="3"/>
  <c r="E323" i="3"/>
  <c r="F323" i="3"/>
  <c r="G323" i="3"/>
  <c r="H323" i="3"/>
  <c r="I323" i="3"/>
  <c r="J323" i="3"/>
  <c r="C322" i="3"/>
  <c r="D322" i="3"/>
  <c r="E322" i="3"/>
  <c r="F322" i="3"/>
  <c r="G322" i="3"/>
  <c r="H322" i="3"/>
  <c r="I322" i="3"/>
  <c r="J322" i="3"/>
  <c r="B72" i="1"/>
  <c r="H72" i="1" s="1"/>
  <c r="C72" i="1"/>
  <c r="E72" i="1" s="1"/>
  <c r="D72" i="1"/>
  <c r="J68" i="21"/>
  <c r="K68" i="21"/>
  <c r="C321" i="3"/>
  <c r="D321" i="3"/>
  <c r="E321" i="3"/>
  <c r="F321" i="3"/>
  <c r="G321" i="3"/>
  <c r="H321" i="3"/>
  <c r="I321" i="3"/>
  <c r="J321" i="3"/>
  <c r="C320" i="3"/>
  <c r="D320" i="3"/>
  <c r="E320" i="3"/>
  <c r="F320" i="3"/>
  <c r="G320" i="3"/>
  <c r="H320" i="3"/>
  <c r="I320" i="3"/>
  <c r="J320" i="3"/>
  <c r="C316" i="3"/>
  <c r="C317" i="3"/>
  <c r="C318" i="3"/>
  <c r="D316" i="3"/>
  <c r="D317" i="3"/>
  <c r="D318" i="3"/>
  <c r="E316" i="3"/>
  <c r="E317" i="3"/>
  <c r="E318" i="3"/>
  <c r="F316" i="3"/>
  <c r="F317" i="3"/>
  <c r="F318" i="3"/>
  <c r="G316" i="3"/>
  <c r="G317" i="3"/>
  <c r="G318" i="3"/>
  <c r="H316" i="3"/>
  <c r="H317" i="3"/>
  <c r="H318" i="3"/>
  <c r="I316" i="3"/>
  <c r="I317" i="3"/>
  <c r="I318" i="3"/>
  <c r="J316" i="3"/>
  <c r="J317" i="3"/>
  <c r="J318" i="3"/>
  <c r="J143" i="2"/>
  <c r="J144" i="2"/>
  <c r="J142" i="2"/>
  <c r="J95" i="2"/>
  <c r="C315" i="3"/>
  <c r="D315" i="3"/>
  <c r="E315" i="3"/>
  <c r="F315" i="3"/>
  <c r="G315" i="3"/>
  <c r="H315" i="3"/>
  <c r="I315" i="3"/>
  <c r="J315" i="3"/>
  <c r="C314" i="3"/>
  <c r="D314" i="3"/>
  <c r="E314" i="3"/>
  <c r="F314" i="3"/>
  <c r="G314" i="3"/>
  <c r="H314" i="3"/>
  <c r="I314" i="3"/>
  <c r="J314" i="3"/>
  <c r="C311" i="3"/>
  <c r="D311" i="3"/>
  <c r="E311" i="3"/>
  <c r="F311" i="3"/>
  <c r="G311" i="3"/>
  <c r="H311" i="3"/>
  <c r="I311" i="3"/>
  <c r="J311" i="3"/>
  <c r="C313" i="3"/>
  <c r="D313" i="3"/>
  <c r="E313" i="3"/>
  <c r="F313" i="3"/>
  <c r="G313" i="3"/>
  <c r="H313" i="3"/>
  <c r="I313" i="3"/>
  <c r="J313" i="3"/>
  <c r="C312" i="3"/>
  <c r="D312" i="3"/>
  <c r="E312" i="3"/>
  <c r="F312" i="3"/>
  <c r="G312" i="3"/>
  <c r="H312" i="3"/>
  <c r="I312" i="3"/>
  <c r="J312" i="3"/>
  <c r="J140" i="2"/>
  <c r="C308" i="3"/>
  <c r="D308" i="3"/>
  <c r="E308" i="3"/>
  <c r="F308" i="3"/>
  <c r="G308" i="3"/>
  <c r="H308" i="3"/>
  <c r="I308" i="3"/>
  <c r="J308" i="3"/>
  <c r="C307" i="3"/>
  <c r="D307" i="3"/>
  <c r="E307" i="3"/>
  <c r="F307" i="3"/>
  <c r="G307" i="3"/>
  <c r="H307" i="3"/>
  <c r="I307" i="3"/>
  <c r="J307" i="3"/>
  <c r="B71" i="1"/>
  <c r="H71" i="1" s="1"/>
  <c r="C71" i="1"/>
  <c r="E71" i="1" s="1"/>
  <c r="D68" i="21" s="1"/>
  <c r="D71" i="1"/>
  <c r="C68" i="21" s="1"/>
  <c r="C230" i="3"/>
  <c r="D230" i="3"/>
  <c r="E230" i="3"/>
  <c r="F230" i="3"/>
  <c r="G230" i="3"/>
  <c r="H230" i="3"/>
  <c r="I230" i="3"/>
  <c r="J230" i="3"/>
  <c r="C229" i="3"/>
  <c r="D229" i="3"/>
  <c r="E229" i="3"/>
  <c r="F229" i="3"/>
  <c r="G229" i="3"/>
  <c r="H229" i="3"/>
  <c r="I229" i="3"/>
  <c r="J229" i="3"/>
  <c r="J138" i="2"/>
  <c r="J139" i="2"/>
  <c r="C93" i="3"/>
  <c r="D93" i="3"/>
  <c r="E93" i="3"/>
  <c r="F93" i="3"/>
  <c r="G93" i="3"/>
  <c r="H93" i="3"/>
  <c r="I93" i="3"/>
  <c r="J93" i="3"/>
  <c r="C91" i="3"/>
  <c r="D91" i="3"/>
  <c r="E91" i="3"/>
  <c r="F91" i="3"/>
  <c r="G91" i="3"/>
  <c r="H91" i="3"/>
  <c r="I91" i="3"/>
  <c r="J91" i="3"/>
  <c r="J135" i="2"/>
  <c r="J136" i="2"/>
  <c r="C123" i="3"/>
  <c r="D123" i="3"/>
  <c r="E123" i="3"/>
  <c r="F123" i="3"/>
  <c r="G123" i="3"/>
  <c r="H123" i="3"/>
  <c r="I123" i="3"/>
  <c r="J123" i="3"/>
  <c r="J134" i="2"/>
  <c r="A39" i="19"/>
  <c r="B39" i="19"/>
  <c r="C39" i="19"/>
  <c r="P7" i="19"/>
  <c r="R7" i="19"/>
  <c r="S7" i="19"/>
  <c r="A50" i="24"/>
  <c r="C50" i="24"/>
  <c r="A38" i="19"/>
  <c r="B38" i="19"/>
  <c r="C38" i="19"/>
  <c r="C284" i="3"/>
  <c r="D284" i="3"/>
  <c r="E284" i="3"/>
  <c r="F284" i="3"/>
  <c r="G284" i="3"/>
  <c r="H284" i="3"/>
  <c r="I284" i="3"/>
  <c r="J284" i="3"/>
  <c r="C272" i="3"/>
  <c r="D272" i="3"/>
  <c r="E272" i="3"/>
  <c r="F272" i="3"/>
  <c r="G272" i="3"/>
  <c r="H272" i="3"/>
  <c r="I272" i="3"/>
  <c r="J272" i="3"/>
  <c r="P6" i="19"/>
  <c r="R6" i="19"/>
  <c r="S6" i="19"/>
  <c r="A37" i="19"/>
  <c r="B37" i="19"/>
  <c r="C37" i="19"/>
  <c r="A36" i="19"/>
  <c r="B36" i="19"/>
  <c r="C36" i="19"/>
  <c r="P5" i="19"/>
  <c r="R5" i="19"/>
  <c r="S5" i="19"/>
  <c r="A35" i="19"/>
  <c r="B35" i="19"/>
  <c r="C35" i="19"/>
  <c r="A34" i="19"/>
  <c r="B34" i="19"/>
  <c r="C34" i="19"/>
  <c r="P4" i="19"/>
  <c r="R4" i="19"/>
  <c r="S4" i="19"/>
  <c r="A33" i="19"/>
  <c r="B33" i="19"/>
  <c r="C33" i="19"/>
  <c r="C211" i="3"/>
  <c r="D211" i="3"/>
  <c r="E211" i="3"/>
  <c r="F211" i="3"/>
  <c r="G211" i="3"/>
  <c r="H211" i="3"/>
  <c r="I211" i="3"/>
  <c r="J211" i="3"/>
  <c r="C198" i="3"/>
  <c r="D198" i="3"/>
  <c r="E198" i="3"/>
  <c r="F198" i="3"/>
  <c r="G198" i="3"/>
  <c r="H198" i="3"/>
  <c r="I198" i="3"/>
  <c r="J198" i="3"/>
  <c r="J137" i="2"/>
  <c r="DD2" i="9"/>
  <c r="EC2" i="9"/>
  <c r="EB2" i="9"/>
  <c r="AH2" i="29"/>
  <c r="AH3" i="29"/>
  <c r="AH4" i="29"/>
  <c r="AH5" i="29"/>
  <c r="AH6" i="29"/>
  <c r="AH7" i="29"/>
  <c r="AH8" i="29"/>
  <c r="AE2" i="29"/>
  <c r="AE3" i="29"/>
  <c r="AE4" i="29"/>
  <c r="AE5" i="29"/>
  <c r="AE6" i="29"/>
  <c r="AE7" i="29"/>
  <c r="AE8" i="29"/>
  <c r="BK2" i="9"/>
  <c r="BM2" i="9" s="1"/>
  <c r="BK3" i="9"/>
  <c r="BM3" i="9" s="1"/>
  <c r="BK4" i="9"/>
  <c r="BM4" i="9" s="1"/>
  <c r="BK5" i="9"/>
  <c r="BM5" i="9" s="1"/>
  <c r="CF2" i="9"/>
  <c r="CG2" i="9" s="1"/>
  <c r="J47" i="21"/>
  <c r="J48" i="21"/>
  <c r="J49" i="21"/>
  <c r="J51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K47" i="21"/>
  <c r="K48" i="21"/>
  <c r="K49" i="21"/>
  <c r="K51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A64" i="24"/>
  <c r="C64" i="24"/>
  <c r="A63" i="24"/>
  <c r="C63" i="24"/>
  <c r="A62" i="24"/>
  <c r="C62" i="24"/>
  <c r="A61" i="24"/>
  <c r="C61" i="24"/>
  <c r="A60" i="24"/>
  <c r="C60" i="24"/>
  <c r="A59" i="24"/>
  <c r="C59" i="24"/>
  <c r="A58" i="24"/>
  <c r="C58" i="24"/>
  <c r="A57" i="24"/>
  <c r="C57" i="24"/>
  <c r="A56" i="24"/>
  <c r="C56" i="24"/>
  <c r="A4" i="24"/>
  <c r="A5" i="24"/>
  <c r="C4" i="24"/>
  <c r="C5" i="24"/>
  <c r="A55" i="24"/>
  <c r="C55" i="24"/>
  <c r="A38" i="24"/>
  <c r="C38" i="24"/>
  <c r="AE19" i="27"/>
  <c r="AF19" i="27"/>
  <c r="AI19" i="27"/>
  <c r="AJ19" i="27"/>
  <c r="B33" i="27"/>
  <c r="D33" i="27"/>
  <c r="M33" i="27" s="1"/>
  <c r="Q33" i="27"/>
  <c r="R33" i="27"/>
  <c r="S33" i="27"/>
  <c r="AE18" i="27"/>
  <c r="AF18" i="27"/>
  <c r="AI18" i="27"/>
  <c r="AJ18" i="27"/>
  <c r="AE17" i="27"/>
  <c r="AF17" i="27"/>
  <c r="AI17" i="27"/>
  <c r="AJ17" i="27"/>
  <c r="B32" i="27"/>
  <c r="D32" i="27"/>
  <c r="M32" i="27" s="1"/>
  <c r="R32" i="27"/>
  <c r="S32" i="27"/>
  <c r="B31" i="27"/>
  <c r="D31" i="27"/>
  <c r="M31" i="27" s="1"/>
  <c r="Q31" i="27"/>
  <c r="R31" i="27"/>
  <c r="S31" i="27"/>
  <c r="AE16" i="27"/>
  <c r="AF16" i="27"/>
  <c r="AI16" i="27"/>
  <c r="AJ16" i="27"/>
  <c r="AE15" i="27"/>
  <c r="AF15" i="27"/>
  <c r="AI15" i="27"/>
  <c r="AJ15" i="27"/>
  <c r="B30" i="27"/>
  <c r="D30" i="27"/>
  <c r="M30" i="27" s="1"/>
  <c r="R30" i="27"/>
  <c r="S30" i="27"/>
  <c r="B29" i="27"/>
  <c r="D29" i="27"/>
  <c r="M29" i="27" s="1"/>
  <c r="Q29" i="27"/>
  <c r="R29" i="27"/>
  <c r="S29" i="27"/>
  <c r="B28" i="27"/>
  <c r="D28" i="27"/>
  <c r="M28" i="27" s="1"/>
  <c r="P28" i="27"/>
  <c r="Q28" i="27"/>
  <c r="R28" i="27"/>
  <c r="S28" i="27"/>
  <c r="B27" i="27"/>
  <c r="D27" i="27"/>
  <c r="Y27" i="27" s="1"/>
  <c r="P27" i="27"/>
  <c r="Q27" i="27"/>
  <c r="R27" i="27"/>
  <c r="S27" i="27"/>
  <c r="AV31" i="28"/>
  <c r="AV30" i="28"/>
  <c r="AV29" i="28"/>
  <c r="AV28" i="28"/>
  <c r="AH17" i="28"/>
  <c r="A11" i="28"/>
  <c r="C11" i="28"/>
  <c r="D11" i="28"/>
  <c r="K11" i="28" s="1"/>
  <c r="AV27" i="28"/>
  <c r="AV26" i="28"/>
  <c r="AV25" i="28"/>
  <c r="AV24" i="28"/>
  <c r="AH16" i="28"/>
  <c r="A10" i="28"/>
  <c r="C10" i="28"/>
  <c r="D10" i="28"/>
  <c r="K10" i="28" s="1"/>
  <c r="T7" i="14"/>
  <c r="U7" i="14"/>
  <c r="AE14" i="27"/>
  <c r="AF14" i="27"/>
  <c r="AI14" i="27"/>
  <c r="AJ14" i="27"/>
  <c r="AE13" i="27"/>
  <c r="AF13" i="27"/>
  <c r="AI13" i="27"/>
  <c r="AJ13" i="27"/>
  <c r="B26" i="27"/>
  <c r="D26" i="27"/>
  <c r="M26" i="27" s="1"/>
  <c r="Q26" i="27"/>
  <c r="R26" i="27"/>
  <c r="S26" i="27"/>
  <c r="B25" i="27"/>
  <c r="D25" i="27"/>
  <c r="M25" i="27" s="1"/>
  <c r="P25" i="27"/>
  <c r="Q25" i="27"/>
  <c r="R25" i="27"/>
  <c r="S25" i="27"/>
  <c r="AP18" i="29"/>
  <c r="AR18" i="29"/>
  <c r="AP17" i="29"/>
  <c r="AR17" i="29"/>
  <c r="AP16" i="29"/>
  <c r="AR16" i="29"/>
  <c r="AP15" i="29"/>
  <c r="AR15" i="29"/>
  <c r="C7" i="29"/>
  <c r="K294" i="3" l="1"/>
  <c r="K102" i="3"/>
  <c r="K101" i="3"/>
  <c r="K100" i="3"/>
  <c r="D41" i="19"/>
  <c r="N41" i="19" s="1"/>
  <c r="G41" i="19"/>
  <c r="G40" i="19"/>
  <c r="K339" i="3"/>
  <c r="K338" i="3"/>
  <c r="K337" i="3"/>
  <c r="K336" i="3"/>
  <c r="K335" i="3"/>
  <c r="K334" i="3"/>
  <c r="K333" i="3"/>
  <c r="J73" i="1"/>
  <c r="F73" i="1"/>
  <c r="G73" i="1"/>
  <c r="K283" i="3"/>
  <c r="K281" i="3"/>
  <c r="K282" i="3"/>
  <c r="K270" i="3"/>
  <c r="K329" i="3"/>
  <c r="K319" i="3"/>
  <c r="K218" i="3"/>
  <c r="K309" i="3"/>
  <c r="K310" i="3"/>
  <c r="K332" i="3"/>
  <c r="K331" i="3"/>
  <c r="K330" i="3"/>
  <c r="K328" i="3"/>
  <c r="K326" i="3"/>
  <c r="K327" i="3"/>
  <c r="K325" i="3"/>
  <c r="K324" i="3"/>
  <c r="K323" i="3"/>
  <c r="K322" i="3"/>
  <c r="K320" i="3"/>
  <c r="K321" i="3"/>
  <c r="I72" i="1"/>
  <c r="G72" i="1"/>
  <c r="J72" i="1"/>
  <c r="F72" i="1"/>
  <c r="K316" i="3"/>
  <c r="K318" i="3"/>
  <c r="K317" i="3"/>
  <c r="K315" i="3"/>
  <c r="K314" i="3"/>
  <c r="K311" i="3"/>
  <c r="K313" i="3"/>
  <c r="K312" i="3"/>
  <c r="K308" i="3"/>
  <c r="K307" i="3"/>
  <c r="G71" i="1"/>
  <c r="J71" i="1"/>
  <c r="I71" i="1"/>
  <c r="F71" i="1"/>
  <c r="K230" i="3"/>
  <c r="K229" i="3"/>
  <c r="K93" i="3"/>
  <c r="K91" i="3"/>
  <c r="K123" i="3"/>
  <c r="D39" i="19"/>
  <c r="N39" i="19" s="1"/>
  <c r="G39" i="19"/>
  <c r="D38" i="19"/>
  <c r="N38" i="19" s="1"/>
  <c r="G38" i="19"/>
  <c r="K284" i="3"/>
  <c r="K272" i="3"/>
  <c r="G37" i="19"/>
  <c r="D37" i="19"/>
  <c r="N37" i="19" s="1"/>
  <c r="D36" i="19"/>
  <c r="N36" i="19" s="1"/>
  <c r="G36" i="19"/>
  <c r="D35" i="19"/>
  <c r="N35" i="19" s="1"/>
  <c r="G35" i="19"/>
  <c r="D34" i="19"/>
  <c r="N34" i="19" s="1"/>
  <c r="G34" i="19"/>
  <c r="D33" i="19"/>
  <c r="N33" i="19" s="1"/>
  <c r="G33" i="19"/>
  <c r="BL4" i="9"/>
  <c r="BL5" i="9"/>
  <c r="K211" i="3"/>
  <c r="K198" i="3"/>
  <c r="BL2" i="9"/>
  <c r="CI2" i="9"/>
  <c r="BL3" i="9"/>
  <c r="Y33" i="27"/>
  <c r="Y32" i="27"/>
  <c r="Y31" i="27"/>
  <c r="Y29" i="27"/>
  <c r="Y30" i="27"/>
  <c r="Y26" i="27"/>
  <c r="Y28" i="27"/>
  <c r="M27" i="27"/>
  <c r="Y25" i="27"/>
  <c r="BE2" i="9"/>
  <c r="BE3" i="9"/>
  <c r="BE4" i="9"/>
  <c r="BE5" i="9"/>
  <c r="BE6" i="9"/>
  <c r="BD2" i="9"/>
  <c r="BD3" i="9"/>
  <c r="BD4" i="9"/>
  <c r="BD5" i="9"/>
  <c r="BD6" i="9"/>
  <c r="B24" i="27"/>
  <c r="D24" i="27"/>
  <c r="Y24" i="27" s="1"/>
  <c r="P24" i="27"/>
  <c r="Q24" i="27"/>
  <c r="R24" i="27"/>
  <c r="S24" i="27"/>
  <c r="B23" i="27"/>
  <c r="D23" i="27"/>
  <c r="M23" i="27" s="1"/>
  <c r="P23" i="27"/>
  <c r="Q23" i="27"/>
  <c r="R23" i="27"/>
  <c r="S23" i="27"/>
  <c r="AV23" i="28"/>
  <c r="AV22" i="28"/>
  <c r="AV21" i="28"/>
  <c r="AV20" i="28"/>
  <c r="AH15" i="28"/>
  <c r="AH14" i="28"/>
  <c r="AH13" i="28"/>
  <c r="A9" i="28"/>
  <c r="C9" i="28"/>
  <c r="D9" i="28"/>
  <c r="K9" i="28" s="1"/>
  <c r="O18" i="9"/>
  <c r="P18" i="9"/>
  <c r="AJ18" i="9"/>
  <c r="AT18" i="9"/>
  <c r="O17" i="9"/>
  <c r="P17" i="9"/>
  <c r="AJ17" i="9"/>
  <c r="AT17" i="9"/>
  <c r="O16" i="9"/>
  <c r="P16" i="9"/>
  <c r="AJ16" i="9"/>
  <c r="AT16" i="9"/>
  <c r="C132" i="3"/>
  <c r="D132" i="3"/>
  <c r="E132" i="3"/>
  <c r="F132" i="3"/>
  <c r="G132" i="3"/>
  <c r="H132" i="3"/>
  <c r="I132" i="3"/>
  <c r="J132" i="3"/>
  <c r="O15" i="9"/>
  <c r="P15" i="9"/>
  <c r="AJ15" i="9"/>
  <c r="AT15" i="9"/>
  <c r="B8" i="9"/>
  <c r="AE12" i="27"/>
  <c r="AF12" i="27"/>
  <c r="AI12" i="27"/>
  <c r="AJ12" i="27"/>
  <c r="AE11" i="27"/>
  <c r="AF11" i="27"/>
  <c r="AI11" i="27"/>
  <c r="AJ11" i="27"/>
  <c r="B22" i="27"/>
  <c r="D22" i="27"/>
  <c r="M22" i="27" s="1"/>
  <c r="P22" i="27"/>
  <c r="Q22" i="27"/>
  <c r="R22" i="27"/>
  <c r="S22" i="27"/>
  <c r="AP14" i="29"/>
  <c r="AR14" i="29"/>
  <c r="AP13" i="29"/>
  <c r="AR13" i="29"/>
  <c r="AP12" i="29"/>
  <c r="AR12" i="29"/>
  <c r="AP11" i="29"/>
  <c r="AR11" i="29"/>
  <c r="C6" i="29"/>
  <c r="AV16" i="28"/>
  <c r="B21" i="27"/>
  <c r="D21" i="27"/>
  <c r="M21" i="27" s="1"/>
  <c r="Q21" i="27"/>
  <c r="R21" i="27"/>
  <c r="S21" i="27"/>
  <c r="O14" i="9"/>
  <c r="P14" i="9"/>
  <c r="AJ14" i="9"/>
  <c r="AT14" i="9"/>
  <c r="B7" i="9"/>
  <c r="B20" i="27"/>
  <c r="D20" i="27"/>
  <c r="M20" i="27" s="1"/>
  <c r="P20" i="27"/>
  <c r="Q20" i="27"/>
  <c r="R20" i="27"/>
  <c r="S20" i="27"/>
  <c r="M14" i="9" l="1"/>
  <c r="AE14" i="9"/>
  <c r="AB14" i="9" s="1"/>
  <c r="Q16" i="9"/>
  <c r="AN16" i="9" s="1"/>
  <c r="AE16" i="9"/>
  <c r="AB16" i="9" s="1"/>
  <c r="Q18" i="9"/>
  <c r="AD18" i="9" s="1"/>
  <c r="AE18" i="9"/>
  <c r="AB18" i="9" s="1"/>
  <c r="Q15" i="9"/>
  <c r="AY15" i="9" s="1"/>
  <c r="AE15" i="9"/>
  <c r="AB15" i="9" s="1"/>
  <c r="Q17" i="9"/>
  <c r="AY17" i="9" s="1"/>
  <c r="AE17" i="9"/>
  <c r="AB17" i="9" s="1"/>
  <c r="M15" i="9"/>
  <c r="M16" i="9"/>
  <c r="Y23" i="27"/>
  <c r="M24" i="27"/>
  <c r="M18" i="9"/>
  <c r="M17" i="9"/>
  <c r="K132" i="3"/>
  <c r="Y22" i="27"/>
  <c r="Y21" i="27"/>
  <c r="Q14" i="9"/>
  <c r="Y20" i="27"/>
  <c r="AE10" i="27"/>
  <c r="AF10" i="27"/>
  <c r="AI10" i="27"/>
  <c r="AJ10" i="27"/>
  <c r="AE9" i="27"/>
  <c r="AF9" i="27"/>
  <c r="AI9" i="27"/>
  <c r="AJ9" i="27"/>
  <c r="B18" i="27"/>
  <c r="D18" i="27"/>
  <c r="M18" i="27" s="1"/>
  <c r="R18" i="27"/>
  <c r="S18" i="27"/>
  <c r="B19" i="27"/>
  <c r="D19" i="27"/>
  <c r="M19" i="27" s="1"/>
  <c r="R19" i="27"/>
  <c r="S19" i="27"/>
  <c r="AE8" i="27"/>
  <c r="AF8" i="27"/>
  <c r="AI8" i="27"/>
  <c r="AJ8" i="27"/>
  <c r="B17" i="27"/>
  <c r="D17" i="27"/>
  <c r="M17" i="27" s="1"/>
  <c r="R17" i="27"/>
  <c r="S17" i="27"/>
  <c r="B16" i="27"/>
  <c r="D16" i="27"/>
  <c r="M16" i="27" s="1"/>
  <c r="P16" i="27"/>
  <c r="Q16" i="27"/>
  <c r="R16" i="27"/>
  <c r="S16" i="27"/>
  <c r="AE7" i="27"/>
  <c r="AF7" i="27"/>
  <c r="AI7" i="27"/>
  <c r="AJ7" i="27"/>
  <c r="B15" i="27"/>
  <c r="D15" i="27"/>
  <c r="M15" i="27" s="1"/>
  <c r="P15" i="27"/>
  <c r="Q15" i="27"/>
  <c r="R15" i="27"/>
  <c r="S15" i="27"/>
  <c r="AV19" i="28"/>
  <c r="AV18" i="28"/>
  <c r="AV17" i="28"/>
  <c r="AH12" i="28"/>
  <c r="A8" i="28"/>
  <c r="C8" i="28"/>
  <c r="D8" i="28"/>
  <c r="AN18" i="9" l="1"/>
  <c r="BA18" i="9"/>
  <c r="AD15" i="9"/>
  <c r="AN15" i="9"/>
  <c r="BA15" i="9"/>
  <c r="AY18" i="9"/>
  <c r="AD17" i="9"/>
  <c r="AY16" i="9"/>
  <c r="AD16" i="9"/>
  <c r="BA17" i="9"/>
  <c r="BA16" i="9"/>
  <c r="AN17" i="9"/>
  <c r="K8" i="28"/>
  <c r="AD14" i="9"/>
  <c r="AY14" i="9"/>
  <c r="AN14" i="9"/>
  <c r="BA14" i="9"/>
  <c r="Y18" i="27"/>
  <c r="Y19" i="27"/>
  <c r="Y17" i="27"/>
  <c r="Y16" i="27"/>
  <c r="Y15" i="27"/>
  <c r="S2" i="19"/>
  <c r="S3" i="19"/>
  <c r="P3" i="19"/>
  <c r="R3" i="19"/>
  <c r="O13" i="9"/>
  <c r="P13" i="9"/>
  <c r="AJ13" i="9"/>
  <c r="AT13" i="9"/>
  <c r="O12" i="9"/>
  <c r="P12" i="9"/>
  <c r="AJ12" i="9"/>
  <c r="AT12" i="9"/>
  <c r="O11" i="9"/>
  <c r="P11" i="9"/>
  <c r="AJ11" i="9"/>
  <c r="AT11" i="9"/>
  <c r="B6" i="9"/>
  <c r="A54" i="24"/>
  <c r="C54" i="24"/>
  <c r="A53" i="24"/>
  <c r="C53" i="24"/>
  <c r="A52" i="24"/>
  <c r="C52" i="24"/>
  <c r="A51" i="24"/>
  <c r="C51" i="24"/>
  <c r="A49" i="24"/>
  <c r="C49" i="24"/>
  <c r="A48" i="24"/>
  <c r="C48" i="24"/>
  <c r="A47" i="24"/>
  <c r="C47" i="24"/>
  <c r="A46" i="24"/>
  <c r="C46" i="24"/>
  <c r="A45" i="24"/>
  <c r="C45" i="24"/>
  <c r="A43" i="24"/>
  <c r="C43" i="24"/>
  <c r="A44" i="24"/>
  <c r="C44" i="24"/>
  <c r="A42" i="24"/>
  <c r="C42" i="24"/>
  <c r="A41" i="24"/>
  <c r="C41" i="24"/>
  <c r="A40" i="24"/>
  <c r="C40" i="24"/>
  <c r="A39" i="24"/>
  <c r="C39" i="24"/>
  <c r="A37" i="24"/>
  <c r="C37" i="24"/>
  <c r="A34" i="24"/>
  <c r="A35" i="24"/>
  <c r="A36" i="24"/>
  <c r="C34" i="24"/>
  <c r="C35" i="24"/>
  <c r="C36" i="24"/>
  <c r="J45" i="21"/>
  <c r="J46" i="21"/>
  <c r="K45" i="21"/>
  <c r="K46" i="21"/>
  <c r="J44" i="21"/>
  <c r="K44" i="21"/>
  <c r="Q12" i="9" l="1"/>
  <c r="BA12" i="9" s="1"/>
  <c r="AE12" i="9"/>
  <c r="AB12" i="9" s="1"/>
  <c r="Q11" i="9"/>
  <c r="BA11" i="9" s="1"/>
  <c r="AE11" i="9"/>
  <c r="AB11" i="9" s="1"/>
  <c r="Q13" i="9"/>
  <c r="BA13" i="9" s="1"/>
  <c r="AE13" i="9"/>
  <c r="AB13" i="9" s="1"/>
  <c r="M13" i="9"/>
  <c r="M12" i="9"/>
  <c r="M11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13" i="9" l="1"/>
  <c r="AY13" i="9"/>
  <c r="AD11" i="9"/>
  <c r="AN11" i="9"/>
  <c r="AY11" i="9"/>
  <c r="AN13" i="9"/>
  <c r="AY12" i="9"/>
  <c r="AD12" i="9"/>
  <c r="AN12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6" i="14"/>
  <c r="U6" i="14"/>
  <c r="B14" i="27"/>
  <c r="D14" i="27"/>
  <c r="M14" i="27" s="1"/>
  <c r="Q14" i="27"/>
  <c r="R14" i="27"/>
  <c r="S14" i="27"/>
  <c r="AV15" i="28"/>
  <c r="AV14" i="28"/>
  <c r="AV13" i="28"/>
  <c r="AH11" i="28"/>
  <c r="AH10" i="28"/>
  <c r="A7" i="28"/>
  <c r="C7" i="28"/>
  <c r="D7" i="28"/>
  <c r="K7" i="28" l="1"/>
  <c r="Y14" i="27"/>
  <c r="AH2" i="28"/>
  <c r="AH3" i="28"/>
  <c r="AH4" i="28"/>
  <c r="AH5" i="28"/>
  <c r="AH6" i="28"/>
  <c r="AH7" i="28"/>
  <c r="AH8" i="28"/>
  <c r="AH9" i="28"/>
  <c r="AF17" i="28" l="1"/>
  <c r="AF16" i="28"/>
  <c r="AF15" i="28"/>
  <c r="AF14" i="28"/>
  <c r="AF13" i="28"/>
  <c r="AF12" i="28"/>
  <c r="AF11" i="28"/>
  <c r="AF10" i="28"/>
  <c r="B13" i="27"/>
  <c r="D13" i="27"/>
  <c r="P13" i="27"/>
  <c r="Q13" i="27"/>
  <c r="R13" i="27"/>
  <c r="S13" i="27"/>
  <c r="AV12" i="28"/>
  <c r="AV11" i="28"/>
  <c r="AV10" i="28"/>
  <c r="A6" i="28"/>
  <c r="C6" i="28"/>
  <c r="D6" i="28"/>
  <c r="A13" i="19"/>
  <c r="B13" i="19"/>
  <c r="G13" i="19" s="1"/>
  <c r="C13" i="19"/>
  <c r="A9" i="19"/>
  <c r="B9" i="19"/>
  <c r="G9" i="19" s="1"/>
  <c r="C9" i="19"/>
  <c r="M13" i="27" l="1"/>
  <c r="K6" i="28"/>
  <c r="Y13" i="27"/>
  <c r="D13" i="19"/>
  <c r="D9" i="19"/>
  <c r="N9" i="19" s="1"/>
  <c r="C302" i="3"/>
  <c r="D302" i="3"/>
  <c r="E302" i="3"/>
  <c r="F302" i="3"/>
  <c r="G302" i="3"/>
  <c r="H302" i="3"/>
  <c r="I302" i="3"/>
  <c r="J302" i="3"/>
  <c r="T5" i="14"/>
  <c r="U5" i="14"/>
  <c r="AE6" i="27"/>
  <c r="AF6" i="27"/>
  <c r="AI6" i="27"/>
  <c r="AJ6" i="27"/>
  <c r="AE5" i="27"/>
  <c r="AF5" i="27"/>
  <c r="AI5" i="27"/>
  <c r="AJ5" i="27"/>
  <c r="B12" i="27"/>
  <c r="D12" i="27"/>
  <c r="M12" i="27" s="1"/>
  <c r="Q12" i="27"/>
  <c r="R12" i="27"/>
  <c r="S12" i="27"/>
  <c r="B11" i="27"/>
  <c r="D11" i="27"/>
  <c r="M11" i="27" s="1"/>
  <c r="P11" i="27"/>
  <c r="Q11" i="27"/>
  <c r="R11" i="27"/>
  <c r="S11" i="27"/>
  <c r="Y12" i="27" l="1"/>
  <c r="N13" i="19"/>
  <c r="K302" i="3"/>
  <c r="Y11" i="27"/>
  <c r="B10" i="27"/>
  <c r="D10" i="27"/>
  <c r="P10" i="27"/>
  <c r="Q10" i="27"/>
  <c r="R10" i="27"/>
  <c r="S10" i="27"/>
  <c r="B9" i="27"/>
  <c r="D9" i="27"/>
  <c r="P9" i="27"/>
  <c r="Q9" i="27"/>
  <c r="R9" i="27"/>
  <c r="S9" i="27"/>
  <c r="AP10" i="29"/>
  <c r="AR10" i="29"/>
  <c r="AP9" i="29"/>
  <c r="AR9" i="29"/>
  <c r="AP8" i="29"/>
  <c r="AR8" i="29"/>
  <c r="M10" i="27" l="1"/>
  <c r="M9" i="27"/>
  <c r="Y10" i="27"/>
  <c r="Y9" i="27"/>
  <c r="AR2" i="29"/>
  <c r="AR3" i="29"/>
  <c r="AR4" i="29"/>
  <c r="AR5" i="29"/>
  <c r="AR6" i="29"/>
  <c r="AR7" i="29"/>
  <c r="AP2" i="29"/>
  <c r="AP3" i="29"/>
  <c r="AP4" i="29"/>
  <c r="AP5" i="29"/>
  <c r="AP6" i="29"/>
  <c r="AP7" i="29"/>
  <c r="C5" i="29" l="1"/>
  <c r="AV9" i="28"/>
  <c r="AV8" i="28"/>
  <c r="AV7" i="28"/>
  <c r="A5" i="28"/>
  <c r="C5" i="28"/>
  <c r="D5" i="28"/>
  <c r="K5" i="28" l="1"/>
  <c r="O10" i="9"/>
  <c r="P10" i="9"/>
  <c r="AJ10" i="9"/>
  <c r="AT10" i="9"/>
  <c r="O9" i="9"/>
  <c r="P9" i="9"/>
  <c r="AJ9" i="9"/>
  <c r="AT9" i="9"/>
  <c r="O8" i="9"/>
  <c r="P8" i="9"/>
  <c r="AJ8" i="9"/>
  <c r="AT8" i="9"/>
  <c r="O7" i="9"/>
  <c r="P7" i="9"/>
  <c r="AJ7" i="9"/>
  <c r="AT7" i="9"/>
  <c r="B5" i="9"/>
  <c r="V2" i="14"/>
  <c r="T4" i="14"/>
  <c r="U4" i="14"/>
  <c r="T3" i="14"/>
  <c r="U3" i="14"/>
  <c r="Q8" i="9" l="1"/>
  <c r="AD8" i="9" s="1"/>
  <c r="AE8" i="9"/>
  <c r="AB8" i="9" s="1"/>
  <c r="Q10" i="9"/>
  <c r="BA10" i="9" s="1"/>
  <c r="AE10" i="9"/>
  <c r="AB10" i="9" s="1"/>
  <c r="Q7" i="9"/>
  <c r="AY7" i="9" s="1"/>
  <c r="AE7" i="9"/>
  <c r="AB7" i="9" s="1"/>
  <c r="Q9" i="9"/>
  <c r="AD9" i="9" s="1"/>
  <c r="AE9" i="9"/>
  <c r="AB9" i="9" s="1"/>
  <c r="M10" i="9"/>
  <c r="M9" i="9"/>
  <c r="M8" i="9"/>
  <c r="M7" i="9"/>
  <c r="AN9" i="9" l="1"/>
  <c r="BA9" i="9"/>
  <c r="BA7" i="9"/>
  <c r="AN7" i="9"/>
  <c r="AD7" i="9"/>
  <c r="AY9" i="9"/>
  <c r="AY8" i="9"/>
  <c r="AN10" i="9"/>
  <c r="AN8" i="9"/>
  <c r="AD10" i="9"/>
  <c r="BA8" i="9"/>
  <c r="AY10" i="9"/>
  <c r="AJ2" i="27"/>
  <c r="AJ3" i="27"/>
  <c r="AJ4" i="27"/>
  <c r="AI2" i="27"/>
  <c r="AI3" i="27"/>
  <c r="AI4" i="27"/>
  <c r="AF2" i="27"/>
  <c r="AF3" i="27"/>
  <c r="AF4" i="27"/>
  <c r="AE2" i="27"/>
  <c r="AE3" i="27"/>
  <c r="AE4" i="27"/>
  <c r="B8" i="27" l="1"/>
  <c r="D8" i="27"/>
  <c r="Q8" i="27"/>
  <c r="R8" i="27"/>
  <c r="S8" i="27"/>
  <c r="M8" i="27" l="1"/>
  <c r="Y8" i="27"/>
  <c r="O6" i="9" l="1"/>
  <c r="P6" i="9"/>
  <c r="AJ6" i="9"/>
  <c r="AT6" i="9"/>
  <c r="O5" i="9"/>
  <c r="P5" i="9"/>
  <c r="AJ5" i="9"/>
  <c r="AT5" i="9"/>
  <c r="B7" i="27"/>
  <c r="D7" i="27"/>
  <c r="Q7" i="27"/>
  <c r="R7" i="27"/>
  <c r="S7" i="27"/>
  <c r="C4" i="29"/>
  <c r="Q6" i="9" l="1"/>
  <c r="BA6" i="9" s="1"/>
  <c r="AE6" i="9"/>
  <c r="AB6" i="9" s="1"/>
  <c r="Q5" i="9"/>
  <c r="BA5" i="9" s="1"/>
  <c r="AE5" i="9"/>
  <c r="AB5" i="9" s="1"/>
  <c r="M6" i="9"/>
  <c r="M7" i="27"/>
  <c r="M5" i="9"/>
  <c r="Y7" i="27"/>
  <c r="C3" i="29"/>
  <c r="B6" i="27"/>
  <c r="D6" i="27"/>
  <c r="P6" i="27"/>
  <c r="Q6" i="27"/>
  <c r="R6" i="27"/>
  <c r="S6" i="27"/>
  <c r="B5" i="27"/>
  <c r="D5" i="27"/>
  <c r="P5" i="27"/>
  <c r="Q5" i="27"/>
  <c r="R5" i="27"/>
  <c r="S5" i="27"/>
  <c r="B4" i="27"/>
  <c r="D4" i="27"/>
  <c r="P4" i="27"/>
  <c r="Q4" i="27"/>
  <c r="R4" i="27"/>
  <c r="S4" i="27"/>
  <c r="B3" i="27"/>
  <c r="D3" i="27"/>
  <c r="P3" i="27"/>
  <c r="Q3" i="27"/>
  <c r="R3" i="27"/>
  <c r="S3" i="27"/>
  <c r="AD5" i="9" l="1"/>
  <c r="AN5" i="9"/>
  <c r="AY5" i="9"/>
  <c r="AD6" i="9"/>
  <c r="AN6" i="9"/>
  <c r="AY6" i="9"/>
  <c r="M3" i="27"/>
  <c r="M4" i="27"/>
  <c r="M5" i="27"/>
  <c r="M6" i="27"/>
  <c r="Y6" i="27"/>
  <c r="Y5" i="27"/>
  <c r="Y4" i="27"/>
  <c r="Y3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A7" i="24"/>
  <c r="C7" i="24"/>
  <c r="A6" i="24"/>
  <c r="C6" i="24"/>
  <c r="A3" i="24"/>
  <c r="C3" i="24"/>
  <c r="A2" i="24"/>
  <c r="C2" i="24"/>
  <c r="O2" i="9" l="1"/>
  <c r="O3" i="9"/>
  <c r="O4" i="9"/>
  <c r="M2" i="9" l="1"/>
  <c r="AE2" i="9"/>
  <c r="AB2" i="9" s="1"/>
  <c r="M4" i="9"/>
  <c r="AE4" i="9"/>
  <c r="AB4" i="9" s="1"/>
  <c r="M3" i="9"/>
  <c r="AE3" i="9"/>
  <c r="AB3" i="9" s="1"/>
  <c r="Q2" i="9"/>
  <c r="Q3" i="9"/>
  <c r="Q4" i="9"/>
  <c r="E6" i="31"/>
  <c r="AA3" i="9" l="1"/>
  <c r="AA5" i="9"/>
  <c r="AA10" i="9"/>
  <c r="AA12" i="9"/>
  <c r="AA6" i="9"/>
  <c r="AA9" i="9"/>
  <c r="AA11" i="9"/>
  <c r="AA7" i="9"/>
  <c r="AA13" i="9"/>
  <c r="AA8" i="9"/>
  <c r="AA14" i="9"/>
  <c r="AA4" i="9"/>
  <c r="AA2" i="9"/>
  <c r="AA15" i="9"/>
  <c r="AA18" i="9"/>
  <c r="AA17" i="9"/>
  <c r="AA16" i="9"/>
  <c r="AY2" i="9"/>
  <c r="BA2" i="9"/>
  <c r="AY4" i="9"/>
  <c r="BA4" i="9"/>
  <c r="AY3" i="9"/>
  <c r="BA3" i="9"/>
  <c r="AD2" i="9"/>
  <c r="AN2" i="9"/>
  <c r="AD4" i="9"/>
  <c r="AN4" i="9"/>
  <c r="AD3" i="9"/>
  <c r="AN3" i="9"/>
  <c r="P4" i="9"/>
  <c r="AJ4" i="9"/>
  <c r="AT4" i="9"/>
  <c r="P3" i="9"/>
  <c r="AJ3" i="9"/>
  <c r="AT3" i="9"/>
  <c r="B4" i="9"/>
  <c r="B3" i="9"/>
  <c r="AV6" i="28"/>
  <c r="AV5" i="28"/>
  <c r="AV4" i="28"/>
  <c r="AV3" i="28"/>
  <c r="A4" i="28"/>
  <c r="C4" i="28"/>
  <c r="D4" i="28"/>
  <c r="A3" i="28"/>
  <c r="C3" i="28"/>
  <c r="D3" i="28"/>
  <c r="A32" i="19"/>
  <c r="B32" i="19"/>
  <c r="G32" i="19" s="1"/>
  <c r="C32" i="19"/>
  <c r="A31" i="19"/>
  <c r="B31" i="19"/>
  <c r="D31" i="19" s="1"/>
  <c r="N31" i="19" s="1"/>
  <c r="C31" i="19"/>
  <c r="A30" i="19"/>
  <c r="B30" i="19"/>
  <c r="G30" i="19" s="1"/>
  <c r="C30" i="19"/>
  <c r="A29" i="19"/>
  <c r="B29" i="19"/>
  <c r="D29" i="19" s="1"/>
  <c r="N29" i="19" s="1"/>
  <c r="C29" i="19"/>
  <c r="A28" i="19"/>
  <c r="B28" i="19"/>
  <c r="C28" i="19"/>
  <c r="A27" i="19"/>
  <c r="B27" i="19"/>
  <c r="C27" i="19"/>
  <c r="A26" i="19"/>
  <c r="B26" i="19"/>
  <c r="D26" i="19" s="1"/>
  <c r="N26" i="19" s="1"/>
  <c r="C26" i="19"/>
  <c r="A25" i="19"/>
  <c r="B25" i="19"/>
  <c r="D25" i="19" s="1"/>
  <c r="N25" i="19" s="1"/>
  <c r="C25" i="19"/>
  <c r="A24" i="19"/>
  <c r="B24" i="19"/>
  <c r="C24" i="19"/>
  <c r="A23" i="19"/>
  <c r="B23" i="19"/>
  <c r="C23" i="19"/>
  <c r="A22" i="19"/>
  <c r="B22" i="19"/>
  <c r="C22" i="19"/>
  <c r="A21" i="19"/>
  <c r="B21" i="19"/>
  <c r="C21" i="19"/>
  <c r="A20" i="19"/>
  <c r="B20" i="19"/>
  <c r="G20" i="19" s="1"/>
  <c r="C20" i="19"/>
  <c r="A19" i="19"/>
  <c r="B19" i="19"/>
  <c r="C19" i="19"/>
  <c r="A18" i="19"/>
  <c r="B18" i="19"/>
  <c r="D18" i="19" s="1"/>
  <c r="N18" i="19" s="1"/>
  <c r="C18" i="19"/>
  <c r="A17" i="19"/>
  <c r="B17" i="19"/>
  <c r="C17" i="19"/>
  <c r="A16" i="19"/>
  <c r="B16" i="19"/>
  <c r="D16" i="19" s="1"/>
  <c r="C16" i="19"/>
  <c r="A15" i="19"/>
  <c r="B15" i="19"/>
  <c r="C15" i="19"/>
  <c r="A14" i="19"/>
  <c r="B14" i="19"/>
  <c r="C14" i="19"/>
  <c r="A12" i="19"/>
  <c r="B12" i="19"/>
  <c r="C12" i="19"/>
  <c r="A11" i="19"/>
  <c r="B11" i="19"/>
  <c r="D11" i="19" s="1"/>
  <c r="C11" i="19"/>
  <c r="A10" i="19"/>
  <c r="B10" i="19"/>
  <c r="C10" i="19"/>
  <c r="A8" i="19"/>
  <c r="B8" i="19"/>
  <c r="C8" i="19"/>
  <c r="AF10" i="9" l="1"/>
  <c r="AI10" i="9"/>
  <c r="AG10" i="9"/>
  <c r="AH10" i="9"/>
  <c r="AH12" i="9"/>
  <c r="AF12" i="9"/>
  <c r="AG12" i="9"/>
  <c r="AI12" i="9"/>
  <c r="AH16" i="9"/>
  <c r="AI16" i="9"/>
  <c r="AG16" i="9"/>
  <c r="AF16" i="9"/>
  <c r="AF13" i="9"/>
  <c r="AH13" i="9"/>
  <c r="AI13" i="9"/>
  <c r="AG13" i="9"/>
  <c r="AF3" i="9"/>
  <c r="AG3" i="9"/>
  <c r="AH3" i="9"/>
  <c r="AI3" i="9"/>
  <c r="AH8" i="9"/>
  <c r="AI8" i="9"/>
  <c r="AG8" i="9"/>
  <c r="AF8" i="9"/>
  <c r="AF6" i="9"/>
  <c r="AG6" i="9"/>
  <c r="AI6" i="9"/>
  <c r="AH6" i="9"/>
  <c r="AG15" i="9"/>
  <c r="AH15" i="9"/>
  <c r="AF15" i="9"/>
  <c r="AI15" i="9"/>
  <c r="AI9" i="9"/>
  <c r="AH9" i="9"/>
  <c r="AF9" i="9"/>
  <c r="AG9" i="9"/>
  <c r="AF5" i="9"/>
  <c r="AH5" i="9"/>
  <c r="AI5" i="9"/>
  <c r="AG5" i="9"/>
  <c r="AG4" i="9"/>
  <c r="AH4" i="9"/>
  <c r="AF4" i="9"/>
  <c r="AI4" i="9"/>
  <c r="AF2" i="9"/>
  <c r="AI2" i="9"/>
  <c r="AG2" i="9"/>
  <c r="AH2" i="9"/>
  <c r="AF18" i="9"/>
  <c r="AI18" i="9"/>
  <c r="AG18" i="9"/>
  <c r="AH18" i="9"/>
  <c r="AF11" i="9"/>
  <c r="AG11" i="9"/>
  <c r="AH11" i="9"/>
  <c r="AI11" i="9"/>
  <c r="AF14" i="9"/>
  <c r="AG14" i="9"/>
  <c r="AH14" i="9"/>
  <c r="AI14" i="9"/>
  <c r="AI17" i="9"/>
  <c r="AH17" i="9"/>
  <c r="AF17" i="9"/>
  <c r="AG17" i="9"/>
  <c r="AG7" i="9"/>
  <c r="AH7" i="9"/>
  <c r="AF7" i="9"/>
  <c r="AI7" i="9"/>
  <c r="N16" i="19"/>
  <c r="N11" i="19"/>
  <c r="K4" i="28"/>
  <c r="K3" i="28"/>
  <c r="D32" i="19"/>
  <c r="N32" i="19" s="1"/>
  <c r="G31" i="19"/>
  <c r="G29" i="19"/>
  <c r="D30" i="19"/>
  <c r="N30" i="19" s="1"/>
  <c r="G26" i="19"/>
  <c r="D27" i="19"/>
  <c r="N27" i="19" s="1"/>
  <c r="D28" i="19"/>
  <c r="N28" i="19" s="1"/>
  <c r="G27" i="19"/>
  <c r="G28" i="19"/>
  <c r="G24" i="19"/>
  <c r="G25" i="19"/>
  <c r="D24" i="19"/>
  <c r="N24" i="19" s="1"/>
  <c r="D23" i="19"/>
  <c r="N23" i="19" s="1"/>
  <c r="G23" i="19"/>
  <c r="D21" i="19"/>
  <c r="N21" i="19" s="1"/>
  <c r="D22" i="19"/>
  <c r="N22" i="19" s="1"/>
  <c r="G21" i="19"/>
  <c r="G22" i="19"/>
  <c r="G19" i="19"/>
  <c r="D19" i="19"/>
  <c r="N19" i="19" s="1"/>
  <c r="D20" i="19"/>
  <c r="N20" i="19" s="1"/>
  <c r="G18" i="19"/>
  <c r="D17" i="19"/>
  <c r="G17" i="19"/>
  <c r="G16" i="19"/>
  <c r="D15" i="19"/>
  <c r="G15" i="19"/>
  <c r="D14" i="19"/>
  <c r="N14" i="19" s="1"/>
  <c r="G14" i="19"/>
  <c r="D12" i="19"/>
  <c r="N12" i="19" s="1"/>
  <c r="G12" i="19"/>
  <c r="G11" i="19"/>
  <c r="D10" i="19"/>
  <c r="N10" i="19" s="1"/>
  <c r="G10" i="19"/>
  <c r="D8" i="19"/>
  <c r="N8" i="19" s="1"/>
  <c r="G8" i="19"/>
  <c r="A3" i="14"/>
  <c r="B3" i="14"/>
  <c r="H3" i="14"/>
  <c r="B46" i="1"/>
  <c r="C46" i="1"/>
  <c r="E46" i="1" s="1"/>
  <c r="D46" i="1"/>
  <c r="A7" i="19"/>
  <c r="B7" i="19"/>
  <c r="D7" i="19" s="1"/>
  <c r="N7" i="19" s="1"/>
  <c r="C7" i="19"/>
  <c r="A6" i="19"/>
  <c r="B6" i="19"/>
  <c r="C6" i="19"/>
  <c r="A5" i="19"/>
  <c r="B5" i="19"/>
  <c r="C5" i="19"/>
  <c r="A4" i="19"/>
  <c r="B4" i="19"/>
  <c r="D4" i="19" s="1"/>
  <c r="N4" i="19" s="1"/>
  <c r="C4" i="19"/>
  <c r="A3" i="19"/>
  <c r="B3" i="19"/>
  <c r="D3" i="19" s="1"/>
  <c r="N3" i="19" s="1"/>
  <c r="C3" i="19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A5" i="14"/>
  <c r="B5" i="14"/>
  <c r="H5" i="14"/>
  <c r="H4" i="14"/>
  <c r="A4" i="14"/>
  <c r="B4" i="14"/>
  <c r="B59" i="1"/>
  <c r="H59" i="1" s="1"/>
  <c r="C59" i="1"/>
  <c r="E59" i="1" s="1"/>
  <c r="D58" i="21" s="1"/>
  <c r="D59" i="1"/>
  <c r="C58" i="21" s="1"/>
  <c r="B48" i="1"/>
  <c r="H48" i="1" s="1"/>
  <c r="C48" i="1"/>
  <c r="E48" i="1" s="1"/>
  <c r="D48" i="1"/>
  <c r="C44" i="21" s="1"/>
  <c r="B54" i="1"/>
  <c r="H54" i="1" s="1"/>
  <c r="B55" i="1"/>
  <c r="H55" i="1" s="1"/>
  <c r="B56" i="1"/>
  <c r="F56" i="1" s="1"/>
  <c r="B57" i="1"/>
  <c r="H57" i="1" s="1"/>
  <c r="B58" i="1"/>
  <c r="H58" i="1" s="1"/>
  <c r="B60" i="1"/>
  <c r="F60" i="1" s="1"/>
  <c r="B61" i="1"/>
  <c r="H61" i="1" s="1"/>
  <c r="B62" i="1"/>
  <c r="H62" i="1" s="1"/>
  <c r="B63" i="1"/>
  <c r="H63" i="1" s="1"/>
  <c r="B64" i="1"/>
  <c r="H64" i="1" s="1"/>
  <c r="C54" i="1"/>
  <c r="E54" i="1" s="1"/>
  <c r="D53" i="21" s="1"/>
  <c r="C55" i="1"/>
  <c r="E55" i="1" s="1"/>
  <c r="D54" i="21" s="1"/>
  <c r="C56" i="1"/>
  <c r="E56" i="1" s="1"/>
  <c r="D55" i="21" s="1"/>
  <c r="C57" i="1"/>
  <c r="E57" i="1" s="1"/>
  <c r="C58" i="1"/>
  <c r="E58" i="1" s="1"/>
  <c r="D57" i="21" s="1"/>
  <c r="C60" i="1"/>
  <c r="E60" i="1" s="1"/>
  <c r="C61" i="1"/>
  <c r="E61" i="1" s="1"/>
  <c r="D60" i="21" s="1"/>
  <c r="C62" i="1"/>
  <c r="E62" i="1" s="1"/>
  <c r="D45" i="21" s="1"/>
  <c r="C63" i="1"/>
  <c r="E63" i="1" s="1"/>
  <c r="D46" i="21" s="1"/>
  <c r="C64" i="1"/>
  <c r="E64" i="1" s="1"/>
  <c r="D61" i="21" s="1"/>
  <c r="D54" i="1"/>
  <c r="C53" i="21" s="1"/>
  <c r="D55" i="1"/>
  <c r="C54" i="21" s="1"/>
  <c r="D56" i="1"/>
  <c r="C55" i="21" s="1"/>
  <c r="D57" i="1"/>
  <c r="C56" i="21" s="1"/>
  <c r="D58" i="1"/>
  <c r="C57" i="21" s="1"/>
  <c r="D60" i="1"/>
  <c r="C59" i="21" s="1"/>
  <c r="D61" i="1"/>
  <c r="C60" i="21" s="1"/>
  <c r="D62" i="1"/>
  <c r="C45" i="21" s="1"/>
  <c r="D63" i="1"/>
  <c r="C46" i="21" s="1"/>
  <c r="D64" i="1"/>
  <c r="C61" i="21" s="1"/>
  <c r="B50" i="1"/>
  <c r="F50" i="1" s="1"/>
  <c r="B52" i="1"/>
  <c r="H52" i="1" s="1"/>
  <c r="C50" i="1"/>
  <c r="E50" i="1" s="1"/>
  <c r="D49" i="21" s="1"/>
  <c r="C52" i="1"/>
  <c r="E52" i="1" s="1"/>
  <c r="D50" i="1"/>
  <c r="C49" i="21" s="1"/>
  <c r="D52" i="1"/>
  <c r="C51" i="21" s="1"/>
  <c r="B49" i="1"/>
  <c r="H49" i="1" s="1"/>
  <c r="C49" i="1"/>
  <c r="E49" i="1" s="1"/>
  <c r="D49" i="1"/>
  <c r="C48" i="21" s="1"/>
  <c r="C306" i="3"/>
  <c r="D306" i="3"/>
  <c r="E306" i="3"/>
  <c r="F306" i="3"/>
  <c r="G306" i="3"/>
  <c r="H306" i="3"/>
  <c r="I306" i="3"/>
  <c r="J306" i="3"/>
  <c r="C299" i="3"/>
  <c r="D299" i="3"/>
  <c r="E299" i="3"/>
  <c r="F299" i="3"/>
  <c r="G299" i="3"/>
  <c r="H299" i="3"/>
  <c r="I299" i="3"/>
  <c r="J299" i="3"/>
  <c r="C305" i="3"/>
  <c r="D305" i="3"/>
  <c r="E305" i="3"/>
  <c r="F305" i="3"/>
  <c r="G305" i="3"/>
  <c r="H305" i="3"/>
  <c r="I305" i="3"/>
  <c r="J305" i="3"/>
  <c r="C304" i="3"/>
  <c r="D304" i="3"/>
  <c r="E304" i="3"/>
  <c r="F304" i="3"/>
  <c r="G304" i="3"/>
  <c r="H304" i="3"/>
  <c r="I304" i="3"/>
  <c r="J304" i="3"/>
  <c r="C303" i="3"/>
  <c r="D303" i="3"/>
  <c r="E303" i="3"/>
  <c r="F303" i="3"/>
  <c r="G303" i="3"/>
  <c r="H303" i="3"/>
  <c r="I303" i="3"/>
  <c r="J303" i="3"/>
  <c r="C301" i="3"/>
  <c r="D301" i="3"/>
  <c r="E301" i="3"/>
  <c r="F301" i="3"/>
  <c r="G301" i="3"/>
  <c r="H301" i="3"/>
  <c r="I301" i="3"/>
  <c r="J301" i="3"/>
  <c r="J270" i="2"/>
  <c r="C300" i="3"/>
  <c r="D300" i="3"/>
  <c r="E300" i="3"/>
  <c r="F300" i="3"/>
  <c r="G300" i="3"/>
  <c r="H300" i="3"/>
  <c r="I300" i="3"/>
  <c r="J300" i="3"/>
  <c r="C298" i="3"/>
  <c r="D298" i="3"/>
  <c r="E298" i="3"/>
  <c r="F298" i="3"/>
  <c r="G298" i="3"/>
  <c r="H298" i="3"/>
  <c r="I298" i="3"/>
  <c r="J298" i="3"/>
  <c r="J12" i="2"/>
  <c r="C297" i="3"/>
  <c r="D297" i="3"/>
  <c r="E297" i="3"/>
  <c r="F297" i="3"/>
  <c r="G297" i="3"/>
  <c r="H297" i="3"/>
  <c r="I297" i="3"/>
  <c r="J297" i="3"/>
  <c r="J10" i="2"/>
  <c r="C296" i="3"/>
  <c r="D296" i="3"/>
  <c r="E296" i="3"/>
  <c r="F296" i="3"/>
  <c r="G296" i="3"/>
  <c r="H296" i="3"/>
  <c r="I296" i="3"/>
  <c r="J296" i="3"/>
  <c r="C295" i="3"/>
  <c r="D295" i="3"/>
  <c r="E295" i="3"/>
  <c r="F295" i="3"/>
  <c r="G295" i="3"/>
  <c r="H295" i="3"/>
  <c r="I295" i="3"/>
  <c r="J295" i="3"/>
  <c r="J131" i="2"/>
  <c r="J128" i="2"/>
  <c r="J129" i="2"/>
  <c r="J130" i="2"/>
  <c r="J124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B47" i="1"/>
  <c r="C47" i="1"/>
  <c r="E47" i="1" s="1"/>
  <c r="D47" i="21" s="1"/>
  <c r="D47" i="1"/>
  <c r="C47" i="21" s="1"/>
  <c r="C262" i="3"/>
  <c r="D262" i="3"/>
  <c r="E262" i="3"/>
  <c r="F262" i="3"/>
  <c r="G262" i="3"/>
  <c r="H262" i="3"/>
  <c r="I262" i="3"/>
  <c r="J262" i="3"/>
  <c r="J199" i="2"/>
  <c r="J190" i="2"/>
  <c r="J191" i="2"/>
  <c r="J192" i="2"/>
  <c r="J193" i="2"/>
  <c r="J194" i="2"/>
  <c r="J195" i="2"/>
  <c r="J196" i="2"/>
  <c r="J197" i="2"/>
  <c r="J198" i="2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74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33" i="2"/>
  <c r="J132" i="2"/>
  <c r="J127" i="2"/>
  <c r="J126" i="2"/>
  <c r="J125" i="2"/>
  <c r="J123" i="2"/>
  <c r="J122" i="2"/>
  <c r="C278" i="3"/>
  <c r="C279" i="3"/>
  <c r="C285" i="3"/>
  <c r="D278" i="3"/>
  <c r="D279" i="3"/>
  <c r="D285" i="3"/>
  <c r="E278" i="3"/>
  <c r="E279" i="3"/>
  <c r="E285" i="3"/>
  <c r="F278" i="3"/>
  <c r="F279" i="3"/>
  <c r="F285" i="3"/>
  <c r="G278" i="3"/>
  <c r="G279" i="3"/>
  <c r="G285" i="3"/>
  <c r="H278" i="3"/>
  <c r="H279" i="3"/>
  <c r="H285" i="3"/>
  <c r="I278" i="3"/>
  <c r="I279" i="3"/>
  <c r="I285" i="3"/>
  <c r="J278" i="3"/>
  <c r="J279" i="3"/>
  <c r="J285" i="3"/>
  <c r="J121" i="2"/>
  <c r="J120" i="2"/>
  <c r="J119" i="2"/>
  <c r="C263" i="3"/>
  <c r="C264" i="3"/>
  <c r="C265" i="3"/>
  <c r="C266" i="3"/>
  <c r="C267" i="3"/>
  <c r="C268" i="3"/>
  <c r="C269" i="3"/>
  <c r="C271" i="3"/>
  <c r="C273" i="3"/>
  <c r="C274" i="3"/>
  <c r="C275" i="3"/>
  <c r="C276" i="3"/>
  <c r="C277" i="3"/>
  <c r="D263" i="3"/>
  <c r="D264" i="3"/>
  <c r="D265" i="3"/>
  <c r="D266" i="3"/>
  <c r="D267" i="3"/>
  <c r="D268" i="3"/>
  <c r="D269" i="3"/>
  <c r="D271" i="3"/>
  <c r="D273" i="3"/>
  <c r="D274" i="3"/>
  <c r="D275" i="3"/>
  <c r="D276" i="3"/>
  <c r="D277" i="3"/>
  <c r="E263" i="3"/>
  <c r="E264" i="3"/>
  <c r="E265" i="3"/>
  <c r="E266" i="3"/>
  <c r="E267" i="3"/>
  <c r="E268" i="3"/>
  <c r="E269" i="3"/>
  <c r="E271" i="3"/>
  <c r="E273" i="3"/>
  <c r="E274" i="3"/>
  <c r="E275" i="3"/>
  <c r="E276" i="3"/>
  <c r="E277" i="3"/>
  <c r="F263" i="3"/>
  <c r="F264" i="3"/>
  <c r="F265" i="3"/>
  <c r="F266" i="3"/>
  <c r="F267" i="3"/>
  <c r="F268" i="3"/>
  <c r="F269" i="3"/>
  <c r="F271" i="3"/>
  <c r="F273" i="3"/>
  <c r="F274" i="3"/>
  <c r="F275" i="3"/>
  <c r="F276" i="3"/>
  <c r="F277" i="3"/>
  <c r="G263" i="3"/>
  <c r="G264" i="3"/>
  <c r="G265" i="3"/>
  <c r="G266" i="3"/>
  <c r="G267" i="3"/>
  <c r="G268" i="3"/>
  <c r="G269" i="3"/>
  <c r="G271" i="3"/>
  <c r="G273" i="3"/>
  <c r="G274" i="3"/>
  <c r="G275" i="3"/>
  <c r="G276" i="3"/>
  <c r="G277" i="3"/>
  <c r="H263" i="3"/>
  <c r="H264" i="3"/>
  <c r="H265" i="3"/>
  <c r="H266" i="3"/>
  <c r="H267" i="3"/>
  <c r="H268" i="3"/>
  <c r="H269" i="3"/>
  <c r="H271" i="3"/>
  <c r="H273" i="3"/>
  <c r="H274" i="3"/>
  <c r="H275" i="3"/>
  <c r="H276" i="3"/>
  <c r="H277" i="3"/>
  <c r="I263" i="3"/>
  <c r="I264" i="3"/>
  <c r="I265" i="3"/>
  <c r="I266" i="3"/>
  <c r="I267" i="3"/>
  <c r="I268" i="3"/>
  <c r="I269" i="3"/>
  <c r="I271" i="3"/>
  <c r="I273" i="3"/>
  <c r="I274" i="3"/>
  <c r="I275" i="3"/>
  <c r="I276" i="3"/>
  <c r="I277" i="3"/>
  <c r="J263" i="3"/>
  <c r="J264" i="3"/>
  <c r="J265" i="3"/>
  <c r="J266" i="3"/>
  <c r="J267" i="3"/>
  <c r="J268" i="3"/>
  <c r="J269" i="3"/>
  <c r="J271" i="3"/>
  <c r="J273" i="3"/>
  <c r="J274" i="3"/>
  <c r="J275" i="3"/>
  <c r="J276" i="3"/>
  <c r="J277" i="3"/>
  <c r="B67" i="1"/>
  <c r="F67" i="1" s="1"/>
  <c r="C67" i="1"/>
  <c r="E67" i="1" s="1"/>
  <c r="D67" i="1"/>
  <c r="C64" i="21" s="1"/>
  <c r="J117" i="2"/>
  <c r="J116" i="2"/>
  <c r="J115" i="2"/>
  <c r="J114" i="2"/>
  <c r="J113" i="2"/>
  <c r="J112" i="2"/>
  <c r="J111" i="2"/>
  <c r="J110" i="2"/>
  <c r="J109" i="2"/>
  <c r="J108" i="2"/>
  <c r="J107" i="2"/>
  <c r="C107" i="3"/>
  <c r="C108" i="3"/>
  <c r="C109" i="3"/>
  <c r="C110" i="3"/>
  <c r="C111" i="3"/>
  <c r="C112" i="3"/>
  <c r="C113" i="3"/>
  <c r="C114" i="3"/>
  <c r="C115" i="3"/>
  <c r="C116" i="3"/>
  <c r="D107" i="3"/>
  <c r="D108" i="3"/>
  <c r="D109" i="3"/>
  <c r="D110" i="3"/>
  <c r="D111" i="3"/>
  <c r="D112" i="3"/>
  <c r="D113" i="3"/>
  <c r="D114" i="3"/>
  <c r="D115" i="3"/>
  <c r="D116" i="3"/>
  <c r="E107" i="3"/>
  <c r="E108" i="3"/>
  <c r="E109" i="3"/>
  <c r="E110" i="3"/>
  <c r="E111" i="3"/>
  <c r="E112" i="3"/>
  <c r="E113" i="3"/>
  <c r="E114" i="3"/>
  <c r="E115" i="3"/>
  <c r="E116" i="3"/>
  <c r="F107" i="3"/>
  <c r="F108" i="3"/>
  <c r="F109" i="3"/>
  <c r="F110" i="3"/>
  <c r="F111" i="3"/>
  <c r="F112" i="3"/>
  <c r="F113" i="3"/>
  <c r="F114" i="3"/>
  <c r="F115" i="3"/>
  <c r="F116" i="3"/>
  <c r="G107" i="3"/>
  <c r="G108" i="3"/>
  <c r="G109" i="3"/>
  <c r="G110" i="3"/>
  <c r="G111" i="3"/>
  <c r="G112" i="3"/>
  <c r="G113" i="3"/>
  <c r="G114" i="3"/>
  <c r="G115" i="3"/>
  <c r="G116" i="3"/>
  <c r="H107" i="3"/>
  <c r="H108" i="3"/>
  <c r="H109" i="3"/>
  <c r="H110" i="3"/>
  <c r="H111" i="3"/>
  <c r="H112" i="3"/>
  <c r="H113" i="3"/>
  <c r="H114" i="3"/>
  <c r="H115" i="3"/>
  <c r="H116" i="3"/>
  <c r="I107" i="3"/>
  <c r="I108" i="3"/>
  <c r="I109" i="3"/>
  <c r="I110" i="3"/>
  <c r="I111" i="3"/>
  <c r="I112" i="3"/>
  <c r="I113" i="3"/>
  <c r="I114" i="3"/>
  <c r="I115" i="3"/>
  <c r="I116" i="3"/>
  <c r="J107" i="3"/>
  <c r="J108" i="3"/>
  <c r="J109" i="3"/>
  <c r="J110" i="3"/>
  <c r="J111" i="3"/>
  <c r="J112" i="3"/>
  <c r="J113" i="3"/>
  <c r="J114" i="3"/>
  <c r="J115" i="3"/>
  <c r="J116" i="3"/>
  <c r="J106" i="2"/>
  <c r="C106" i="3"/>
  <c r="D106" i="3"/>
  <c r="E106" i="3"/>
  <c r="F106" i="3"/>
  <c r="G106" i="3"/>
  <c r="H106" i="3"/>
  <c r="I106" i="3"/>
  <c r="J106" i="3"/>
  <c r="D65" i="1"/>
  <c r="C62" i="21" s="1"/>
  <c r="D66" i="1"/>
  <c r="C63" i="21" s="1"/>
  <c r="D68" i="1"/>
  <c r="C65" i="21" s="1"/>
  <c r="D69" i="1"/>
  <c r="C66" i="21" s="1"/>
  <c r="D70" i="1"/>
  <c r="C67" i="21" s="1"/>
  <c r="D74" i="1"/>
  <c r="J105" i="2"/>
  <c r="J103" i="2"/>
  <c r="C227" i="3"/>
  <c r="D227" i="3"/>
  <c r="E227" i="3"/>
  <c r="F227" i="3"/>
  <c r="G227" i="3"/>
  <c r="H227" i="3"/>
  <c r="I227" i="3"/>
  <c r="J227" i="3"/>
  <c r="J102" i="2"/>
  <c r="J101" i="2"/>
  <c r="J100" i="2"/>
  <c r="J99" i="2"/>
  <c r="J98" i="2"/>
  <c r="C286" i="3"/>
  <c r="C287" i="3"/>
  <c r="C288" i="3"/>
  <c r="C289" i="3"/>
  <c r="C290" i="3"/>
  <c r="C291" i="3"/>
  <c r="D286" i="3"/>
  <c r="D287" i="3"/>
  <c r="D288" i="3"/>
  <c r="D289" i="3"/>
  <c r="D290" i="3"/>
  <c r="D291" i="3"/>
  <c r="E286" i="3"/>
  <c r="E287" i="3"/>
  <c r="E288" i="3"/>
  <c r="E289" i="3"/>
  <c r="E290" i="3"/>
  <c r="E291" i="3"/>
  <c r="F286" i="3"/>
  <c r="F287" i="3"/>
  <c r="F288" i="3"/>
  <c r="F289" i="3"/>
  <c r="F290" i="3"/>
  <c r="F291" i="3"/>
  <c r="G286" i="3"/>
  <c r="G287" i="3"/>
  <c r="G288" i="3"/>
  <c r="G289" i="3"/>
  <c r="G290" i="3"/>
  <c r="G291" i="3"/>
  <c r="H286" i="3"/>
  <c r="H287" i="3"/>
  <c r="H288" i="3"/>
  <c r="H289" i="3"/>
  <c r="H290" i="3"/>
  <c r="H291" i="3"/>
  <c r="I286" i="3"/>
  <c r="I287" i="3"/>
  <c r="I288" i="3"/>
  <c r="I289" i="3"/>
  <c r="I290" i="3"/>
  <c r="I291" i="3"/>
  <c r="J286" i="3"/>
  <c r="J287" i="3"/>
  <c r="J288" i="3"/>
  <c r="J289" i="3"/>
  <c r="J290" i="3"/>
  <c r="J291" i="3"/>
  <c r="C217" i="3"/>
  <c r="D217" i="3"/>
  <c r="E217" i="3"/>
  <c r="F217" i="3"/>
  <c r="G217" i="3"/>
  <c r="H217" i="3"/>
  <c r="I217" i="3"/>
  <c r="J217" i="3"/>
  <c r="C216" i="3"/>
  <c r="D216" i="3"/>
  <c r="E216" i="3"/>
  <c r="F216" i="3"/>
  <c r="G216" i="3"/>
  <c r="H216" i="3"/>
  <c r="I216" i="3"/>
  <c r="J216" i="3"/>
  <c r="J97" i="2"/>
  <c r="J96" i="2"/>
  <c r="J94" i="2"/>
  <c r="J93" i="2"/>
  <c r="C224" i="3"/>
  <c r="C226" i="3"/>
  <c r="C228" i="3"/>
  <c r="C231" i="3"/>
  <c r="D224" i="3"/>
  <c r="D226" i="3"/>
  <c r="D228" i="3"/>
  <c r="D231" i="3"/>
  <c r="E224" i="3"/>
  <c r="E226" i="3"/>
  <c r="E228" i="3"/>
  <c r="E231" i="3"/>
  <c r="F224" i="3"/>
  <c r="F226" i="3"/>
  <c r="F228" i="3"/>
  <c r="F231" i="3"/>
  <c r="G224" i="3"/>
  <c r="G226" i="3"/>
  <c r="G228" i="3"/>
  <c r="G231" i="3"/>
  <c r="H224" i="3"/>
  <c r="H226" i="3"/>
  <c r="H228" i="3"/>
  <c r="H231" i="3"/>
  <c r="I224" i="3"/>
  <c r="I226" i="3"/>
  <c r="I228" i="3"/>
  <c r="I231" i="3"/>
  <c r="J224" i="3"/>
  <c r="J226" i="3"/>
  <c r="J228" i="3"/>
  <c r="J231" i="3"/>
  <c r="J92" i="2"/>
  <c r="C214" i="3"/>
  <c r="D214" i="3"/>
  <c r="E214" i="3"/>
  <c r="F214" i="3"/>
  <c r="G214" i="3"/>
  <c r="H214" i="3"/>
  <c r="I214" i="3"/>
  <c r="J214" i="3"/>
  <c r="J88" i="2"/>
  <c r="C210" i="3"/>
  <c r="C212" i="3"/>
  <c r="C213" i="3"/>
  <c r="C215" i="3"/>
  <c r="C219" i="3"/>
  <c r="C220" i="3"/>
  <c r="C221" i="3"/>
  <c r="C222" i="3"/>
  <c r="C223" i="3"/>
  <c r="D210" i="3"/>
  <c r="D212" i="3"/>
  <c r="D213" i="3"/>
  <c r="D215" i="3"/>
  <c r="D219" i="3"/>
  <c r="D220" i="3"/>
  <c r="D221" i="3"/>
  <c r="D222" i="3"/>
  <c r="D223" i="3"/>
  <c r="E210" i="3"/>
  <c r="E212" i="3"/>
  <c r="E213" i="3"/>
  <c r="E215" i="3"/>
  <c r="E219" i="3"/>
  <c r="E220" i="3"/>
  <c r="E221" i="3"/>
  <c r="E222" i="3"/>
  <c r="E223" i="3"/>
  <c r="F210" i="3"/>
  <c r="F212" i="3"/>
  <c r="F213" i="3"/>
  <c r="F215" i="3"/>
  <c r="F219" i="3"/>
  <c r="F220" i="3"/>
  <c r="F221" i="3"/>
  <c r="F222" i="3"/>
  <c r="F223" i="3"/>
  <c r="G210" i="3"/>
  <c r="G212" i="3"/>
  <c r="G213" i="3"/>
  <c r="G215" i="3"/>
  <c r="G219" i="3"/>
  <c r="G220" i="3"/>
  <c r="G221" i="3"/>
  <c r="G222" i="3"/>
  <c r="G223" i="3"/>
  <c r="H210" i="3"/>
  <c r="H212" i="3"/>
  <c r="H213" i="3"/>
  <c r="H215" i="3"/>
  <c r="H219" i="3"/>
  <c r="H220" i="3"/>
  <c r="H221" i="3"/>
  <c r="H222" i="3"/>
  <c r="H223" i="3"/>
  <c r="I210" i="3"/>
  <c r="I212" i="3"/>
  <c r="I213" i="3"/>
  <c r="I215" i="3"/>
  <c r="I219" i="3"/>
  <c r="I220" i="3"/>
  <c r="I221" i="3"/>
  <c r="I222" i="3"/>
  <c r="I223" i="3"/>
  <c r="J210" i="3"/>
  <c r="J212" i="3"/>
  <c r="J213" i="3"/>
  <c r="J215" i="3"/>
  <c r="J219" i="3"/>
  <c r="J220" i="3"/>
  <c r="J221" i="3"/>
  <c r="J222" i="3"/>
  <c r="J223" i="3"/>
  <c r="C121" i="3"/>
  <c r="D121" i="3"/>
  <c r="E121" i="3"/>
  <c r="F121" i="3"/>
  <c r="G121" i="3"/>
  <c r="H121" i="3"/>
  <c r="I121" i="3"/>
  <c r="J121" i="3"/>
  <c r="C98" i="3"/>
  <c r="D98" i="3"/>
  <c r="E98" i="3"/>
  <c r="F98" i="3"/>
  <c r="G98" i="3"/>
  <c r="H98" i="3"/>
  <c r="I98" i="3"/>
  <c r="J98" i="3"/>
  <c r="J91" i="2"/>
  <c r="J90" i="2"/>
  <c r="J89" i="2"/>
  <c r="B68" i="1"/>
  <c r="H68" i="1" s="1"/>
  <c r="C68" i="1"/>
  <c r="E68" i="1" s="1"/>
  <c r="C119" i="3"/>
  <c r="C120" i="3"/>
  <c r="C122" i="3"/>
  <c r="C124" i="3"/>
  <c r="C125" i="3"/>
  <c r="C126" i="3"/>
  <c r="C127" i="3"/>
  <c r="D119" i="3"/>
  <c r="D120" i="3"/>
  <c r="D122" i="3"/>
  <c r="D124" i="3"/>
  <c r="D125" i="3"/>
  <c r="D126" i="3"/>
  <c r="D127" i="3"/>
  <c r="E119" i="3"/>
  <c r="E120" i="3"/>
  <c r="E122" i="3"/>
  <c r="E124" i="3"/>
  <c r="E125" i="3"/>
  <c r="E126" i="3"/>
  <c r="E127" i="3"/>
  <c r="F119" i="3"/>
  <c r="F120" i="3"/>
  <c r="F122" i="3"/>
  <c r="F124" i="3"/>
  <c r="F125" i="3"/>
  <c r="F126" i="3"/>
  <c r="F127" i="3"/>
  <c r="G119" i="3"/>
  <c r="G120" i="3"/>
  <c r="G122" i="3"/>
  <c r="G124" i="3"/>
  <c r="G125" i="3"/>
  <c r="G126" i="3"/>
  <c r="G127" i="3"/>
  <c r="H119" i="3"/>
  <c r="H120" i="3"/>
  <c r="H122" i="3"/>
  <c r="H124" i="3"/>
  <c r="H125" i="3"/>
  <c r="H126" i="3"/>
  <c r="H127" i="3"/>
  <c r="I119" i="3"/>
  <c r="I120" i="3"/>
  <c r="I122" i="3"/>
  <c r="I124" i="3"/>
  <c r="I125" i="3"/>
  <c r="I126" i="3"/>
  <c r="I127" i="3"/>
  <c r="J119" i="3"/>
  <c r="J120" i="3"/>
  <c r="J122" i="3"/>
  <c r="J124" i="3"/>
  <c r="J125" i="3"/>
  <c r="J126" i="3"/>
  <c r="J127" i="3"/>
  <c r="J87" i="2"/>
  <c r="J86" i="2"/>
  <c r="J8" i="2"/>
  <c r="C96" i="3"/>
  <c r="D96" i="3"/>
  <c r="E96" i="3"/>
  <c r="F96" i="3"/>
  <c r="G96" i="3"/>
  <c r="H96" i="3"/>
  <c r="I96" i="3"/>
  <c r="J96" i="3"/>
  <c r="C293" i="3"/>
  <c r="D293" i="3"/>
  <c r="E293" i="3"/>
  <c r="F293" i="3"/>
  <c r="G293" i="3"/>
  <c r="H293" i="3"/>
  <c r="I293" i="3"/>
  <c r="J293" i="3"/>
  <c r="C292" i="3"/>
  <c r="D292" i="3"/>
  <c r="E292" i="3"/>
  <c r="F292" i="3"/>
  <c r="G292" i="3"/>
  <c r="H292" i="3"/>
  <c r="I292" i="3"/>
  <c r="J292" i="3"/>
  <c r="J85" i="2"/>
  <c r="J21" i="2"/>
  <c r="J2" i="2"/>
  <c r="J3" i="2"/>
  <c r="J4" i="2"/>
  <c r="J5" i="2"/>
  <c r="J6" i="2"/>
  <c r="J7" i="2"/>
  <c r="J9" i="2"/>
  <c r="J11" i="2"/>
  <c r="J13" i="2"/>
  <c r="J14" i="2"/>
  <c r="J15" i="2"/>
  <c r="J16" i="2"/>
  <c r="J17" i="2"/>
  <c r="J18" i="2"/>
  <c r="J19" i="2"/>
  <c r="J20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C90" i="3"/>
  <c r="C92" i="3"/>
  <c r="D90" i="3"/>
  <c r="D92" i="3"/>
  <c r="E90" i="3"/>
  <c r="E92" i="3"/>
  <c r="F90" i="3"/>
  <c r="F92" i="3"/>
  <c r="G90" i="3"/>
  <c r="G92" i="3"/>
  <c r="H90" i="3"/>
  <c r="H92" i="3"/>
  <c r="I90" i="3"/>
  <c r="I92" i="3"/>
  <c r="J90" i="3"/>
  <c r="J92" i="3"/>
  <c r="C184" i="3"/>
  <c r="C185" i="3"/>
  <c r="C186" i="3"/>
  <c r="C187" i="3"/>
  <c r="D184" i="3"/>
  <c r="D185" i="3"/>
  <c r="D186" i="3"/>
  <c r="D187" i="3"/>
  <c r="E184" i="3"/>
  <c r="E185" i="3"/>
  <c r="E186" i="3"/>
  <c r="E187" i="3"/>
  <c r="F184" i="3"/>
  <c r="F185" i="3"/>
  <c r="F186" i="3"/>
  <c r="F187" i="3"/>
  <c r="G184" i="3"/>
  <c r="G185" i="3"/>
  <c r="G186" i="3"/>
  <c r="G187" i="3"/>
  <c r="H184" i="3"/>
  <c r="H185" i="3"/>
  <c r="H186" i="3"/>
  <c r="H187" i="3"/>
  <c r="I184" i="3"/>
  <c r="I185" i="3"/>
  <c r="I186" i="3"/>
  <c r="I187" i="3"/>
  <c r="J184" i="3"/>
  <c r="J185" i="3"/>
  <c r="J186" i="3"/>
  <c r="J187" i="3"/>
  <c r="B70" i="1"/>
  <c r="F70" i="1" s="1"/>
  <c r="C70" i="1"/>
  <c r="E70" i="1" s="1"/>
  <c r="C155" i="3"/>
  <c r="D155" i="3"/>
  <c r="E155" i="3"/>
  <c r="F155" i="3"/>
  <c r="G155" i="3"/>
  <c r="H155" i="3"/>
  <c r="I155" i="3"/>
  <c r="J155" i="3"/>
  <c r="C99" i="3"/>
  <c r="C103" i="3"/>
  <c r="C104" i="3"/>
  <c r="C105" i="3"/>
  <c r="C117" i="3"/>
  <c r="D99" i="3"/>
  <c r="D103" i="3"/>
  <c r="D104" i="3"/>
  <c r="D105" i="3"/>
  <c r="D117" i="3"/>
  <c r="E99" i="3"/>
  <c r="E103" i="3"/>
  <c r="E104" i="3"/>
  <c r="E105" i="3"/>
  <c r="E117" i="3"/>
  <c r="F99" i="3"/>
  <c r="F103" i="3"/>
  <c r="F104" i="3"/>
  <c r="F105" i="3"/>
  <c r="F117" i="3"/>
  <c r="G99" i="3"/>
  <c r="G103" i="3"/>
  <c r="G104" i="3"/>
  <c r="G105" i="3"/>
  <c r="G117" i="3"/>
  <c r="H99" i="3"/>
  <c r="H103" i="3"/>
  <c r="H104" i="3"/>
  <c r="H105" i="3"/>
  <c r="H117" i="3"/>
  <c r="I99" i="3"/>
  <c r="I103" i="3"/>
  <c r="I104" i="3"/>
  <c r="I105" i="3"/>
  <c r="I117" i="3"/>
  <c r="J99" i="3"/>
  <c r="J103" i="3"/>
  <c r="J104" i="3"/>
  <c r="J105" i="3"/>
  <c r="J117" i="3"/>
  <c r="C169" i="3"/>
  <c r="C170" i="3"/>
  <c r="C171" i="3"/>
  <c r="C172" i="3"/>
  <c r="D169" i="3"/>
  <c r="D170" i="3"/>
  <c r="D171" i="3"/>
  <c r="D172" i="3"/>
  <c r="E169" i="3"/>
  <c r="E170" i="3"/>
  <c r="E171" i="3"/>
  <c r="E172" i="3"/>
  <c r="F169" i="3"/>
  <c r="F170" i="3"/>
  <c r="F171" i="3"/>
  <c r="F172" i="3"/>
  <c r="G169" i="3"/>
  <c r="G170" i="3"/>
  <c r="G171" i="3"/>
  <c r="G172" i="3"/>
  <c r="H169" i="3"/>
  <c r="H170" i="3"/>
  <c r="H171" i="3"/>
  <c r="H172" i="3"/>
  <c r="I169" i="3"/>
  <c r="I170" i="3"/>
  <c r="I171" i="3"/>
  <c r="I172" i="3"/>
  <c r="J169" i="3"/>
  <c r="J170" i="3"/>
  <c r="J171" i="3"/>
  <c r="J172" i="3"/>
  <c r="C209" i="3"/>
  <c r="D209" i="3"/>
  <c r="E209" i="3"/>
  <c r="F209" i="3"/>
  <c r="G209" i="3"/>
  <c r="H209" i="3"/>
  <c r="I209" i="3"/>
  <c r="J209" i="3"/>
  <c r="C208" i="3"/>
  <c r="D208" i="3"/>
  <c r="E208" i="3"/>
  <c r="F208" i="3"/>
  <c r="G208" i="3"/>
  <c r="H208" i="3"/>
  <c r="I208" i="3"/>
  <c r="J208" i="3"/>
  <c r="C207" i="3"/>
  <c r="D207" i="3"/>
  <c r="E207" i="3"/>
  <c r="F207" i="3"/>
  <c r="G207" i="3"/>
  <c r="H207" i="3"/>
  <c r="I207" i="3"/>
  <c r="J207" i="3"/>
  <c r="C193" i="3"/>
  <c r="C194" i="3"/>
  <c r="C195" i="3"/>
  <c r="C196" i="3"/>
  <c r="D193" i="3"/>
  <c r="D194" i="3"/>
  <c r="D195" i="3"/>
  <c r="D196" i="3"/>
  <c r="E193" i="3"/>
  <c r="E194" i="3"/>
  <c r="E195" i="3"/>
  <c r="E196" i="3"/>
  <c r="F193" i="3"/>
  <c r="F194" i="3"/>
  <c r="F195" i="3"/>
  <c r="F196" i="3"/>
  <c r="G193" i="3"/>
  <c r="G194" i="3"/>
  <c r="G195" i="3"/>
  <c r="G196" i="3"/>
  <c r="H193" i="3"/>
  <c r="H194" i="3"/>
  <c r="H195" i="3"/>
  <c r="H196" i="3"/>
  <c r="I193" i="3"/>
  <c r="I194" i="3"/>
  <c r="I195" i="3"/>
  <c r="I196" i="3"/>
  <c r="J193" i="3"/>
  <c r="J194" i="3"/>
  <c r="J195" i="3"/>
  <c r="J196" i="3"/>
  <c r="C206" i="3"/>
  <c r="D206" i="3"/>
  <c r="E206" i="3"/>
  <c r="F206" i="3"/>
  <c r="G206" i="3"/>
  <c r="H206" i="3"/>
  <c r="I206" i="3"/>
  <c r="J206" i="3"/>
  <c r="G57" i="1" l="1"/>
  <c r="D56" i="21"/>
  <c r="I48" i="1"/>
  <c r="D44" i="21"/>
  <c r="I70" i="1"/>
  <c r="D67" i="21"/>
  <c r="I67" i="1"/>
  <c r="D64" i="21"/>
  <c r="I49" i="1"/>
  <c r="D48" i="21"/>
  <c r="G60" i="1"/>
  <c r="D59" i="21"/>
  <c r="I68" i="1"/>
  <c r="D65" i="21"/>
  <c r="I52" i="1"/>
  <c r="D51" i="21"/>
  <c r="H46" i="1"/>
  <c r="N15" i="19"/>
  <c r="N17" i="19"/>
  <c r="K299" i="3"/>
  <c r="K306" i="3"/>
  <c r="I46" i="1"/>
  <c r="J46" i="1"/>
  <c r="F46" i="1"/>
  <c r="G46" i="1"/>
  <c r="G7" i="19"/>
  <c r="D6" i="19"/>
  <c r="N6" i="19" s="1"/>
  <c r="G6" i="19"/>
  <c r="D5" i="19"/>
  <c r="N5" i="19" s="1"/>
  <c r="G5" i="19"/>
  <c r="G4" i="19"/>
  <c r="G3" i="19"/>
  <c r="I59" i="1"/>
  <c r="J59" i="1"/>
  <c r="G59" i="1"/>
  <c r="F59" i="1"/>
  <c r="H60" i="1"/>
  <c r="F61" i="1"/>
  <c r="J48" i="1"/>
  <c r="F62" i="1"/>
  <c r="F48" i="1"/>
  <c r="G48" i="1"/>
  <c r="F52" i="1"/>
  <c r="F58" i="1"/>
  <c r="G56" i="1"/>
  <c r="I56" i="1"/>
  <c r="G63" i="1"/>
  <c r="I63" i="1"/>
  <c r="J63" i="1"/>
  <c r="G54" i="1"/>
  <c r="I54" i="1"/>
  <c r="J54" i="1"/>
  <c r="I57" i="1"/>
  <c r="F63" i="1"/>
  <c r="F54" i="1"/>
  <c r="I60" i="1"/>
  <c r="F64" i="1"/>
  <c r="F55" i="1"/>
  <c r="F49" i="1"/>
  <c r="H56" i="1"/>
  <c r="F57" i="1"/>
  <c r="J57" i="1"/>
  <c r="J61" i="1"/>
  <c r="I61" i="1"/>
  <c r="G61" i="1"/>
  <c r="J62" i="1"/>
  <c r="I62" i="1"/>
  <c r="G62" i="1"/>
  <c r="I64" i="1"/>
  <c r="G64" i="1"/>
  <c r="J64" i="1"/>
  <c r="G58" i="1"/>
  <c r="J58" i="1"/>
  <c r="I58" i="1"/>
  <c r="I55" i="1"/>
  <c r="G55" i="1"/>
  <c r="J55" i="1"/>
  <c r="J56" i="1"/>
  <c r="J60" i="1"/>
  <c r="G50" i="1"/>
  <c r="I50" i="1"/>
  <c r="J50" i="1"/>
  <c r="G52" i="1"/>
  <c r="J52" i="1"/>
  <c r="H50" i="1"/>
  <c r="G49" i="1"/>
  <c r="J49" i="1"/>
  <c r="K304" i="3"/>
  <c r="K305" i="3"/>
  <c r="K303" i="3"/>
  <c r="K301" i="3"/>
  <c r="K300" i="3"/>
  <c r="K298" i="3"/>
  <c r="K297" i="3"/>
  <c r="K296" i="3"/>
  <c r="K295" i="3"/>
  <c r="K69" i="3"/>
  <c r="K45" i="3"/>
  <c r="K21" i="3"/>
  <c r="K53" i="3"/>
  <c r="K5" i="3"/>
  <c r="K61" i="3"/>
  <c r="K37" i="3"/>
  <c r="K13" i="3"/>
  <c r="K29" i="3"/>
  <c r="K70" i="3"/>
  <c r="K62" i="3"/>
  <c r="K54" i="3"/>
  <c r="K46" i="3"/>
  <c r="K38" i="3"/>
  <c r="K30" i="3"/>
  <c r="K22" i="3"/>
  <c r="K14" i="3"/>
  <c r="K6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66" i="3"/>
  <c r="K42" i="3"/>
  <c r="K18" i="3"/>
  <c r="K2" i="3"/>
  <c r="K51" i="3"/>
  <c r="K27" i="3"/>
  <c r="K3" i="3"/>
  <c r="K52" i="3"/>
  <c r="K28" i="3"/>
  <c r="K4" i="3"/>
  <c r="K58" i="3"/>
  <c r="K34" i="3"/>
  <c r="K10" i="3"/>
  <c r="K59" i="3"/>
  <c r="K35" i="3"/>
  <c r="K11" i="3"/>
  <c r="K60" i="3"/>
  <c r="K36" i="3"/>
  <c r="K12" i="3"/>
  <c r="K74" i="3"/>
  <c r="K50" i="3"/>
  <c r="K26" i="3"/>
  <c r="K67" i="3"/>
  <c r="K43" i="3"/>
  <c r="K19" i="3"/>
  <c r="K68" i="3"/>
  <c r="K44" i="3"/>
  <c r="K20" i="3"/>
  <c r="I47" i="1"/>
  <c r="J47" i="1"/>
  <c r="G47" i="1"/>
  <c r="F47" i="1"/>
  <c r="H47" i="1"/>
  <c r="K262" i="3"/>
  <c r="K237" i="3"/>
  <c r="K244" i="3"/>
  <c r="K245" i="3"/>
  <c r="K252" i="3"/>
  <c r="K253" i="3"/>
  <c r="K260" i="3"/>
  <c r="K236" i="3"/>
  <c r="K261" i="3"/>
  <c r="K254" i="3"/>
  <c r="K258" i="3"/>
  <c r="K250" i="3"/>
  <c r="K242" i="3"/>
  <c r="K234" i="3"/>
  <c r="K248" i="3"/>
  <c r="K232" i="3"/>
  <c r="K259" i="3"/>
  <c r="K251" i="3"/>
  <c r="K243" i="3"/>
  <c r="K235" i="3"/>
  <c r="K257" i="3"/>
  <c r="K249" i="3"/>
  <c r="K241" i="3"/>
  <c r="K233" i="3"/>
  <c r="K255" i="3"/>
  <c r="K247" i="3"/>
  <c r="K239" i="3"/>
  <c r="K256" i="3"/>
  <c r="K246" i="3"/>
  <c r="K240" i="3"/>
  <c r="K238" i="3"/>
  <c r="K285" i="3"/>
  <c r="K278" i="3"/>
  <c r="K279" i="3"/>
  <c r="K275" i="3"/>
  <c r="K265" i="3"/>
  <c r="K277" i="3"/>
  <c r="K267" i="3"/>
  <c r="K274" i="3"/>
  <c r="K264" i="3"/>
  <c r="K276" i="3"/>
  <c r="K268" i="3"/>
  <c r="K273" i="3"/>
  <c r="K271" i="3"/>
  <c r="K263" i="3"/>
  <c r="K266" i="3"/>
  <c r="K269" i="3"/>
  <c r="J67" i="1"/>
  <c r="G67" i="1"/>
  <c r="H67" i="1"/>
  <c r="K115" i="3"/>
  <c r="K108" i="3"/>
  <c r="K109" i="3"/>
  <c r="K107" i="3"/>
  <c r="K116" i="3"/>
  <c r="K114" i="3"/>
  <c r="K110" i="3"/>
  <c r="K111" i="3"/>
  <c r="K112" i="3"/>
  <c r="K113" i="3"/>
  <c r="K106" i="3"/>
  <c r="K227" i="3"/>
  <c r="K286" i="3"/>
  <c r="K289" i="3"/>
  <c r="K287" i="3"/>
  <c r="K288" i="3"/>
  <c r="K290" i="3"/>
  <c r="K291" i="3"/>
  <c r="K217" i="3"/>
  <c r="K216" i="3"/>
  <c r="K228" i="3"/>
  <c r="K226" i="3"/>
  <c r="K231" i="3"/>
  <c r="K224" i="3"/>
  <c r="K214" i="3"/>
  <c r="K210" i="3"/>
  <c r="K215" i="3"/>
  <c r="K219" i="3"/>
  <c r="K220" i="3"/>
  <c r="K221" i="3"/>
  <c r="K222" i="3"/>
  <c r="K223" i="3"/>
  <c r="K212" i="3"/>
  <c r="K213" i="3"/>
  <c r="K121" i="3"/>
  <c r="K98" i="3"/>
  <c r="K127" i="3"/>
  <c r="K126" i="3"/>
  <c r="K119" i="3"/>
  <c r="K124" i="3"/>
  <c r="K120" i="3"/>
  <c r="K122" i="3"/>
  <c r="K125" i="3"/>
  <c r="F68" i="1"/>
  <c r="J68" i="1"/>
  <c r="G68" i="1"/>
  <c r="K96" i="3"/>
  <c r="K293" i="3"/>
  <c r="K292" i="3"/>
  <c r="K92" i="3"/>
  <c r="K90" i="3"/>
  <c r="K187" i="3"/>
  <c r="K184" i="3"/>
  <c r="K185" i="3"/>
  <c r="K186" i="3"/>
  <c r="H70" i="1"/>
  <c r="J70" i="1"/>
  <c r="G70" i="1"/>
  <c r="K155" i="3"/>
  <c r="K99" i="3"/>
  <c r="K105" i="3"/>
  <c r="K117" i="3"/>
  <c r="K103" i="3"/>
  <c r="K104" i="3"/>
  <c r="K209" i="3"/>
  <c r="K172" i="3"/>
  <c r="K169" i="3"/>
  <c r="K171" i="3"/>
  <c r="K170" i="3"/>
  <c r="K208" i="3"/>
  <c r="K193" i="3"/>
  <c r="K207" i="3"/>
  <c r="K194" i="3"/>
  <c r="K206" i="3"/>
  <c r="K196" i="3"/>
  <c r="K195" i="3"/>
  <c r="C205" i="3"/>
  <c r="D205" i="3"/>
  <c r="E205" i="3"/>
  <c r="F205" i="3"/>
  <c r="G205" i="3"/>
  <c r="H205" i="3"/>
  <c r="I205" i="3"/>
  <c r="J205" i="3"/>
  <c r="C204" i="3"/>
  <c r="D204" i="3"/>
  <c r="E204" i="3"/>
  <c r="F204" i="3"/>
  <c r="G204" i="3"/>
  <c r="H204" i="3"/>
  <c r="I204" i="3"/>
  <c r="J204" i="3"/>
  <c r="C203" i="3"/>
  <c r="D203" i="3"/>
  <c r="E203" i="3"/>
  <c r="F203" i="3"/>
  <c r="G203" i="3"/>
  <c r="H203" i="3"/>
  <c r="I203" i="3"/>
  <c r="J203" i="3"/>
  <c r="C202" i="3"/>
  <c r="D202" i="3"/>
  <c r="E202" i="3"/>
  <c r="F202" i="3"/>
  <c r="G202" i="3"/>
  <c r="H202" i="3"/>
  <c r="I202" i="3"/>
  <c r="J202" i="3"/>
  <c r="C189" i="3"/>
  <c r="C190" i="3"/>
  <c r="C191" i="3"/>
  <c r="C192" i="3"/>
  <c r="D189" i="3"/>
  <c r="D190" i="3"/>
  <c r="D191" i="3"/>
  <c r="D192" i="3"/>
  <c r="E189" i="3"/>
  <c r="E190" i="3"/>
  <c r="E191" i="3"/>
  <c r="E192" i="3"/>
  <c r="F189" i="3"/>
  <c r="F190" i="3"/>
  <c r="F191" i="3"/>
  <c r="F192" i="3"/>
  <c r="G189" i="3"/>
  <c r="G190" i="3"/>
  <c r="G191" i="3"/>
  <c r="G192" i="3"/>
  <c r="H189" i="3"/>
  <c r="H190" i="3"/>
  <c r="H191" i="3"/>
  <c r="H192" i="3"/>
  <c r="I189" i="3"/>
  <c r="I190" i="3"/>
  <c r="I191" i="3"/>
  <c r="I192" i="3"/>
  <c r="J189" i="3"/>
  <c r="J190" i="3"/>
  <c r="J191" i="3"/>
  <c r="J192" i="3"/>
  <c r="C201" i="3"/>
  <c r="D201" i="3"/>
  <c r="E201" i="3"/>
  <c r="F201" i="3"/>
  <c r="G201" i="3"/>
  <c r="H201" i="3"/>
  <c r="I201" i="3"/>
  <c r="J201" i="3"/>
  <c r="C200" i="3"/>
  <c r="D200" i="3"/>
  <c r="E200" i="3"/>
  <c r="F200" i="3"/>
  <c r="G200" i="3"/>
  <c r="H200" i="3"/>
  <c r="I200" i="3"/>
  <c r="J200" i="3"/>
  <c r="C199" i="3"/>
  <c r="D199" i="3"/>
  <c r="E199" i="3"/>
  <c r="F199" i="3"/>
  <c r="G199" i="3"/>
  <c r="H199" i="3"/>
  <c r="I199" i="3"/>
  <c r="J199" i="3"/>
  <c r="C197" i="3"/>
  <c r="D197" i="3"/>
  <c r="E197" i="3"/>
  <c r="F197" i="3"/>
  <c r="G197" i="3"/>
  <c r="H197" i="3"/>
  <c r="I197" i="3"/>
  <c r="J197" i="3"/>
  <c r="C188" i="3"/>
  <c r="D188" i="3"/>
  <c r="E188" i="3"/>
  <c r="F188" i="3"/>
  <c r="G188" i="3"/>
  <c r="H188" i="3"/>
  <c r="I188" i="3"/>
  <c r="J188" i="3"/>
  <c r="C183" i="3"/>
  <c r="D183" i="3"/>
  <c r="E183" i="3"/>
  <c r="F183" i="3"/>
  <c r="G183" i="3"/>
  <c r="H183" i="3"/>
  <c r="I183" i="3"/>
  <c r="J183" i="3"/>
  <c r="C182" i="3"/>
  <c r="D182" i="3"/>
  <c r="E182" i="3"/>
  <c r="F182" i="3"/>
  <c r="G182" i="3"/>
  <c r="H182" i="3"/>
  <c r="I182" i="3"/>
  <c r="J182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5" i="3"/>
  <c r="E97" i="3"/>
  <c r="E128" i="3"/>
  <c r="E129" i="3"/>
  <c r="E130" i="3"/>
  <c r="E131" i="3"/>
  <c r="E133" i="3"/>
  <c r="E139" i="3"/>
  <c r="E140" i="3"/>
  <c r="E141" i="3"/>
  <c r="E142" i="3"/>
  <c r="E143" i="3"/>
  <c r="E144" i="3"/>
  <c r="E145" i="3"/>
  <c r="E146" i="3"/>
  <c r="E153" i="3"/>
  <c r="E154" i="3"/>
  <c r="E173" i="3"/>
  <c r="E174" i="3"/>
  <c r="E175" i="3"/>
  <c r="E176" i="3"/>
  <c r="E177" i="3"/>
  <c r="E178" i="3"/>
  <c r="E179" i="3"/>
  <c r="E180" i="3"/>
  <c r="E181" i="3"/>
  <c r="C181" i="3"/>
  <c r="D181" i="3"/>
  <c r="F181" i="3"/>
  <c r="G181" i="3"/>
  <c r="H181" i="3"/>
  <c r="I181" i="3"/>
  <c r="J181" i="3"/>
  <c r="C180" i="3"/>
  <c r="D180" i="3"/>
  <c r="F180" i="3"/>
  <c r="G180" i="3"/>
  <c r="H180" i="3"/>
  <c r="I180" i="3"/>
  <c r="J180" i="3"/>
  <c r="C179" i="3"/>
  <c r="D179" i="3"/>
  <c r="F179" i="3"/>
  <c r="G179" i="3"/>
  <c r="H179" i="3"/>
  <c r="I179" i="3"/>
  <c r="J179" i="3"/>
  <c r="C178" i="3"/>
  <c r="D178" i="3"/>
  <c r="F178" i="3"/>
  <c r="G178" i="3"/>
  <c r="H178" i="3"/>
  <c r="I178" i="3"/>
  <c r="J178" i="3"/>
  <c r="C177" i="3"/>
  <c r="D177" i="3"/>
  <c r="F177" i="3"/>
  <c r="G177" i="3"/>
  <c r="H177" i="3"/>
  <c r="I177" i="3"/>
  <c r="J177" i="3"/>
  <c r="C176" i="3"/>
  <c r="D176" i="3"/>
  <c r="F176" i="3"/>
  <c r="G176" i="3"/>
  <c r="H176" i="3"/>
  <c r="I176" i="3"/>
  <c r="J176" i="3"/>
  <c r="C175" i="3"/>
  <c r="D175" i="3"/>
  <c r="F175" i="3"/>
  <c r="G175" i="3"/>
  <c r="H175" i="3"/>
  <c r="I175" i="3"/>
  <c r="J175" i="3"/>
  <c r="C174" i="3"/>
  <c r="D174" i="3"/>
  <c r="F174" i="3"/>
  <c r="G174" i="3"/>
  <c r="H174" i="3"/>
  <c r="I174" i="3"/>
  <c r="J174" i="3"/>
  <c r="C173" i="3"/>
  <c r="D173" i="3"/>
  <c r="F173" i="3"/>
  <c r="G173" i="3"/>
  <c r="H173" i="3"/>
  <c r="I173" i="3"/>
  <c r="J173" i="3"/>
  <c r="C142" i="3"/>
  <c r="C143" i="3"/>
  <c r="C144" i="3"/>
  <c r="D142" i="3"/>
  <c r="D143" i="3"/>
  <c r="D144" i="3"/>
  <c r="F142" i="3"/>
  <c r="F143" i="3"/>
  <c r="F144" i="3"/>
  <c r="G142" i="3"/>
  <c r="G143" i="3"/>
  <c r="G144" i="3"/>
  <c r="H142" i="3"/>
  <c r="H143" i="3"/>
  <c r="H144" i="3"/>
  <c r="I142" i="3"/>
  <c r="I143" i="3"/>
  <c r="I144" i="3"/>
  <c r="J142" i="3"/>
  <c r="J143" i="3"/>
  <c r="J144" i="3"/>
  <c r="C154" i="3"/>
  <c r="D154" i="3"/>
  <c r="F154" i="3"/>
  <c r="G154" i="3"/>
  <c r="H154" i="3"/>
  <c r="I154" i="3"/>
  <c r="J154" i="3"/>
  <c r="C153" i="3"/>
  <c r="D153" i="3"/>
  <c r="F153" i="3"/>
  <c r="G153" i="3"/>
  <c r="H153" i="3"/>
  <c r="I153" i="3"/>
  <c r="J153" i="3"/>
  <c r="C145" i="3"/>
  <c r="C146" i="3"/>
  <c r="D145" i="3"/>
  <c r="D146" i="3"/>
  <c r="F145" i="3"/>
  <c r="F146" i="3"/>
  <c r="G145" i="3"/>
  <c r="G146" i="3"/>
  <c r="H145" i="3"/>
  <c r="H146" i="3"/>
  <c r="I145" i="3"/>
  <c r="I146" i="3"/>
  <c r="J145" i="3"/>
  <c r="J146" i="3"/>
  <c r="C141" i="3"/>
  <c r="D141" i="3"/>
  <c r="F141" i="3"/>
  <c r="G141" i="3"/>
  <c r="H141" i="3"/>
  <c r="I141" i="3"/>
  <c r="J141" i="3"/>
  <c r="C140" i="3"/>
  <c r="D140" i="3"/>
  <c r="F140" i="3"/>
  <c r="G140" i="3"/>
  <c r="H140" i="3"/>
  <c r="I140" i="3"/>
  <c r="J140" i="3"/>
  <c r="C139" i="3"/>
  <c r="D139" i="3"/>
  <c r="F139" i="3"/>
  <c r="G139" i="3"/>
  <c r="H139" i="3"/>
  <c r="I139" i="3"/>
  <c r="J139" i="3"/>
  <c r="C129" i="3"/>
  <c r="D129" i="3"/>
  <c r="F129" i="3"/>
  <c r="G129" i="3"/>
  <c r="H129" i="3"/>
  <c r="I129" i="3"/>
  <c r="J129" i="3"/>
  <c r="C133" i="3"/>
  <c r="D133" i="3"/>
  <c r="F133" i="3"/>
  <c r="G133" i="3"/>
  <c r="H133" i="3"/>
  <c r="I133" i="3"/>
  <c r="J133" i="3"/>
  <c r="C131" i="3"/>
  <c r="D131" i="3"/>
  <c r="F131" i="3"/>
  <c r="G131" i="3"/>
  <c r="H131" i="3"/>
  <c r="I131" i="3"/>
  <c r="J131" i="3"/>
  <c r="C130" i="3"/>
  <c r="D130" i="3"/>
  <c r="F130" i="3"/>
  <c r="G130" i="3"/>
  <c r="H130" i="3"/>
  <c r="I130" i="3"/>
  <c r="J130" i="3"/>
  <c r="C128" i="3"/>
  <c r="D128" i="3"/>
  <c r="F128" i="3"/>
  <c r="G128" i="3"/>
  <c r="H128" i="3"/>
  <c r="I128" i="3"/>
  <c r="J128" i="3"/>
  <c r="C97" i="3"/>
  <c r="D97" i="3"/>
  <c r="F97" i="3"/>
  <c r="G97" i="3"/>
  <c r="H97" i="3"/>
  <c r="I97" i="3"/>
  <c r="J97" i="3"/>
  <c r="C95" i="3"/>
  <c r="D95" i="3"/>
  <c r="F95" i="3"/>
  <c r="G95" i="3"/>
  <c r="H95" i="3"/>
  <c r="I95" i="3"/>
  <c r="J95" i="3"/>
  <c r="C89" i="3"/>
  <c r="D89" i="3"/>
  <c r="F89" i="3"/>
  <c r="G89" i="3"/>
  <c r="H89" i="3"/>
  <c r="I89" i="3"/>
  <c r="J89" i="3"/>
  <c r="C88" i="3"/>
  <c r="D88" i="3"/>
  <c r="F88" i="3"/>
  <c r="G88" i="3"/>
  <c r="H88" i="3"/>
  <c r="I88" i="3"/>
  <c r="J88" i="3"/>
  <c r="C87" i="3"/>
  <c r="D87" i="3"/>
  <c r="F87" i="3"/>
  <c r="G87" i="3"/>
  <c r="H87" i="3"/>
  <c r="I87" i="3"/>
  <c r="J87" i="3"/>
  <c r="C86" i="3"/>
  <c r="D86" i="3"/>
  <c r="F86" i="3"/>
  <c r="G86" i="3"/>
  <c r="H86" i="3"/>
  <c r="I86" i="3"/>
  <c r="J86" i="3"/>
  <c r="K205" i="3" l="1"/>
  <c r="K204" i="3"/>
  <c r="K203" i="3"/>
  <c r="K202" i="3"/>
  <c r="K190" i="3"/>
  <c r="K192" i="3"/>
  <c r="K189" i="3"/>
  <c r="K191" i="3"/>
  <c r="K201" i="3"/>
  <c r="K200" i="3"/>
  <c r="K199" i="3"/>
  <c r="K197" i="3"/>
  <c r="K188" i="3"/>
  <c r="K183" i="3"/>
  <c r="K182" i="3"/>
  <c r="K181" i="3"/>
  <c r="K180" i="3"/>
  <c r="K179" i="3"/>
  <c r="K178" i="3"/>
  <c r="K177" i="3"/>
  <c r="K176" i="3"/>
  <c r="K175" i="3"/>
  <c r="K174" i="3"/>
  <c r="K173" i="3"/>
  <c r="K142" i="3"/>
  <c r="K144" i="3"/>
  <c r="K143" i="3"/>
  <c r="K154" i="3"/>
  <c r="K153" i="3"/>
  <c r="K145" i="3"/>
  <c r="K146" i="3"/>
  <c r="K141" i="3"/>
  <c r="K140" i="3"/>
  <c r="K139" i="3"/>
  <c r="K129" i="3"/>
  <c r="K133" i="3"/>
  <c r="K131" i="3"/>
  <c r="K130" i="3"/>
  <c r="K128" i="3"/>
  <c r="K97" i="3"/>
  <c r="K95" i="3"/>
  <c r="K89" i="3"/>
  <c r="K88" i="3"/>
  <c r="K87" i="3"/>
  <c r="K86" i="3"/>
  <c r="C85" i="3"/>
  <c r="D85" i="3"/>
  <c r="F85" i="3"/>
  <c r="G85" i="3"/>
  <c r="H85" i="3"/>
  <c r="I85" i="3"/>
  <c r="J85" i="3"/>
  <c r="C84" i="3"/>
  <c r="D84" i="3"/>
  <c r="F84" i="3"/>
  <c r="G84" i="3"/>
  <c r="H84" i="3"/>
  <c r="I84" i="3"/>
  <c r="J84" i="3"/>
  <c r="K85" i="3" l="1"/>
  <c r="K84" i="3"/>
  <c r="C83" i="3"/>
  <c r="D83" i="3"/>
  <c r="F83" i="3"/>
  <c r="G83" i="3"/>
  <c r="H83" i="3"/>
  <c r="I83" i="3"/>
  <c r="J83" i="3"/>
  <c r="C82" i="3"/>
  <c r="D82" i="3"/>
  <c r="F82" i="3"/>
  <c r="G82" i="3"/>
  <c r="H82" i="3"/>
  <c r="I82" i="3"/>
  <c r="J82" i="3"/>
  <c r="C81" i="3"/>
  <c r="D81" i="3"/>
  <c r="F81" i="3"/>
  <c r="G81" i="3"/>
  <c r="H81" i="3"/>
  <c r="I81" i="3"/>
  <c r="J81" i="3"/>
  <c r="C80" i="3"/>
  <c r="D80" i="3"/>
  <c r="F80" i="3"/>
  <c r="G80" i="3"/>
  <c r="H80" i="3"/>
  <c r="I80" i="3"/>
  <c r="J80" i="3"/>
  <c r="C79" i="3"/>
  <c r="D79" i="3"/>
  <c r="F79" i="3"/>
  <c r="G79" i="3"/>
  <c r="H79" i="3"/>
  <c r="I79" i="3"/>
  <c r="J79" i="3"/>
  <c r="C78" i="3"/>
  <c r="D78" i="3"/>
  <c r="F78" i="3"/>
  <c r="G78" i="3"/>
  <c r="H78" i="3"/>
  <c r="I78" i="3"/>
  <c r="J78" i="3"/>
  <c r="C77" i="3"/>
  <c r="D77" i="3"/>
  <c r="F77" i="3"/>
  <c r="G77" i="3"/>
  <c r="H77" i="3"/>
  <c r="I77" i="3"/>
  <c r="J77" i="3"/>
  <c r="C76" i="3"/>
  <c r="D76" i="3"/>
  <c r="F76" i="3"/>
  <c r="G76" i="3"/>
  <c r="H76" i="3"/>
  <c r="I76" i="3"/>
  <c r="J76" i="3"/>
  <c r="C75" i="3"/>
  <c r="D75" i="3"/>
  <c r="F75" i="3"/>
  <c r="G75" i="3"/>
  <c r="H75" i="3"/>
  <c r="I75" i="3"/>
  <c r="J75" i="3"/>
  <c r="B74" i="1"/>
  <c r="H74" i="1" s="1"/>
  <c r="C74" i="1"/>
  <c r="E74" i="1" s="1"/>
  <c r="B69" i="1"/>
  <c r="H69" i="1" s="1"/>
  <c r="C69" i="1"/>
  <c r="E69" i="1" s="1"/>
  <c r="D66" i="21" s="1"/>
  <c r="B66" i="1"/>
  <c r="H66" i="1" s="1"/>
  <c r="C66" i="1"/>
  <c r="E66" i="1" s="1"/>
  <c r="I66" i="1" l="1"/>
  <c r="D63" i="21"/>
  <c r="K83" i="3"/>
  <c r="K82" i="3"/>
  <c r="K81" i="3"/>
  <c r="K80" i="3"/>
  <c r="K79" i="3"/>
  <c r="K78" i="3"/>
  <c r="K77" i="3"/>
  <c r="K76" i="3"/>
  <c r="K75" i="3"/>
  <c r="I74" i="1"/>
  <c r="G74" i="1"/>
  <c r="J74" i="1"/>
  <c r="F74" i="1"/>
  <c r="I69" i="1"/>
  <c r="J69" i="1"/>
  <c r="G69" i="1"/>
  <c r="F69" i="1"/>
  <c r="F66" i="1"/>
  <c r="J66" i="1"/>
  <c r="G66" i="1"/>
  <c r="B65" i="1"/>
  <c r="C65" i="1"/>
  <c r="E65" i="1" s="1"/>
  <c r="D62" i="21" s="1"/>
  <c r="D2" i="27"/>
  <c r="U2" i="14"/>
  <c r="T2" i="14"/>
  <c r="C39" i="21"/>
  <c r="Z2" i="14"/>
  <c r="Y2" i="14"/>
  <c r="X2" i="14"/>
  <c r="W2" i="14"/>
  <c r="D20" i="21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AT30" i="28" l="1"/>
  <c r="AT31" i="28"/>
  <c r="AT28" i="28"/>
  <c r="AT29" i="28"/>
  <c r="AT26" i="28"/>
  <c r="AT27" i="28"/>
  <c r="AT24" i="28"/>
  <c r="AT25" i="28"/>
  <c r="AT22" i="28"/>
  <c r="AT23" i="28"/>
  <c r="AT20" i="28"/>
  <c r="AT21" i="28"/>
  <c r="AT19" i="28"/>
  <c r="AT16" i="28"/>
  <c r="AT17" i="28"/>
  <c r="AT18" i="28"/>
  <c r="AT14" i="28"/>
  <c r="AT15" i="28"/>
  <c r="AT12" i="28"/>
  <c r="AT13" i="28"/>
  <c r="AT10" i="28"/>
  <c r="AT11" i="28"/>
  <c r="AT9" i="28"/>
  <c r="AT7" i="28"/>
  <c r="AT8" i="28"/>
  <c r="M2" i="27"/>
  <c r="L2" i="27"/>
  <c r="AT5" i="28"/>
  <c r="AT6" i="28"/>
  <c r="AT3" i="28"/>
  <c r="AT4" i="28"/>
  <c r="H65" i="1"/>
  <c r="I65" i="1"/>
  <c r="J65" i="1"/>
  <c r="F65" i="1"/>
  <c r="G65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W5" i="28" s="1"/>
  <c r="A2" i="28"/>
  <c r="C2" i="28"/>
  <c r="BU2" i="9"/>
  <c r="BZ2" i="9"/>
  <c r="P2" i="19"/>
  <c r="AG2" i="27"/>
  <c r="AK2" i="27"/>
  <c r="B2" i="27"/>
  <c r="AB19" i="27" s="1"/>
  <c r="AT2" i="9"/>
  <c r="AJ2" i="9"/>
  <c r="P2" i="9"/>
  <c r="B2" i="9"/>
  <c r="R2" i="9" s="1"/>
  <c r="AX2" i="9" s="1"/>
  <c r="C2" i="19"/>
  <c r="A2" i="14"/>
  <c r="C29" i="14" s="1"/>
  <c r="D29" i="14" s="1"/>
  <c r="M29" i="14" s="1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C27" i="14" l="1"/>
  <c r="D27" i="14" s="1"/>
  <c r="M27" i="14" s="1"/>
  <c r="C28" i="14"/>
  <c r="D28" i="14" s="1"/>
  <c r="M28" i="14" s="1"/>
  <c r="BB31" i="28"/>
  <c r="BB29" i="28"/>
  <c r="AM17" i="28"/>
  <c r="BB27" i="28"/>
  <c r="BB25" i="28"/>
  <c r="AM16" i="28"/>
  <c r="BA31" i="28"/>
  <c r="AL17" i="28"/>
  <c r="BA27" i="28"/>
  <c r="BA25" i="28"/>
  <c r="AL16" i="28"/>
  <c r="AZ31" i="28"/>
  <c r="AK17" i="28"/>
  <c r="AZ27" i="28"/>
  <c r="AK16" i="28"/>
  <c r="BA29" i="28"/>
  <c r="AZ29" i="28"/>
  <c r="AZ25" i="28"/>
  <c r="AN17" i="28"/>
  <c r="BB30" i="28"/>
  <c r="BB28" i="28"/>
  <c r="BB26" i="28"/>
  <c r="BB24" i="28"/>
  <c r="AV18" i="29"/>
  <c r="AZ30" i="28"/>
  <c r="AZ28" i="28"/>
  <c r="AZ26" i="28"/>
  <c r="AZ24" i="28"/>
  <c r="BA30" i="28"/>
  <c r="BA28" i="28"/>
  <c r="BA26" i="28"/>
  <c r="BA24" i="28"/>
  <c r="AL8" i="29"/>
  <c r="AN16" i="28"/>
  <c r="BA22" i="28"/>
  <c r="AV14" i="29"/>
  <c r="AL7" i="29"/>
  <c r="BB20" i="28"/>
  <c r="AN14" i="28"/>
  <c r="BB21" i="28"/>
  <c r="BA16" i="28"/>
  <c r="AN15" i="28"/>
  <c r="AV13" i="29"/>
  <c r="AM13" i="28"/>
  <c r="AL15" i="28"/>
  <c r="BB23" i="28"/>
  <c r="BA20" i="28"/>
  <c r="AM14" i="28"/>
  <c r="BA23" i="28"/>
  <c r="AL14" i="28"/>
  <c r="BB16" i="28"/>
  <c r="AZ23" i="28"/>
  <c r="BA21" i="28"/>
  <c r="AN13" i="28"/>
  <c r="AZ16" i="28"/>
  <c r="AM15" i="28"/>
  <c r="BB22" i="28"/>
  <c r="AL13" i="28"/>
  <c r="AZ19" i="28"/>
  <c r="AZ17" i="28"/>
  <c r="AN12" i="28"/>
  <c r="AL12" i="28"/>
  <c r="AK12" i="28"/>
  <c r="BB19" i="28"/>
  <c r="BA17" i="28"/>
  <c r="BB18" i="28"/>
  <c r="AM12" i="28"/>
  <c r="BA18" i="28"/>
  <c r="AZ18" i="28"/>
  <c r="BB17" i="28"/>
  <c r="BA19" i="28"/>
  <c r="AV11" i="29"/>
  <c r="Z3" i="29"/>
  <c r="AK14" i="28"/>
  <c r="AV16" i="29"/>
  <c r="AV12" i="29"/>
  <c r="Z4" i="29"/>
  <c r="AA7" i="28"/>
  <c r="AZ21" i="28"/>
  <c r="Z6" i="29"/>
  <c r="AV15" i="29"/>
  <c r="AA8" i="28"/>
  <c r="AA6" i="28"/>
  <c r="AZ22" i="28"/>
  <c r="Z5" i="29"/>
  <c r="AZ20" i="28"/>
  <c r="AK13" i="28"/>
  <c r="Z7" i="29"/>
  <c r="AV17" i="29"/>
  <c r="AK15" i="28"/>
  <c r="AL16" i="9"/>
  <c r="AL17" i="9"/>
  <c r="AL18" i="9"/>
  <c r="AL14" i="9"/>
  <c r="AL15" i="9"/>
  <c r="BN5" i="9"/>
  <c r="BF2" i="9"/>
  <c r="BF4" i="9"/>
  <c r="BF5" i="9"/>
  <c r="BF3" i="9"/>
  <c r="BF6" i="9"/>
  <c r="AK19" i="27"/>
  <c r="AG19" i="27"/>
  <c r="AL11" i="27"/>
  <c r="AL17" i="27"/>
  <c r="AL19" i="27"/>
  <c r="AL16" i="27"/>
  <c r="AL18" i="27"/>
  <c r="AL15" i="27"/>
  <c r="AL13" i="27"/>
  <c r="AH18" i="27"/>
  <c r="AW30" i="28"/>
  <c r="AH17" i="27"/>
  <c r="AW27" i="28"/>
  <c r="AW29" i="28"/>
  <c r="AW25" i="28"/>
  <c r="AW24" i="28"/>
  <c r="AW26" i="28"/>
  <c r="AI17" i="28"/>
  <c r="AW31" i="28"/>
  <c r="AI16" i="28"/>
  <c r="AH19" i="27"/>
  <c r="AW28" i="28"/>
  <c r="AH16" i="27"/>
  <c r="AH15" i="27"/>
  <c r="AB17" i="27"/>
  <c r="AB18" i="27"/>
  <c r="AB15" i="27"/>
  <c r="AG15" i="27" s="1"/>
  <c r="AB16" i="27"/>
  <c r="W7" i="14"/>
  <c r="AB14" i="27"/>
  <c r="Z7" i="14"/>
  <c r="Y7" i="14"/>
  <c r="AB13" i="27"/>
  <c r="X7" i="14"/>
  <c r="AH14" i="27"/>
  <c r="AH13" i="27"/>
  <c r="N6" i="28"/>
  <c r="AW23" i="28"/>
  <c r="AI13" i="28"/>
  <c r="N7" i="28"/>
  <c r="N8" i="28"/>
  <c r="AI14" i="28"/>
  <c r="AW20" i="28"/>
  <c r="AW21" i="28"/>
  <c r="AW22" i="28"/>
  <c r="AI15" i="28"/>
  <c r="AB11" i="27"/>
  <c r="AB12" i="27"/>
  <c r="AH12" i="27"/>
  <c r="AH11" i="27"/>
  <c r="AV17" i="9"/>
  <c r="AU17" i="9" s="1"/>
  <c r="AV18" i="9"/>
  <c r="AV15" i="9"/>
  <c r="AW15" i="9" s="1"/>
  <c r="AV16" i="9"/>
  <c r="AL10" i="27"/>
  <c r="AL7" i="27"/>
  <c r="AL9" i="27"/>
  <c r="AL8" i="27"/>
  <c r="AW16" i="28"/>
  <c r="AH8" i="27"/>
  <c r="AH7" i="27"/>
  <c r="AW18" i="28"/>
  <c r="N5" i="28"/>
  <c r="AI12" i="28"/>
  <c r="AW17" i="28"/>
  <c r="AW19" i="28"/>
  <c r="AH10" i="27"/>
  <c r="AH9" i="27"/>
  <c r="AV13" i="9"/>
  <c r="AU13" i="9" s="1"/>
  <c r="AV14" i="9"/>
  <c r="AB10" i="27"/>
  <c r="AB9" i="27"/>
  <c r="AB7" i="27"/>
  <c r="AG7" i="27" s="1"/>
  <c r="AB8" i="27"/>
  <c r="AL10" i="9"/>
  <c r="AM10" i="9" s="1"/>
  <c r="AL11" i="9"/>
  <c r="AL12" i="9"/>
  <c r="AL13" i="9"/>
  <c r="AV11" i="9"/>
  <c r="AW11" i="9" s="1"/>
  <c r="AV12" i="9"/>
  <c r="AZ10" i="28"/>
  <c r="AN9" i="28"/>
  <c r="AN11" i="28"/>
  <c r="BB15" i="28"/>
  <c r="AA3" i="28"/>
  <c r="BA12" i="28"/>
  <c r="AL7" i="28"/>
  <c r="AM7" i="28"/>
  <c r="BB14" i="28"/>
  <c r="AM9" i="28"/>
  <c r="AK9" i="28"/>
  <c r="AK11" i="28"/>
  <c r="BA15" i="28"/>
  <c r="AA4" i="28"/>
  <c r="AK7" i="28"/>
  <c r="AM8" i="28"/>
  <c r="BA10" i="28"/>
  <c r="AM10" i="28"/>
  <c r="AM11" i="28"/>
  <c r="BA13" i="28"/>
  <c r="AZ14" i="28"/>
  <c r="BB12" i="28"/>
  <c r="AL11" i="28"/>
  <c r="AN8" i="28"/>
  <c r="AK10" i="28"/>
  <c r="AZ12" i="28"/>
  <c r="AL8" i="28"/>
  <c r="AZ15" i="28"/>
  <c r="AL10" i="28"/>
  <c r="AZ13" i="28"/>
  <c r="AN7" i="28"/>
  <c r="AZ11" i="28"/>
  <c r="BB11" i="28"/>
  <c r="AN10" i="28"/>
  <c r="AK8" i="28"/>
  <c r="BB10" i="28"/>
  <c r="AL9" i="28"/>
  <c r="BB13" i="28"/>
  <c r="BA11" i="28"/>
  <c r="BA14" i="28"/>
  <c r="E2" i="27"/>
  <c r="F2" i="9"/>
  <c r="E2" i="29"/>
  <c r="E2" i="28"/>
  <c r="AI10" i="28"/>
  <c r="N3" i="28"/>
  <c r="W3" i="28" s="1"/>
  <c r="AI11" i="28"/>
  <c r="AW15" i="28"/>
  <c r="AW13" i="28"/>
  <c r="N4" i="28"/>
  <c r="W4" i="28" s="1"/>
  <c r="U4" i="28" s="1"/>
  <c r="AW14" i="28"/>
  <c r="X6" i="14"/>
  <c r="Z6" i="14"/>
  <c r="Y6" i="14"/>
  <c r="W6" i="14"/>
  <c r="AL5" i="27"/>
  <c r="AB6" i="27"/>
  <c r="Z5" i="14"/>
  <c r="AB5" i="27"/>
  <c r="Y5" i="14"/>
  <c r="X5" i="14"/>
  <c r="W5" i="14"/>
  <c r="AW10" i="28"/>
  <c r="AW12" i="28"/>
  <c r="AI9" i="28"/>
  <c r="AI8" i="28"/>
  <c r="AI7" i="28"/>
  <c r="AW11" i="28"/>
  <c r="AI5" i="28"/>
  <c r="AW7" i="28"/>
  <c r="AW8" i="28"/>
  <c r="AW9" i="28"/>
  <c r="AI6" i="28"/>
  <c r="AH5" i="27"/>
  <c r="AH6" i="27"/>
  <c r="AI4" i="28"/>
  <c r="AI3" i="28"/>
  <c r="AV10" i="29"/>
  <c r="AV8" i="29"/>
  <c r="AV9" i="29"/>
  <c r="AK4" i="28"/>
  <c r="AL4" i="28"/>
  <c r="BA8" i="28"/>
  <c r="AL6" i="29"/>
  <c r="BB7" i="28"/>
  <c r="AM5" i="28"/>
  <c r="AM3" i="28"/>
  <c r="BB9" i="28"/>
  <c r="BA7" i="28"/>
  <c r="AL5" i="28"/>
  <c r="AL3" i="28"/>
  <c r="BA9" i="28"/>
  <c r="AZ7" i="28"/>
  <c r="AK5" i="28"/>
  <c r="AK3" i="28"/>
  <c r="AZ9" i="28"/>
  <c r="AN4" i="28"/>
  <c r="AN6" i="28"/>
  <c r="AM4" i="28"/>
  <c r="BB8" i="28"/>
  <c r="AM6" i="28"/>
  <c r="AL5" i="29"/>
  <c r="AL6" i="28"/>
  <c r="AV7" i="29"/>
  <c r="AZ8" i="28"/>
  <c r="AK6" i="28"/>
  <c r="AN5" i="28"/>
  <c r="AN3" i="28"/>
  <c r="AL3" i="29"/>
  <c r="AV4" i="29"/>
  <c r="AL4" i="29"/>
  <c r="AV5" i="29"/>
  <c r="AV3" i="29"/>
  <c r="AV6" i="29"/>
  <c r="BA5" i="28"/>
  <c r="BA3" i="28"/>
  <c r="BB4" i="28"/>
  <c r="BA4" i="28"/>
  <c r="AZ6" i="28"/>
  <c r="AZ5" i="28"/>
  <c r="AZ3" i="28"/>
  <c r="BB6" i="28"/>
  <c r="AZ4" i="28"/>
  <c r="BB5" i="28"/>
  <c r="BB3" i="28"/>
  <c r="BA6" i="28"/>
  <c r="AV4" i="9"/>
  <c r="AV3" i="9"/>
  <c r="AV2" i="9"/>
  <c r="AV5" i="9"/>
  <c r="AV7" i="9"/>
  <c r="AV6" i="9"/>
  <c r="AV8" i="9"/>
  <c r="AV9" i="9"/>
  <c r="AV10" i="9"/>
  <c r="Y4" i="14"/>
  <c r="Y3" i="14"/>
  <c r="Z4" i="14"/>
  <c r="AB4" i="27"/>
  <c r="AB3" i="27"/>
  <c r="Z3" i="14"/>
  <c r="W3" i="14"/>
  <c r="X3" i="14"/>
  <c r="X4" i="14"/>
  <c r="W4" i="14"/>
  <c r="AH3" i="27"/>
  <c r="AH4" i="27"/>
  <c r="AL8" i="9"/>
  <c r="AK8" i="9" s="1"/>
  <c r="AL9" i="9"/>
  <c r="AL7" i="9"/>
  <c r="AL6" i="9"/>
  <c r="AL4" i="9"/>
  <c r="AL3" i="9"/>
  <c r="AL2" i="9"/>
  <c r="AL5" i="9"/>
  <c r="AW4" i="28"/>
  <c r="AW6" i="28"/>
  <c r="AW3" i="28"/>
  <c r="AW5" i="28"/>
  <c r="C5" i="14"/>
  <c r="D5" i="14" s="1"/>
  <c r="C4" i="14"/>
  <c r="D4" i="14" s="1"/>
  <c r="C3" i="14"/>
  <c r="C16" i="14"/>
  <c r="D16" i="14" s="1"/>
  <c r="C2" i="14"/>
  <c r="D2" i="14" s="1"/>
  <c r="C10" i="14"/>
  <c r="D10" i="14" s="1"/>
  <c r="C20" i="14"/>
  <c r="D20" i="14" s="1"/>
  <c r="C17" i="14"/>
  <c r="C22" i="14"/>
  <c r="D22" i="14" s="1"/>
  <c r="C24" i="14"/>
  <c r="D24" i="14" s="1"/>
  <c r="C26" i="14"/>
  <c r="D26" i="14" s="1"/>
  <c r="C14" i="14"/>
  <c r="D14" i="14" s="1"/>
  <c r="C23" i="14"/>
  <c r="D23" i="14" s="1"/>
  <c r="C8" i="14"/>
  <c r="D8" i="14" s="1"/>
  <c r="C9" i="14"/>
  <c r="D9" i="14" s="1"/>
  <c r="C6" i="14"/>
  <c r="D6" i="14" s="1"/>
  <c r="C13" i="14"/>
  <c r="D13" i="14" s="1"/>
  <c r="C19" i="14"/>
  <c r="D19" i="14" s="1"/>
  <c r="C15" i="14"/>
  <c r="D15" i="14" s="1"/>
  <c r="C21" i="14"/>
  <c r="D21" i="14" s="1"/>
  <c r="C18" i="14"/>
  <c r="C11" i="14"/>
  <c r="D11" i="14" s="1"/>
  <c r="C7" i="14"/>
  <c r="D7" i="14" s="1"/>
  <c r="C25" i="14"/>
  <c r="D25" i="14" s="1"/>
  <c r="C12" i="14"/>
  <c r="D12" i="14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AM17" i="9" l="1"/>
  <c r="AK17" i="9"/>
  <c r="AM18" i="9"/>
  <c r="AK18" i="9"/>
  <c r="AK16" i="9"/>
  <c r="AM16" i="9"/>
  <c r="AM14" i="9"/>
  <c r="AK14" i="9"/>
  <c r="AM15" i="9"/>
  <c r="AK15" i="9"/>
  <c r="E7" i="29"/>
  <c r="E26" i="27"/>
  <c r="E25" i="27"/>
  <c r="V7" i="14"/>
  <c r="F8" i="9"/>
  <c r="E23" i="27"/>
  <c r="E24" i="27"/>
  <c r="E9" i="28"/>
  <c r="E32" i="27"/>
  <c r="E27" i="27"/>
  <c r="E10" i="28"/>
  <c r="E31" i="27"/>
  <c r="E28" i="27"/>
  <c r="E33" i="27"/>
  <c r="E11" i="28"/>
  <c r="AW17" i="9"/>
  <c r="W5" i="29"/>
  <c r="W7" i="29"/>
  <c r="W6" i="29"/>
  <c r="AK17" i="27"/>
  <c r="AG17" i="27"/>
  <c r="AK18" i="27"/>
  <c r="AG18" i="27"/>
  <c r="AK15" i="27"/>
  <c r="AK16" i="27"/>
  <c r="AG16" i="27"/>
  <c r="AK13" i="27"/>
  <c r="AG13" i="27"/>
  <c r="AK14" i="27"/>
  <c r="AG14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11" i="27"/>
  <c r="AG11" i="27"/>
  <c r="AK12" i="27"/>
  <c r="AG12" i="27"/>
  <c r="AW18" i="9"/>
  <c r="AU18" i="9"/>
  <c r="AU15" i="9"/>
  <c r="AW16" i="9"/>
  <c r="AU16" i="9"/>
  <c r="E16" i="27"/>
  <c r="E20" i="27"/>
  <c r="E21" i="27"/>
  <c r="E6" i="29"/>
  <c r="F7" i="9"/>
  <c r="E22" i="27"/>
  <c r="W3" i="29"/>
  <c r="W4" i="29"/>
  <c r="Z5" i="28"/>
  <c r="AD5" i="28"/>
  <c r="V5" i="28"/>
  <c r="AB5" i="28"/>
  <c r="AC5" i="28"/>
  <c r="AA5" i="28"/>
  <c r="Y5" i="28" s="1"/>
  <c r="AW14" i="9"/>
  <c r="AU14" i="9"/>
  <c r="AW13" i="9"/>
  <c r="AK10" i="27"/>
  <c r="AG10" i="27"/>
  <c r="AK9" i="27"/>
  <c r="AG9" i="27"/>
  <c r="E18" i="27"/>
  <c r="E19" i="27"/>
  <c r="AK8" i="27"/>
  <c r="AG8" i="27"/>
  <c r="AK7" i="27"/>
  <c r="T5" i="28"/>
  <c r="U3" i="28"/>
  <c r="U5" i="28"/>
  <c r="AM11" i="9"/>
  <c r="AK11" i="9"/>
  <c r="AM12" i="9"/>
  <c r="AK12" i="9"/>
  <c r="AK10" i="9"/>
  <c r="AM13" i="9"/>
  <c r="AK13" i="9"/>
  <c r="E7" i="28"/>
  <c r="F6" i="9"/>
  <c r="AW12" i="9"/>
  <c r="AU12" i="9"/>
  <c r="AU11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5" i="27"/>
  <c r="AG5" i="27"/>
  <c r="AK6" i="27"/>
  <c r="AG6" i="27"/>
  <c r="E12" i="27"/>
  <c r="E11" i="27"/>
  <c r="V5" i="14"/>
  <c r="E10" i="27"/>
  <c r="E9" i="27"/>
  <c r="E5" i="29"/>
  <c r="E5" i="28"/>
  <c r="F5" i="9"/>
  <c r="AW4" i="9"/>
  <c r="AU4" i="9"/>
  <c r="AW3" i="9"/>
  <c r="AU3" i="9"/>
  <c r="AW2" i="9"/>
  <c r="AU2" i="9"/>
  <c r="AU7" i="9"/>
  <c r="AW7" i="9"/>
  <c r="AW6" i="9"/>
  <c r="AU6" i="9"/>
  <c r="AW10" i="9"/>
  <c r="AU10" i="9"/>
  <c r="AU8" i="9"/>
  <c r="AW8" i="9"/>
  <c r="AW5" i="9"/>
  <c r="AU5" i="9"/>
  <c r="AU9" i="9"/>
  <c r="AW9" i="9"/>
  <c r="AK4" i="27"/>
  <c r="AG4" i="27"/>
  <c r="AG3" i="27"/>
  <c r="AK3" i="27"/>
  <c r="AG2" i="29"/>
  <c r="AF3" i="28"/>
  <c r="AM9" i="9"/>
  <c r="AK9" i="9"/>
  <c r="AM8" i="9"/>
  <c r="AM6" i="9"/>
  <c r="AK6" i="9"/>
  <c r="AK4" i="9"/>
  <c r="AM4" i="9"/>
  <c r="AK3" i="9"/>
  <c r="AM3" i="9"/>
  <c r="AM5" i="9"/>
  <c r="AK5" i="9"/>
  <c r="AM7" i="9"/>
  <c r="AK7" i="9"/>
  <c r="AK2" i="9"/>
  <c r="AM2" i="9"/>
  <c r="D3" i="14"/>
  <c r="M34" i="19" s="1"/>
  <c r="D17" i="14"/>
  <c r="V3" i="14" s="1"/>
  <c r="D18" i="14"/>
  <c r="V4" i="14" s="1"/>
  <c r="M2" i="14"/>
  <c r="M4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M42" i="19" l="1"/>
  <c r="M43" i="19"/>
  <c r="T12" i="19"/>
  <c r="M44" i="19"/>
  <c r="H44" i="19"/>
  <c r="T11" i="19"/>
  <c r="T10" i="19"/>
  <c r="H42" i="19"/>
  <c r="H43" i="19"/>
  <c r="M41" i="19"/>
  <c r="M40" i="19"/>
  <c r="H41" i="19"/>
  <c r="T9" i="19"/>
  <c r="H40" i="19"/>
  <c r="T8" i="19"/>
  <c r="M33" i="19"/>
  <c r="M39" i="19"/>
  <c r="H39" i="19"/>
  <c r="T7" i="19"/>
  <c r="T6" i="19"/>
  <c r="H37" i="19"/>
  <c r="M36" i="19"/>
  <c r="H33" i="19"/>
  <c r="M35" i="19"/>
  <c r="T4" i="19"/>
  <c r="M38" i="19"/>
  <c r="H38" i="19"/>
  <c r="M37" i="19"/>
  <c r="H36" i="19"/>
  <c r="H35" i="19"/>
  <c r="H34" i="19"/>
  <c r="T5" i="19"/>
  <c r="E30" i="27"/>
  <c r="E29" i="27"/>
  <c r="T3" i="19"/>
  <c r="T8" i="28"/>
  <c r="T6" i="28"/>
  <c r="T7" i="28"/>
  <c r="Y7" i="28"/>
  <c r="Y8" i="28"/>
  <c r="X8" i="28"/>
  <c r="X7" i="28"/>
  <c r="Y6" i="28"/>
  <c r="X6" i="28"/>
  <c r="X5" i="28"/>
  <c r="T2" i="19"/>
  <c r="H13" i="19"/>
  <c r="E15" i="27"/>
  <c r="E17" i="27"/>
  <c r="E8" i="28"/>
  <c r="C2" i="9"/>
  <c r="E2" i="9" s="1"/>
  <c r="K2" i="9" s="1"/>
  <c r="H9" i="19"/>
  <c r="M9" i="19"/>
  <c r="V6" i="14"/>
  <c r="E14" i="27"/>
  <c r="E13" i="27"/>
  <c r="M13" i="19"/>
  <c r="AF5" i="28"/>
  <c r="AF6" i="28"/>
  <c r="M17" i="19"/>
  <c r="E6" i="28"/>
  <c r="AF4" i="28"/>
  <c r="E3" i="29"/>
  <c r="E7" i="27"/>
  <c r="E4" i="27"/>
  <c r="E3" i="27"/>
  <c r="E5" i="27"/>
  <c r="E6" i="27"/>
  <c r="E8" i="27"/>
  <c r="E4" i="29"/>
  <c r="Z4" i="9"/>
  <c r="F3" i="9"/>
  <c r="E3" i="28"/>
  <c r="F4" i="9"/>
  <c r="E4" i="28"/>
  <c r="Z2" i="9"/>
  <c r="AC2" i="9"/>
  <c r="Z3" i="9"/>
  <c r="AC3" i="9"/>
  <c r="M3" i="14"/>
  <c r="H17" i="19"/>
  <c r="H18" i="19"/>
  <c r="M22" i="19"/>
  <c r="M14" i="19"/>
  <c r="H19" i="19"/>
  <c r="M11" i="19"/>
  <c r="H25" i="19"/>
  <c r="M15" i="19"/>
  <c r="H11" i="19"/>
  <c r="M12" i="19"/>
  <c r="H10" i="19"/>
  <c r="M30" i="19"/>
  <c r="H14" i="19"/>
  <c r="M8" i="19"/>
  <c r="M10" i="19"/>
  <c r="M23" i="19"/>
  <c r="H8" i="19"/>
  <c r="H15" i="19"/>
  <c r="M20" i="19"/>
  <c r="M21" i="19"/>
  <c r="H16" i="19"/>
  <c r="M18" i="19"/>
  <c r="M19" i="19"/>
  <c r="H12" i="19"/>
  <c r="M16" i="19"/>
  <c r="H28" i="19"/>
  <c r="M28" i="19"/>
  <c r="H32" i="19"/>
  <c r="H21" i="19"/>
  <c r="H26" i="19"/>
  <c r="M26" i="19"/>
  <c r="M24" i="19"/>
  <c r="H22" i="19"/>
  <c r="H24" i="19"/>
  <c r="H30" i="19"/>
  <c r="M27" i="19"/>
  <c r="H20" i="19"/>
  <c r="H23" i="19"/>
  <c r="H31" i="19"/>
  <c r="M32" i="19"/>
  <c r="M25" i="19"/>
  <c r="H27" i="19"/>
  <c r="M31" i="19"/>
  <c r="H29" i="19"/>
  <c r="M29" i="19"/>
  <c r="M5" i="14"/>
  <c r="D12" i="21"/>
  <c r="D16" i="21"/>
  <c r="D23" i="21"/>
  <c r="D11" i="21"/>
  <c r="J8" i="31"/>
  <c r="A33" i="27" l="1"/>
  <c r="L32" i="27"/>
  <c r="A31" i="27"/>
  <c r="K32" i="27"/>
  <c r="L31" i="27"/>
  <c r="K31" i="27"/>
  <c r="L33" i="27"/>
  <c r="K33" i="27"/>
  <c r="A32" i="27"/>
  <c r="K30" i="27"/>
  <c r="L30" i="27"/>
  <c r="A30" i="27"/>
  <c r="K29" i="27"/>
  <c r="L29" i="27"/>
  <c r="A29" i="27"/>
  <c r="L28" i="27"/>
  <c r="A28" i="27"/>
  <c r="K28" i="27"/>
  <c r="L27" i="27"/>
  <c r="A27" i="27"/>
  <c r="K27" i="27"/>
  <c r="K26" i="27"/>
  <c r="L26" i="27"/>
  <c r="A26" i="27"/>
  <c r="A25" i="27"/>
  <c r="L25" i="27"/>
  <c r="K25" i="27"/>
  <c r="D7" i="29"/>
  <c r="A7" i="29"/>
  <c r="K24" i="27"/>
  <c r="L24" i="27"/>
  <c r="A24" i="27"/>
  <c r="L23" i="27"/>
  <c r="A23" i="27"/>
  <c r="K23" i="27"/>
  <c r="A8" i="9"/>
  <c r="L22" i="27"/>
  <c r="A22" i="27"/>
  <c r="K22" i="27"/>
  <c r="A3" i="29"/>
  <c r="D6" i="29"/>
  <c r="A6" i="29"/>
  <c r="K21" i="27"/>
  <c r="A21" i="27"/>
  <c r="L21" i="27"/>
  <c r="A7" i="9"/>
  <c r="L20" i="27"/>
  <c r="A20" i="27"/>
  <c r="K20" i="27"/>
  <c r="L18" i="27"/>
  <c r="A18" i="27"/>
  <c r="K18" i="27"/>
  <c r="L19" i="27"/>
  <c r="K19" i="27"/>
  <c r="A19" i="27"/>
  <c r="A17" i="27"/>
  <c r="L17" i="27"/>
  <c r="K17" i="27"/>
  <c r="A15" i="27"/>
  <c r="K15" i="27"/>
  <c r="L16" i="27"/>
  <c r="L15" i="27"/>
  <c r="A16" i="27"/>
  <c r="K16" i="27"/>
  <c r="A3" i="9"/>
  <c r="A6" i="9"/>
  <c r="D5" i="29"/>
  <c r="J5" i="29" s="1"/>
  <c r="K14" i="27"/>
  <c r="L14" i="27"/>
  <c r="A14" i="27"/>
  <c r="K13" i="27"/>
  <c r="L13" i="27"/>
  <c r="A13" i="27"/>
  <c r="A5" i="9"/>
  <c r="D3" i="29"/>
  <c r="AI3" i="29" s="1"/>
  <c r="A5" i="29"/>
  <c r="L12" i="27"/>
  <c r="A12" i="27"/>
  <c r="K12" i="27"/>
  <c r="A5" i="27"/>
  <c r="L11" i="27"/>
  <c r="A11" i="27"/>
  <c r="K11" i="27"/>
  <c r="K10" i="27"/>
  <c r="A10" i="27"/>
  <c r="L10" i="27"/>
  <c r="A9" i="27"/>
  <c r="L9" i="27"/>
  <c r="K9" i="27"/>
  <c r="K6" i="27"/>
  <c r="D4" i="29"/>
  <c r="A6" i="27"/>
  <c r="A8" i="27"/>
  <c r="K5" i="27"/>
  <c r="A4" i="29"/>
  <c r="K8" i="27"/>
  <c r="K3" i="27"/>
  <c r="L8" i="27"/>
  <c r="L7" i="27"/>
  <c r="L4" i="27"/>
  <c r="L6" i="27"/>
  <c r="L5" i="27"/>
  <c r="L3" i="27"/>
  <c r="A3" i="27"/>
  <c r="A4" i="27"/>
  <c r="K7" i="27"/>
  <c r="K4" i="27"/>
  <c r="A7" i="27"/>
  <c r="AC4" i="9"/>
  <c r="A4" i="9"/>
  <c r="J9" i="31"/>
  <c r="E4" i="31"/>
  <c r="J7" i="29" l="1"/>
  <c r="M6" i="29"/>
  <c r="AL14" i="27"/>
  <c r="M7" i="29"/>
  <c r="M5" i="29"/>
  <c r="AI8" i="29"/>
  <c r="C8" i="9"/>
  <c r="E8" i="9" s="1"/>
  <c r="J6" i="29"/>
  <c r="AL12" i="27"/>
  <c r="M4" i="29"/>
  <c r="AI7" i="29"/>
  <c r="M3" i="29"/>
  <c r="C7" i="9"/>
  <c r="E7" i="9" s="1"/>
  <c r="C4" i="9"/>
  <c r="E4" i="9" s="1"/>
  <c r="K4" i="9" s="1"/>
  <c r="AC6" i="9"/>
  <c r="C6" i="9"/>
  <c r="E6" i="9" s="1"/>
  <c r="C3" i="9"/>
  <c r="E3" i="9" s="1"/>
  <c r="R3" i="9" s="1"/>
  <c r="AX3" i="9" s="1"/>
  <c r="AL6" i="27"/>
  <c r="AI5" i="29"/>
  <c r="AI6" i="29"/>
  <c r="AL3" i="27"/>
  <c r="J3" i="29"/>
  <c r="C5" i="9"/>
  <c r="E5" i="9" s="1"/>
  <c r="R8" i="9" s="1"/>
  <c r="AX8" i="9" s="1"/>
  <c r="AF7" i="28"/>
  <c r="J4" i="29"/>
  <c r="AI4" i="29"/>
  <c r="AG3" i="29"/>
  <c r="AL4" i="27"/>
  <c r="Z5" i="9"/>
  <c r="AC5" i="9"/>
  <c r="J10" i="31"/>
  <c r="AG8" i="29" l="1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8" i="9"/>
  <c r="R18" i="9"/>
  <c r="AX18" i="9" s="1"/>
  <c r="R17" i="9"/>
  <c r="AX17" i="9" s="1"/>
  <c r="R16" i="9"/>
  <c r="AX16" i="9" s="1"/>
  <c r="R15" i="9"/>
  <c r="AX15" i="9" s="1"/>
  <c r="Y7" i="29"/>
  <c r="U7" i="29"/>
  <c r="AB7" i="29"/>
  <c r="V7" i="29"/>
  <c r="T7" i="29" s="1"/>
  <c r="AC7" i="29"/>
  <c r="AA7" i="29"/>
  <c r="X7" i="29"/>
  <c r="AG7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7" i="9"/>
  <c r="R14" i="9"/>
  <c r="AX14" i="9" s="1"/>
  <c r="K6" i="9"/>
  <c r="R13" i="9"/>
  <c r="AX13" i="9" s="1"/>
  <c r="R12" i="9"/>
  <c r="AX12" i="9" s="1"/>
  <c r="R11" i="9"/>
  <c r="AX11" i="9" s="1"/>
  <c r="R6" i="9"/>
  <c r="AX6" i="9" s="1"/>
  <c r="R5" i="9"/>
  <c r="AX5" i="9" s="1"/>
  <c r="Z6" i="9"/>
  <c r="K3" i="9"/>
  <c r="R4" i="9"/>
  <c r="AX4" i="9" s="1"/>
  <c r="AG6" i="29"/>
  <c r="R7" i="9"/>
  <c r="AX7" i="9" s="1"/>
  <c r="R10" i="9"/>
  <c r="AX10" i="9" s="1"/>
  <c r="AG4" i="29"/>
  <c r="AS5" i="29" s="1"/>
  <c r="R9" i="9"/>
  <c r="AX9" i="9" s="1"/>
  <c r="AF8" i="28"/>
  <c r="AF9" i="28"/>
  <c r="AG5" i="29"/>
  <c r="K5" i="9"/>
  <c r="AS4" i="29"/>
  <c r="AS3" i="29"/>
  <c r="AC7" i="9"/>
  <c r="M6" i="14"/>
  <c r="J11" i="31"/>
  <c r="AS15" i="29" l="1"/>
  <c r="AS18" i="29"/>
  <c r="AS17" i="29"/>
  <c r="AS16" i="29"/>
  <c r="S6" i="29"/>
  <c r="S7" i="29"/>
  <c r="T3" i="29"/>
  <c r="S5" i="29"/>
  <c r="AS13" i="29"/>
  <c r="AS14" i="29"/>
  <c r="S4" i="29"/>
  <c r="S3" i="29"/>
  <c r="AS11" i="29"/>
  <c r="AS12" i="29"/>
  <c r="AS6" i="29"/>
  <c r="AS10" i="29"/>
  <c r="AS7" i="29"/>
  <c r="AS9" i="29"/>
  <c r="AS8" i="29"/>
  <c r="AC9" i="9"/>
  <c r="Z7" i="9"/>
  <c r="Z8" i="9"/>
  <c r="AC8" i="9"/>
  <c r="M7" i="14"/>
  <c r="J12" i="31"/>
  <c r="Z10" i="9" l="1"/>
  <c r="Z9" i="9"/>
  <c r="M8" i="14"/>
  <c r="J13" i="31"/>
  <c r="Z11" i="9" l="1"/>
  <c r="AC10" i="9"/>
  <c r="M9" i="14"/>
  <c r="J14" i="31"/>
  <c r="D33" i="21"/>
  <c r="C33" i="21"/>
  <c r="D32" i="21"/>
  <c r="C32" i="21"/>
  <c r="AC12" i="9" l="1"/>
  <c r="AC11" i="9"/>
  <c r="M10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AC13" i="9" l="1"/>
  <c r="Z12" i="9"/>
  <c r="M11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4" i="9" l="1"/>
  <c r="Z13" i="9"/>
  <c r="M12" i="14"/>
  <c r="D26" i="21"/>
  <c r="D39" i="2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5" i="9" l="1"/>
  <c r="Z14" i="9"/>
  <c r="E1" i="25"/>
  <c r="B8" i="25" s="1"/>
  <c r="M13" i="14"/>
  <c r="J18" i="31"/>
  <c r="Z16" i="9" l="1"/>
  <c r="Z15" i="9"/>
  <c r="M14" i="14"/>
  <c r="J19" i="31"/>
  <c r="AC17" i="9" l="1"/>
  <c r="AC16" i="9"/>
  <c r="M15" i="14"/>
  <c r="J20" i="31"/>
  <c r="Z17" i="9" l="1"/>
  <c r="M16" i="14"/>
  <c r="J21" i="31"/>
  <c r="Z18" i="9" l="1"/>
  <c r="AC18" i="9"/>
  <c r="M17" i="14"/>
  <c r="J22" i="31"/>
  <c r="M18" i="14" l="1"/>
  <c r="J23" i="31"/>
  <c r="M19" i="14" l="1"/>
  <c r="J24" i="31"/>
  <c r="M20" i="14" l="1"/>
  <c r="J25" i="31"/>
  <c r="M21" i="14" l="1"/>
  <c r="J26" i="31"/>
  <c r="J27" i="31" l="1"/>
  <c r="M22" i="14" l="1"/>
  <c r="J28" i="31"/>
  <c r="J29" i="31" l="1"/>
  <c r="M23" i="14" l="1"/>
  <c r="J30" i="31"/>
  <c r="M24" i="14" l="1"/>
  <c r="J31" i="3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5" i="14"/>
  <c r="J32" i="31"/>
  <c r="M26" i="14" l="1"/>
  <c r="H6" i="19"/>
  <c r="H5" i="19"/>
  <c r="M4" i="19"/>
  <c r="M6" i="19"/>
  <c r="M5" i="19"/>
  <c r="M3" i="19"/>
  <c r="M7" i="19"/>
  <c r="H3" i="19"/>
  <c r="H4" i="19"/>
  <c r="H7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P17" i="31"/>
  <c r="N55" i="31"/>
  <c r="P58" i="31"/>
  <c r="N29" i="31"/>
  <c r="P25" i="31"/>
  <c r="P20" i="31"/>
  <c r="P21" i="31"/>
  <c r="P6" i="31"/>
  <c r="N46" i="31"/>
  <c r="P36" i="31"/>
  <c r="P10" i="31"/>
  <c r="N17" i="31"/>
  <c r="P50" i="31"/>
  <c r="P2" i="31"/>
  <c r="P54" i="31"/>
  <c r="P44" i="31"/>
  <c r="N12" i="31"/>
  <c r="N9" i="31"/>
  <c r="N61" i="31"/>
  <c r="P13" i="31"/>
  <c r="N39" i="31"/>
  <c r="P27" i="31"/>
  <c r="P26" i="31"/>
  <c r="P11" i="31"/>
  <c r="P49" i="31"/>
  <c r="P35" i="31"/>
  <c r="P33" i="31"/>
  <c r="N16" i="31"/>
  <c r="P60" i="31"/>
  <c r="N59" i="31"/>
  <c r="P38" i="31"/>
  <c r="N3" i="31"/>
  <c r="N30" i="31"/>
  <c r="P51" i="31"/>
  <c r="P5" i="31"/>
  <c r="P14" i="31"/>
  <c r="P15" i="31"/>
  <c r="P41" i="31"/>
  <c r="P22" i="31"/>
  <c r="P7" i="31"/>
  <c r="N48" i="31"/>
  <c r="N56" i="31"/>
  <c r="P24" i="31"/>
  <c r="P19" i="31"/>
  <c r="N34" i="31"/>
  <c r="N32" i="31"/>
  <c r="P43" i="31"/>
  <c r="N42" i="31"/>
  <c r="P31" i="31"/>
  <c r="N28" i="31"/>
  <c r="P8" i="31"/>
  <c r="N37" i="31"/>
  <c r="P18" i="31"/>
  <c r="N45" i="31"/>
  <c r="P47" i="31"/>
  <c r="P53" i="31"/>
  <c r="N4" i="31"/>
  <c r="P57" i="31"/>
  <c r="N52" i="31"/>
  <c r="P40" i="31"/>
  <c r="N23" i="31"/>
  <c r="O7" i="27" l="1"/>
  <c r="O5" i="27"/>
  <c r="O3" i="27"/>
  <c r="O12" i="31"/>
  <c r="O16" i="31"/>
  <c r="O17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57" i="31"/>
  <c r="N35" i="31"/>
  <c r="P12" i="31"/>
  <c r="N60" i="31"/>
  <c r="P37" i="31"/>
  <c r="N10" i="31"/>
  <c r="N22" i="31"/>
  <c r="N62" i="31"/>
  <c r="P3" i="31"/>
  <c r="N38" i="31"/>
  <c r="N20" i="31"/>
  <c r="P46" i="31"/>
  <c r="P56" i="31"/>
  <c r="P61" i="31"/>
  <c r="N24" i="31"/>
  <c r="P32" i="31"/>
  <c r="N53" i="31"/>
  <c r="P59" i="31"/>
  <c r="N8" i="31"/>
  <c r="P28" i="31"/>
  <c r="N41" i="31"/>
  <c r="P42" i="31"/>
  <c r="N25" i="31"/>
  <c r="P30" i="31"/>
  <c r="N43" i="31"/>
  <c r="N21" i="31"/>
  <c r="P16" i="31"/>
  <c r="N47" i="31"/>
  <c r="N51" i="31"/>
  <c r="N15" i="31"/>
  <c r="P39" i="31"/>
  <c r="N14" i="31"/>
  <c r="N31" i="31"/>
  <c r="P45" i="31"/>
  <c r="N11" i="31"/>
  <c r="N27" i="31"/>
  <c r="P52" i="31"/>
  <c r="N44" i="31"/>
  <c r="N5" i="31"/>
  <c r="N7" i="31"/>
  <c r="P9" i="31"/>
  <c r="P29" i="31"/>
  <c r="N18" i="31"/>
  <c r="N49" i="31"/>
  <c r="P48" i="31"/>
  <c r="P4" i="31"/>
  <c r="N36" i="31"/>
  <c r="N19" i="31"/>
  <c r="N13" i="31"/>
  <c r="N50" i="31"/>
  <c r="P34" i="31"/>
  <c r="N26" i="31"/>
  <c r="N40" i="31"/>
  <c r="P23" i="31"/>
  <c r="P55" i="31"/>
  <c r="N33" i="31"/>
  <c r="N54" i="31"/>
  <c r="N58" i="31"/>
  <c r="N6" i="31"/>
  <c r="O11" i="31" l="1"/>
  <c r="O8" i="27"/>
  <c r="O5" i="31"/>
  <c r="P17" i="27" s="1"/>
  <c r="O6" i="31"/>
  <c r="O12" i="27"/>
  <c r="O9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N63" i="31"/>
  <c r="P62" i="31"/>
  <c r="P19" i="27" l="1"/>
  <c r="O16" i="27"/>
  <c r="O21" i="27"/>
  <c r="P33" i="27"/>
  <c r="P32" i="27"/>
  <c r="P31" i="27"/>
  <c r="P30" i="27"/>
  <c r="O30" i="27"/>
  <c r="P29" i="27"/>
  <c r="O29" i="27"/>
  <c r="O28" i="27"/>
  <c r="O27" i="27"/>
  <c r="O26" i="27"/>
  <c r="P26" i="27"/>
  <c r="O25" i="27"/>
  <c r="O23" i="27"/>
  <c r="O24" i="27"/>
  <c r="O22" i="27"/>
  <c r="P21" i="27"/>
  <c r="O20" i="27"/>
  <c r="O19" i="27"/>
  <c r="O18" i="27"/>
  <c r="O17" i="27"/>
  <c r="O15" i="27"/>
  <c r="P14" i="27"/>
  <c r="O14" i="27"/>
  <c r="O13" i="27"/>
  <c r="P12" i="27"/>
  <c r="O11" i="27"/>
  <c r="O63" i="31"/>
  <c r="M64" i="31"/>
  <c r="L65" i="31"/>
  <c r="J66" i="31"/>
  <c r="K66" i="31" s="1"/>
  <c r="P63" i="31"/>
  <c r="P64" i="31"/>
  <c r="P18" i="27" l="1"/>
  <c r="M65" i="31"/>
  <c r="L66" i="31"/>
  <c r="J67" i="31"/>
  <c r="K67" i="31" s="1"/>
  <c r="N64" i="31"/>
  <c r="N65" i="31"/>
  <c r="O64" i="31" l="1"/>
  <c r="O33" i="27" s="1"/>
  <c r="O65" i="31"/>
  <c r="M66" i="31"/>
  <c r="L67" i="31"/>
  <c r="J68" i="31"/>
  <c r="K68" i="31" s="1"/>
  <c r="P65" i="31"/>
  <c r="N66" i="31"/>
  <c r="O32" i="27" l="1"/>
  <c r="O31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N68" i="31"/>
  <c r="P67" i="31"/>
  <c r="O68" i="31" l="1"/>
  <c r="M69" i="31"/>
  <c r="L70" i="31"/>
  <c r="J71" i="31"/>
  <c r="K71" i="31" s="1"/>
  <c r="P68" i="31"/>
  <c r="N69" i="31"/>
  <c r="O69" i="31" l="1"/>
  <c r="M70" i="31"/>
  <c r="L71" i="31"/>
  <c r="J72" i="31"/>
  <c r="K72" i="31" s="1"/>
  <c r="P69" i="31"/>
  <c r="N70" i="31"/>
  <c r="O70" i="31" l="1"/>
  <c r="M71" i="31"/>
  <c r="L72" i="31"/>
  <c r="J73" i="31"/>
  <c r="K73" i="31" s="1"/>
  <c r="P70" i="31"/>
  <c r="N71" i="31"/>
  <c r="O71" i="31" l="1"/>
  <c r="M72" i="31"/>
  <c r="L73" i="31"/>
  <c r="J74" i="31"/>
  <c r="K74" i="31" s="1"/>
  <c r="P71" i="31"/>
  <c r="N72" i="31"/>
  <c r="O72" i="31" l="1"/>
  <c r="M73" i="31"/>
  <c r="L74" i="31"/>
  <c r="J75" i="31"/>
  <c r="K75" i="31" s="1"/>
  <c r="P72" i="31"/>
  <c r="N73" i="31"/>
  <c r="O73" i="31" l="1"/>
  <c r="M74" i="31"/>
  <c r="L75" i="31"/>
  <c r="J76" i="31"/>
  <c r="K76" i="31" s="1"/>
  <c r="P73" i="31"/>
  <c r="N74" i="31"/>
  <c r="O74" i="31" l="1"/>
  <c r="M75" i="31"/>
  <c r="L76" i="31"/>
  <c r="J77" i="31"/>
  <c r="K77" i="31" s="1"/>
  <c r="P74" i="31"/>
  <c r="N75" i="31"/>
  <c r="O75" i="31" l="1"/>
  <c r="M76" i="31"/>
  <c r="L77" i="31"/>
  <c r="J78" i="31"/>
  <c r="K78" i="31" s="1"/>
  <c r="P75" i="31"/>
  <c r="N76" i="31"/>
  <c r="O76" i="31" l="1"/>
  <c r="M77" i="31"/>
  <c r="L78" i="31"/>
  <c r="J79" i="31"/>
  <c r="K79" i="31" s="1"/>
  <c r="P76" i="31"/>
  <c r="N77" i="31"/>
  <c r="O77" i="31" l="1"/>
  <c r="M78" i="31"/>
  <c r="L79" i="31"/>
  <c r="J80" i="31"/>
  <c r="K80" i="31" s="1"/>
  <c r="P77" i="31"/>
  <c r="N78" i="31"/>
  <c r="O78" i="31" l="1"/>
  <c r="M79" i="31"/>
  <c r="L80" i="31"/>
  <c r="J81" i="31"/>
  <c r="K81" i="31" s="1"/>
  <c r="P78" i="31"/>
  <c r="N79" i="31"/>
  <c r="O79" i="31" l="1"/>
  <c r="M80" i="31"/>
  <c r="L81" i="31"/>
  <c r="J82" i="31"/>
  <c r="K82" i="31" s="1"/>
  <c r="P79" i="31"/>
  <c r="N80" i="31"/>
  <c r="O80" i="31" l="1"/>
  <c r="M81" i="31"/>
  <c r="L82" i="31"/>
  <c r="J83" i="31"/>
  <c r="K83" i="31" s="1"/>
  <c r="P80" i="31"/>
  <c r="N81" i="31"/>
  <c r="O81" i="31" l="1"/>
  <c r="M82" i="31"/>
  <c r="L83" i="31"/>
  <c r="J84" i="31"/>
  <c r="K84" i="31" s="1"/>
  <c r="P81" i="31"/>
  <c r="N82" i="31"/>
  <c r="O82" i="31" l="1"/>
  <c r="M83" i="31"/>
  <c r="L84" i="31"/>
  <c r="J85" i="31"/>
  <c r="K85" i="31" s="1"/>
  <c r="N83" i="31"/>
  <c r="P82" i="31"/>
  <c r="O83" i="31" l="1"/>
  <c r="M84" i="31"/>
  <c r="L85" i="31"/>
  <c r="J86" i="31"/>
  <c r="K86" i="31" s="1"/>
  <c r="P83" i="31"/>
  <c r="N84" i="31"/>
  <c r="O84" i="31" l="1"/>
  <c r="M85" i="31"/>
  <c r="L86" i="31"/>
  <c r="J87" i="31"/>
  <c r="K87" i="31" s="1"/>
  <c r="N85" i="31"/>
  <c r="P84" i="31"/>
  <c r="O85" i="31" l="1"/>
  <c r="M86" i="31"/>
  <c r="L87" i="31"/>
  <c r="J88" i="31"/>
  <c r="K88" i="31" s="1"/>
  <c r="N86" i="31"/>
  <c r="P85" i="31"/>
  <c r="O86" i="31" l="1"/>
  <c r="M87" i="31"/>
  <c r="L88" i="31"/>
  <c r="J89" i="31"/>
  <c r="K89" i="31" s="1"/>
  <c r="P86" i="31"/>
  <c r="N87" i="31"/>
  <c r="O87" i="31" l="1"/>
  <c r="M88" i="31"/>
  <c r="L89" i="31"/>
  <c r="J90" i="31"/>
  <c r="K90" i="31" s="1"/>
  <c r="N88" i="31"/>
  <c r="P87" i="31"/>
  <c r="O88" i="31" l="1"/>
  <c r="M89" i="31"/>
  <c r="L90" i="31"/>
  <c r="J91" i="31"/>
  <c r="K91" i="31" s="1"/>
  <c r="N89" i="31"/>
  <c r="P88" i="31"/>
  <c r="O89" i="31" l="1"/>
  <c r="M90" i="31"/>
  <c r="L91" i="31"/>
  <c r="J92" i="31"/>
  <c r="K92" i="31" s="1"/>
  <c r="N90" i="31"/>
  <c r="P89" i="31"/>
  <c r="O90" i="31" l="1"/>
  <c r="M91" i="31"/>
  <c r="L92" i="31"/>
  <c r="J93" i="31"/>
  <c r="K93" i="31" s="1"/>
  <c r="N91" i="31"/>
  <c r="P90" i="31"/>
  <c r="O91" i="31" l="1"/>
  <c r="M92" i="31"/>
  <c r="L93" i="31"/>
  <c r="J94" i="31"/>
  <c r="K94" i="31" s="1"/>
  <c r="N92" i="31"/>
  <c r="P91" i="31"/>
  <c r="O92" i="31" l="1"/>
  <c r="M93" i="31"/>
  <c r="L94" i="31"/>
  <c r="J95" i="31"/>
  <c r="K95" i="31" s="1"/>
  <c r="P92" i="31"/>
  <c r="N93" i="31"/>
  <c r="O93" i="31" l="1"/>
  <c r="M94" i="31"/>
  <c r="L95" i="31"/>
  <c r="J96" i="31"/>
  <c r="K96" i="31" s="1"/>
  <c r="P93" i="31"/>
  <c r="N94" i="31"/>
  <c r="O94" i="31" l="1"/>
  <c r="M95" i="31"/>
  <c r="L96" i="31"/>
  <c r="J97" i="31"/>
  <c r="K97" i="31" s="1"/>
  <c r="P94" i="31"/>
  <c r="N95" i="31"/>
  <c r="O95" i="31" l="1"/>
  <c r="M96" i="31"/>
  <c r="L97" i="31"/>
  <c r="J98" i="31"/>
  <c r="K98" i="31" s="1"/>
  <c r="P95" i="31"/>
  <c r="N96" i="31"/>
  <c r="O96" i="31" l="1"/>
  <c r="M97" i="31"/>
  <c r="L98" i="31"/>
  <c r="J99" i="31"/>
  <c r="K99" i="31" s="1"/>
  <c r="N97" i="31"/>
  <c r="P96" i="31"/>
  <c r="O97" i="31" l="1"/>
  <c r="M98" i="31"/>
  <c r="L99" i="31"/>
  <c r="J100" i="31"/>
  <c r="K100" i="31" s="1"/>
  <c r="P97" i="31"/>
  <c r="N98" i="31"/>
  <c r="O98" i="31" l="1"/>
  <c r="M99" i="31"/>
  <c r="L100" i="31"/>
  <c r="J101" i="31"/>
  <c r="K101" i="31" s="1"/>
  <c r="P98" i="31"/>
  <c r="N99" i="31"/>
  <c r="O99" i="31" l="1"/>
  <c r="M100" i="31"/>
  <c r="L101" i="31"/>
  <c r="J102" i="31"/>
  <c r="K102" i="31" s="1"/>
  <c r="P99" i="31"/>
  <c r="N100" i="31"/>
  <c r="O100" i="31" l="1"/>
  <c r="M101" i="31"/>
  <c r="L102" i="31"/>
  <c r="J103" i="31"/>
  <c r="K103" i="31" s="1"/>
  <c r="P100" i="31"/>
  <c r="N101" i="31"/>
  <c r="O101" i="31" l="1"/>
  <c r="M102" i="31"/>
  <c r="L103" i="31"/>
  <c r="J104" i="31"/>
  <c r="K104" i="31" s="1"/>
  <c r="P101" i="31"/>
  <c r="N102" i="31"/>
  <c r="O102" i="31" l="1"/>
  <c r="M103" i="31"/>
  <c r="L104" i="31"/>
  <c r="J105" i="31"/>
  <c r="K105" i="31" s="1"/>
  <c r="P102" i="31"/>
  <c r="N103" i="31"/>
  <c r="O103" i="31" l="1"/>
  <c r="M104" i="31"/>
  <c r="L105" i="31"/>
  <c r="J106" i="31"/>
  <c r="K106" i="31" s="1"/>
  <c r="N104" i="31"/>
  <c r="P103" i="31"/>
  <c r="O104" i="31" l="1"/>
  <c r="M105" i="31"/>
  <c r="L106" i="31"/>
  <c r="J107" i="31"/>
  <c r="K107" i="31" s="1"/>
  <c r="P104" i="31"/>
  <c r="N105" i="31"/>
  <c r="O105" i="31" l="1"/>
  <c r="M106" i="31"/>
  <c r="L107" i="31"/>
  <c r="J108" i="31"/>
  <c r="K108" i="31" s="1"/>
  <c r="P105" i="31"/>
  <c r="N106" i="31"/>
  <c r="O106" i="31" l="1"/>
  <c r="M107" i="31"/>
  <c r="L108" i="31"/>
  <c r="J109" i="31"/>
  <c r="K109" i="31" s="1"/>
  <c r="N107" i="31"/>
  <c r="P106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P108" i="31"/>
  <c r="N109" i="31"/>
  <c r="O109" i="31" l="1"/>
  <c r="M110" i="31"/>
  <c r="L111" i="31"/>
  <c r="J112" i="31"/>
  <c r="K112" i="31" s="1"/>
  <c r="P109" i="31"/>
  <c r="N110" i="31"/>
  <c r="O110" i="31" l="1"/>
  <c r="M111" i="31"/>
  <c r="L112" i="31"/>
  <c r="J113" i="31"/>
  <c r="K113" i="31" s="1"/>
  <c r="P110" i="31"/>
  <c r="N111" i="31"/>
  <c r="O111" i="31" l="1"/>
  <c r="M112" i="31"/>
  <c r="L113" i="31"/>
  <c r="J114" i="31"/>
  <c r="K114" i="31" s="1"/>
  <c r="P111" i="31"/>
  <c r="N112" i="31"/>
  <c r="O112" i="31" l="1"/>
  <c r="M113" i="31"/>
  <c r="L114" i="31"/>
  <c r="J115" i="31"/>
  <c r="K115" i="31" s="1"/>
  <c r="P112" i="31"/>
  <c r="N113" i="31"/>
  <c r="O113" i="31" l="1"/>
  <c r="M114" i="31"/>
  <c r="L115" i="31"/>
  <c r="J116" i="31"/>
  <c r="K116" i="31" s="1"/>
  <c r="N114" i="31"/>
  <c r="P113" i="31"/>
  <c r="O114" i="31" l="1"/>
  <c r="M115" i="31"/>
  <c r="L116" i="31"/>
  <c r="J117" i="31"/>
  <c r="K117" i="31" s="1"/>
  <c r="P114" i="31"/>
  <c r="N115" i="31"/>
  <c r="O115" i="31" l="1"/>
  <c r="M116" i="31"/>
  <c r="L117" i="31"/>
  <c r="J118" i="31"/>
  <c r="K118" i="31" s="1"/>
  <c r="N116" i="31"/>
  <c r="P115" i="31"/>
  <c r="O116" i="31" l="1"/>
  <c r="M117" i="31"/>
  <c r="L118" i="31"/>
  <c r="J119" i="31"/>
  <c r="K119" i="31" s="1"/>
  <c r="P116" i="31"/>
  <c r="N117" i="31"/>
  <c r="O117" i="31" l="1"/>
  <c r="M118" i="31"/>
  <c r="L119" i="31"/>
  <c r="J120" i="31"/>
  <c r="K120" i="31" s="1"/>
  <c r="P117" i="31"/>
  <c r="N118" i="31"/>
  <c r="O118" i="31" l="1"/>
  <c r="M119" i="31"/>
  <c r="L120" i="31"/>
  <c r="J121" i="31"/>
  <c r="K121" i="31" s="1"/>
  <c r="P118" i="31"/>
  <c r="N119" i="31"/>
  <c r="O119" i="31" l="1"/>
  <c r="M120" i="31"/>
  <c r="L121" i="31"/>
  <c r="J122" i="31"/>
  <c r="K122" i="31" s="1"/>
  <c r="P119" i="31"/>
  <c r="N120" i="31"/>
  <c r="O120" i="31" l="1"/>
  <c r="M121" i="31"/>
  <c r="L122" i="31"/>
  <c r="J123" i="31"/>
  <c r="K123" i="31" s="1"/>
  <c r="P120" i="31"/>
  <c r="N121" i="31"/>
  <c r="O121" i="31" l="1"/>
  <c r="M122" i="31"/>
  <c r="L123" i="31"/>
  <c r="J124" i="31"/>
  <c r="K124" i="31" s="1"/>
  <c r="P121" i="31"/>
  <c r="N122" i="31"/>
  <c r="O122" i="31" l="1"/>
  <c r="M123" i="31"/>
  <c r="L124" i="31"/>
  <c r="J125" i="31"/>
  <c r="K125" i="31" s="1"/>
  <c r="N123" i="31"/>
  <c r="P122" i="31"/>
  <c r="O123" i="31" l="1"/>
  <c r="M124" i="31"/>
  <c r="L125" i="31"/>
  <c r="J126" i="31"/>
  <c r="K126" i="31" s="1"/>
  <c r="N124" i="31"/>
  <c r="P123" i="31"/>
  <c r="O124" i="31" l="1"/>
  <c r="M125" i="31"/>
  <c r="L126" i="31"/>
  <c r="J127" i="31"/>
  <c r="K127" i="31" s="1"/>
  <c r="P124" i="31"/>
  <c r="N125" i="31"/>
  <c r="O125" i="31" l="1"/>
  <c r="M126" i="31"/>
  <c r="L127" i="31"/>
  <c r="J128" i="31"/>
  <c r="K128" i="31" s="1"/>
  <c r="P125" i="31"/>
  <c r="N126" i="31"/>
  <c r="O126" i="31" l="1"/>
  <c r="M127" i="31"/>
  <c r="L128" i="31"/>
  <c r="J129" i="31"/>
  <c r="K129" i="31" s="1"/>
  <c r="N127" i="31"/>
  <c r="P126" i="31"/>
  <c r="O127" i="31" l="1"/>
  <c r="M128" i="31"/>
  <c r="L129" i="31"/>
  <c r="J130" i="31"/>
  <c r="K130" i="31" s="1"/>
  <c r="P127" i="31"/>
  <c r="N128" i="31"/>
  <c r="O128" i="31" l="1"/>
  <c r="M129" i="31"/>
  <c r="L130" i="31"/>
  <c r="J131" i="31"/>
  <c r="K131" i="31" s="1"/>
  <c r="P128" i="31"/>
  <c r="N129" i="31"/>
  <c r="O129" i="31" l="1"/>
  <c r="M130" i="31"/>
  <c r="L131" i="31"/>
  <c r="J132" i="31"/>
  <c r="K132" i="31" s="1"/>
  <c r="N130" i="31"/>
  <c r="P129" i="31"/>
  <c r="O130" i="31" l="1"/>
  <c r="M131" i="31"/>
  <c r="L132" i="31"/>
  <c r="J133" i="31"/>
  <c r="K133" i="31" s="1"/>
  <c r="N131" i="31"/>
  <c r="P130" i="31"/>
  <c r="O131" i="31" l="1"/>
  <c r="M132" i="31"/>
  <c r="L133" i="31"/>
  <c r="J134" i="31"/>
  <c r="K134" i="31" s="1"/>
  <c r="N132" i="31"/>
  <c r="P131" i="31"/>
  <c r="O132" i="31" l="1"/>
  <c r="M133" i="31"/>
  <c r="L134" i="31"/>
  <c r="J135" i="31"/>
  <c r="K135" i="31" s="1"/>
  <c r="P132" i="31"/>
  <c r="N133" i="31"/>
  <c r="O133" i="31" l="1"/>
  <c r="M134" i="31"/>
  <c r="L135" i="31"/>
  <c r="J136" i="31"/>
  <c r="K136" i="31" s="1"/>
  <c r="N134" i="31"/>
  <c r="P133" i="31"/>
  <c r="O134" i="31" l="1"/>
  <c r="M135" i="31"/>
  <c r="L136" i="31"/>
  <c r="J137" i="31"/>
  <c r="K137" i="31" s="1"/>
  <c r="N135" i="31"/>
  <c r="P134" i="31"/>
  <c r="O135" i="31" l="1"/>
  <c r="M136" i="31"/>
  <c r="L137" i="31"/>
  <c r="J138" i="31"/>
  <c r="K138" i="31" s="1"/>
  <c r="N136" i="31"/>
  <c r="P135" i="31"/>
  <c r="O136" i="31" l="1"/>
  <c r="M137" i="31"/>
  <c r="L138" i="31"/>
  <c r="J139" i="31"/>
  <c r="K139" i="31" s="1"/>
  <c r="P136" i="31"/>
  <c r="N137" i="31"/>
  <c r="O137" i="31" l="1"/>
  <c r="M138" i="31"/>
  <c r="L139" i="31"/>
  <c r="J140" i="31"/>
  <c r="K140" i="31" s="1"/>
  <c r="N138" i="31"/>
  <c r="P137" i="31"/>
  <c r="O138" i="31" l="1"/>
  <c r="M139" i="31"/>
  <c r="L140" i="31"/>
  <c r="J141" i="31"/>
  <c r="K141" i="31" s="1"/>
  <c r="N139" i="31"/>
  <c r="P138" i="31"/>
  <c r="O139" i="31" l="1"/>
  <c r="M140" i="31"/>
  <c r="L141" i="31"/>
  <c r="J142" i="31"/>
  <c r="K142" i="31" s="1"/>
  <c r="P139" i="31"/>
  <c r="N140" i="31"/>
  <c r="O140" i="31" l="1"/>
  <c r="M141" i="31"/>
  <c r="L142" i="31"/>
  <c r="J143" i="31"/>
  <c r="K143" i="31" s="1"/>
  <c r="P140" i="31"/>
  <c r="N141" i="31"/>
  <c r="O141" i="31" l="1"/>
  <c r="M142" i="31"/>
  <c r="L143" i="31"/>
  <c r="J144" i="31"/>
  <c r="K144" i="31" s="1"/>
  <c r="N142" i="31"/>
  <c r="P141" i="31"/>
  <c r="O142" i="31" l="1"/>
  <c r="M143" i="31"/>
  <c r="L144" i="31"/>
  <c r="J145" i="31"/>
  <c r="K145" i="31" s="1"/>
  <c r="N143" i="31"/>
  <c r="P142" i="31"/>
  <c r="O143" i="31" l="1"/>
  <c r="M144" i="31"/>
  <c r="L145" i="31"/>
  <c r="J146" i="31"/>
  <c r="K146" i="31" s="1"/>
  <c r="N144" i="31"/>
  <c r="P143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P145" i="31"/>
  <c r="N146" i="31"/>
  <c r="O146" i="31" l="1"/>
  <c r="M147" i="31"/>
  <c r="L148" i="31"/>
  <c r="J149" i="31"/>
  <c r="K149" i="31" s="1"/>
  <c r="P146" i="31"/>
  <c r="P147" i="31"/>
  <c r="M148" i="31" l="1"/>
  <c r="L149" i="31"/>
  <c r="J150" i="31"/>
  <c r="K150" i="31" s="1"/>
  <c r="N147" i="31"/>
  <c r="N148" i="31"/>
  <c r="O147" i="31" l="1"/>
  <c r="O148" i="31"/>
  <c r="M149" i="31"/>
  <c r="L150" i="31"/>
  <c r="J151" i="31"/>
  <c r="K151" i="31" s="1"/>
  <c r="P148" i="31"/>
  <c r="N149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N151" i="31"/>
  <c r="P150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N153" i="31"/>
  <c r="P152" i="31"/>
  <c r="O153" i="31" l="1"/>
  <c r="M154" i="31"/>
  <c r="L155" i="31"/>
  <c r="J156" i="31"/>
  <c r="K156" i="31" s="1"/>
  <c r="N154" i="31"/>
  <c r="P153" i="31"/>
  <c r="O154" i="31" l="1"/>
  <c r="M155" i="31"/>
  <c r="L156" i="31"/>
  <c r="J157" i="31"/>
  <c r="K157" i="31" s="1"/>
  <c r="N155" i="31"/>
  <c r="P154" i="31"/>
  <c r="O155" i="31" l="1"/>
  <c r="M156" i="31"/>
  <c r="L157" i="31"/>
  <c r="J158" i="31"/>
  <c r="K158" i="31" s="1"/>
  <c r="P155" i="31"/>
  <c r="N156" i="31"/>
  <c r="O156" i="31" l="1"/>
  <c r="M157" i="31"/>
  <c r="L158" i="31"/>
  <c r="J159" i="31"/>
  <c r="K159" i="31" s="1"/>
  <c r="N157" i="31"/>
  <c r="P156" i="31"/>
  <c r="O157" i="31" l="1"/>
  <c r="M158" i="31"/>
  <c r="L159" i="31"/>
  <c r="J160" i="31"/>
  <c r="K160" i="31" s="1"/>
  <c r="N158" i="31"/>
  <c r="P157" i="31"/>
  <c r="O158" i="31" l="1"/>
  <c r="M159" i="31"/>
  <c r="L160" i="31"/>
  <c r="J161" i="31"/>
  <c r="K161" i="31" s="1"/>
  <c r="N159" i="31"/>
  <c r="P158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N161" i="31"/>
  <c r="P160" i="31"/>
  <c r="O161" i="31" l="1"/>
  <c r="M162" i="31"/>
  <c r="L163" i="31"/>
  <c r="J164" i="31"/>
  <c r="K164" i="31" s="1"/>
  <c r="N162" i="31"/>
  <c r="P161" i="31"/>
  <c r="O162" i="31" l="1"/>
  <c r="M163" i="31"/>
  <c r="L164" i="31"/>
  <c r="J165" i="31"/>
  <c r="K165" i="31" s="1"/>
  <c r="N163" i="31"/>
  <c r="P162" i="31"/>
  <c r="O163" i="31" l="1"/>
  <c r="M164" i="31"/>
  <c r="L165" i="31"/>
  <c r="J166" i="31"/>
  <c r="K166" i="31" s="1"/>
  <c r="P163" i="31"/>
  <c r="N164" i="31"/>
  <c r="O164" i="31" l="1"/>
  <c r="M165" i="31"/>
  <c r="L166" i="31"/>
  <c r="J167" i="31"/>
  <c r="K167" i="31" s="1"/>
  <c r="P164" i="31"/>
  <c r="N165" i="31"/>
  <c r="O165" i="31" l="1"/>
  <c r="M166" i="31"/>
  <c r="L167" i="31"/>
  <c r="J168" i="31"/>
  <c r="K168" i="31" s="1"/>
  <c r="P165" i="31"/>
  <c r="N166" i="31"/>
  <c r="O166" i="31" l="1"/>
  <c r="M167" i="31"/>
  <c r="L168" i="31"/>
  <c r="J169" i="31"/>
  <c r="K169" i="31" s="1"/>
  <c r="N167" i="31"/>
  <c r="P166" i="31"/>
  <c r="O167" i="31" l="1"/>
  <c r="M168" i="31"/>
  <c r="L169" i="31"/>
  <c r="J170" i="31"/>
  <c r="K170" i="31" s="1"/>
  <c r="N168" i="31"/>
  <c r="P167" i="31"/>
  <c r="O168" i="31" l="1"/>
  <c r="M169" i="31"/>
  <c r="L170" i="31"/>
  <c r="J171" i="31"/>
  <c r="K171" i="31" s="1"/>
  <c r="N169" i="31"/>
  <c r="P168" i="31"/>
  <c r="O169" i="31" l="1"/>
  <c r="M170" i="31"/>
  <c r="L171" i="31"/>
  <c r="J172" i="31"/>
  <c r="K172" i="31" s="1"/>
  <c r="P169" i="31"/>
  <c r="N170" i="31"/>
  <c r="O170" i="31" l="1"/>
  <c r="M171" i="31"/>
  <c r="L172" i="31"/>
  <c r="J173" i="31"/>
  <c r="K173" i="31" s="1"/>
  <c r="N171" i="31"/>
  <c r="P170" i="31"/>
  <c r="O171" i="31" l="1"/>
  <c r="M172" i="31"/>
  <c r="L173" i="31"/>
  <c r="J174" i="31"/>
  <c r="K174" i="31" s="1"/>
  <c r="P171" i="31"/>
  <c r="N172" i="31"/>
  <c r="O172" i="31" l="1"/>
  <c r="M173" i="31"/>
  <c r="L174" i="31"/>
  <c r="J175" i="31"/>
  <c r="K175" i="31" s="1"/>
  <c r="N173" i="31"/>
  <c r="P172" i="31"/>
  <c r="O173" i="31" l="1"/>
  <c r="M174" i="31"/>
  <c r="L175" i="31"/>
  <c r="J176" i="31"/>
  <c r="K176" i="31" s="1"/>
  <c r="N174" i="31"/>
  <c r="P173" i="31"/>
  <c r="O174" i="31" l="1"/>
  <c r="M175" i="31"/>
  <c r="L176" i="31"/>
  <c r="J177" i="31"/>
  <c r="K177" i="31" s="1"/>
  <c r="N175" i="31"/>
  <c r="P174" i="31"/>
  <c r="O175" i="31" l="1"/>
  <c r="M176" i="31"/>
  <c r="L177" i="31"/>
  <c r="J178" i="31"/>
  <c r="K178" i="31" s="1"/>
  <c r="N176" i="31"/>
  <c r="P175" i="31"/>
  <c r="O176" i="31" l="1"/>
  <c r="M177" i="31"/>
  <c r="L178" i="31"/>
  <c r="J179" i="31"/>
  <c r="K179" i="31" s="1"/>
  <c r="P176" i="31"/>
  <c r="N177" i="31"/>
  <c r="O177" i="31" l="1"/>
  <c r="M178" i="31"/>
  <c r="L179" i="31"/>
  <c r="J180" i="31"/>
  <c r="K180" i="31" s="1"/>
  <c r="P177" i="31"/>
  <c r="N178" i="31"/>
  <c r="O178" i="31" l="1"/>
  <c r="M179" i="31"/>
  <c r="L180" i="31"/>
  <c r="J181" i="31"/>
  <c r="K181" i="31" s="1"/>
  <c r="P178" i="31"/>
  <c r="N179" i="31"/>
  <c r="O179" i="31" l="1"/>
  <c r="M180" i="31"/>
  <c r="L181" i="31"/>
  <c r="J182" i="31"/>
  <c r="K182" i="31" s="1"/>
  <c r="N180" i="31"/>
  <c r="P179" i="31"/>
  <c r="O180" i="31" l="1"/>
  <c r="M181" i="31"/>
  <c r="L182" i="31"/>
  <c r="J183" i="31"/>
  <c r="K183" i="31" s="1"/>
  <c r="N181" i="31"/>
  <c r="P180" i="31"/>
  <c r="O181" i="31" l="1"/>
  <c r="M182" i="31"/>
  <c r="L183" i="31"/>
  <c r="J184" i="31"/>
  <c r="K184" i="31" s="1"/>
  <c r="P181" i="31"/>
  <c r="N182" i="31"/>
  <c r="O182" i="31" l="1"/>
  <c r="M183" i="31"/>
  <c r="L184" i="31"/>
  <c r="J185" i="31"/>
  <c r="K185" i="31" s="1"/>
  <c r="N183" i="31"/>
  <c r="P182" i="31"/>
  <c r="O183" i="31" l="1"/>
  <c r="M184" i="31"/>
  <c r="L185" i="31"/>
  <c r="J186" i="31"/>
  <c r="K186" i="31" s="1"/>
  <c r="P183" i="31"/>
  <c r="N184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N186" i="31"/>
  <c r="P185" i="31"/>
  <c r="O186" i="31" l="1"/>
  <c r="M187" i="31"/>
  <c r="L188" i="31"/>
  <c r="J189" i="31"/>
  <c r="K189" i="31" s="1"/>
  <c r="N187" i="31"/>
  <c r="P186" i="31"/>
  <c r="O187" i="31" l="1"/>
  <c r="M188" i="31"/>
  <c r="L189" i="31"/>
  <c r="J190" i="31"/>
  <c r="K190" i="31" s="1"/>
  <c r="P187" i="31"/>
  <c r="N188" i="31"/>
  <c r="O188" i="31" l="1"/>
  <c r="M189" i="31"/>
  <c r="L190" i="31"/>
  <c r="J191" i="31"/>
  <c r="K191" i="31" s="1"/>
  <c r="P188" i="31"/>
  <c r="N189" i="31"/>
  <c r="O189" i="31" l="1"/>
  <c r="M190" i="31"/>
  <c r="L191" i="31"/>
  <c r="J192" i="31"/>
  <c r="K192" i="31" s="1"/>
  <c r="P189" i="31"/>
  <c r="N190" i="31"/>
  <c r="O190" i="31" l="1"/>
  <c r="M191" i="31"/>
  <c r="L192" i="31"/>
  <c r="J193" i="31"/>
  <c r="K193" i="31" s="1"/>
  <c r="N191" i="31"/>
  <c r="P190" i="31"/>
  <c r="O191" i="31" l="1"/>
  <c r="M192" i="31"/>
  <c r="L193" i="31"/>
  <c r="J194" i="31"/>
  <c r="K194" i="31" s="1"/>
  <c r="P191" i="31"/>
  <c r="N192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P193" i="31"/>
  <c r="N194" i="31"/>
  <c r="O194" i="31" l="1"/>
  <c r="M195" i="31"/>
  <c r="L196" i="31"/>
  <c r="J197" i="31"/>
  <c r="K197" i="31" s="1"/>
  <c r="P194" i="31"/>
  <c r="N195" i="31"/>
  <c r="O195" i="31" l="1"/>
  <c r="M196" i="31"/>
  <c r="L197" i="31"/>
  <c r="J198" i="31"/>
  <c r="K198" i="31" s="1"/>
  <c r="P195" i="31"/>
  <c r="N196" i="31"/>
  <c r="O196" i="31" l="1"/>
  <c r="M197" i="31"/>
  <c r="L198" i="31"/>
  <c r="J199" i="31"/>
  <c r="K199" i="31" s="1"/>
  <c r="P196" i="31"/>
  <c r="N197" i="31"/>
  <c r="O197" i="31" l="1"/>
  <c r="M198" i="31"/>
  <c r="L199" i="31"/>
  <c r="J200" i="31"/>
  <c r="K200" i="31" s="1"/>
  <c r="N198" i="31"/>
  <c r="P197" i="31"/>
  <c r="O198" i="31" l="1"/>
  <c r="M199" i="31"/>
  <c r="L200" i="31"/>
  <c r="J201" i="31"/>
  <c r="K201" i="31" s="1"/>
  <c r="P198" i="31"/>
  <c r="N199" i="31"/>
  <c r="O199" i="31" l="1"/>
  <c r="M200" i="31"/>
  <c r="L201" i="31"/>
  <c r="J202" i="31"/>
  <c r="K202" i="31" s="1"/>
  <c r="N200" i="31"/>
  <c r="P199" i="31"/>
  <c r="O200" i="31" l="1"/>
  <c r="M201" i="31"/>
  <c r="L202" i="31"/>
  <c r="J203" i="31"/>
  <c r="K203" i="31" s="1"/>
  <c r="N201" i="31"/>
  <c r="P200" i="31"/>
  <c r="O201" i="31" l="1"/>
  <c r="M202" i="31"/>
  <c r="L203" i="31"/>
  <c r="J204" i="31"/>
  <c r="K204" i="31" s="1"/>
  <c r="P201" i="31"/>
  <c r="N202" i="31"/>
  <c r="O202" i="31" l="1"/>
  <c r="M203" i="31"/>
  <c r="L204" i="31"/>
  <c r="J205" i="31"/>
  <c r="K205" i="31" s="1"/>
  <c r="P202" i="31"/>
  <c r="N203" i="31"/>
  <c r="O203" i="31" l="1"/>
  <c r="M204" i="31"/>
  <c r="L205" i="31"/>
  <c r="J206" i="31"/>
  <c r="K206" i="31" s="1"/>
  <c r="N204" i="31"/>
  <c r="P203" i="31"/>
  <c r="O204" i="31" l="1"/>
  <c r="M205" i="31"/>
  <c r="L206" i="31"/>
  <c r="J207" i="31"/>
  <c r="K207" i="31" s="1"/>
  <c r="N205" i="31"/>
  <c r="P204" i="31"/>
  <c r="O205" i="31" l="1"/>
  <c r="M206" i="31"/>
  <c r="L207" i="31"/>
  <c r="J208" i="31"/>
  <c r="K208" i="31" s="1"/>
  <c r="P205" i="31"/>
  <c r="N206" i="31"/>
  <c r="O206" i="31" l="1"/>
  <c r="M207" i="31"/>
  <c r="L208" i="31"/>
  <c r="J209" i="31"/>
  <c r="K209" i="31" s="1"/>
  <c r="N207" i="31"/>
  <c r="P206" i="31"/>
  <c r="O207" i="31" l="1"/>
  <c r="M208" i="31"/>
  <c r="L209" i="31"/>
  <c r="J210" i="31"/>
  <c r="K210" i="31" s="1"/>
  <c r="P207" i="31"/>
  <c r="N208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P209" i="31"/>
  <c r="N210" i="31"/>
  <c r="O210" i="31" l="1"/>
  <c r="M211" i="31"/>
  <c r="L212" i="31"/>
  <c r="J213" i="31"/>
  <c r="K213" i="31" s="1"/>
  <c r="P210" i="31"/>
  <c r="N211" i="31"/>
  <c r="O211" i="31" l="1"/>
  <c r="M212" i="31"/>
  <c r="L213" i="31"/>
  <c r="J214" i="31"/>
  <c r="K214" i="31" s="1"/>
  <c r="P211" i="31"/>
  <c r="N212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P213" i="31"/>
  <c r="N214" i="31"/>
  <c r="O214" i="31" l="1"/>
  <c r="M215" i="31"/>
  <c r="L216" i="31"/>
  <c r="J217" i="31"/>
  <c r="K217" i="31" s="1"/>
  <c r="P214" i="31"/>
  <c r="P215" i="31"/>
  <c r="M216" i="31" l="1"/>
  <c r="L217" i="31"/>
  <c r="J218" i="31"/>
  <c r="K218" i="31" s="1"/>
  <c r="N215" i="31"/>
  <c r="N216" i="31"/>
  <c r="O215" i="31" l="1"/>
  <c r="O216" i="31"/>
  <c r="M217" i="31"/>
  <c r="L218" i="31"/>
  <c r="J219" i="31"/>
  <c r="K219" i="31" s="1"/>
  <c r="P216" i="31"/>
  <c r="N217" i="31"/>
  <c r="O217" i="31" l="1"/>
  <c r="M218" i="31"/>
  <c r="L219" i="31"/>
  <c r="J220" i="31"/>
  <c r="K220" i="31" s="1"/>
  <c r="P217" i="31"/>
  <c r="N218" i="31"/>
  <c r="O218" i="31" l="1"/>
  <c r="M219" i="31"/>
  <c r="L220" i="31"/>
  <c r="J221" i="31"/>
  <c r="K221" i="31" s="1"/>
  <c r="P218" i="31"/>
  <c r="N219" i="31"/>
  <c r="O219" i="31" l="1"/>
  <c r="M220" i="31"/>
  <c r="L221" i="31"/>
  <c r="J222" i="31"/>
  <c r="K222" i="31" s="1"/>
  <c r="P219" i="31"/>
  <c r="N220" i="31"/>
  <c r="O220" i="31" l="1"/>
  <c r="M221" i="31"/>
  <c r="L222" i="31"/>
  <c r="J223" i="31"/>
  <c r="K223" i="31" s="1"/>
  <c r="P220" i="31"/>
  <c r="N221" i="31"/>
  <c r="O221" i="31" l="1"/>
  <c r="M222" i="31"/>
  <c r="L223" i="31"/>
  <c r="J224" i="31"/>
  <c r="K224" i="31" s="1"/>
  <c r="P221" i="31"/>
  <c r="N222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P223" i="31"/>
  <c r="N224" i="31"/>
  <c r="O224" i="31" l="1"/>
  <c r="M225" i="31"/>
  <c r="L226" i="31"/>
  <c r="J227" i="31"/>
  <c r="K227" i="31" s="1"/>
  <c r="P224" i="31"/>
  <c r="N225" i="31"/>
  <c r="O225" i="31" l="1"/>
  <c r="M226" i="31"/>
  <c r="L227" i="31"/>
  <c r="J228" i="31"/>
  <c r="K228" i="31" s="1"/>
  <c r="P225" i="31"/>
  <c r="N226" i="31"/>
  <c r="O226" i="31" l="1"/>
  <c r="M227" i="31"/>
  <c r="L228" i="31"/>
  <c r="J229" i="31"/>
  <c r="K229" i="31" s="1"/>
  <c r="P226" i="31"/>
  <c r="N227" i="31"/>
  <c r="O227" i="31" l="1"/>
  <c r="M228" i="31"/>
  <c r="L229" i="31"/>
  <c r="J230" i="31"/>
  <c r="K230" i="31" s="1"/>
  <c r="P227" i="31"/>
  <c r="N228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P229" i="31"/>
  <c r="N230" i="31"/>
  <c r="O230" i="31" l="1"/>
  <c r="M231" i="31"/>
  <c r="L232" i="31"/>
  <c r="J233" i="31"/>
  <c r="K233" i="31" s="1"/>
  <c r="N231" i="31"/>
  <c r="P230" i="31"/>
  <c r="O231" i="31" l="1"/>
  <c r="M232" i="31"/>
  <c r="L233" i="31"/>
  <c r="J234" i="31"/>
  <c r="K234" i="31" s="1"/>
  <c r="P231" i="31"/>
  <c r="N232" i="31"/>
  <c r="O232" i="31" l="1"/>
  <c r="M233" i="31"/>
  <c r="L234" i="31"/>
  <c r="J235" i="31"/>
  <c r="K235" i="31" s="1"/>
  <c r="P232" i="31"/>
  <c r="P233" i="31"/>
  <c r="M234" i="31" l="1"/>
  <c r="L235" i="31"/>
  <c r="J236" i="31"/>
  <c r="K236" i="31" s="1"/>
  <c r="N233" i="31"/>
  <c r="N234" i="31"/>
  <c r="O233" i="31" l="1"/>
  <c r="O234" i="31"/>
  <c r="M235" i="31"/>
  <c r="L236" i="31"/>
  <c r="J237" i="31"/>
  <c r="K237" i="31" s="1"/>
  <c r="P234" i="31"/>
  <c r="N235" i="31"/>
  <c r="O235" i="31" l="1"/>
  <c r="M236" i="31"/>
  <c r="L237" i="31"/>
  <c r="J238" i="31"/>
  <c r="K238" i="31" s="1"/>
  <c r="P235" i="31"/>
  <c r="N236" i="31"/>
  <c r="O236" i="31" l="1"/>
  <c r="M237" i="31"/>
  <c r="L238" i="31"/>
  <c r="J239" i="31"/>
  <c r="K239" i="31" s="1"/>
  <c r="P236" i="31"/>
  <c r="N237" i="31"/>
  <c r="O237" i="31" l="1"/>
  <c r="M238" i="31"/>
  <c r="L239" i="31"/>
  <c r="J240" i="31"/>
  <c r="K240" i="31" s="1"/>
  <c r="P237" i="31"/>
  <c r="N238" i="31"/>
  <c r="O238" i="31" l="1"/>
  <c r="M239" i="31"/>
  <c r="L240" i="31"/>
  <c r="J241" i="31"/>
  <c r="K241" i="31" s="1"/>
  <c r="P238" i="31"/>
  <c r="N239" i="31"/>
  <c r="O239" i="31" l="1"/>
  <c r="M240" i="31"/>
  <c r="L241" i="31"/>
  <c r="J242" i="31"/>
  <c r="K242" i="31" s="1"/>
  <c r="P239" i="31"/>
  <c r="N240" i="31"/>
  <c r="O240" i="31" l="1"/>
  <c r="M241" i="31"/>
  <c r="L242" i="31"/>
  <c r="J243" i="31"/>
  <c r="K243" i="31" s="1"/>
  <c r="N241" i="31"/>
  <c r="P240" i="31"/>
  <c r="O241" i="31" l="1"/>
  <c r="M242" i="31"/>
  <c r="L243" i="31"/>
  <c r="J244" i="31"/>
  <c r="K244" i="31" s="1"/>
  <c r="N242" i="31"/>
  <c r="P241" i="31"/>
  <c r="O242" i="31" l="1"/>
  <c r="M243" i="31"/>
  <c r="L244" i="31"/>
  <c r="J245" i="31"/>
  <c r="K245" i="31" s="1"/>
  <c r="P242" i="31"/>
  <c r="N243" i="31"/>
  <c r="O243" i="31" l="1"/>
  <c r="M244" i="31"/>
  <c r="L245" i="31"/>
  <c r="J246" i="31"/>
  <c r="K246" i="31" s="1"/>
  <c r="N244" i="31"/>
  <c r="P243" i="31"/>
  <c r="O244" i="31" l="1"/>
  <c r="M245" i="31"/>
  <c r="L246" i="31"/>
  <c r="J247" i="31"/>
  <c r="K247" i="31" s="1"/>
  <c r="N245" i="31"/>
  <c r="P244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N247" i="31"/>
  <c r="P246" i="31"/>
  <c r="O247" i="31" l="1"/>
  <c r="M248" i="31"/>
  <c r="L249" i="31"/>
  <c r="J250" i="31"/>
  <c r="K250" i="31" s="1"/>
  <c r="N248" i="31"/>
  <c r="P247" i="31"/>
  <c r="O248" i="31" l="1"/>
  <c r="M249" i="31"/>
  <c r="L250" i="31"/>
  <c r="J251" i="31"/>
  <c r="K251" i="31" s="1"/>
  <c r="P248" i="31"/>
  <c r="P249" i="31"/>
  <c r="M250" i="31" l="1"/>
  <c r="L251" i="31"/>
  <c r="J252" i="31"/>
  <c r="K252" i="31" s="1"/>
  <c r="N250" i="31"/>
  <c r="N249" i="31"/>
  <c r="O249" i="31" l="1"/>
  <c r="O250" i="31"/>
  <c r="M251" i="31"/>
  <c r="L252" i="31"/>
  <c r="J253" i="31"/>
  <c r="K253" i="31" s="1"/>
  <c r="N251" i="31"/>
  <c r="P250" i="31"/>
  <c r="O251" i="31" l="1"/>
  <c r="M252" i="31"/>
  <c r="L253" i="31"/>
  <c r="J254" i="31"/>
  <c r="K254" i="31" s="1"/>
  <c r="N252" i="31"/>
  <c r="P251" i="31"/>
  <c r="O252" i="31" l="1"/>
  <c r="M253" i="31"/>
  <c r="L254" i="31"/>
  <c r="J255" i="31"/>
  <c r="K255" i="31" s="1"/>
  <c r="P252" i="31"/>
  <c r="N253" i="31"/>
  <c r="O253" i="31" l="1"/>
  <c r="M254" i="31"/>
  <c r="L255" i="31"/>
  <c r="J256" i="31"/>
  <c r="K256" i="31" s="1"/>
  <c r="P253" i="31"/>
  <c r="N254" i="31"/>
  <c r="O254" i="31" l="1"/>
  <c r="M255" i="31"/>
  <c r="L256" i="31"/>
  <c r="J257" i="31"/>
  <c r="K257" i="31" s="1"/>
  <c r="P254" i="31"/>
  <c r="N255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P257" i="31"/>
  <c r="N258" i="31"/>
  <c r="O258" i="31" l="1"/>
  <c r="M259" i="31"/>
  <c r="L260" i="31"/>
  <c r="J261" i="31"/>
  <c r="K261" i="31" s="1"/>
  <c r="P258" i="31"/>
  <c r="N259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N261" i="31"/>
  <c r="P260" i="31"/>
  <c r="O261" i="31" l="1"/>
  <c r="M262" i="31"/>
  <c r="L263" i="31"/>
  <c r="J264" i="31"/>
  <c r="K264" i="31" s="1"/>
  <c r="N262" i="31"/>
  <c r="P261" i="31"/>
  <c r="O262" i="31" l="1"/>
  <c r="M263" i="31"/>
  <c r="L264" i="31"/>
  <c r="J265" i="31"/>
  <c r="K265" i="31" s="1"/>
  <c r="N263" i="31"/>
  <c r="P262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N268" i="31"/>
  <c r="P267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N271" i="31"/>
  <c r="P270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N280" i="31"/>
  <c r="P279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N282" i="31"/>
  <c r="P281" i="31"/>
  <c r="O282" i="31" l="1"/>
  <c r="M283" i="31"/>
  <c r="L284" i="31"/>
  <c r="J285" i="31"/>
  <c r="K285" i="31" s="1"/>
  <c r="N283" i="31"/>
  <c r="P282" i="31"/>
  <c r="O283" i="31" l="1"/>
  <c r="M284" i="31"/>
  <c r="L285" i="31"/>
  <c r="J286" i="31"/>
  <c r="K286" i="31" s="1"/>
  <c r="N284" i="31"/>
  <c r="P283" i="31"/>
  <c r="O284" i="31" l="1"/>
  <c r="M285" i="31"/>
  <c r="L286" i="31"/>
  <c r="J287" i="31"/>
  <c r="K287" i="31" s="1"/>
  <c r="N285" i="31"/>
  <c r="P284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N288" i="31"/>
  <c r="P287" i="31"/>
  <c r="O288" i="31" l="1"/>
  <c r="M289" i="31"/>
  <c r="L290" i="31"/>
  <c r="J291" i="31"/>
  <c r="K291" i="31" s="1"/>
  <c r="N289" i="31"/>
  <c r="P288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N291" i="31"/>
  <c r="P290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N293" i="31"/>
  <c r="P292" i="31"/>
  <c r="O293" i="31" l="1"/>
  <c r="M294" i="31"/>
  <c r="L295" i="31"/>
  <c r="J296" i="31"/>
  <c r="K296" i="31" s="1"/>
  <c r="N294" i="31"/>
  <c r="P293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N298" i="31"/>
  <c r="P297" i="31"/>
  <c r="O298" i="31" l="1"/>
  <c r="M299" i="31"/>
  <c r="L300" i="31"/>
  <c r="J301" i="31"/>
  <c r="K301" i="31" s="1"/>
  <c r="N299" i="31"/>
  <c r="P298" i="31"/>
  <c r="O299" i="31" l="1"/>
  <c r="M300" i="31"/>
  <c r="L301" i="31"/>
  <c r="J302" i="31"/>
  <c r="K302" i="31" s="1"/>
  <c r="N300" i="31"/>
  <c r="P299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N303" i="31"/>
  <c r="P302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N307" i="31"/>
  <c r="P306" i="31"/>
  <c r="O307" i="31" l="1"/>
  <c r="M308" i="31"/>
  <c r="L309" i="31"/>
  <c r="J310" i="31"/>
  <c r="K310" i="31" s="1"/>
  <c r="N308" i="31"/>
  <c r="P307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N326" i="31"/>
  <c r="P325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N329" i="31"/>
  <c r="P328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N331" i="31"/>
  <c r="P330" i="31"/>
  <c r="O331" i="31" l="1"/>
  <c r="M332" i="31"/>
  <c r="L333" i="31"/>
  <c r="J334" i="31"/>
  <c r="K334" i="31" s="1"/>
  <c r="N332" i="31"/>
  <c r="P331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N334" i="31"/>
  <c r="P333" i="31"/>
  <c r="O334" i="31" l="1"/>
  <c r="M335" i="31"/>
  <c r="L336" i="31"/>
  <c r="J337" i="31"/>
  <c r="K337" i="31" s="1"/>
  <c r="N335" i="31"/>
  <c r="P334" i="31"/>
  <c r="O335" i="31" l="1"/>
  <c r="M336" i="31"/>
  <c r="L337" i="31"/>
  <c r="J338" i="31"/>
  <c r="K338" i="31" s="1"/>
  <c r="N336" i="31"/>
  <c r="P335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N338" i="31"/>
  <c r="P337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N340" i="31"/>
  <c r="P339" i="31"/>
  <c r="O340" i="31" l="1"/>
  <c r="M341" i="31"/>
  <c r="L342" i="31"/>
  <c r="J343" i="31"/>
  <c r="K343" i="31" s="1"/>
  <c r="N341" i="31"/>
  <c r="P340" i="31"/>
  <c r="O341" i="31" l="1"/>
  <c r="M342" i="31"/>
  <c r="L343" i="31"/>
  <c r="J344" i="31"/>
  <c r="K344" i="31" s="1"/>
  <c r="N342" i="31"/>
  <c r="P341" i="31"/>
  <c r="O342" i="31" l="1"/>
  <c r="M343" i="31"/>
  <c r="L344" i="31"/>
  <c r="J345" i="31"/>
  <c r="K345" i="31" s="1"/>
  <c r="N343" i="31"/>
  <c r="P342" i="31"/>
  <c r="O343" i="31" l="1"/>
  <c r="M344" i="31"/>
  <c r="L345" i="31"/>
  <c r="J346" i="31"/>
  <c r="K346" i="31" s="1"/>
  <c r="N344" i="31"/>
  <c r="P343" i="31"/>
  <c r="O344" i="31" l="1"/>
  <c r="M345" i="31"/>
  <c r="L346" i="31"/>
  <c r="J347" i="31"/>
  <c r="K347" i="31" s="1"/>
  <c r="N345" i="31"/>
  <c r="P344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N347" i="31"/>
  <c r="P346" i="31"/>
  <c r="O347" i="31" l="1"/>
  <c r="M348" i="31"/>
  <c r="L349" i="31"/>
  <c r="J350" i="31"/>
  <c r="K350" i="31" s="1"/>
  <c r="N348" i="31"/>
  <c r="P347" i="31"/>
  <c r="O348" i="31" l="1"/>
  <c r="M349" i="31"/>
  <c r="L350" i="31"/>
  <c r="J351" i="31"/>
  <c r="K351" i="31" s="1"/>
  <c r="N349" i="31"/>
  <c r="P348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N351" i="31"/>
  <c r="P350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N353" i="31"/>
  <c r="P352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N356" i="31"/>
  <c r="P355" i="31"/>
  <c r="O356" i="31" l="1"/>
  <c r="M357" i="31"/>
  <c r="L358" i="31"/>
  <c r="J359" i="31"/>
  <c r="K359" i="31" s="1"/>
  <c r="N357" i="31"/>
  <c r="P356" i="31"/>
  <c r="O357" i="31" l="1"/>
  <c r="M358" i="31"/>
  <c r="L359" i="31"/>
  <c r="J360" i="31"/>
  <c r="K360" i="31" s="1"/>
  <c r="N358" i="31"/>
  <c r="P357" i="31"/>
  <c r="O358" i="31" l="1"/>
  <c r="M359" i="31"/>
  <c r="L360" i="31"/>
  <c r="J361" i="31"/>
  <c r="K361" i="31" s="1"/>
  <c r="P358" i="31"/>
  <c r="N359" i="31"/>
  <c r="O359" i="31" l="1"/>
  <c r="M360" i="31"/>
  <c r="L361" i="31"/>
  <c r="J362" i="31"/>
  <c r="K362" i="31" s="1"/>
  <c r="N360" i="31"/>
  <c r="P359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N369" i="31"/>
  <c r="P368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N374" i="31"/>
  <c r="P373" i="31"/>
  <c r="O374" i="31" l="1"/>
  <c r="M375" i="31"/>
  <c r="L376" i="31"/>
  <c r="J377" i="31"/>
  <c r="K377" i="31" s="1"/>
  <c r="N375" i="31"/>
  <c r="P374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N378" i="31"/>
  <c r="P377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N384" i="31"/>
  <c r="P383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0" i="31"/>
  <c r="N401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N408" i="31"/>
  <c r="P407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N410" i="31"/>
  <c r="P409" i="31"/>
  <c r="O410" i="31" l="1"/>
  <c r="M411" i="31"/>
  <c r="L412" i="31"/>
  <c r="J413" i="31"/>
  <c r="K413" i="31" s="1"/>
  <c r="N411" i="31"/>
  <c r="P410" i="31"/>
  <c r="O411" i="31" l="1"/>
  <c r="M412" i="31"/>
  <c r="L413" i="31"/>
  <c r="J414" i="31"/>
  <c r="K414" i="31" s="1"/>
  <c r="N412" i="31"/>
  <c r="P411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N416" i="31"/>
  <c r="P415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N422" i="31"/>
  <c r="P421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N426" i="31"/>
  <c r="P425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N429" i="31"/>
  <c r="P428" i="31"/>
  <c r="O429" i="31" l="1"/>
  <c r="M430" i="31"/>
  <c r="L431" i="31"/>
  <c r="J432" i="31"/>
  <c r="K432" i="31" s="1"/>
  <c r="N430" i="31"/>
  <c r="P429" i="31"/>
  <c r="O430" i="31" l="1"/>
  <c r="M431" i="31"/>
  <c r="L432" i="31"/>
  <c r="J433" i="31"/>
  <c r="K433" i="31" s="1"/>
  <c r="N431" i="31"/>
  <c r="P430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N435" i="31"/>
  <c r="P434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N439" i="31"/>
  <c r="P438" i="31"/>
  <c r="O439" i="31" l="1"/>
  <c r="M440" i="31"/>
  <c r="L441" i="31"/>
  <c r="J442" i="31"/>
  <c r="K442" i="31" s="1"/>
  <c r="P439" i="31"/>
  <c r="N440" i="31"/>
  <c r="O440" i="31" l="1"/>
  <c r="M441" i="31"/>
  <c r="L442" i="31"/>
  <c r="J443" i="31"/>
  <c r="K443" i="31" s="1"/>
  <c r="N441" i="31"/>
  <c r="P440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N443" i="31"/>
  <c r="P442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N446" i="31"/>
  <c r="P445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N450" i="31"/>
  <c r="P449" i="31"/>
  <c r="O450" i="31" l="1"/>
  <c r="M451" i="31"/>
  <c r="L452" i="31"/>
  <c r="J453" i="31"/>
  <c r="K453" i="31" s="1"/>
  <c r="N451" i="31"/>
  <c r="P450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N465" i="31"/>
  <c r="P464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N469" i="31"/>
  <c r="P468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N473" i="31"/>
  <c r="P472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P476" i="31"/>
  <c r="N477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N480" i="31"/>
  <c r="P479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N486" i="31"/>
  <c r="P485" i="31"/>
  <c r="O486" i="31" l="1"/>
  <c r="M487" i="31"/>
  <c r="L488" i="31"/>
  <c r="J489" i="31"/>
  <c r="K489" i="31" s="1"/>
  <c r="N487" i="31"/>
  <c r="P486" i="31"/>
  <c r="O487" i="31" l="1"/>
  <c r="M488" i="31"/>
  <c r="L489" i="31"/>
  <c r="J490" i="31"/>
  <c r="K490" i="31" s="1"/>
  <c r="N488" i="31"/>
  <c r="P487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N494" i="31"/>
  <c r="P493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M5" i="25"/>
  <c r="G5" i="25"/>
  <c r="K5" i="25"/>
  <c r="H5" i="25"/>
  <c r="D5" i="25"/>
  <c r="J5" i="25"/>
  <c r="L5" i="25"/>
  <c r="P500" i="31"/>
  <c r="O5" i="25"/>
  <c r="I5" i="25"/>
  <c r="P5" i="25"/>
  <c r="E5" i="25"/>
  <c r="N5" i="25"/>
  <c r="N501" i="31"/>
  <c r="F5" i="25"/>
  <c r="Q5" i="25"/>
  <c r="O501" i="31" l="1"/>
  <c r="Q19" i="27"/>
  <c r="Q18" i="27"/>
  <c r="Q17" i="27"/>
  <c r="P8" i="27"/>
  <c r="P7" i="27"/>
  <c r="O10" i="27"/>
  <c r="O4" i="27"/>
  <c r="O6" i="27"/>
  <c r="BN4" i="9"/>
  <c r="BN3" i="9"/>
  <c r="B9" i="25"/>
  <c r="P501" i="31"/>
  <c r="Q32" i="27" l="1"/>
  <c r="Q30" i="27"/>
  <c r="R9" i="25"/>
  <c r="Q9" i="25"/>
  <c r="M9" i="25"/>
  <c r="L9" i="25"/>
  <c r="K9" i="25"/>
  <c r="N9" i="25"/>
  <c r="J9" i="25"/>
  <c r="P9" i="25"/>
  <c r="O9" i="25"/>
  <c r="H9" i="25"/>
  <c r="I9" i="25"/>
  <c r="B10" i="25"/>
  <c r="D9" i="25"/>
  <c r="E9" i="25"/>
  <c r="C5" i="25"/>
  <c r="F9" i="25"/>
  <c r="G9" i="25"/>
  <c r="R10" i="25" l="1"/>
  <c r="P10" i="25"/>
  <c r="J10" i="25"/>
  <c r="O10" i="25"/>
  <c r="K10" i="25"/>
  <c r="M10" i="25"/>
  <c r="L10" i="25"/>
  <c r="Q10" i="25"/>
  <c r="N10" i="25"/>
  <c r="I10" i="25"/>
  <c r="H10" i="25"/>
  <c r="C9" i="25"/>
  <c r="D10" i="25"/>
  <c r="E10" i="25"/>
  <c r="G10" i="25"/>
  <c r="C10" i="25"/>
  <c r="B11" i="25"/>
  <c r="F10" i="25"/>
  <c r="R11" i="25" l="1"/>
  <c r="M11" i="25"/>
  <c r="N11" i="25"/>
  <c r="O11" i="25"/>
  <c r="J11" i="25"/>
  <c r="K11" i="25"/>
  <c r="P11" i="25"/>
  <c r="L11" i="25"/>
  <c r="Q11" i="25"/>
  <c r="I11" i="25"/>
  <c r="H11" i="25"/>
  <c r="E11" i="25"/>
  <c r="D11" i="25"/>
  <c r="B12" i="25"/>
  <c r="C11" i="25"/>
  <c r="F11" i="25"/>
  <c r="G11" i="25"/>
  <c r="R12" i="25" l="1"/>
  <c r="O12" i="25"/>
  <c r="M12" i="25"/>
  <c r="N12" i="25"/>
  <c r="Q12" i="25"/>
  <c r="L12" i="25"/>
  <c r="K12" i="25"/>
  <c r="J12" i="25"/>
  <c r="P12" i="25"/>
  <c r="H12" i="25"/>
  <c r="I12" i="25"/>
  <c r="E12" i="25"/>
  <c r="B13" i="25"/>
  <c r="D12" i="25"/>
  <c r="F12" i="25"/>
  <c r="C12" i="25"/>
  <c r="G12" i="25"/>
  <c r="R13" i="25" l="1"/>
  <c r="P13" i="25"/>
  <c r="O13" i="25"/>
  <c r="Q13" i="25"/>
  <c r="L13" i="25"/>
  <c r="M13" i="25"/>
  <c r="J13" i="25"/>
  <c r="K13" i="25"/>
  <c r="N13" i="25"/>
  <c r="I13" i="25"/>
  <c r="H13" i="25"/>
  <c r="C13" i="25"/>
  <c r="D13" i="25"/>
  <c r="F13" i="25"/>
  <c r="B14" i="25"/>
  <c r="E13" i="25"/>
  <c r="G13" i="25"/>
  <c r="R14" i="25" l="1"/>
  <c r="K14" i="25"/>
  <c r="J14" i="25"/>
  <c r="O14" i="25"/>
  <c r="M14" i="25"/>
  <c r="N14" i="25"/>
  <c r="L14" i="25"/>
  <c r="Q14" i="25"/>
  <c r="P14" i="25"/>
  <c r="I14" i="25"/>
  <c r="H14" i="25"/>
  <c r="E14" i="25"/>
  <c r="F14" i="25"/>
  <c r="C14" i="25"/>
  <c r="D14" i="25"/>
  <c r="B15" i="25"/>
  <c r="G14" i="25"/>
  <c r="R15" i="25" l="1"/>
  <c r="P15" i="25"/>
  <c r="K15" i="25"/>
  <c r="Q15" i="25"/>
  <c r="O15" i="25"/>
  <c r="J15" i="25"/>
  <c r="N15" i="25"/>
  <c r="M15" i="25"/>
  <c r="L15" i="25"/>
  <c r="I15" i="25"/>
  <c r="H15" i="25"/>
  <c r="D15" i="25"/>
  <c r="B16" i="25"/>
  <c r="F15" i="25"/>
  <c r="E15" i="25"/>
  <c r="G15" i="25"/>
  <c r="C15" i="25"/>
  <c r="R16" i="25" l="1"/>
  <c r="Q16" i="25"/>
  <c r="O16" i="25"/>
  <c r="M16" i="25"/>
  <c r="J16" i="25"/>
  <c r="P16" i="25"/>
  <c r="K16" i="25"/>
  <c r="L16" i="25"/>
  <c r="N16" i="25"/>
  <c r="I16" i="25"/>
  <c r="H16" i="25"/>
  <c r="G16" i="25"/>
  <c r="B17" i="25"/>
  <c r="E16" i="25"/>
  <c r="F16" i="25"/>
  <c r="C16" i="25"/>
  <c r="D16" i="25"/>
  <c r="R17" i="25" l="1"/>
  <c r="J17" i="25"/>
  <c r="O17" i="25"/>
  <c r="K17" i="25"/>
  <c r="Q17" i="25"/>
  <c r="P17" i="25"/>
  <c r="L17" i="25"/>
  <c r="N17" i="25"/>
  <c r="M17" i="25"/>
  <c r="I17" i="25"/>
  <c r="H17" i="25"/>
  <c r="B18" i="25"/>
  <c r="E17" i="25"/>
  <c r="F17" i="25"/>
  <c r="G17" i="25"/>
  <c r="C17" i="25"/>
  <c r="D17" i="25"/>
  <c r="R18" i="25" l="1"/>
  <c r="K18" i="25"/>
  <c r="O18" i="25"/>
  <c r="J18" i="25"/>
  <c r="N18" i="25"/>
  <c r="M18" i="25"/>
  <c r="L18" i="25"/>
  <c r="Q18" i="25"/>
  <c r="P18" i="25"/>
  <c r="I18" i="25"/>
  <c r="H18" i="25"/>
  <c r="G18" i="25"/>
  <c r="F18" i="25"/>
  <c r="B19" i="25"/>
  <c r="E18" i="25"/>
  <c r="D18" i="25"/>
  <c r="C18" i="25"/>
  <c r="R19" i="25" l="1"/>
  <c r="J19" i="25"/>
  <c r="M19" i="25"/>
  <c r="O19" i="25"/>
  <c r="P19" i="25"/>
  <c r="L19" i="25"/>
  <c r="N19" i="25"/>
  <c r="Q19" i="25"/>
  <c r="K19" i="25"/>
  <c r="B20" i="25"/>
  <c r="E19" i="25"/>
  <c r="F19" i="25"/>
  <c r="I19" i="25"/>
  <c r="D19" i="25"/>
  <c r="C19" i="25"/>
  <c r="G19" i="25"/>
  <c r="H19" i="25"/>
  <c r="R20" i="25" l="1"/>
  <c r="J20" i="25"/>
  <c r="M20" i="25"/>
  <c r="Q20" i="25"/>
  <c r="O20" i="25"/>
  <c r="P20" i="25"/>
  <c r="L20" i="25"/>
  <c r="N20" i="25"/>
  <c r="K20" i="25"/>
  <c r="I20" i="25"/>
  <c r="B21" i="25"/>
  <c r="D20" i="25"/>
  <c r="F20" i="25"/>
  <c r="G20" i="25"/>
  <c r="E20" i="25"/>
  <c r="C20" i="25"/>
  <c r="H20" i="25"/>
  <c r="R21" i="25" l="1"/>
  <c r="J21" i="25"/>
  <c r="P21" i="25"/>
  <c r="N21" i="25"/>
  <c r="Q21" i="25"/>
  <c r="L21" i="25"/>
  <c r="O21" i="25"/>
  <c r="M21" i="25"/>
  <c r="K21" i="25"/>
  <c r="F21" i="25"/>
  <c r="H21" i="25"/>
  <c r="B22" i="25"/>
  <c r="E21" i="25"/>
  <c r="C21" i="25"/>
  <c r="D21" i="25"/>
  <c r="I21" i="25"/>
  <c r="G21" i="25"/>
  <c r="R22" i="25" l="1"/>
  <c r="K22" i="25"/>
  <c r="O22" i="25"/>
  <c r="N22" i="25"/>
  <c r="M22" i="25"/>
  <c r="Q22" i="25"/>
  <c r="P22" i="25"/>
  <c r="L22" i="25"/>
  <c r="J22" i="25"/>
  <c r="C22" i="25"/>
  <c r="F22" i="25"/>
  <c r="H22" i="25"/>
  <c r="D22" i="25"/>
  <c r="I22" i="25"/>
  <c r="G22" i="25"/>
  <c r="B23" i="25"/>
  <c r="E22" i="25"/>
  <c r="R23" i="25" l="1"/>
  <c r="J23" i="25"/>
  <c r="L23" i="25"/>
  <c r="Q23" i="25"/>
  <c r="M23" i="25"/>
  <c r="P23" i="25"/>
  <c r="O23" i="25"/>
  <c r="N23" i="25"/>
  <c r="K23" i="25"/>
  <c r="H23" i="25"/>
  <c r="C23" i="25"/>
  <c r="E23" i="25"/>
  <c r="D23" i="25"/>
  <c r="G23" i="25"/>
  <c r="I23" i="25"/>
  <c r="B24" i="25"/>
  <c r="F23" i="25"/>
  <c r="R24" i="25" l="1"/>
  <c r="K24" i="25"/>
  <c r="N24" i="25"/>
  <c r="O24" i="25"/>
  <c r="P24" i="25"/>
  <c r="M24" i="25"/>
  <c r="Q24" i="25"/>
  <c r="L24" i="25"/>
  <c r="J24" i="25"/>
  <c r="I24" i="25"/>
  <c r="H24" i="25"/>
  <c r="E24" i="25"/>
  <c r="F24" i="25"/>
  <c r="C24" i="25"/>
  <c r="B25" i="25"/>
  <c r="D24" i="25"/>
  <c r="G24" i="25"/>
  <c r="R25" i="25" l="1"/>
  <c r="K25" i="25"/>
  <c r="L25" i="25"/>
  <c r="N25" i="25"/>
  <c r="Q25" i="25"/>
  <c r="O25" i="25"/>
  <c r="P25" i="25"/>
  <c r="J25" i="25"/>
  <c r="M25" i="25"/>
  <c r="E25" i="25"/>
  <c r="B26" i="25"/>
  <c r="F25" i="25"/>
  <c r="G25" i="25"/>
  <c r="C25" i="25"/>
  <c r="H25" i="25"/>
  <c r="I25" i="25"/>
  <c r="D25" i="25"/>
  <c r="R26" i="25" l="1"/>
  <c r="J26" i="25"/>
  <c r="P26" i="25"/>
  <c r="Q26" i="25"/>
  <c r="N26" i="25"/>
  <c r="O26" i="25"/>
  <c r="L26" i="25"/>
  <c r="K26" i="25"/>
  <c r="M26" i="25"/>
  <c r="F26" i="25"/>
  <c r="B27" i="25"/>
  <c r="I26" i="25"/>
  <c r="D26" i="25"/>
  <c r="G26" i="25"/>
  <c r="H26" i="25"/>
  <c r="C26" i="25"/>
  <c r="E26" i="25"/>
  <c r="R27" i="25" l="1"/>
  <c r="K27" i="25"/>
  <c r="N27" i="25"/>
  <c r="O27" i="25"/>
  <c r="L27" i="25"/>
  <c r="Q27" i="25"/>
  <c r="M27" i="25"/>
  <c r="P27" i="25"/>
  <c r="J27" i="25"/>
  <c r="D27" i="25"/>
  <c r="E27" i="25"/>
  <c r="C27" i="25"/>
  <c r="G27" i="25"/>
  <c r="B28" i="25"/>
  <c r="H27" i="25"/>
  <c r="F27" i="25"/>
  <c r="I27" i="25"/>
  <c r="R28" i="25" l="1"/>
  <c r="J28" i="25"/>
  <c r="L28" i="25"/>
  <c r="Q28" i="25"/>
  <c r="P28" i="25"/>
  <c r="M28" i="25"/>
  <c r="N28" i="25"/>
  <c r="O28" i="25"/>
  <c r="K28" i="25"/>
  <c r="D28" i="25"/>
  <c r="I28" i="25"/>
  <c r="E28" i="25"/>
  <c r="C28" i="25"/>
  <c r="H28" i="25"/>
  <c r="G28" i="25"/>
  <c r="B29" i="25"/>
  <c r="F28" i="25"/>
  <c r="R29" i="25" l="1"/>
  <c r="J29" i="25"/>
  <c r="L29" i="25"/>
  <c r="Q29" i="25"/>
  <c r="M29" i="25"/>
  <c r="N29" i="25"/>
  <c r="P29" i="25"/>
  <c r="O29" i="25"/>
  <c r="K29" i="25"/>
  <c r="F29" i="25"/>
  <c r="H29" i="25"/>
  <c r="C29" i="25"/>
  <c r="I29" i="25"/>
  <c r="B30" i="25"/>
  <c r="E29" i="25"/>
  <c r="G29" i="25"/>
  <c r="D29" i="25"/>
  <c r="R30" i="25" l="1"/>
  <c r="K30" i="25"/>
  <c r="P30" i="25"/>
  <c r="M30" i="25"/>
  <c r="L30" i="25"/>
  <c r="Q30" i="25"/>
  <c r="N30" i="25"/>
  <c r="O30" i="25"/>
  <c r="J30" i="25"/>
  <c r="B31" i="25"/>
  <c r="D30" i="25"/>
  <c r="H30" i="25"/>
  <c r="E30" i="25"/>
  <c r="C30" i="25"/>
  <c r="I30" i="25"/>
  <c r="F30" i="25"/>
  <c r="G30" i="25"/>
  <c r="R31" i="25" l="1"/>
  <c r="K31" i="25"/>
  <c r="P31" i="25"/>
  <c r="L31" i="25"/>
  <c r="M31" i="25"/>
  <c r="N31" i="25"/>
  <c r="Q31" i="25"/>
  <c r="O31" i="25"/>
  <c r="J31" i="25"/>
  <c r="C31" i="25"/>
  <c r="G31" i="25"/>
  <c r="I31" i="25"/>
  <c r="B32" i="25"/>
  <c r="F31" i="25"/>
  <c r="E31" i="25"/>
  <c r="H31" i="25"/>
  <c r="D31" i="25"/>
  <c r="R32" i="25" l="1"/>
  <c r="J32" i="25"/>
  <c r="P32" i="25"/>
  <c r="O32" i="25"/>
  <c r="Q32" i="25"/>
  <c r="N32" i="25"/>
  <c r="L32" i="25"/>
  <c r="M32" i="25"/>
  <c r="K32" i="25"/>
  <c r="D32" i="25"/>
  <c r="E32" i="25"/>
  <c r="I32" i="25"/>
  <c r="F32" i="25"/>
  <c r="H32" i="25"/>
  <c r="C32" i="25"/>
  <c r="G32" i="25"/>
  <c r="B33" i="25"/>
  <c r="R33" i="25" l="1"/>
  <c r="J33" i="25"/>
  <c r="M33" i="25"/>
  <c r="N33" i="25"/>
  <c r="L33" i="25"/>
  <c r="P33" i="25"/>
  <c r="K33" i="25"/>
  <c r="O33" i="25"/>
  <c r="Q33" i="25"/>
  <c r="C33" i="25"/>
  <c r="F33" i="25"/>
  <c r="B34" i="25"/>
  <c r="I33" i="25"/>
  <c r="G33" i="25"/>
  <c r="E33" i="25"/>
  <c r="H33" i="25"/>
  <c r="D33" i="25"/>
  <c r="R34" i="25" l="1"/>
  <c r="K34" i="25"/>
  <c r="O34" i="25"/>
  <c r="Q34" i="25"/>
  <c r="M34" i="25"/>
  <c r="P34" i="25"/>
  <c r="J34" i="25"/>
  <c r="L34" i="25"/>
  <c r="N34" i="25"/>
  <c r="E34" i="25"/>
  <c r="I34" i="25"/>
  <c r="H34" i="25"/>
  <c r="B35" i="25"/>
  <c r="D34" i="25"/>
  <c r="G34" i="25"/>
  <c r="C34" i="25"/>
  <c r="F34" i="25"/>
  <c r="R35" i="25" l="1"/>
  <c r="J35" i="25"/>
  <c r="M35" i="25"/>
  <c r="N35" i="25"/>
  <c r="O35" i="25"/>
  <c r="L35" i="25"/>
  <c r="P35" i="25"/>
  <c r="Q35" i="25"/>
  <c r="K35" i="25"/>
  <c r="B36" i="25"/>
  <c r="H35" i="25"/>
  <c r="F35" i="25"/>
  <c r="G35" i="25"/>
  <c r="I35" i="25"/>
  <c r="D35" i="25"/>
  <c r="E35" i="25"/>
  <c r="C35" i="25"/>
  <c r="R36" i="25" l="1"/>
  <c r="Q36" i="25"/>
  <c r="O36" i="25"/>
  <c r="L36" i="25"/>
  <c r="P36" i="25"/>
  <c r="N36" i="25"/>
  <c r="M36" i="25"/>
  <c r="K36" i="25"/>
  <c r="J36" i="25"/>
  <c r="B37" i="25"/>
  <c r="C36" i="25"/>
  <c r="E36" i="25"/>
  <c r="H36" i="25"/>
  <c r="I36" i="25"/>
  <c r="D36" i="25"/>
  <c r="F36" i="25"/>
  <c r="G36" i="25"/>
  <c r="R37" i="25" l="1"/>
  <c r="L37" i="25"/>
  <c r="M37" i="25"/>
  <c r="N37" i="25"/>
  <c r="O37" i="25"/>
  <c r="P37" i="25"/>
  <c r="Q37" i="25"/>
  <c r="J37" i="25"/>
  <c r="K37" i="25"/>
  <c r="E37" i="25"/>
  <c r="I37" i="25"/>
  <c r="H37" i="25"/>
  <c r="F37" i="25"/>
  <c r="B38" i="25"/>
  <c r="D37" i="25"/>
  <c r="C37" i="25"/>
  <c r="G37" i="25"/>
  <c r="R38" i="25" l="1"/>
  <c r="N38" i="25"/>
  <c r="L38" i="25"/>
  <c r="M38" i="25"/>
  <c r="O38" i="25"/>
  <c r="Q38" i="25"/>
  <c r="P38" i="25"/>
  <c r="J38" i="25"/>
  <c r="K38" i="25"/>
  <c r="F38" i="25"/>
  <c r="G38" i="25"/>
  <c r="I38" i="25"/>
  <c r="E38" i="25"/>
  <c r="D38" i="25"/>
  <c r="H38" i="25"/>
  <c r="C38" i="25"/>
  <c r="B39" i="25"/>
  <c r="R39" i="25" l="1"/>
  <c r="Q39" i="25"/>
  <c r="O39" i="25"/>
  <c r="M39" i="25"/>
  <c r="L39" i="25"/>
  <c r="P39" i="25"/>
  <c r="N39" i="25"/>
  <c r="J39" i="25"/>
  <c r="K39" i="25"/>
  <c r="D39" i="25"/>
  <c r="H39" i="25"/>
  <c r="G39" i="25"/>
  <c r="B40" i="25"/>
  <c r="I39" i="25"/>
  <c r="F39" i="25"/>
  <c r="C39" i="25"/>
  <c r="E39" i="25"/>
  <c r="M40" i="25" l="1"/>
  <c r="L40" i="25"/>
  <c r="O40" i="25"/>
  <c r="R40" i="25"/>
  <c r="N40" i="25"/>
  <c r="Q40" i="25"/>
  <c r="P40" i="25"/>
  <c r="K40" i="25"/>
  <c r="J40" i="25"/>
  <c r="E40" i="25"/>
  <c r="B41" i="25"/>
  <c r="I40" i="25"/>
  <c r="C40" i="25"/>
  <c r="F40" i="25"/>
  <c r="H40" i="25"/>
  <c r="D40" i="25"/>
  <c r="G40" i="25"/>
  <c r="J41" i="25" l="1"/>
  <c r="P41" i="25"/>
  <c r="M41" i="25"/>
  <c r="Q41" i="25"/>
  <c r="L41" i="25"/>
  <c r="R41" i="25"/>
  <c r="K41" i="25"/>
  <c r="O41" i="25"/>
  <c r="N41" i="25"/>
  <c r="G41" i="25"/>
  <c r="D41" i="25"/>
  <c r="F41" i="25"/>
  <c r="E41" i="25"/>
  <c r="H41" i="25"/>
  <c r="I41" i="25"/>
  <c r="C41" i="25"/>
  <c r="B42" i="25"/>
  <c r="P42" i="25" l="1"/>
  <c r="L42" i="25"/>
  <c r="M42" i="25"/>
  <c r="K42" i="25"/>
  <c r="Q42" i="25"/>
  <c r="J42" i="25"/>
  <c r="R42" i="25"/>
  <c r="O42" i="25"/>
  <c r="N42" i="25"/>
  <c r="G42" i="25"/>
  <c r="C42" i="25"/>
  <c r="B43" i="25"/>
  <c r="H42" i="25"/>
  <c r="D42" i="25"/>
  <c r="F42" i="25"/>
  <c r="E42" i="25"/>
  <c r="I42" i="25"/>
  <c r="L43" i="25" l="1"/>
  <c r="P43" i="25"/>
  <c r="R43" i="25"/>
  <c r="N43" i="25"/>
  <c r="Q43" i="25"/>
  <c r="J43" i="25"/>
  <c r="O43" i="25"/>
  <c r="K43" i="25"/>
  <c r="M43" i="25"/>
  <c r="H43" i="25"/>
  <c r="F43" i="25"/>
  <c r="G43" i="25"/>
  <c r="C43" i="25"/>
  <c r="D43" i="25"/>
  <c r="I43" i="25"/>
  <c r="B44" i="25"/>
  <c r="E43" i="25"/>
  <c r="M44" i="25" l="1"/>
  <c r="R44" i="25"/>
  <c r="P44" i="25"/>
  <c r="O44" i="25"/>
  <c r="N44" i="25"/>
  <c r="K44" i="25"/>
  <c r="Q44" i="25"/>
  <c r="L44" i="25"/>
  <c r="J44" i="25"/>
  <c r="B45" i="25"/>
  <c r="C44" i="25"/>
  <c r="I44" i="25"/>
  <c r="H44" i="25"/>
  <c r="G44" i="25"/>
  <c r="E44" i="25"/>
  <c r="D44" i="25"/>
  <c r="F44" i="25"/>
  <c r="L45" i="25" l="1"/>
  <c r="O45" i="25"/>
  <c r="K45" i="25"/>
  <c r="M45" i="25"/>
  <c r="J45" i="25"/>
  <c r="P45" i="25"/>
  <c r="N45" i="25"/>
  <c r="Q45" i="25"/>
  <c r="R45" i="25"/>
  <c r="C45" i="25"/>
  <c r="F45" i="25"/>
  <c r="H45" i="25"/>
  <c r="I45" i="25"/>
  <c r="B46" i="25"/>
  <c r="G45" i="25"/>
  <c r="E45" i="25"/>
  <c r="D45" i="25"/>
  <c r="R46" i="25" l="1"/>
  <c r="Q46" i="25"/>
  <c r="O46" i="25"/>
  <c r="P46" i="25"/>
  <c r="K46" i="25"/>
  <c r="M46" i="25"/>
  <c r="N46" i="25"/>
  <c r="L46" i="25"/>
  <c r="J46" i="25"/>
  <c r="D46" i="25"/>
  <c r="I46" i="25"/>
  <c r="C46" i="25"/>
  <c r="G46" i="25"/>
  <c r="F46" i="25"/>
  <c r="E46" i="25"/>
  <c r="H46" i="25"/>
  <c r="B47" i="25"/>
  <c r="J47" i="25" l="1"/>
  <c r="M47" i="25"/>
  <c r="R47" i="25"/>
  <c r="P47" i="25"/>
  <c r="O47" i="25"/>
  <c r="N47" i="25"/>
  <c r="Q47" i="25"/>
  <c r="L47" i="25"/>
  <c r="K47" i="25"/>
  <c r="B48" i="25"/>
  <c r="D47" i="25"/>
  <c r="C47" i="25"/>
  <c r="I47" i="25"/>
  <c r="E47" i="25"/>
  <c r="F47" i="25"/>
  <c r="G47" i="25"/>
  <c r="H47" i="25"/>
  <c r="P48" i="25" l="1"/>
  <c r="R48" i="25"/>
  <c r="O48" i="25"/>
  <c r="L48" i="25"/>
  <c r="J48" i="25"/>
  <c r="Q48" i="25"/>
  <c r="M48" i="25"/>
  <c r="K48" i="25"/>
  <c r="N48" i="25"/>
  <c r="F48" i="25"/>
  <c r="I48" i="25"/>
  <c r="C48" i="25"/>
  <c r="B49" i="25"/>
  <c r="H48" i="25"/>
  <c r="E48" i="25"/>
  <c r="D48" i="25"/>
  <c r="G48" i="25"/>
  <c r="Q49" i="25" l="1"/>
  <c r="J49" i="25"/>
  <c r="O49" i="25"/>
  <c r="N49" i="25"/>
  <c r="R49" i="25"/>
  <c r="K49" i="25"/>
  <c r="L49" i="25"/>
  <c r="M49" i="25"/>
  <c r="P49" i="25"/>
  <c r="F49" i="25"/>
  <c r="G49" i="25"/>
  <c r="E49" i="25"/>
  <c r="I49" i="25"/>
  <c r="B50" i="25"/>
  <c r="H49" i="25"/>
  <c r="D49" i="25"/>
  <c r="C49" i="25"/>
  <c r="N50" i="25" l="1"/>
  <c r="O50" i="25"/>
  <c r="L50" i="25"/>
  <c r="J50" i="25"/>
  <c r="K50" i="25"/>
  <c r="P50" i="25"/>
  <c r="R50" i="25"/>
  <c r="M50" i="25"/>
  <c r="Q50" i="25"/>
  <c r="E50" i="25"/>
  <c r="H50" i="25"/>
  <c r="C50" i="25"/>
  <c r="I50" i="25"/>
  <c r="G50" i="25"/>
  <c r="F50" i="25"/>
  <c r="B51" i="25"/>
  <c r="D50" i="25"/>
  <c r="P51" i="25" l="1"/>
  <c r="O51" i="25"/>
  <c r="J51" i="25"/>
  <c r="N51" i="25"/>
  <c r="L51" i="25"/>
  <c r="K51" i="25"/>
  <c r="R51" i="25"/>
  <c r="M51" i="25"/>
  <c r="Q51" i="25"/>
  <c r="I51" i="25"/>
  <c r="G51" i="25"/>
  <c r="E51" i="25"/>
  <c r="H51" i="25"/>
  <c r="B52" i="25"/>
  <c r="F51" i="25"/>
  <c r="C51" i="25"/>
  <c r="D51" i="25"/>
  <c r="J52" i="25" l="1"/>
  <c r="L52" i="25"/>
  <c r="O52" i="25"/>
  <c r="N52" i="25"/>
  <c r="M52" i="25"/>
  <c r="P52" i="25"/>
  <c r="R52" i="25"/>
  <c r="Q52" i="25"/>
  <c r="K52" i="25"/>
  <c r="H52" i="25"/>
  <c r="F52" i="25"/>
  <c r="G52" i="25"/>
  <c r="E52" i="25"/>
  <c r="D52" i="25"/>
  <c r="I52" i="25"/>
  <c r="B53" i="25"/>
  <c r="C52" i="25"/>
  <c r="N53" i="25" l="1"/>
  <c r="R53" i="25"/>
  <c r="L53" i="25"/>
  <c r="O53" i="25"/>
  <c r="Q53" i="25"/>
  <c r="M53" i="25"/>
  <c r="J53" i="25"/>
  <c r="P53" i="25"/>
  <c r="K53" i="25"/>
  <c r="F53" i="25"/>
  <c r="E53" i="25"/>
  <c r="I53" i="25"/>
  <c r="G53" i="25"/>
  <c r="C53" i="25"/>
  <c r="B54" i="25"/>
  <c r="H53" i="25"/>
  <c r="D53" i="25"/>
  <c r="J54" i="25" l="1"/>
  <c r="Q54" i="25"/>
  <c r="N54" i="25"/>
  <c r="M54" i="25"/>
  <c r="K54" i="25"/>
  <c r="L54" i="25"/>
  <c r="R54" i="25"/>
  <c r="P54" i="25"/>
  <c r="O54" i="25"/>
  <c r="F54" i="25"/>
  <c r="G54" i="25"/>
  <c r="B55" i="25"/>
  <c r="H54" i="25"/>
  <c r="C54" i="25"/>
  <c r="I54" i="25"/>
  <c r="E54" i="25"/>
  <c r="D54" i="25"/>
  <c r="M55" i="25" l="1"/>
  <c r="N55" i="25"/>
  <c r="L55" i="25"/>
  <c r="J55" i="25"/>
  <c r="O55" i="25"/>
  <c r="Q55" i="25"/>
  <c r="R55" i="25"/>
  <c r="P55" i="25"/>
  <c r="K55" i="25"/>
  <c r="C55" i="25"/>
  <c r="F55" i="25"/>
  <c r="I55" i="25"/>
  <c r="H55" i="25"/>
  <c r="D55" i="25"/>
  <c r="E55" i="25"/>
  <c r="G55" i="25"/>
  <c r="B56" i="25"/>
  <c r="M56" i="25" l="1"/>
  <c r="Q56" i="25"/>
  <c r="O56" i="25"/>
  <c r="K56" i="25"/>
  <c r="J56" i="25"/>
  <c r="P56" i="25"/>
  <c r="N56" i="25"/>
  <c r="L56" i="25"/>
  <c r="R56" i="25"/>
  <c r="H56" i="25"/>
  <c r="F56" i="25"/>
  <c r="C56" i="25"/>
  <c r="D56" i="25"/>
  <c r="B57" i="25"/>
  <c r="G56" i="25"/>
  <c r="E56" i="25"/>
  <c r="I56" i="25"/>
  <c r="Q57" i="25" l="1"/>
  <c r="O57" i="25"/>
  <c r="M57" i="25"/>
  <c r="R57" i="25"/>
  <c r="L57" i="25"/>
  <c r="P57" i="25"/>
  <c r="K57" i="25"/>
  <c r="J57" i="25"/>
  <c r="N57" i="25"/>
  <c r="D57" i="25"/>
  <c r="B58" i="25"/>
  <c r="I57" i="25"/>
  <c r="E57" i="25"/>
  <c r="F57" i="25"/>
  <c r="C57" i="25"/>
  <c r="H57" i="25"/>
  <c r="G57" i="25"/>
  <c r="O58" i="25" l="1"/>
  <c r="R58" i="25"/>
  <c r="N58" i="25"/>
  <c r="Q58" i="25"/>
  <c r="J58" i="25"/>
  <c r="M58" i="25"/>
  <c r="K58" i="25"/>
  <c r="P58" i="25"/>
  <c r="L58" i="25"/>
  <c r="G58" i="25"/>
  <c r="I58" i="25"/>
  <c r="H58" i="25"/>
  <c r="D58" i="25"/>
  <c r="E58" i="25"/>
  <c r="B59" i="25"/>
  <c r="C58" i="25"/>
  <c r="F58" i="25"/>
  <c r="M59" i="25" l="1"/>
  <c r="L59" i="25"/>
  <c r="J59" i="25"/>
  <c r="Q59" i="25"/>
  <c r="P59" i="25"/>
  <c r="R59" i="25"/>
  <c r="O59" i="25"/>
  <c r="N59" i="25"/>
  <c r="K59" i="25"/>
  <c r="B60" i="25"/>
  <c r="G59" i="25"/>
  <c r="D59" i="25"/>
  <c r="I59" i="25"/>
  <c r="H59" i="25"/>
  <c r="C59" i="25"/>
  <c r="E59" i="25"/>
  <c r="F59" i="25"/>
  <c r="Q60" i="25" l="1"/>
  <c r="M60" i="25"/>
  <c r="P60" i="25"/>
  <c r="R60" i="25"/>
  <c r="K60" i="25"/>
  <c r="O60" i="25"/>
  <c r="J60" i="25"/>
  <c r="N60" i="25"/>
  <c r="L60" i="25"/>
  <c r="B61" i="25"/>
  <c r="F60" i="25"/>
  <c r="E60" i="25"/>
  <c r="C60" i="25"/>
  <c r="D60" i="25"/>
  <c r="H60" i="25"/>
  <c r="I60" i="25"/>
  <c r="G60" i="25"/>
  <c r="K61" i="25" l="1"/>
  <c r="Q61" i="25"/>
  <c r="J61" i="25"/>
  <c r="P61" i="25"/>
  <c r="O61" i="25"/>
  <c r="R61" i="25"/>
  <c r="M61" i="25"/>
  <c r="N61" i="25"/>
  <c r="L61" i="25"/>
  <c r="I61" i="25"/>
  <c r="G61" i="25"/>
  <c r="F61" i="25"/>
  <c r="C61" i="25"/>
  <c r="E61" i="25"/>
  <c r="H61" i="25"/>
  <c r="B62" i="25"/>
  <c r="D61" i="25"/>
  <c r="N62" i="25" l="1"/>
  <c r="Q62" i="25"/>
  <c r="M62" i="25"/>
  <c r="K62" i="25"/>
  <c r="P62" i="25"/>
  <c r="J62" i="25"/>
  <c r="R62" i="25"/>
  <c r="O62" i="25"/>
  <c r="L62" i="25"/>
  <c r="H62" i="25"/>
  <c r="F62" i="25"/>
  <c r="G62" i="25"/>
  <c r="E62" i="25"/>
  <c r="C62" i="25"/>
  <c r="B63" i="25"/>
  <c r="D62" i="25"/>
  <c r="I62" i="25"/>
  <c r="P63" i="25" l="1"/>
  <c r="J63" i="25"/>
  <c r="R63" i="25"/>
  <c r="L63" i="25"/>
  <c r="N63" i="25"/>
  <c r="K63" i="25"/>
  <c r="Q63" i="25"/>
  <c r="O63" i="25"/>
  <c r="M63" i="25"/>
  <c r="F63" i="25"/>
  <c r="H63" i="25"/>
  <c r="B64" i="25"/>
  <c r="D63" i="25"/>
  <c r="C63" i="25"/>
  <c r="E63" i="25"/>
  <c r="G63" i="25"/>
  <c r="I63" i="25"/>
  <c r="J64" i="25" l="1"/>
  <c r="Q64" i="25"/>
  <c r="K64" i="25"/>
  <c r="P64" i="25"/>
  <c r="L64" i="25"/>
  <c r="R64" i="25"/>
  <c r="O64" i="25"/>
  <c r="M64" i="25"/>
  <c r="N64" i="25"/>
  <c r="I64" i="25"/>
  <c r="D64" i="25"/>
  <c r="G64" i="25"/>
  <c r="H64" i="25"/>
  <c r="E64" i="25"/>
  <c r="C64" i="25"/>
  <c r="B65" i="25"/>
  <c r="F64" i="25"/>
  <c r="M65" i="25" l="1"/>
  <c r="J65" i="25"/>
  <c r="O65" i="25"/>
  <c r="K65" i="25"/>
  <c r="L65" i="25"/>
  <c r="N65" i="25"/>
  <c r="P65" i="25"/>
  <c r="Q65" i="25"/>
  <c r="R65" i="25"/>
  <c r="F65" i="25"/>
  <c r="I65" i="25"/>
  <c r="C65" i="25"/>
  <c r="G65" i="25"/>
  <c r="H65" i="25"/>
  <c r="E65" i="25"/>
  <c r="D65" i="25"/>
  <c r="B66" i="25"/>
  <c r="K66" i="25" l="1"/>
  <c r="J66" i="25"/>
  <c r="R66" i="25"/>
  <c r="O66" i="25"/>
  <c r="L66" i="25"/>
  <c r="M66" i="25"/>
  <c r="Q66" i="25"/>
  <c r="P66" i="25"/>
  <c r="N66" i="25"/>
  <c r="C66" i="25"/>
  <c r="F66" i="25"/>
  <c r="G66" i="25"/>
  <c r="H66" i="25"/>
  <c r="E66" i="25"/>
  <c r="B67" i="25"/>
  <c r="I66" i="25"/>
  <c r="D66" i="25"/>
  <c r="J67" i="25" l="1"/>
  <c r="M67" i="25"/>
  <c r="K67" i="25"/>
  <c r="N67" i="25"/>
  <c r="R67" i="25"/>
  <c r="L67" i="25"/>
  <c r="Q67" i="25"/>
  <c r="O67" i="25"/>
  <c r="P67" i="25"/>
  <c r="B68" i="25"/>
  <c r="C67" i="25"/>
  <c r="H67" i="25"/>
  <c r="E67" i="25"/>
  <c r="I67" i="25"/>
  <c r="G67" i="25"/>
  <c r="D67" i="25"/>
  <c r="F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<sst xmlns="http://schemas.openxmlformats.org/spreadsheetml/2006/main" count="4597" uniqueCount="1853">
  <si>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</si>
  <si>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</si>
  <si>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</si>
  <si>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</si>
  <si>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</si>
  <si>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</si>
  <si>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</si>
  <si>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</si>
  <si>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</si>
  <si>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</si>
  <si>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</si>
  <si>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</si>
  <si>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</si>
  <si>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</si>
  <si>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</si>
  <si>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</si>
  <si>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</si>
  <si>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</si>
  <si>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</si>
  <si>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</si>
  <si>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</si>
  <si>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</si>
  <si>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</si>
  <si>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</si>
  <si>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</si>
  <si>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</si>
  <si>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</si>
  <si>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</si>
  <si>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</si>
  <si>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</si>
  <si>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</si>
  <si>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</si>
  <si>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</si>
  <si>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</si>
  <si>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</si>
  <si>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</si>
  <si>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</si>
  <si>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</si>
  <si>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</si>
  <si>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</si>
  <si>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</si>
  <si>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</si>
  <si>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</si>
  <si>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</si>
  <si>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</si>
  <si>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</si>
  <si>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</si>
  <si>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</si>
  <si>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</si>
  <si>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</si>
  <si>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</si>
  <si>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</si>
  <si>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</si>
  <si>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</si>
  <si>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</si>
  <si>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</si>
  <si>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</si>
  <si>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</si>
  <si>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</si>
  <si>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</si>
  <si>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</si>
  <si>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</si>
  <si>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</si>
  <si>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</si>
  <si>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</si>
  <si>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</si>
  <si>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</si>
  <si>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</si>
  <si>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</si>
  <si>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</si>
  <si>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</si>
  <si>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</si>
  <si>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</si>
  <si>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</si>
  <si>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</si>
  <si>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</si>
  <si>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</si>
  <si>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</si>
  <si>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</si>
  <si>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</si>
  <si>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</si>
  <si>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</si>
  <si>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</si>
  <si>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</si>
  <si>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</si>
  <si>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</si>
  <si>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</si>
  <si>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</si>
  <si>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</si>
  <si>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</si>
  <si>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</si>
  <si>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</si>
  <si>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</si>
  <si>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</si>
  <si>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</si>
  <si>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</si>
  <si>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</si>
  <si>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</si>
  <si>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</si>
  <si>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</si>
  <si>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</si>
  <si>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</si>
  <si>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</si>
  <si>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</si>
  <si>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</si>
  <si>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</si>
  <si>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</si>
  <si>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</si>
  <si>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</si>
  <si>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</si>
  <si>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</si>
  <si>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</si>
  <si>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</si>
  <si>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</si>
  <si>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</si>
  <si>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</si>
  <si>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</si>
  <si>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</si>
  <si>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</si>
  <si>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</si>
  <si>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</si>
  <si>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</si>
  <si>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</si>
  <si>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</si>
  <si>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</si>
  <si>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</si>
  <si>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</si>
  <si>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</si>
  <si>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</si>
  <si>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</si>
  <si>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</si>
  <si>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</si>
  <si>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</si>
  <si>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</si>
  <si>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</si>
  <si>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</si>
  <si>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</si>
  <si>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</si>
  <si>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</si>
  <si>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</si>
  <si>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</si>
  <si>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</si>
  <si>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</si>
  <si>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</si>
  <si>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</si>
  <si>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</si>
  <si>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</si>
  <si>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</si>
  <si>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</si>
  <si>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</si>
  <si>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</si>
  <si>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</si>
  <si>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</si>
  <si>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</si>
  <si>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</si>
  <si>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</si>
  <si>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</si>
  <si>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</si>
  <si>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</si>
  <si>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</si>
  <si>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</si>
  <si>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</si>
  <si>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</si>
  <si>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</si>
  <si>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</si>
  <si>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</si>
  <si>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</si>
  <si>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</si>
  <si>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</si>
  <si>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</si>
  <si>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</si>
  <si>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</si>
  <si>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</si>
  <si>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</si>
  <si>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</si>
  <si>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</si>
  <si>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</si>
  <si>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</si>
  <si>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</si>
  <si>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</si>
  <si>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</si>
  <si>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</si>
  <si>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</si>
  <si>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</si>
  <si>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</si>
  <si>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</si>
  <si>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</si>
  <si>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</si>
  <si>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</si>
  <si>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</si>
  <si>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</si>
  <si>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</si>
  <si>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</si>
  <si>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</si>
  <si>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</si>
  <si>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</si>
  <si>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</si>
  <si>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</si>
  <si>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</si>
  <si>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</si>
  <si>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</si>
  <si>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</si>
  <si>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</si>
  <si>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</si>
  <si>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</si>
  <si>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</si>
  <si>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</si>
  <si>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</si>
  <si>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</si>
  <si>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</si>
  <si>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</si>
  <si>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</si>
  <si>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</si>
  <si>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</si>
  <si>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</si>
  <si>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</si>
  <si>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</si>
  <si>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</si>
  <si>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</si>
  <si>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</si>
  <si>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</si>
  <si>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</si>
  <si>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</si>
  <si>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</si>
  <si>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</si>
  <si>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</si>
  <si>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</si>
  <si>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</si>
  <si>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</si>
  <si>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</si>
  <si>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</si>
  <si>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</si>
  <si>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</si>
  <si>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</si>
  <si>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</si>
  <si>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</si>
  <si>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</si>
  <si>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</si>
  <si>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</si>
  <si>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</si>
  <si>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</si>
  <si>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</si>
  <si>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</si>
  <si>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</si>
  <si>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</si>
  <si>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</si>
  <si>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</si>
  <si>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</si>
  <si>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</si>
  <si>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</si>
  <si>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</si>
  <si>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</si>
  <si>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</si>
  <si>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</si>
  <si>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</si>
  <si>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</si>
  <si>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</si>
  <si>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</si>
  <si>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</si>
  <si>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</si>
  <si>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</si>
  <si>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</si>
  <si>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</si>
  <si>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</si>
  <si>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</si>
  <si>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</si>
  <si>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</si>
  <si>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</si>
  <si>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</si>
  <si>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</si>
  <si>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</si>
  <si>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</si>
  <si>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</si>
  <si>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</si>
  <si>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</si>
  <si>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</si>
  <si>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</si>
  <si>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</si>
  <si>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</si>
  <si>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</si>
  <si>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</si>
  <si>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</si>
  <si>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</si>
  <si>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</si>
  <si>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</si>
  <si>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</si>
  <si>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</si>
  <si>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</si>
  <si>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</si>
  <si>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</si>
  <si>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</si>
  <si>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</si>
  <si>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</si>
  <si>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</si>
  <si>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</si>
  <si>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</si>
  <si>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</si>
  <si>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</si>
  <si>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</si>
  <si>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</si>
  <si>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</si>
  <si>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</si>
  <si>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</si>
  <si>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</si>
  <si>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</si>
  <si>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</si>
  <si>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</si>
  <si>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</si>
  <si>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</si>
  <si>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</si>
  <si>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</si>
  <si>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</si>
  <si>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</si>
  <si>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</si>
  <si>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</si>
  <si>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</si>
  <si>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</si>
  <si>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</si>
  <si>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</si>
  <si>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</si>
  <si>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</si>
  <si>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</si>
  <si>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</si>
  <si>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</si>
  <si>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</si>
  <si>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</si>
  <si>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</si>
  <si>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</si>
  <si>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</si>
  <si>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</si>
  <si>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</si>
  <si>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</si>
  <si>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</si>
  <si>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</si>
  <si>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</si>
  <si>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</si>
  <si>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</si>
  <si>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</si>
  <si>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</si>
  <si>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</si>
  <si>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</si>
  <si>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</si>
  <si>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</si>
  <si>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</si>
  <si>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</si>
  <si>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</si>
  <si>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</si>
  <si>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</si>
  <si>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</si>
  <si>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</si>
  <si>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</si>
  <si>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</si>
  <si>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</si>
  <si>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</si>
  <si>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</si>
  <si>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</si>
  <si>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</si>
  <si>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</si>
  <si>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</si>
  <si>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</si>
  <si>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</si>
  <si>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</si>
  <si>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</si>
  <si>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</si>
  <si>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</si>
  <si>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</si>
  <si>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</si>
  <si>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</si>
  <si>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</si>
  <si>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</si>
  <si>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</si>
  <si>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</si>
  <si>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</si>
  <si>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</si>
  <si>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</si>
  <si>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</si>
  <si>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</si>
  <si>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</si>
  <si>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</si>
  <si>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</si>
  <si>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</si>
  <si>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</si>
  <si>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</si>
  <si>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</si>
  <si>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</si>
  <si>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</si>
  <si>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</si>
  <si>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</si>
  <si>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</si>
  <si>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</si>
  <si>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</si>
  <si>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</si>
  <si>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</si>
  <si>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</si>
  <si>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</si>
  <si>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</si>
  <si>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</si>
  <si>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</si>
  <si>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</si>
  <si>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</si>
  <si>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</si>
  <si>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</si>
  <si>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</si>
  <si>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</si>
  <si>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</si>
  <si>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</si>
  <si>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</si>
  <si>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</si>
  <si>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</si>
  <si>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</si>
  <si>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</si>
  <si>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</si>
  <si>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</si>
  <si>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</si>
  <si>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</si>
  <si>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</si>
  <si>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</si>
  <si>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</si>
  <si>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</si>
  <si>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</si>
  <si>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</si>
  <si>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</si>
  <si>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</si>
  <si>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</si>
  <si>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</si>
  <si>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</si>
  <si>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</si>
  <si>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</si>
  <si>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</si>
  <si>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</si>
  <si>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</si>
  <si>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</si>
  <si>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</si>
  <si>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</si>
  <si>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</si>
  <si>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</si>
  <si>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</si>
  <si>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</si>
  <si>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</si>
  <si>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</si>
  <si>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</si>
  <si>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</si>
  <si>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</si>
  <si>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</si>
  <si>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</si>
  <si>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</si>
  <si>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</si>
  <si>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</si>
  <si>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</si>
  <si>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</si>
  <si>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</si>
  <si>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</si>
  <si>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</si>
  <si>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</si>
  <si>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</si>
  <si>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</si>
  <si>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</si>
  <si>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</si>
  <si>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</si>
  <si>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</si>
  <si>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</si>
  <si>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</si>
  <si>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</si>
  <si>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</si>
  <si>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</si>
  <si>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</si>
  <si>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</si>
  <si>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</si>
  <si>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</si>
  <si>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</si>
  <si>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</si>
  <si>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</si>
  <si>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</si>
  <si>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</si>
  <si>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</si>
  <si>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</si>
  <si>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</si>
  <si>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</si>
  <si>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</si>
  <si>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</si>
  <si>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</si>
  <si>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</si>
  <si>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</si>
  <si>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</si>
  <si>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</si>
  <si>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</si>
  <si>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</si>
  <si>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</si>
  <si>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</si>
  <si>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</si>
  <si>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</si>
  <si>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</si>
  <si>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</si>
  <si>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</si>
  <si>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</si>
  <si>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</si>
  <si>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</si>
  <si>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</si>
  <si>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</si>
  <si>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</si>
  <si>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</si>
  <si>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</si>
  <si>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</si>
  <si>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</si>
  <si>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</si>
  <si>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</si>
  <si>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</si>
  <si>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</si>
  <si>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</si>
  <si>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</si>
  <si>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</si>
  <si>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</si>
  <si>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</si>
  <si>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</si>
  <si>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</si>
  <si>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</si>
  <si>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</si>
  <si>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</si>
  <si>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</si>
  <si>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</si>
  <si>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</si>
  <si>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</si>
  <si>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</si>
  <si>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</si>
  <si>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</si>
  <si>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</si>
  <si>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</si>
  <si>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</si>
  <si>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</si>
  <si>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</si>
  <si>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</si>
  <si>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</si>
  <si>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</si>
  <si>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</si>
  <si>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</si>
  <si>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</si>
  <si>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</si>
  <si>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</si>
  <si>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</si>
  <si>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</si>
  <si>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</si>
  <si>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</si>
  <si>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</si>
  <si>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</si>
  <si>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</si>
  <si>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</si>
  <si>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</si>
  <si>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</si>
  <si>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</si>
  <si>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</si>
  <si>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</si>
  <si>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</si>
  <si>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</si>
  <si>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</si>
  <si>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</si>
  <si>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</si>
  <si>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</si>
  <si>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</si>
  <si>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</si>
  <si>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</si>
  <si>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</si>
  <si>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</si>
  <si>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</si>
  <si>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</si>
  <si>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</si>
  <si>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</si>
  <si>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</si>
  <si>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</si>
  <si>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</si>
  <si>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</si>
  <si>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</si>
  <si>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</si>
  <si>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</si>
  <si>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</si>
  <si>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</si>
  <si>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</si>
  <si>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</si>
  <si>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</si>
  <si>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</si>
  <si>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</si>
  <si>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</si>
  <si>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</si>
  <si>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</si>
  <si>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</si>
  <si>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</si>
  <si>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</si>
  <si>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</si>
  <si>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</si>
  <si>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</si>
  <si>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</si>
  <si>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</si>
  <si>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</si>
  <si>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</si>
  <si>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</si>
  <si>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</si>
  <si>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</si>
  <si>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</si>
  <si>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</si>
  <si>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</si>
  <si>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</si>
  <si>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</si>
  <si>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</si>
  <si>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</si>
  <si>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</si>
  <si>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</si>
  <si>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</si>
  <si>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</si>
  <si>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</si>
  <si>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</si>
  <si>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</si>
  <si>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</si>
  <si>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</si>
  <si>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</si>
  <si>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</si>
  <si>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</si>
  <si>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</si>
  <si>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</si>
  <si>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</si>
  <si>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</si>
  <si>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</si>
  <si>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</si>
  <si>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</si>
  <si>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</si>
  <si>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</si>
  <si>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</si>
  <si>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</si>
  <si>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</si>
  <si>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</si>
  <si>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</si>
  <si>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</si>
  <si>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</si>
  <si>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</si>
  <si>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</si>
  <si>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</si>
  <si>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</si>
  <si>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</si>
  <si>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</si>
  <si>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</si>
  <si>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</si>
  <si>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</si>
  <si>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</si>
  <si>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</si>
  <si>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</si>
  <si>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</si>
  <si>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</si>
  <si>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</si>
  <si>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</si>
  <si>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</si>
  <si>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</si>
  <si>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</si>
  <si>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</si>
  <si>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</si>
  <si>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</si>
  <si>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</si>
  <si>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</si>
  <si>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</si>
  <si>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</si>
  <si>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</si>
  <si>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</si>
  <si>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</si>
  <si>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</si>
  <si>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</si>
  <si>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</si>
  <si>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</si>
  <si>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</si>
  <si>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</si>
  <si>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</si>
  <si>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</si>
  <si>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</si>
  <si>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</si>
  <si>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</si>
  <si>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</si>
  <si>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</si>
  <si>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</si>
  <si>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</si>
  <si>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</si>
  <si>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</si>
  <si>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</si>
  <si>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</si>
  <si>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</si>
  <si>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</si>
  <si>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</si>
  <si>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</si>
  <si>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</si>
  <si>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</si>
  <si>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</si>
  <si>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</si>
  <si>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</si>
  <si>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</si>
  <si>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</si>
  <si>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</si>
  <si>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</si>
  <si>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</si>
  <si>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</si>
  <si>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</si>
  <si>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</si>
  <si>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</si>
  <si>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</si>
  <si>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</si>
  <si>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</si>
  <si>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</si>
  <si>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</si>
  <si>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</si>
  <si>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</si>
  <si>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</si>
  <si>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</si>
  <si>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</si>
  <si>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</si>
  <si>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</si>
  <si>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</si>
  <si>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</si>
  <si>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</si>
  <si>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</si>
  <si>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</si>
  <si>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</si>
  <si>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</si>
  <si>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</si>
  <si>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</si>
  <si>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</si>
  <si>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</si>
  <si>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</si>
  <si>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</si>
  <si>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</si>
  <si>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</si>
  <si>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</si>
  <si>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</si>
  <si>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</si>
  <si>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</si>
  <si>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</si>
  <si>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</si>
  <si>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</si>
  <si>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</si>
  <si>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</si>
  <si>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</si>
  <si>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</si>
  <si>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</si>
  <si>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</si>
  <si>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</si>
  <si>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</si>
  <si>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</si>
  <si>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</si>
  <si>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</si>
  <si>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</si>
  <si>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</si>
  <si>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</si>
  <si>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</si>
  <si>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</si>
  <si>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</si>
  <si>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</si>
  <si>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</si>
  <si>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</si>
  <si>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</si>
  <si>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</si>
  <si>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</si>
  <si>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</si>
  <si>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</si>
  <si>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</si>
  <si>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</si>
  <si>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</si>
  <si>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</si>
  <si>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</si>
  <si>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</si>
  <si>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</si>
  <si>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</si>
  <si>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</si>
  <si>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</si>
  <si>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</si>
  <si>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</si>
  <si>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</si>
  <si>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</si>
  <si>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</si>
  <si>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</si>
  <si>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</si>
  <si>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</si>
  <si>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</si>
  <si>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</si>
  <si>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</si>
  <si>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</si>
  <si>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</si>
  <si>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</si>
  <si>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</si>
  <si>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</si>
  <si>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</si>
  <si>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</si>
  <si>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</si>
  <si>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</si>
  <si>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</si>
  <si>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</si>
  <si>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</si>
  <si>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</si>
  <si>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</si>
  <si>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</si>
  <si>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</si>
  <si>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</si>
  <si>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</si>
  <si>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</si>
  <si>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</si>
  <si>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</si>
  <si>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</si>
  <si>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</si>
  <si>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</si>
  <si>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</si>
  <si>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</si>
  <si>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</si>
  <si>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</si>
  <si>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</si>
  <si>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</si>
  <si>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</si>
  <si>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</si>
  <si>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</si>
  <si>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</si>
  <si>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</si>
  <si>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</si>
  <si>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</si>
  <si>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</si>
  <si>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</si>
  <si>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</si>
  <si>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</si>
  <si>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</si>
  <si>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</si>
  <si>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</si>
  <si>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</si>
  <si>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</si>
  <si>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</si>
  <si>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</si>
  <si>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</si>
  <si>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</si>
  <si>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</si>
  <si>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</si>
  <si>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</si>
  <si>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</si>
  <si>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</si>
  <si>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</si>
  <si>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</si>
  <si>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</si>
  <si>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</si>
  <si>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</si>
  <si>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</si>
  <si>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</si>
  <si>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</si>
  <si>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</si>
  <si>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</si>
  <si>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</si>
  <si>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</si>
  <si>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</si>
  <si>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</si>
  <si>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</si>
  <si>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</si>
  <si>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</si>
  <si>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</si>
  <si>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</si>
  <si>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</si>
  <si>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</si>
  <si>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</si>
  <si>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</si>
  <si>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</si>
  <si>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</si>
  <si>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</si>
  <si>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</si>
  <si>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</si>
  <si>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</si>
  <si>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</si>
  <si>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</si>
  <si>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</si>
  <si>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</si>
  <si>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</si>
  <si>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</si>
  <si>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</si>
  <si>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</si>
  <si>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</si>
  <si>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</si>
  <si>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</si>
  <si>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</si>
  <si>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</si>
  <si>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</si>
  <si>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</si>
  <si>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</si>
  <si>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</si>
  <si>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</si>
  <si>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</si>
  <si>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</si>
  <si>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</si>
  <si>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</si>
  <si>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</si>
  <si>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</si>
  <si>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</si>
  <si>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</si>
  <si>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</si>
  <si>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</si>
  <si>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</si>
  <si>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</si>
  <si>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</si>
  <si>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</si>
  <si>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</si>
  <si>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</si>
  <si>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</si>
  <si>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</si>
  <si>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</si>
  <si>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</si>
  <si>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</si>
  <si>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</si>
  <si>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</si>
  <si>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</si>
  <si>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</si>
  <si>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</si>
  <si>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</si>
  <si>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</si>
  <si>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</si>
  <si>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</si>
  <si>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</si>
  <si>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</si>
  <si>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</si>
  <si>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</si>
  <si>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</si>
  <si>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</si>
  <si>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</si>
  <si>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</si>
  <si>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</si>
  <si>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</si>
  <si>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</si>
  <si>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</si>
  <si>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</si>
  <si>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</si>
  <si>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</si>
  <si>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</si>
  <si>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</si>
  <si>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</si>
  <si>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</si>
  <si>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</si>
  <si>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</si>
  <si>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</si>
  <si>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</si>
  <si>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</si>
  <si>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</si>
  <si>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</si>
  <si>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</si>
  <si>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</si>
  <si>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</si>
  <si>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</si>
  <si>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</si>
  <si>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</si>
  <si>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</si>
  <si>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</si>
  <si>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</si>
  <si>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</si>
  <si>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</si>
  <si>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</si>
  <si>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</si>
  <si>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</si>
  <si>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</si>
  <si>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</si>
  <si>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</si>
  <si>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</si>
  <si>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</si>
  <si>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</si>
  <si>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</si>
  <si>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</si>
  <si>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</si>
  <si>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</si>
  <si>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</si>
  <si>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</si>
  <si>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</si>
  <si>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</si>
  <si>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</si>
  <si>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</si>
  <si>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</si>
  <si>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</si>
  <si>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</si>
  <si>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</si>
  <si>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</si>
  <si>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</si>
  <si>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</si>
  <si>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</si>
  <si>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</si>
  <si>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</si>
  <si>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</si>
  <si>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</si>
  <si>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</si>
  <si>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</si>
  <si>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</si>
  <si>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</si>
  <si>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</si>
  <si>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</si>
  <si>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</si>
  <si>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</si>
  <si>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</si>
  <si>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</si>
  <si>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</si>
  <si>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</si>
  <si>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</si>
  <si>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</si>
  <si>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</si>
  <si>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</si>
  <si>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</si>
  <si>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</si>
  <si>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</si>
  <si>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</si>
  <si>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</si>
  <si>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</si>
  <si>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</si>
  <si>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</si>
  <si>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</si>
  <si>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</si>
  <si>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</si>
  <si>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</si>
  <si>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</si>
  <si>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</si>
  <si>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</si>
  <si>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</si>
  <si>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</si>
  <si>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</si>
  <si>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</si>
  <si>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</si>
  <si>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</si>
  <si>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</si>
  <si>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</si>
  <si>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</si>
  <si>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</si>
  <si>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</si>
  <si>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</si>
  <si>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</si>
  <si>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</si>
  <si>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</si>
  <si>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</si>
  <si>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</si>
  <si>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</si>
  <si>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</si>
  <si>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</si>
  <si>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</si>
  <si>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</si>
  <si>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</si>
  <si>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</si>
  <si>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</si>
  <si>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</si>
  <si>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</si>
  <si>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</si>
  <si>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</si>
  <si>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</si>
  <si>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</si>
  <si>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</si>
  <si>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</si>
  <si>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</si>
  <si>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</si>
  <si>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</si>
  <si>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</si>
  <si>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</si>
  <si>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</si>
  <si>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</si>
  <si>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</si>
  <si>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</si>
  <si>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</si>
  <si>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</si>
  <si>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</si>
  <si>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</si>
  <si>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</si>
  <si>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</si>
  <si>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</si>
  <si>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</si>
  <si>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</si>
  <si>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</si>
  <si>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</si>
  <si>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</si>
  <si>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</si>
  <si>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</si>
  <si>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</si>
  <si>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</si>
  <si>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</si>
  <si>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</si>
  <si>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</si>
  <si>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</si>
  <si>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</si>
  <si>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</si>
  <si>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</si>
  <si>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</si>
  <si>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</si>
  <si>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</si>
  <si>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</si>
  <si>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</si>
  <si>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</si>
  <si>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</si>
  <si>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</si>
  <si>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</si>
  <si>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</si>
  <si>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</si>
  <si>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</si>
  <si>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</si>
  <si>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</si>
  <si>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</si>
  <si>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</si>
  <si>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</si>
  <si>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</si>
  <si>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</si>
  <si>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</si>
  <si>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</si>
  <si>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</si>
  <si>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</si>
  <si>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</si>
  <si>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</si>
  <si>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</si>
  <si>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</si>
  <si>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</si>
  <si>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</si>
  <si>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</si>
  <si>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</si>
  <si>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</si>
  <si>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</si>
  <si>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</si>
  <si>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</si>
  <si>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</si>
  <si>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</si>
  <si>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</si>
  <si>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</si>
  <si>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</si>
  <si>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</si>
  <si>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</si>
  <si>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</si>
  <si>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</si>
  <si>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</si>
  <si>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</si>
  <si>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</si>
  <si>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</si>
  <si>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</si>
  <si>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</si>
  <si>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</si>
  <si>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</si>
  <si>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</si>
  <si>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</si>
  <si>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</si>
  <si>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</si>
  <si>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</si>
  <si>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</si>
  <si>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</si>
  <si>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</si>
  <si>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</si>
  <si>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</si>
  <si>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</si>
  <si>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</si>
  <si>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</si>
  <si>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</si>
  <si>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</si>
  <si>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</si>
  <si>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</si>
  <si>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</si>
  <si>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</si>
  <si>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</si>
  <si>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</si>
  <si>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</si>
  <si>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</si>
  <si>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</si>
  <si>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</si>
  <si>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</si>
  <si>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</si>
  <si>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</si>
  <si>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</si>
  <si>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</si>
  <si>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</si>
  <si>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</si>
  <si>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</si>
  <si>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</si>
  <si>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</si>
  <si>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</si>
  <si>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</si>
  <si>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</si>
  <si>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</si>
  <si>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</si>
  <si>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</si>
  <si>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</si>
  <si>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</si>
  <si>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</si>
  <si>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</si>
  <si>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</si>
  <si>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</si>
  <si>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</si>
  <si>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</si>
  <si>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</si>
  <si>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</si>
  <si>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</si>
  <si>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</si>
  <si>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</si>
  <si>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</si>
  <si>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</si>
  <si>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</si>
  <si>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</si>
  <si>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</si>
  <si>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</si>
  <si>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</si>
  <si>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</si>
  <si>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</si>
  <si>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</si>
  <si>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</si>
  <si>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</si>
  <si>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</si>
  <si>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</si>
  <si>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</si>
  <si>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</si>
  <si>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</si>
  <si>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</si>
  <si>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</si>
  <si>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</si>
  <si>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</si>
  <si>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</si>
  <si>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</si>
  <si>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</si>
  <si>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</si>
  <si>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</si>
  <si>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</si>
  <si>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</si>
  <si>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</si>
  <si>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</si>
  <si>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</si>
  <si>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</si>
  <si>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</si>
  <si>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</si>
  <si>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</si>
  <si>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</si>
  <si>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</si>
  <si>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</si>
  <si>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</si>
  <si>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</si>
  <si>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</si>
  <si>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</si>
  <si>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</si>
  <si>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</si>
  <si>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</si>
  <si>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</si>
  <si>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</si>
  <si>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</si>
  <si>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</si>
  <si>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</si>
  <si>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</si>
  <si>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</si>
  <si>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</si>
  <si>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</si>
  <si>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</si>
  <si>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</si>
  <si>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</si>
  <si>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</si>
  <si>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</si>
  <si>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</si>
  <si>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</si>
  <si>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</si>
  <si>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</si>
  <si>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</si>
  <si>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</si>
  <si>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</si>
  <si>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</si>
  <si>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</si>
  <si>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</si>
  <si>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</si>
  <si>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</si>
  <si>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</si>
  <si>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</si>
  <si>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</si>
  <si>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</si>
  <si>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</si>
  <si>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</si>
  <si>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</si>
  <si>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</si>
  <si>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</si>
  <si>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</si>
  <si>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</si>
  <si>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</si>
  <si>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</si>
  <si>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</si>
  <si>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</si>
  <si>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</si>
  <si>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</si>
  <si>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</si>
  <si>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</si>
  <si>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</si>
  <si>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</si>
  <si>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</si>
  <si>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</si>
  <si>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</si>
  <si>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</si>
  <si>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</si>
  <si>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</si>
  <si>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</si>
  <si>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</si>
  <si>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</si>
  <si>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</si>
  <si>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</si>
  <si>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</si>
  <si>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</si>
  <si>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</si>
  <si>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</si>
  <si>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</si>
  <si>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</si>
  <si>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</si>
  <si>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</si>
  <si>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</si>
  <si>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</si>
  <si>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</si>
  <si>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</si>
  <si>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</si>
  <si>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</si>
  <si>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</si>
  <si>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DData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</si>
  <si>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</si>
  <si>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</si>
  <si>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</si>
  <si>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</si>
  <si>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</si>
  <si>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</si>
  <si>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</si>
  <si>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</si>
  <si>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</si>
  <si>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</si>
  <si>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</si>
  <si>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</si>
  <si>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</si>
  <si>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</si>
  <si>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</si>
  <si>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</si>
  <si>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</si>
  <si>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</si>
  <si>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</si>
  <si>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</si>
  <si>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</si>
  <si>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ePlus DData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</si>
  <si>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</si>
  <si>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</si>
  <si>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</si>
  <si>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</si>
  <si>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</si>
  <si>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</si>
  <si>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</si>
  <si>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</si>
  <si>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</si>
  <si>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</si>
  <si>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</si>
  <si>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</si>
  <si>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</si>
  <si>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</si>
  <si>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</si>
  <si>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</si>
  <si>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</si>
  <si>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</si>
  <si>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</si>
  <si>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</si>
  <si>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</si>
  <si>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</si>
  <si>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</si>
  <si>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</si>
  <si>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hasMany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</si>
  <si>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</si>
  <si>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</si>
  <si>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</si>
  <si>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</si>
  <si>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</si>
  <si>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</si>
  <si>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</si>
  <si>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</si>
  <si>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</si>
  <si>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</si>
  <si>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</si>
  <si>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</si>
  <si>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</si>
  <si>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</si>
  <si>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</si>
  <si>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</si>
  <si>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</si>
  <si>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</si>
  <si>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</si>
  <si>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</si>
  <si>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</si>
  <si>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</si>
  <si>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</si>
  <si>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</si>
  <si>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</si>
  <si>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</si>
  <si>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</si>
  <si>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</si>
  <si>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</si>
  <si>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</si>
  <si>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</si>
  <si>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</si>
  <si>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</si>
  <si>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</si>
  <si>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</si>
  <si>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</si>
  <si>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</si>
  <si>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</si>
  <si>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</si>
  <si>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</si>
  <si>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</si>
  <si>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</si>
  <si>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</si>
  <si>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</si>
  <si>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</si>
  <si>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</si>
  <si>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</si>
  <si>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</si>
  <si>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</si>
  <si>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</si>
  <si>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</si>
  <si>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</si>
  <si>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</si>
  <si>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</si>
  <si>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</si>
  <si>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</si>
  <si>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</si>
  <si>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</si>
  <si>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</si>
  <si>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</si>
  <si>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</si>
  <si>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</si>
  <si>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</si>
  <si>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</si>
  <si>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</si>
  <si>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</si>
  <si>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</si>
  <si>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</si>
  <si>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</si>
  <si>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</si>
  <si>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</si>
  <si>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</si>
  <si>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</si>
  <si>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</si>
  <si>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</si>
  <si>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</si>
  <si>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</si>
  <si>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</si>
  <si>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</si>
  <si>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</si>
  <si>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</si>
  <si>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</si>
  <si>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</si>
  <si>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</si>
  <si>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</si>
  <si>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</si>
  <si>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</si>
  <si>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</si>
  <si>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</si>
  <si>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</si>
  <si>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</si>
  <si>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</si>
  <si>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</si>
  <si>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</si>
  <si>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</si>
  <si>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</si>
  <si>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</si>
  <si>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</si>
  <si>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</si>
  <si>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</si>
  <si>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</si>
  <si>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</si>
  <si>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</si>
  <si>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</si>
  <si>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</si>
  <si>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</si>
  <si>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</si>
  <si>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</si>
  <si>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</si>
  <si>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</si>
  <si>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</si>
  <si>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</si>
  <si>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</si>
  <si>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</si>
  <si>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</si>
  <si>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</si>
  <si>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</si>
  <si>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</si>
  <si>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</si>
  <si>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</si>
  <si>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</si>
  <si>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</si>
  <si>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</si>
  <si>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</si>
  <si>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</si>
  <si>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</si>
  <si>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</si>
  <si>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</si>
  <si>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</si>
  <si>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</si>
  <si>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</si>
  <si>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</si>
  <si>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</si>
  <si>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</si>
  <si>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</si>
  <si>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</si>
  <si>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</si>
  <si>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</si>
  <si>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</si>
  <si>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</si>
  <si>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</si>
  <si>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</si>
  <si>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</si>
  <si>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</si>
  <si>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</si>
  <si>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</si>
  <si>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</si>
  <si>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</si>
  <si>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</si>
  <si>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</si>
  <si>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</si>
  <si>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</si>
  <si>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</si>
  <si>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</si>
  <si>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</si>
  <si>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</si>
  <si>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</si>
  <si>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</si>
  <si>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</si>
  <si>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</si>
  <si>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</si>
  <si>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</si>
  <si>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</si>
  <si>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</si>
  <si>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</si>
  <si>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SL1</t>
  </si>
  <si>
    <t>SL2</t>
  </si>
  <si>
    <t>SO1</t>
  </si>
  <si>
    <t>CR1</t>
  </si>
  <si>
    <t>BR1</t>
  </si>
  <si>
    <t>MT2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</si>
  <si>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</si>
  <si>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</si>
  <si>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</si>
  <si>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</si>
  <si>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</si>
  <si>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</si>
  <si>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</si>
  <si>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</si>
  <si>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</si>
  <si>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</si>
  <si>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</si>
  <si>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</si>
  <si>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</si>
  <si>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</si>
  <si>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</si>
  <si>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</si>
  <si>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</si>
  <si>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</si>
  <si>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</si>
  <si>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</si>
  <si>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</si>
  <si>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</si>
  <si>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</si>
  <si>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</si>
  <si>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</si>
  <si>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</si>
  <si>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</si>
  <si>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</si>
  <si>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</si>
  <si>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</si>
  <si>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</si>
  <si>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</si>
  <si>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</si>
  <si>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</si>
  <si>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</si>
  <si>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</si>
  <si>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</si>
  <si>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</si>
  <si>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</si>
  <si>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</si>
  <si>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</si>
  <si>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</si>
  <si>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</si>
  <si>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</si>
  <si>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</si>
  <si>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</si>
  <si>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</si>
  <si>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</si>
  <si>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</si>
  <si>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</si>
  <si>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</si>
  <si>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</si>
  <si>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</si>
  <si>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</si>
  <si>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</si>
  <si>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</si>
  <si>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</si>
  <si>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</si>
  <si>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</si>
  <si>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</si>
  <si>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</si>
  <si>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</si>
  <si>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</si>
  <si>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</si>
  <si>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</si>
  <si>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</si>
  <si>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</si>
  <si>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</si>
  <si>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</si>
  <si>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</si>
  <si>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</si>
  <si>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</si>
  <si>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</si>
  <si>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</si>
  <si>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</si>
  <si>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</si>
  <si>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</si>
  <si>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</si>
  <si>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</si>
  <si>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</si>
  <si>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</si>
  <si>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</si>
  <si>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</si>
  <si>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</si>
  <si>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</si>
  <si>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</si>
  <si>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</si>
  <si>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</si>
  <si>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</si>
  <si>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</si>
  <si>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</si>
  <si>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</si>
  <si>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</si>
  <si>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</si>
  <si>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</si>
  <si>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</si>
  <si>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</si>
  <si>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</si>
  <si>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</si>
  <si>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</si>
  <si>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</si>
  <si>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</si>
  <si>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</si>
  <si>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</si>
  <si>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</si>
  <si>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</si>
  <si>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</si>
  <si>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</si>
  <si>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</si>
  <si>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</si>
  <si>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</si>
  <si>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</si>
  <si>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</si>
  <si>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</si>
  <si>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</si>
  <si>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</si>
  <si>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</si>
  <si>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</si>
  <si>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</si>
  <si>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</si>
  <si>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</si>
  <si>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</si>
  <si>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</si>
  <si>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</si>
  <si>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</si>
  <si>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</si>
  <si>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</si>
  <si>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</si>
  <si>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</si>
  <si>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</si>
  <si>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</si>
  <si>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</si>
  <si>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</si>
  <si>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</si>
  <si>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</si>
  <si>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</si>
  <si>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</si>
  <si>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</si>
  <si>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</si>
  <si>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</si>
  <si>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</si>
  <si>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</si>
  <si>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</si>
  <si>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</si>
  <si>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</si>
  <si>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</si>
  <si>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</si>
  <si>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</si>
  <si>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</si>
  <si>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</si>
  <si>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</si>
  <si>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</si>
  <si>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</si>
  <si>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</si>
  <si>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Function code used in sales form B2C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</si>
  <si>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</si>
  <si>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</si>
  <si>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</si>
  <si>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</si>
  <si>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</si>
  <si>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</si>
  <si>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</si>
  <si>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</si>
  <si>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</si>
  <si>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</si>
  <si>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</si>
  <si>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</si>
  <si>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</si>
  <si>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</si>
  <si>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</si>
  <si>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</si>
  <si>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</si>
  <si>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</si>
  <si>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</si>
  <si>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</si>
  <si>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</si>
  <si>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</si>
  <si>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</si>
  <si>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</si>
  <si>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</si>
  <si>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</si>
  <si>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</si>
  <si>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</si>
  <si>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</si>
  <si>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</si>
  <si>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</si>
  <si>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</si>
  <si>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</si>
  <si>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</si>
  <si>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</si>
  <si>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</si>
  <si>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</si>
  <si>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</si>
  <si>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Purchase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</si>
  <si>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</si>
  <si>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</si>
  <si>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</si>
  <si>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</si>
  <si>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SALESB2BFNCODE</t>
  </si>
  <si>
    <t>SALESB2CFNCODE</t>
  </si>
  <si>
    <t>SALESRETURNFNCODE</t>
  </si>
  <si>
    <t>SALESORDERFNCODE</t>
  </si>
  <si>
    <t>CASHRECEIPTFNCODE</t>
  </si>
  <si>
    <t>CHEQUERECEIPTFNCODE</t>
  </si>
  <si>
    <t>STOCKTRANSFERINFNCODE</t>
  </si>
  <si>
    <t>STOCKTRANSFEROUTFNCODE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</si>
  <si>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</si>
  <si>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</si>
  <si>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</si>
  <si>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</si>
  <si>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</si>
  <si>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</si>
  <si>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</si>
  <si>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</si>
  <si>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</si>
  <si>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</si>
  <si>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</si>
  <si>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2019_03_28_000047_create_settings_table.php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</si>
  <si>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</si>
  <si>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</si>
  <si>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</si>
  <si>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</si>
  <si>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</si>
  <si>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</si>
  <si>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</si>
  <si>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</si>
  <si>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</si>
  <si>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</si>
  <si>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</si>
  <si>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</si>
  <si>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</si>
  <si>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</si>
  <si>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</si>
  <si>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</si>
  <si>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</si>
  <si>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</si>
  <si>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</si>
  <si>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</si>
  <si>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</si>
  <si>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SR1</t>
  </si>
  <si>
    <t>sales_order_sales</t>
  </si>
  <si>
    <t>foreign_transaction_null</t>
  </si>
  <si>
    <t>sos_sale_quantity</t>
  </si>
  <si>
    <t>sale_quantity</t>
  </si>
  <si>
    <t>SalesOrderSale</t>
  </si>
  <si>
    <t>Sales which done on Sales Order</t>
  </si>
  <si>
    <t>Sales Order Sales</t>
  </si>
  <si>
    <t>Sales order details</t>
  </si>
  <si>
    <t>Detail of transaction</t>
  </si>
  <si>
    <t>AssignedCustomerSalesOrder</t>
  </si>
  <si>
    <t>The records of sales order in which sales order belongs to any assigned customer</t>
  </si>
  <si>
    <t>assignedCustomerSalesOrder</t>
  </si>
  <si>
    <t>default ('Item Serial')</t>
  </si>
  <si>
    <t>default('Storage Bin')</t>
  </si>
  <si>
    <t>category</t>
  </si>
  <si>
    <t>function_category</t>
  </si>
  <si>
    <t>function_wtype</t>
  </si>
  <si>
    <t>wtype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</si>
  <si>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</si>
  <si>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</si>
  <si>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</si>
  <si>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</si>
  <si>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</si>
  <si>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</si>
  <si>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</si>
  <si>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</si>
  <si>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</si>
  <si>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</si>
  <si>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</si>
  <si>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</si>
  <si>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</si>
  <si>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</si>
  <si>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</si>
  <si>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</si>
  <si>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</si>
  <si>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</si>
  <si>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</si>
  <si>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Detail of Transaction of a Stock product transaction</t>
  </si>
  <si>
    <t>sTPending</t>
  </si>
  <si>
    <t>PendingStockTransfer</t>
  </si>
  <si>
    <t>pending</t>
  </si>
  <si>
    <t>PendingStockTransferOut</t>
  </si>
  <si>
    <t>The store product transaction of a pending stock transfer out</t>
  </si>
  <si>
    <t>pendingSTOut</t>
  </si>
  <si>
    <t>StockTransferPending</t>
  </si>
  <si>
    <t>currency</t>
  </si>
  <si>
    <t>taxfactor02</t>
  </si>
  <si>
    <t>subtaxfactor02</t>
  </si>
  <si>
    <t>Stock transfers which are pending</t>
  </si>
  <si>
    <t>The transactions which are all pending stock transfer</t>
  </si>
  <si>
    <t>product_group_master</t>
  </si>
  <si>
    <t>list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</si>
  <si>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</si>
  <si>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</si>
  <si>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</si>
  <si>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</si>
  <si>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</si>
  <si>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</si>
  <si>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</si>
  <si>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</si>
  <si>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</si>
  <si>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</si>
  <si>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function_list</t>
  </si>
  <si>
    <t>default('01')</t>
  </si>
  <si>
    <t>product_groups</t>
  </si>
  <si>
    <t>ProductGroupMaster</t>
  </si>
  <si>
    <t>ProductGroups</t>
  </si>
  <si>
    <t>2019_03_28_000048_create_fiscalyearmaster_table.php</t>
  </si>
  <si>
    <t>2019_03_28_000049_create_functiondetails_table.php</t>
  </si>
  <si>
    <t>2019_03_28_000050_create_products_table.php</t>
  </si>
  <si>
    <t>2019_03_28_000051_create_pricelist_table.php</t>
  </si>
  <si>
    <t>2019_03_28_000052_create_pricelist_products_table.php</t>
  </si>
  <si>
    <t>2019_03_28_000053_create_stores_table.php</t>
  </si>
  <si>
    <t>2019_03_28_000054_create_areas_table.php</t>
  </si>
  <si>
    <t>2019_03_28_000055_create_area_users_table.php</t>
  </si>
  <si>
    <t>2019_03_28_000056_create_user_settings_table.php</t>
  </si>
  <si>
    <t>2019_03_28_000057_create_user_store_area_table.php</t>
  </si>
  <si>
    <t>2019_03_28_000058_create_store_products_table.php</t>
  </si>
  <si>
    <t>2019_03_28_000059_create_product_transaction_natures_table.php</t>
  </si>
  <si>
    <t>2019_03_28_000060_create_product_transaction_types_table.php</t>
  </si>
  <si>
    <t>2019_03_28_000061_create_store_product_transactions_table.php</t>
  </si>
  <si>
    <t>2019_03_28_000062_create_transactions_table.php</t>
  </si>
  <si>
    <t>2019_03_28_000063_create_transaction_details_table.php</t>
  </si>
  <si>
    <t>2019_03_28_000064_create_d_data_table.php</t>
  </si>
  <si>
    <t>2019_03_28_000065_create_sales_order_table.php</t>
  </si>
  <si>
    <t>2019_03_28_000066_create_sales_order_items_table.php</t>
  </si>
  <si>
    <t>2019_03_28_000067_create_stock_transfer_table.php</t>
  </si>
  <si>
    <t>2019_03_28_000068_create_receipts_table.php</t>
  </si>
  <si>
    <t>2019_03_28_000069_create_fn_reserves_table.php</t>
  </si>
  <si>
    <t>2019_03_28_000070_create_sales_order_sales_table.php</t>
  </si>
  <si>
    <t>2019_03_28_000071_create_w_bin_table.php</t>
  </si>
  <si>
    <t>2019_09_10_120358_create_product_group_master_table.php</t>
  </si>
  <si>
    <t>2019_09_10_122429_create_product_groups_table.php</t>
  </si>
  <si>
    <t>taxcode02</t>
  </si>
  <si>
    <t>taxfactor01</t>
  </si>
  <si>
    <t>subtaxfactor01</t>
  </si>
  <si>
    <t>taxcode01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</si>
</sst>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4" totalsRowShown="0" dataDxfId="476">
  <autoFilter ref="A1:J74"/>
  <tableColumns count="10">
    <tableColumn id="2" name="Name" dataDxfId="475"/>
    <tableColumn id="10" name="Table" dataDxfId="474">
      <calculatedColumnFormula>Tables[Name]</calculatedColumnFormula>
    </tableColumn>
    <tableColumn id="5" name="Singular Name" dataDxfId="473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72">
      <calculatedColumnFormula>"Milestone\SS\Model"</calculatedColumnFormula>
    </tableColumn>
    <tableColumn id="4" name="Class Name" dataDxfId="471">
      <calculatedColumnFormula>SUBSTITUTE(PROPER(Tables[Singular Name]),"_","")</calculatedColumnFormula>
    </tableColumn>
    <tableColumn id="1" name="Migration Artisan" dataDxfId="470">
      <calculatedColumnFormula>"php artisan make:migration create_"&amp;Tables[Table]&amp;"_table --create="&amp;Tables[Table]</calculatedColumnFormula>
    </tableColumn>
    <tableColumn id="6" name="Model Artisan" dataDxfId="469">
      <calculatedColumnFormula>"php artisan make:model "&amp;Tables[Class Name]</calculatedColumnFormula>
    </tableColumn>
    <tableColumn id="3" name="Model Statement" dataDxfId="468">
      <calculatedColumnFormula>"protected $table = '"&amp;Tables[Table]&amp;"';"</calculatedColumnFormula>
    </tableColumn>
    <tableColumn id="7" name="Seeder Artisan" dataDxfId="467">
      <calculatedColumnFormula>"php artisan make:seed "&amp;Tables[Class Name]&amp;"TableSeeder"</calculatedColumnFormula>
    </tableColumn>
    <tableColumn id="9" name="Seeder Class" dataDxfId="466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59" dataDxfId="358">
  <autoFilter ref="A1:Y33"/>
  <tableColumns count="25">
    <tableColumn id="10" name="Primary" dataDxfId="357">
      <calculatedColumnFormula>'Table Seed Map'!$A$34&amp;"-"&amp;(COUNTA($E$1:ResourceAction[[#This Row],[Resource]])-2)</calculatedColumnFormula>
    </tableColumn>
    <tableColumn id="13" name="Display" dataDxfId="356">
      <calculatedColumnFormula>ResourceAction[[#This Row],[Resource Name]]&amp;"/"&amp;ResourceAction[[#This Row],[Name]]</calculatedColumnFormula>
    </tableColumn>
    <tableColumn id="2" name="Resource Name" dataDxfId="355"/>
    <tableColumn id="11" name="No" dataDxfId="354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53">
      <calculatedColumnFormula>IFERROR(VLOOKUP(ResourceAction[[#This Row],[Resource Name]],ResourceTable[[RName]:[No]],3,0),"resource")</calculatedColumnFormula>
    </tableColumn>
    <tableColumn id="4" name="Name" dataDxfId="352"/>
    <tableColumn id="6" name="Description" dataDxfId="351"/>
    <tableColumn id="7" name="Title" dataDxfId="350"/>
    <tableColumn id="8" name="Type" dataDxfId="349"/>
    <tableColumn id="9" name="Menu" dataDxfId="348"/>
    <tableColumn id="20" name="Primary Method" dataDxfId="347">
      <calculatedColumnFormula>'Table Seed Map'!$A$35&amp;"-"&amp;(COUNTA($E$1:ResourceAction[[#This Row],[Resource]])-2)</calculatedColumnFormula>
    </tableColumn>
    <tableColumn id="12" name="Method ID" dataDxfId="346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45">
      <calculatedColumnFormula>IF(ResourceAction[[#This Row],[No]]="id","resource_action",ResourceAction[[#This Row],[No]])</calculatedColumnFormula>
    </tableColumn>
    <tableColumn id="15" name="Method Type" dataDxfId="344"/>
    <tableColumn id="16" name="IDN 1" dataDxfId="343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42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41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40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39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38"/>
    <tableColumn id="22" name="IDN2" dataDxfId="337"/>
    <tableColumn id="24" name="IDN3" dataDxfId="336"/>
    <tableColumn id="25" name="IDN4" dataDxfId="335"/>
    <tableColumn id="23" name="IDN5" dataDxfId="334"/>
    <tableColumn id="1" name="AID" dataDxfId="333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32" dataDxfId="331">
  <autoFilter ref="AA1:AL19"/>
  <tableColumns count="12">
    <tableColumn id="1" name="Action Name" dataDxfId="330"/>
    <tableColumn id="3" name="Action" dataDxfId="329">
      <calculatedColumnFormula>VLOOKUP(ActionListNData[[#This Row],[Action Name]],ResourceAction[[Display]:[No]],3,0)</calculatedColumnFormula>
    </tableColumn>
    <tableColumn id="5" name="Resource List" dataDxfId="328"/>
    <tableColumn id="6" name="Resource Data" dataDxfId="327"/>
    <tableColumn id="9" name="Primary List" dataDxfId="326">
      <calculatedColumnFormula>'Table Seed Map'!$A$37&amp;"-"&amp;-1+COUNTA($AC$1:ActionListNData[[#This Row],[Resource List]])</calculatedColumnFormula>
    </tableColumn>
    <tableColumn id="10" name="List ID" dataDxfId="325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24">
      <calculatedColumnFormula>ActionListNData[[#This Row],[Action]]</calculatedColumnFormula>
    </tableColumn>
    <tableColumn id="4" name="List" dataDxfId="323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22">
      <calculatedColumnFormula>'Table Seed Map'!$A$38&amp;"-"&amp;-1+COUNTA($AD$1:ActionListNData[[#This Row],[Resource Data]])</calculatedColumnFormula>
    </tableColumn>
    <tableColumn id="12" name="Data ID" dataDxfId="321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20">
      <calculatedColumnFormula>ActionListNData[[#This Row],[Action]]</calculatedColumnFormula>
    </tableColumn>
    <tableColumn id="2" name="Data" dataDxfId="319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18" dataDxfId="317">
  <autoFilter ref="AN1:AS2"/>
  <tableColumns count="6">
    <tableColumn id="1" name="Action Name for Attr" dataDxfId="316"/>
    <tableColumn id="5" name="Primary" dataDxfId="315">
      <calculatedColumnFormula>'Table Seed Map'!$A$36&amp;"-"&amp;(COUNTA($AN$2:ActionAttr[[#This Row],[Action Name for Attr]]))</calculatedColumnFormula>
    </tableColumn>
    <tableColumn id="6" name="No" dataDxfId="314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13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12"/>
    <tableColumn id="3" name="Value" dataDxfId="311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310" dataDxfId="309">
  <autoFilter ref="A1:K8"/>
  <tableColumns count="11">
    <tableColumn id="1" name="Primary" dataDxfId="308">
      <calculatedColumnFormula>'Table Seed Map'!$A$11&amp;"-"&amp;(COUNTA($F$1:ResourceForms[[#This Row],[Resource]])-2)</calculatedColumnFormula>
    </tableColumn>
    <tableColumn id="11" name="FormName" dataDxfId="307">
      <calculatedColumnFormula>ResourceForms[[#This Row],[Resource Name]]&amp;"/"&amp;ResourceForms[[#This Row],[Name]]</calculatedColumnFormula>
    </tableColumn>
    <tableColumn id="10" name="No" dataDxfId="306">
      <calculatedColumnFormula>COUNTA($A$1:ResourceForms[[#This Row],[Primary]])-2</calculatedColumnFormula>
    </tableColumn>
    <tableColumn id="2" name="Resource Name" dataDxfId="305"/>
    <tableColumn id="12" name="ID" dataDxfId="304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03">
      <calculatedColumnFormula>IFERROR(VLOOKUP(ResourceForms[[#This Row],[Resource Name]],ResourceTable[[RName]:[No]],3,0),"resource")</calculatedColumnFormula>
    </tableColumn>
    <tableColumn id="4" name="Name" dataDxfId="302"/>
    <tableColumn id="5" name="Description" dataDxfId="301"/>
    <tableColumn id="6" name="Title" dataDxfId="300"/>
    <tableColumn id="7" name="Action Text" dataDxfId="299"/>
    <tableColumn id="8" name="Form ID" dataDxfId="298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97" dataDxfId="296">
  <autoFilter ref="M1:BA18"/>
  <tableColumns count="41">
    <tableColumn id="23" name="Primary" dataDxfId="295">
      <calculatedColumnFormula>'Table Seed Map'!$A$12&amp;"-"&amp;FormFields[[#This Row],[No]]</calculatedColumnFormula>
    </tableColumn>
    <tableColumn id="1" name="Form Name" totalsRowLabel="Total" dataDxfId="294"/>
    <tableColumn id="44" name="No" dataDxfId="293">
      <calculatedColumnFormula>COUNTA($N$1:FormFields[[#This Row],[Form Name]])-1</calculatedColumnFormula>
    </tableColumn>
    <tableColumn id="24" name="Field Name" dataDxfId="292">
      <calculatedColumnFormula>FormFields[[#This Row],[Form Name]]&amp;"/"&amp;FormFields[[#This Row],[Name]]</calculatedColumnFormula>
    </tableColumn>
    <tableColumn id="11" name="ID" dataDxfId="291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90">
      <calculatedColumnFormula>IFERROR(VLOOKUP(FormFields[[#This Row],[Form Name]],ResourceForms[[FormName]:[ID]],4,0),"resource_form")</calculatedColumnFormula>
    </tableColumn>
    <tableColumn id="3" name="Name" dataDxfId="289"/>
    <tableColumn id="4" name="Type" dataDxfId="288"/>
    <tableColumn id="5" name="Label" dataDxfId="287"/>
    <tableColumn id="6" name="Rel" dataDxfId="286"/>
    <tableColumn id="7" name="Rel1" dataDxfId="285"/>
    <tableColumn id="8" name="Rel2" dataDxfId="284"/>
    <tableColumn id="9" name="Rel3" dataDxfId="283"/>
    <tableColumn id="45" name="Primary FD" dataDxfId="282">
      <calculatedColumnFormula>'Table Seed Map'!$A$13&amp;"-"&amp;FormFields[[#This Row],[NO2]]</calculatedColumnFormula>
    </tableColumn>
    <tableColumn id="46" name="NO2" dataDxfId="281">
      <calculatedColumnFormula>COUNTIFS($AB$1:FormFields[[#This Row],[Exists]],1)-1</calculatedColumnFormula>
    </tableColumn>
    <tableColumn id="49" name="Exists" dataDxfId="280">
      <calculatedColumnFormula>IF(AND(FormFields[[#This Row],[Attribute]]="",FormFields[[#This Row],[Rel]]=""),0,1)</calculatedColumnFormula>
    </tableColumn>
    <tableColumn id="47" name="NO3" dataDxfId="279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78">
      <calculatedColumnFormula>IF(FormFields[[#This Row],[ID]]="id","form_field",FormFields[[#This Row],[ID]])</calculatedColumnFormula>
    </tableColumn>
    <tableColumn id="40" name="Attribute" dataDxfId="277">
      <calculatedColumnFormula>IF(FormFields[[#This Row],[No]]=0,"attribute",FormFields[[#This Row],[Name]])</calculatedColumnFormula>
    </tableColumn>
    <tableColumn id="12" name="Relation" dataDxfId="276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75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74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73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72">
      <calculatedColumnFormula>IF(OR(FormFields[[#This Row],[Option Type]]="",FormFields[[#This Row],[Option Type]]="type"),0,1)</calculatedColumnFormula>
    </tableColumn>
    <tableColumn id="50" name="Primary FO" dataDxfId="271">
      <calculatedColumnFormula>'Table Seed Map'!$A$14&amp;"-"&amp;FormFields[[#This Row],[NO4]]</calculatedColumnFormula>
    </tableColumn>
    <tableColumn id="51" name="NO4" dataDxfId="270">
      <calculatedColumnFormula>COUNTIF($AJ$2:FormFields[[#This Row],[Exists FO]],1)</calculatedColumnFormula>
    </tableColumn>
    <tableColumn id="53" name="NO5" dataDxfId="269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68">
      <calculatedColumnFormula>IF(FormFields[[#This Row],[ID]]="id","form_field",FormFields[[#This Row],[ID]])</calculatedColumnFormula>
    </tableColumn>
    <tableColumn id="18" name="Option Type" dataDxfId="267"/>
    <tableColumn id="19" name="Detail" dataDxfId="266"/>
    <tableColumn id="20" name="Value Attr" dataDxfId="265"/>
    <tableColumn id="21" name="Label Attr" dataDxfId="264"/>
    <tableColumn id="22" name="Preload" dataDxfId="263"/>
    <tableColumn id="67" name="Exists FL" dataDxfId="262">
      <calculatedColumnFormula>IF(OR(FormFields[[#This Row],[Colspan]]="",FormFields[[#This Row],[Colspan]]="colspan"),0,1)</calculatedColumnFormula>
    </tableColumn>
    <tableColumn id="68" name="Primary FL" dataDxfId="261">
      <calculatedColumnFormula>'Table Seed Map'!$A$19&amp;"-"&amp;FormFields[[#This Row],[NO8]]</calculatedColumnFormula>
    </tableColumn>
    <tableColumn id="69" name="NO8" dataDxfId="260">
      <calculatedColumnFormula>COUNTIF($AT$1:FormFields[[#This Row],[Exists FL]],1)</calculatedColumnFormula>
    </tableColumn>
    <tableColumn id="70" name="FL ID" dataDxfId="259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58">
      <calculatedColumnFormula>FormFields[Form]</calculatedColumnFormula>
    </tableColumn>
    <tableColumn id="42" name="Layout Field ID" dataDxfId="257">
      <calculatedColumnFormula>IF(FormFields[[#This Row],[ID]]="id","form_field",FormFields[[#This Row],[ID]])</calculatedColumnFormula>
    </tableColumn>
    <tableColumn id="43" name="Colspan" dataDxfId="256"/>
    <tableColumn id="16" name="Field ID" dataDxfId="255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54" dataDxfId="253">
  <autoFilter ref="BC1:BH6"/>
  <tableColumns count="6">
    <tableColumn id="1" name="ATTR Field" dataDxfId="252"/>
    <tableColumn id="5" name="Primary" dataDxfId="251">
      <calculatedColumnFormula>'Table Seed Map'!$A$15&amp;"-"&amp;(-1+COUNTA($BC$1:FieldAttrs[[#This Row],[ATTR Field]]))</calculatedColumnFormula>
    </tableColumn>
    <tableColumn id="6" name="No" dataDxfId="250">
      <calculatedColumnFormula>IF(FieldAttrs[[#This Row],[ATTR Field]]="","id",-1+COUNTA($BC$1:FieldAttrs[[#This Row],[ATTR Field]])+VLOOKUP('Table Seed Map'!$A$15,SeedMap[],9,0))</calculatedColumnFormula>
    </tableColumn>
    <tableColumn id="4" name="Field" dataDxfId="249">
      <calculatedColumnFormula>IFERROR(VLOOKUP(FieldAttrs[ATTR Field],FormFields[[Field Name]:[ID]],2,0),"form_field")</calculatedColumnFormula>
    </tableColumn>
    <tableColumn id="2" name="Name" dataDxfId="248"/>
    <tableColumn id="3" name="Value" dataDxfId="247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46" dataDxfId="245">
  <autoFilter ref="BJ1:BS5"/>
  <tableColumns count="10">
    <tableColumn id="1" name="Validation Field" dataDxfId="244"/>
    <tableColumn id="10" name="ID No" dataDxfId="243">
      <calculatedColumnFormula>COUNTA($BJ$2:FieldValidations[[#This Row],[Validation Field]])</calculatedColumnFormula>
    </tableColumn>
    <tableColumn id="8" name="Primary" dataDxfId="242">
      <calculatedColumnFormula>'Table Seed Map'!$A$17&amp;"-"&amp;FieldValidations[[#This Row],[ID No]]</calculatedColumnFormula>
    </tableColumn>
    <tableColumn id="9" name="No" dataDxfId="241">
      <calculatedColumnFormula>IF(FieldValidations[[#This Row],[ID No]]=0,"id",FieldValidations[[#This Row],[ID No]]+VLOOKUP('Table Seed Map'!$A$17,SeedMap[],9,0))</calculatedColumnFormula>
    </tableColumn>
    <tableColumn id="7" name="Field" dataDxfId="240">
      <calculatedColumnFormula>VLOOKUP(FieldValidations[Validation Field],FormFields[[Field Name]:[ID]],2,0)</calculatedColumnFormula>
    </tableColumn>
    <tableColumn id="2" name="Rule" dataDxfId="239"/>
    <tableColumn id="3" name="Message" dataDxfId="238"/>
    <tableColumn id="4" name="Arg 1" dataDxfId="237"/>
    <tableColumn id="5" name="Arg 2" dataDxfId="236"/>
    <tableColumn id="6" name="Arg 3" dataDxfId="235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34">
  <autoFilter ref="CF1:CZ2"/>
  <tableColumns count="21">
    <tableColumn id="41" name="No" dataDxfId="233">
      <calculatedColumnFormula>COUNTA($CH$1:FormDefault[[#This Row],[Form for Default]])-1</calculatedColumnFormula>
    </tableColumn>
    <tableColumn id="1" name="Primary" dataDxfId="232">
      <calculatedColumnFormula>'Table Seed Map'!$A$21&amp;"-"&amp;FormDefault[[#This Row],[No]]</calculatedColumnFormula>
    </tableColumn>
    <tableColumn id="2" name="Form for Default" dataDxfId="231"/>
    <tableColumn id="3" name="ID" dataDxfId="230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29">
      <calculatedColumnFormula>IFERROR(VLOOKUP(FormDefault[[#This Row],[Form for Default]],ResourceForms[[FormName]:[ID]],4,0),"resource_form")</calculatedColumnFormula>
    </tableColumn>
    <tableColumn id="4" name="Name" dataDxfId="228"/>
    <tableColumn id="5" name="Value" dataDxfId="227"/>
    <tableColumn id="6" name="Relation" dataDxfId="226">
      <calculatedColumnFormula>IFERROR(VLOOKUP(FormDefault[[#This Row],[R]],RelationTable[[Display]:[RELID]],2,0),"")</calculatedColumnFormula>
    </tableColumn>
    <tableColumn id="7" name="Attribute" dataDxfId="225"/>
    <tableColumn id="20" name="REL1" dataDxfId="224">
      <calculatedColumnFormula>IFERROR(VLOOKUP(FormDefault[[#This Row],[R1]],RelationTable[[Display]:[RELID]],2,0),"")</calculatedColumnFormula>
    </tableColumn>
    <tableColumn id="19" name="REL2" dataDxfId="223">
      <calculatedColumnFormula>IFERROR(VLOOKUP(FormDefault[[#This Row],[R2]],RelationTable[[Display]:[RELID]],2,0),"")</calculatedColumnFormula>
    </tableColumn>
    <tableColumn id="18" name="REL3" dataDxfId="222">
      <calculatedColumnFormula>IFERROR(VLOOKUP(FormDefault[[#This Row],[R3]],RelationTable[[Display]:[RELID]],2,0),"")</calculatedColumnFormula>
    </tableColumn>
    <tableColumn id="13" name="Method" dataDxfId="221"/>
    <tableColumn id="17" name="R" dataDxfId="220"/>
    <tableColumn id="14" name="R1" dataDxfId="219"/>
    <tableColumn id="15" name="R2" dataDxfId="218"/>
    <tableColumn id="16" name="R3" dataDxfId="217"/>
    <tableColumn id="8" name="R12" dataDxfId="216"/>
    <tableColumn id="9" name="R22" dataDxfId="215"/>
    <tableColumn id="10" name="R32" dataDxfId="214"/>
    <tableColumn id="11" name="Method2" dataDxfId="213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12" dataDxfId="211">
  <autoFilter ref="BU1:CD2"/>
  <tableColumns count="10">
    <tableColumn id="1" name="Primary" dataDxfId="210">
      <calculatedColumnFormula>'Table Seed Map'!$A$22&amp;"-"&amp;COUNTA($BV$1:FormCollection[[#This Row],[Main Form for Collection]])-1</calculatedColumnFormula>
    </tableColumn>
    <tableColumn id="2" name="Main Form for Collection" dataDxfId="209"/>
    <tableColumn id="3" name="Collection Form" dataDxfId="208"/>
    <tableColumn id="4" name="Relation" dataDxfId="207"/>
    <tableColumn id="5" name="Foreign Field" dataDxfId="206"/>
    <tableColumn id="6" name="No" dataDxfId="205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04">
      <calculatedColumnFormula>IFERROR(VLOOKUP(FormCollection[Main Form for Collection],ResourceForms[[FormName]:[ID]],4,0),"resource_form")</calculatedColumnFormula>
    </tableColumn>
    <tableColumn id="8" name="Collection Form2" dataDxfId="203">
      <calculatedColumnFormula>IFERROR(VLOOKUP(FormCollection[Collection Form],ResourceForms[[FormName]:[ID]],4,0),"collection_form")</calculatedColumnFormula>
    </tableColumn>
    <tableColumn id="9" name="Relation3" dataDxfId="202">
      <calculatedColumnFormula>IFERROR(VLOOKUP(FormCollection[Relation],RelationTable[[Display]:[RELID]],2,0),"")</calculatedColumnFormula>
    </tableColumn>
    <tableColumn id="10" name="Foreign" dataDxfId="201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200" dataDxfId="199">
  <autoFilter ref="DB1:DL2"/>
  <tableColumns count="11">
    <tableColumn id="1" name="Field for Depend" dataDxfId="198"/>
    <tableColumn id="9" name="Primary" dataDxfId="197">
      <calculatedColumnFormula>'Table Seed Map'!$A$18&amp;"-"&amp;COUNTA($DB$2:FieldDepends[[#This Row],[Field for Depend]])</calculatedColumnFormula>
    </tableColumn>
    <tableColumn id="10" name="ID" dataDxfId="196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95">
      <calculatedColumnFormula>IFERROR(VLOOKUP(FieldDepends[[#This Row],[Field for Depend]],FormFields[[Field Name]:[ID]],2,0),"form_field")</calculatedColumnFormula>
    </tableColumn>
    <tableColumn id="2" name="Field name - depends on" dataDxfId="194"/>
    <tableColumn id="3" name="Database Field" dataDxfId="193"/>
    <tableColumn id="4" name="Operator" dataDxfId="192"/>
    <tableColumn id="5" name="Compare Method" dataDxfId="191"/>
    <tableColumn id="11" name="Method" dataDxfId="190"/>
    <tableColumn id="6" name="Value DB Field" dataDxfId="189"/>
    <tableColumn id="7" name="Ignore Null" dataDxfId="188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76" totalsRowShown="0" dataDxfId="465">
  <autoFilter ref="A1:J276"/>
  <tableColumns count="10">
    <tableColumn id="1" name="Column" dataDxfId="464"/>
    <tableColumn id="2" name="Type" dataDxfId="463"/>
    <tableColumn id="3" name="Name" dataDxfId="462"/>
    <tableColumn id="4" name="Length/Enum" dataDxfId="461"/>
    <tableColumn id="5" name="Method1" dataDxfId="460"/>
    <tableColumn id="6" name="Method2" dataDxfId="459"/>
    <tableColumn id="7" name="Method3" dataDxfId="458"/>
    <tableColumn id="8" name="Method4" dataDxfId="457"/>
    <tableColumn id="9" name="Method5" dataDxfId="456"/>
    <tableColumn id="10" name="Usage" dataDxfId="455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87" dataDxfId="186">
  <autoFilter ref="DN1:DW2"/>
  <tableColumns count="10">
    <tableColumn id="1" name="Field for Dynamic" dataDxfId="185"/>
    <tableColumn id="9" name="Primary" dataDxfId="184">
      <calculatedColumnFormula>'Table Seed Map'!$A$16&amp;"-"&amp;COUNTA($DN$2:FieldDynamic[[#This Row],[Field for Dynamic]])</calculatedColumnFormula>
    </tableColumn>
    <tableColumn id="10" name="ID" dataDxfId="183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82">
      <calculatedColumnFormula>IFERROR(VLOOKUP(FieldDynamic[[#This Row],[Field for Dynamic]],FormFields[[Field Name]:[ID]],2,0),"form_field")</calculatedColumnFormula>
    </tableColumn>
    <tableColumn id="2" name="Type" dataDxfId="181"/>
    <tableColumn id="3" name="Depend Field" dataDxfId="180"/>
    <tableColumn id="4" name="Alter On" dataDxfId="179"/>
    <tableColumn id="5" name="Value" dataDxfId="178"/>
    <tableColumn id="11" name="Values" dataDxfId="177"/>
    <tableColumn id="6" name="Operator" dataDxfId="176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75" dataDxfId="174">
  <autoFilter ref="DY1:ES2"/>
  <tableColumns count="21">
    <tableColumn id="1" name="Form for Data Mapping" dataDxfId="173"/>
    <tableColumn id="2" name="Resource Data" dataDxfId="172"/>
    <tableColumn id="3" name="Form Field" dataDxfId="171"/>
    <tableColumn id="4" name="Primary" dataDxfId="170">
      <calculatedColumnFormula>'Table Seed Map'!$A$20&amp;"-"&amp;-1+COUNTA($DY$1:FormDataMapping[[#This Row],[Form for Data Mapping]])</calculatedColumnFormula>
    </tableColumn>
    <tableColumn id="5" name="ID" dataDxfId="169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68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67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66">
      <calculatedColumnFormula>IF(FormDataMapping[[#This Row],[Form for Data Mapping]]="","form_field",VLOOKUP(FormDataMapping[Form Field],FormFields[[Field Name]:[ID]],2,0))</calculatedColumnFormula>
    </tableColumn>
    <tableColumn id="9" name="Attribute" dataDxfId="165"/>
    <tableColumn id="10" name="R0" dataDxfId="164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63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62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61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60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59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58"/>
    <tableColumn id="17" name="Rel1" dataDxfId="157"/>
    <tableColumn id="18" name="Rel2" dataDxfId="156"/>
    <tableColumn id="19" name="Rel3" dataDxfId="155"/>
    <tableColumn id="20" name="Rel4" dataDxfId="154"/>
    <tableColumn id="21" name="Rel5" dataDxfId="153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29" totalsRowShown="0" dataDxfId="152">
  <autoFilter ref="A1:H29"/>
  <tableColumns count="8">
    <tableColumn id="1" name="No" dataDxfId="151">
      <calculatedColumnFormula>IFERROR($A1+1,1)</calculatedColumnFormula>
    </tableColumn>
    <tableColumn id="2" name="Filename" dataDxfId="150"/>
    <tableColumn id="9" name="Table" dataDxfId="149">
      <calculatedColumnFormula>MID(MigrationRenamer[Filename],26,LEN(MigrationRenamer[Filename])-35)</calculatedColumnFormula>
    </tableColumn>
    <tableColumn id="3" name="Date Part" dataDxfId="148">
      <calculatedColumnFormula>"2019_03_28_"</calculatedColumnFormula>
    </tableColumn>
    <tableColumn id="4" name="Sequence" dataDxfId="147">
      <calculatedColumnFormula>TEXT(MATCH(MigrationRenamer[[#This Row],[Table]],Tables[Table],0),"000000")</calculatedColumnFormula>
    </tableColumn>
    <tableColumn id="5" name="Name Part" dataDxfId="146">
      <calculatedColumnFormula>RIGHT(MigrationRenamer[Filename],LEN(MigrationRenamer[Filename])-LEN(MigrationRenamer[Date Part])-LEN(MigrationRenamer[Sequence]))</calculatedColumnFormula>
    </tableColumn>
    <tableColumn id="6" name="New Name" dataDxfId="145">
      <calculatedColumnFormula>MigrationRenamer[Date Part]&amp;MigrationRenamer[Sequence]&amp;MigrationRenamer[Name Part]</calculatedColumnFormula>
    </tableColumn>
    <tableColumn id="7" name="CMD" dataDxfId="144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43">
  <autoFilter ref="A1:K11"/>
  <tableColumns count="11">
    <tableColumn id="1" name="Primary" dataDxfId="142">
      <calculatedColumnFormula>'Table Seed Map'!$A$24&amp;"-"&amp;COUNTA($B$1:ResourceList[[#This Row],[Resource Name]])-1</calculatedColumnFormula>
    </tableColumn>
    <tableColumn id="2" name="Resource Name" dataDxfId="141"/>
    <tableColumn id="8" name="ListDisplayName" dataDxfId="140">
      <calculatedColumnFormula>ResourceList[[#This Row],[Resource Name]]&amp;"/"&amp;ResourceList[[#This Row],[Name]]</calculatedColumnFormula>
    </tableColumn>
    <tableColumn id="3" name="No" dataDxfId="139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38">
      <calculatedColumnFormula>IFERROR(VLOOKUP(ResourceList[[#This Row],[Resource Name]],ResourceTable[[RName]:[No]],3,0),"resource")</calculatedColumnFormula>
    </tableColumn>
    <tableColumn id="4" name="Name" dataDxfId="137"/>
    <tableColumn id="5" name="Description" dataDxfId="136"/>
    <tableColumn id="6" name="Title" dataDxfId="135"/>
    <tableColumn id="11" name="Identity" dataDxfId="134"/>
    <tableColumn id="10" name="Page" dataDxfId="133"/>
    <tableColumn id="9" name="ID" dataDxfId="132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31" dataDxfId="130">
  <autoFilter ref="M1:AD8"/>
  <tableColumns count="18">
    <tableColumn id="1" name="List Name" dataDxfId="129"/>
    <tableColumn id="2" name="LID" dataDxfId="128">
      <calculatedColumnFormula>VLOOKUP(ListExtras[[#This Row],[List Name]],ResourceList[[ListDisplayName]:[No]],2,0)</calculatedColumnFormula>
    </tableColumn>
    <tableColumn id="3" name="Scope Name" dataDxfId="127"/>
    <tableColumn id="4" name="Relation Name" dataDxfId="126"/>
    <tableColumn id="5" name="R1 Name" dataDxfId="125"/>
    <tableColumn id="6" name="R2 Name" dataDxfId="124"/>
    <tableColumn id="7" name="R3 Name" dataDxfId="123"/>
    <tableColumn id="8" name="Scope Primary" dataDxfId="122">
      <calculatedColumnFormula>'Table Seed Map'!$A$25&amp;"-"&amp;COUNT($W$1:ListExtras[[#This Row],[Scope ID]])</calculatedColumnFormula>
    </tableColumn>
    <tableColumn id="9" name="Scope Table ID" dataDxfId="121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20">
      <calculatedColumnFormula>IF(ListExtras[[#This Row],[LID]]=0,"resource_list",ListExtras[[#This Row],[LID]])</calculatedColumnFormula>
    </tableColumn>
    <tableColumn id="11" name="Scope ID" dataDxfId="119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18">
      <calculatedColumnFormula>'Table Seed Map'!$A$26&amp;"-"&amp;COUNT($AA$1:ListExtras[[#This Row],[Relation]])</calculatedColumnFormula>
    </tableColumn>
    <tableColumn id="13" name="Relation Table ID" dataDxfId="117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16">
      <calculatedColumnFormula>IF(ListExtras[[#This Row],[LID]]=0,"resource_list",ListExtras[[#This Row],[LID]])</calculatedColumnFormula>
    </tableColumn>
    <tableColumn id="15" name="Relation" dataDxfId="115">
      <calculatedColumnFormula>IFERROR(VLOOKUP(ListExtras[[#This Row],[Relation Name]],RelationTable[[Display]:[RELID]],2,0),IF(ListExtras[[#This Row],[LID]]=0,"relation",""))</calculatedColumnFormula>
    </tableColumn>
    <tableColumn id="16" name="R1" dataDxfId="114">
      <calculatedColumnFormula>IFERROR(VLOOKUP(ListExtras[[#This Row],[R1 Name]],RelationTable[[Display]:[RELID]],2,0),IF(ListExtras[[#This Row],[LID]]=0,"nest_relation1",""))</calculatedColumnFormula>
    </tableColumn>
    <tableColumn id="17" name="R2" dataDxfId="113">
      <calculatedColumnFormula>IFERROR(VLOOKUP(ListExtras[[#This Row],[R2 Name]],RelationTable[[Display]:[RELID]],2,0),IF(ListExtras[[#This Row],[LID]]=0,"nest_relation2",""))</calculatedColumnFormula>
    </tableColumn>
    <tableColumn id="18" name="R3" dataDxfId="112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11" dataDxfId="110">
  <autoFilter ref="AF1:AR17"/>
  <tableColumns count="13">
    <tableColumn id="13" name="Primary" dataDxfId="109">
      <calculatedColumnFormula>'Table Seed Map'!$A$28&amp;"-"&amp;COUNTA($AH$1:ListSearch[[#This Row],[No]])-2</calculatedColumnFormula>
    </tableColumn>
    <tableColumn id="1" name="List Name for Search" dataDxfId="108"/>
    <tableColumn id="2" name="No" dataDxfId="107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06">
      <calculatedColumnFormula>IFERROR(VLOOKUP(ListSearch[[#This Row],[List Name for Search]],ResourceList[[ListDisplayName]:[No]],2,0),"resource_list")</calculatedColumnFormula>
    </tableColumn>
    <tableColumn id="4" name="Field" dataDxfId="105"/>
    <tableColumn id="5" name="REL" dataDxfId="104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03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02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01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00"/>
    <tableColumn id="10" name="Relation 1" dataDxfId="99"/>
    <tableColumn id="11" name="Relation 2" dataDxfId="98"/>
    <tableColumn id="12" name="Relation 3" dataDxfId="97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96" dataDxfId="95">
  <autoFilter ref="AT1:BE31"/>
  <tableColumns count="12">
    <tableColumn id="13" name="Primary" dataDxfId="94">
      <calculatedColumnFormula>'Table Seed Map'!$A$27&amp;"-"&amp;COUNTA($AV$1:ListLayout[[#This Row],[No]])-2</calculatedColumnFormula>
    </tableColumn>
    <tableColumn id="1" name="List Name for Layout" dataDxfId="93"/>
    <tableColumn id="2" name="No" dataDxfId="92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91">
      <calculatedColumnFormula>IFERROR(VLOOKUP(ListLayout[[#This Row],[List Name for Layout]],ResourceList[[ListDisplayName]:[No]],2,0),"resource_list")</calculatedColumnFormula>
    </tableColumn>
    <tableColumn id="14" name="Label" dataDxfId="90"/>
    <tableColumn id="4" name="Field" dataDxfId="89"/>
    <tableColumn id="5" name="REL" dataDxfId="88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87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86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85"/>
    <tableColumn id="10" name="Relation 1" dataDxfId="84"/>
    <tableColumn id="11" name="Relation 2" dataDxfId="83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82">
  <autoFilter ref="A1:J7"/>
  <tableColumns count="10">
    <tableColumn id="1" name="Primary" dataDxfId="81">
      <calculatedColumnFormula>'Table Seed Map'!$A$29&amp;"-"&amp;COUNTA($E$1:ResourceData[[#This Row],[Resource]])-2</calculatedColumnFormula>
    </tableColumn>
    <tableColumn id="2" name="Resource Name" dataDxfId="80"/>
    <tableColumn id="8" name="DataDisplayName" dataDxfId="79">
      <calculatedColumnFormula>ResourceData[[#This Row],[Resource Name]]&amp;"/"&amp;ResourceData[[#This Row],[Name]]</calculatedColumnFormula>
    </tableColumn>
    <tableColumn id="3" name="No" dataDxfId="78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77">
      <calculatedColumnFormula>IFERROR(VLOOKUP(ResourceData[[#This Row],[Resource Name]],ResourceTable[[RName]:[No]],3,0),"resource")</calculatedColumnFormula>
    </tableColumn>
    <tableColumn id="4" name="Name" dataDxfId="76"/>
    <tableColumn id="5" name="Description" dataDxfId="75"/>
    <tableColumn id="6" name="Title Field" dataDxfId="74"/>
    <tableColumn id="9" name="Method" dataDxfId="73"/>
    <tableColumn id="10" name="ID" dataDxfId="72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71" dataDxfId="70">
  <autoFilter ref="L1:AC7"/>
  <tableColumns count="18">
    <tableColumn id="1" name="Data Name" dataDxfId="69"/>
    <tableColumn id="2" name="DID" dataDxfId="68">
      <calculatedColumnFormula>VLOOKUP(DataExtra[[#This Row],[Data Name]],ResourceData[[DataDisplayName]:[No]],2,0)</calculatedColumnFormula>
    </tableColumn>
    <tableColumn id="3" name="Scope Name" dataDxfId="67"/>
    <tableColumn id="4" name="Relation Name" dataDxfId="66"/>
    <tableColumn id="5" name="R1 Name" dataDxfId="65"/>
    <tableColumn id="6" name="R2 Name" dataDxfId="64"/>
    <tableColumn id="7" name="R3 Name" dataDxfId="63"/>
    <tableColumn id="8" name="Scope Primary" dataDxfId="62">
      <calculatedColumnFormula>'Table Seed Map'!$A$30&amp;"-"&amp;COUNT($V$1:DataExtra[[#This Row],[Scope ID]])</calculatedColumnFormula>
    </tableColumn>
    <tableColumn id="9" name="Scope Table ID" dataDxfId="61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60">
      <calculatedColumnFormula>IF(DataExtra[[#This Row],[DID]]=0,"resource_data",DataExtra[[#This Row],[DID]])</calculatedColumnFormula>
    </tableColumn>
    <tableColumn id="11" name="Scope ID" dataDxfId="59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58">
      <calculatedColumnFormula>'Table Seed Map'!$A$31&amp;"-"&amp;COUNT($Z$1:DataExtra[[#This Row],[Relation]])</calculatedColumnFormula>
    </tableColumn>
    <tableColumn id="13" name="Relation Table ID" dataDxfId="57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56">
      <calculatedColumnFormula>IF(DataExtra[[#This Row],[DID]]=0,"resource_data",DataExtra[[#This Row],[DID]])</calculatedColumnFormula>
    </tableColumn>
    <tableColumn id="15" name="Relation" dataDxfId="55">
      <calculatedColumnFormula>IFERROR(VLOOKUP(DataExtra[[#This Row],[Relation Name]],RelationTable[[Display]:[RELID]],2,0),IF(DataExtra[[#This Row],[DID]]=0,"relation",""))</calculatedColumnFormula>
    </tableColumn>
    <tableColumn id="16" name="R1" dataDxfId="54">
      <calculatedColumnFormula>IFERROR(VLOOKUP(DataExtra[[#This Row],[R1 Name]],RelationTable[[Display]:[RELID]],2,0),IF(DataExtra[[#This Row],[DID]]=0,"nest_relation1",""))</calculatedColumnFormula>
    </tableColumn>
    <tableColumn id="17" name="R2" dataDxfId="53">
      <calculatedColumnFormula>IFERROR(VLOOKUP(DataExtra[[#This Row],[R2 Name]],RelationTable[[Display]:[RELID]],2,0),IF(DataExtra[[#This Row],[DID]]=0,"nest_relation2",""))</calculatedColumnFormula>
    </tableColumn>
    <tableColumn id="18" name="R3" dataDxfId="52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51" dataDxfId="50">
  <autoFilter ref="AE1:AN8"/>
  <tableColumns count="10">
    <tableColumn id="13" name="Primary" dataDxfId="49">
      <calculatedColumnFormula>'Table Seed Map'!$A$32&amp;"-"&amp;COUNTA($AF$1:DataViewSection[[#This Row],[Data Name for Layout]])-1</calculatedColumnFormula>
    </tableColumn>
    <tableColumn id="1" name="Data Name for Layout" dataDxfId="48"/>
    <tableColumn id="17" name="DataSectionDisplayName" dataDxfId="47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46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45">
      <calculatedColumnFormula>IFERROR(VLOOKUP(DataViewSection[[#This Row],[Data Name for Layout]],ResourceData[[DataDisplayName]:[No]],2,0),"resource_data")</calculatedColumnFormula>
    </tableColumn>
    <tableColumn id="14" name="Title" dataDxfId="44"/>
    <tableColumn id="15" name="Title Field" dataDxfId="43"/>
    <tableColumn id="16" name="Rel" dataDxfId="42">
      <calculatedColumnFormula>IFERROR(VLOOKUP(DataViewSection[[#This Row],[Relation]],RelationTable[[Display]:[RELID]],2,0),"")</calculatedColumnFormula>
    </tableColumn>
    <tableColumn id="4" name="Colspan" dataDxfId="41"/>
    <tableColumn id="9" name="Relation" dataDxfId="4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39" totalsRowShown="0" dataDxfId="454">
  <autoFilter ref="A1:K339">
    <filterColumn colId="0">
      <filters>
        <filter val="transaction_details"/>
      </filters>
    </filterColumn>
  </autoFilter>
  <tableColumns count="11">
    <tableColumn id="2" name="Table" dataDxfId="453"/>
    <tableColumn id="3" name="Field" dataDxfId="452"/>
    <tableColumn id="5" name="Type" dataDxfId="451">
      <calculatedColumnFormula>VLOOKUP(TableFields[Field],Columns[],2,0)&amp;"("</calculatedColumnFormula>
    </tableColumn>
    <tableColumn id="4" name="Name" dataDxfId="450">
      <calculatedColumnFormula>IF(VLOOKUP(TableFields[Field],Columns[],3,0)&lt;&gt;"","'"&amp;VLOOKUP(TableFields[Field],Columns[],3,0)&amp;"'","")</calculatedColumnFormula>
    </tableColumn>
    <tableColumn id="6" name="Arg2" dataDxfId="449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48">
      <calculatedColumnFormula>IF(VLOOKUP(TableFields[Field],Columns[],5,0)=0,"","-&gt;"&amp;VLOOKUP(TableFields[Field],Columns[],5,0))</calculatedColumnFormula>
    </tableColumn>
    <tableColumn id="8" name="Method2" dataDxfId="447">
      <calculatedColumnFormula>IF(VLOOKUP(TableFields[Field],Columns[],6,0)=0,"","-&gt;"&amp;VLOOKUP(TableFields[Field],Columns[],6,0))</calculatedColumnFormula>
    </tableColumn>
    <tableColumn id="9" name="Method3" dataDxfId="446">
      <calculatedColumnFormula>IF(VLOOKUP(TableFields[Field],Columns[],7,0)=0,"","-&gt;"&amp;VLOOKUP(TableFields[Field],Columns[],7,0))</calculatedColumnFormula>
    </tableColumn>
    <tableColumn id="10" name="Method4" dataDxfId="445">
      <calculatedColumnFormula>IF(VLOOKUP(TableFields[Field],Columns[],8,0)=0,"","-&gt;"&amp;VLOOKUP(TableFields[Field],Columns[],8,0))</calculatedColumnFormula>
    </tableColumn>
    <tableColumn id="11" name="Method5" dataDxfId="444">
      <calculatedColumnFormula>IF(VLOOKUP(TableFields[Field],Columns[],9,0)=0,"","-&gt;"&amp;VLOOKUP(TableFields[Field],Columns[],9,0))</calculatedColumnFormula>
    </tableColumn>
    <tableColumn id="12" name="Statement" dataDxfId="443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39" dataDxfId="38">
  <autoFilter ref="AP1:AW18"/>
  <tableColumns count="8">
    <tableColumn id="13" name="Primary" dataDxfId="37">
      <calculatedColumnFormula>'Table Seed Map'!$A$33&amp;"-"&amp;-1+COUNTA($AQ$1:DataViewSectionItem[[#This Row],[Data Section for Items]])</calculatedColumnFormula>
    </tableColumn>
    <tableColumn id="1" name="Data Section for Items" dataDxfId="36"/>
    <tableColumn id="2" name="No" dataDxfId="35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34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33"/>
    <tableColumn id="4" name="Attribute" dataDxfId="32"/>
    <tableColumn id="5" name="REL" dataDxfId="31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30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29" dataDxfId="28">
  <autoFilter ref="A1:H6"/>
  <tableColumns count="8">
    <tableColumn id="1" name="Type" dataDxfId="27"/>
    <tableColumn id="2" name="Table Name" dataDxfId="26"/>
    <tableColumn id="3" name="Count Field" dataDxfId="25"/>
    <tableColumn id="4" name="Count Reduce" dataDxfId="24"/>
    <tableColumn id="5" name="Records" dataDxfId="23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22"/>
    <tableColumn id="8" name="Name Field Position" dataDxfId="21"/>
    <tableColumn id="9" name="ID Field Position" dataDxfId="20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19" dataDxfId="18">
  <autoFilter ref="J1:P501"/>
  <tableColumns count="7">
    <tableColumn id="1" name="No" dataDxfId="17">
      <calculatedColumnFormula>IFERROR($J1+1,1)</calculatedColumnFormula>
    </tableColumn>
    <tableColumn id="2" name="Type" dataDxfId="16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5">
      <calculatedColumnFormula>IF(IDNMaps[[#This Row],[Type]]="","",COUNTIF($K$1:IDNMaps[[#This Row],[Type]],IDNMaps[[#This Row],[Type]]))</calculatedColumnFormula>
    </tableColumn>
    <tableColumn id="4" name="Primary" dataDxfId="14">
      <calculatedColumnFormula>IFERROR(VLOOKUP(IDNMaps[[#This Row],[Type]],RecordCount[],6,0)&amp;"-"&amp;IDNMaps[[#This Row],[Type Count]],"")</calculatedColumnFormula>
    </tableColumn>
    <tableColumn id="5" name="Name" dataDxfId="13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2">
      <calculatedColumnFormula>IF(IDNMaps[[#This Row],[Name]]="","","("&amp;IDNMaps[[#This Row],[Type]]&amp;") "&amp;IDNMaps[[#This Row],[Name]])</calculatedColumnFormula>
    </tableColumn>
    <tableColumn id="7" name="ID" dataDxfId="11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4" totalsRowShown="0" headerRowDxfId="442" dataDxfId="441">
  <autoFilter ref="A1:R64"/>
  <tableColumns count="18">
    <tableColumn id="19" name="TRCode" dataDxfId="440">
      <calculatedColumnFormula>TableData[Table Name]&amp;"-"&amp;(COUNTIF($B$1:TableData[[#This Row],[Table Name]],TableData[[#This Row],[Table Name]])-1)</calculatedColumnFormula>
    </tableColumn>
    <tableColumn id="1" name="Table Name" dataDxfId="439"/>
    <tableColumn id="2" name="Record No" dataDxfId="438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7"/>
    <tableColumn id="4" name="2" dataDxfId="436"/>
    <tableColumn id="5" name="3" dataDxfId="435"/>
    <tableColumn id="6" name="4" dataDxfId="434"/>
    <tableColumn id="7" name="5" dataDxfId="433"/>
    <tableColumn id="8" name="6" dataDxfId="432"/>
    <tableColumn id="9" name="7" dataDxfId="431"/>
    <tableColumn id="10" name="8" dataDxfId="430"/>
    <tableColumn id="11" name="9" dataDxfId="429"/>
    <tableColumn id="12" name="10" dataDxfId="428"/>
    <tableColumn id="13" name="11" dataDxfId="427"/>
    <tableColumn id="14" name="12" dataDxfId="426"/>
    <tableColumn id="15" name="13" dataDxfId="425"/>
    <tableColumn id="16" name="14" dataDxfId="424"/>
    <tableColumn id="17" name="15" dataDxfId="42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8" totalsRowShown="0" dataDxfId="422">
  <autoFilter ref="A1:K68"/>
  <tableColumns count="11">
    <tableColumn id="1" name="Name" dataDxfId="421"/>
    <tableColumn id="3" name="Table Name" dataDxfId="420"/>
    <tableColumn id="20" name="NS" dataDxfId="419">
      <calculatedColumnFormula>VLOOKUP(SeedMap[Table Name],Tables[],4,0)</calculatedColumnFormula>
    </tableColumn>
    <tableColumn id="21" name="Model" dataDxfId="418">
      <calculatedColumnFormula>VLOOKUP(SeedMap[Table Name],Tables[],5,0)</calculatedColumnFormula>
    </tableColumn>
    <tableColumn id="6" name="Data Table" dataDxfId="417"/>
    <tableColumn id="7" name="Data Range" dataDxfId="416"/>
    <tableColumn id="8" name="Skip Columns" dataDxfId="415"/>
    <tableColumn id="4" name="Query Method" dataDxfId="414"/>
    <tableColumn id="2" name="Last ID" dataDxfId="413"/>
    <tableColumn id="5" name="AI Change Query" dataDxfId="412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11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29" totalsRowShown="0" dataDxfId="410">
  <autoFilter ref="A1:M29"/>
  <tableColumns count="13">
    <tableColumn id="11" name="Primary" dataDxfId="409">
      <calculatedColumnFormula>Page&amp;"-"&amp;(COUNTA($E$1:ResourceTable[[#This Row],[Name]])-2)</calculatedColumnFormula>
    </tableColumn>
    <tableColumn id="12" name="RName" dataDxfId="408">
      <calculatedColumnFormula>ResourceTable[[#This Row],[Name]]</calculatedColumnFormula>
    </tableColumn>
    <tableColumn id="13" name="RID" dataDxfId="407">
      <calculatedColumnFormula>COUNTA($A$1:ResourceTable[[#This Row],[Primary]])-2</calculatedColumnFormula>
    </tableColumn>
    <tableColumn id="1" name="No" dataDxfId="406">
      <calculatedColumnFormula>IF(ResourceTable[[#This Row],[RID]]=0,"id",ResourceTable[[#This Row],[RID]]+IF(ISNUMBER(VLOOKUP(Page,SeedMap[],9,0)),VLOOKUP(Page,SeedMap[],9,0),0))</calculatedColumnFormula>
    </tableColumn>
    <tableColumn id="2" name="Name" dataDxfId="405"/>
    <tableColumn id="3" name="Description" dataDxfId="404"/>
    <tableColumn id="4" name="Title" dataDxfId="403"/>
    <tableColumn id="5" name="NS" dataDxfId="402">
      <calculatedColumnFormula>"Milestone\SS\Model"</calculatedColumnFormula>
    </tableColumn>
    <tableColumn id="6" name="Table" dataDxfId="401"/>
    <tableColumn id="8" name="Controller" dataDxfId="400"/>
    <tableColumn id="9" name="Controller NS" dataDxfId="399"/>
    <tableColumn id="7" name="Development" dataDxfId="398"/>
    <tableColumn id="10" name="RID2" dataDxfId="397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96">
  <autoFilter ref="O1:Z7"/>
  <tableColumns count="12">
    <tableColumn id="1" name="Select Resource for Default" dataDxfId="395"/>
    <tableColumn id="2" name="List" dataDxfId="394"/>
    <tableColumn id="3" name="Form" dataDxfId="393"/>
    <tableColumn id="4" name="Data" dataDxfId="392"/>
    <tableColumn id="5" name="FormWithData" dataDxfId="391"/>
    <tableColumn id="6" name="Primary" dataDxfId="390">
      <calculatedColumnFormula>'Table Seed Map'!$A$39&amp;"-"&amp;COUNTA($O$2:ResourceDefaultsTable[[#This Row],[Select Resource for Default]])</calculatedColumnFormula>
    </tableColumn>
    <tableColumn id="12" name="ID" dataDxfId="389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8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7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6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5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84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44" totalsRowShown="0" dataDxfId="383">
  <autoFilter ref="A1:N44"/>
  <tableColumns count="14">
    <tableColumn id="11" name="Primary" dataDxfId="382">
      <calculatedColumnFormula>Page&amp;"-"&amp;(COUNTA($E$1:RelationTable[[#This Row],[Resource]])-1)</calculatedColumnFormula>
    </tableColumn>
    <tableColumn id="1" name="No" dataDxfId="381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80">
      <calculatedColumnFormula>RelationTable[[#This Row],[Resource]]&amp;"/"&amp;RelationTable[[#This Row],[Method]]</calculatedColumnFormula>
    </tableColumn>
    <tableColumn id="14" name="RELID" dataDxfId="379">
      <calculatedColumnFormula>RelationTable[[#This Row],[No]]</calculatedColumnFormula>
    </tableColumn>
    <tableColumn id="3" name="Resource" dataDxfId="378"/>
    <tableColumn id="4" name="Relate Resource" dataDxfId="377"/>
    <tableColumn id="12" name="ID" dataDxfId="376">
      <calculatedColumnFormula>RelationTable[[#This Row],[No]]</calculatedColumnFormula>
    </tableColumn>
    <tableColumn id="2" name="Resource Id" dataDxfId="375">
      <calculatedColumnFormula>IF(RelationTable[[#This Row],[No]]="id","resource",VLOOKUP(RelationTable[Resource],CHOOSE({1,2},ResourceTable[Name],ResourceTable[No]),2,0))</calculatedColumnFormula>
    </tableColumn>
    <tableColumn id="5" name="Name" dataDxfId="374"/>
    <tableColumn id="6" name="Description" dataDxfId="373"/>
    <tableColumn id="7" name="Method" dataDxfId="372"/>
    <tableColumn id="8" name="Type" dataDxfId="371"/>
    <tableColumn id="10" name="Relate Id" dataDxfId="370">
      <calculatedColumnFormula>VLOOKUP(RelationTable[Relate Resource],CHOOSE({1,2},ResourceTable[Name],ResourceTable[No]),2,0)</calculatedColumnFormula>
    </tableColumn>
    <tableColumn id="9" name="RID" dataDxfId="369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2" totalsRowShown="0" dataDxfId="368">
  <autoFilter ref="P1:W12"/>
  <tableColumns count="8">
    <tableColumn id="1" name="Primary" dataDxfId="367">
      <calculatedColumnFormula>'Table Seed Map'!$A$9&amp;"-"&amp;COUNTA($Q$1:ResourceScopes[[#This Row],[Resource for Scope]])-1</calculatedColumnFormula>
    </tableColumn>
    <tableColumn id="2" name="Resource for Scope" dataDxfId="366"/>
    <tableColumn id="8" name="ScopesDisplayNames" dataDxfId="365">
      <calculatedColumnFormula>ResourceScopes[[#This Row],[Resource for Scope]]&amp;"/"&amp;ResourceScopes[[#This Row],[Name]]</calculatedColumnFormula>
    </tableColumn>
    <tableColumn id="3" name="No" dataDxfId="364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63">
      <calculatedColumnFormula>IFERROR(VLOOKUP(ResourceScopes[[#This Row],[Resource for Scope]],CHOOSE({1,2},ResourceTable[Name],ResourceTable[No]),2,0),"resource")</calculatedColumnFormula>
    </tableColumn>
    <tableColumn id="4" name="Name" dataDxfId="362"/>
    <tableColumn id="5" name="Description" dataDxfId="361"/>
    <tableColumn id="6" name="Method" dataDxfId="36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A53" workbookViewId="0">
      <selection activeCell="I62" sqref="I62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1074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4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4" t="s">
        <v>1273</v>
      </c>
      <c r="B48" s="7" t="str">
        <f>Tables[Name]</f>
        <v>settings</v>
      </c>
      <c r="C48" s="7" t="str">
        <f>IF(RIGHT(Tables[Name],3)="ies",MID(Tables[Name],1,LEN(Tables[Name])-3)&amp;"y",IF(RIGHT(Tables[Name],1)="s",MID(Tables[Name],1,LEN(Tables[Name])-1),Tables[Name]))</f>
        <v>setting</v>
      </c>
      <c r="D48" s="8" t="str">
        <f t="shared" si="0"/>
        <v>Milestone\SS\Model</v>
      </c>
      <c r="E48" s="7" t="str">
        <f>SUBSTITUTE(PROPER(Tables[Singular Name]),"_","")</f>
        <v>Setting</v>
      </c>
      <c r="F48" s="7" t="str">
        <f>"php artisan make:migration create_"&amp;Tables[Table]&amp;"_table --create="&amp;Tables[Table]</f>
        <v>php artisan make:migration create_settings_table --create=settings</v>
      </c>
      <c r="G48" s="7" t="str">
        <f>"php artisan make:model "&amp;Tables[Class Name]</f>
        <v>php artisan make:model Setting</v>
      </c>
      <c r="H48" s="7" t="str">
        <f>"protected $table = '"&amp;Tables[Table]&amp;"';"</f>
        <v>protected $table = 'settings';</v>
      </c>
      <c r="I48" s="7" t="str">
        <f>"php artisan make:seed "&amp;Tables[Class Name]&amp;"TableSeeder"</f>
        <v>php artisan make:seed SettingTableSeeder</v>
      </c>
      <c r="J48" s="7" t="str">
        <f>Tables[Class Name]&amp;"TableSeeder"&amp;"::class,"</f>
        <v>SettingTableSeeder::class,</v>
      </c>
    </row>
    <row r="49" spans="1:10" x14ac:dyDescent="0.25">
      <c r="A49" s="4" t="s">
        <v>891</v>
      </c>
      <c r="B49" s="7" t="str">
        <f>Tables[Name]</f>
        <v>fiscalyearmaster</v>
      </c>
      <c r="C49" s="7" t="str">
        <f>IF(RIGHT(Tables[Name],3)="ies",MID(Tables[Name],1,LEN(Tables[Name])-3)&amp;"y",IF(RIGHT(Tables[Name],1)="s",MID(Tables[Name],1,LEN(Tables[Name])-1),Tables[Name]))</f>
        <v>fiscalyearmaster</v>
      </c>
      <c r="D49" s="8" t="str">
        <f t="shared" si="0"/>
        <v>Milestone\SS\Model</v>
      </c>
      <c r="E49" s="7" t="str">
        <f>SUBSTITUTE(PROPER(Tables[Singular Name]),"_","")</f>
        <v>Fiscalyearmaster</v>
      </c>
      <c r="F49" s="7" t="str">
        <f>"php artisan make:migration create_"&amp;Tables[Table]&amp;"_table --create="&amp;Tables[Table]</f>
        <v>php artisan make:migration create_fiscalyearmaster_table --create=fiscalyearmaster</v>
      </c>
      <c r="G49" s="7" t="str">
        <f>"php artisan make:model "&amp;Tables[Class Name]</f>
        <v>php artisan make:model Fiscalyearmaster</v>
      </c>
      <c r="H49" s="7" t="str">
        <f>"protected $table = '"&amp;Tables[Table]&amp;"';"</f>
        <v>protected $table = 'fiscalyearmaster';</v>
      </c>
      <c r="I49" s="7" t="str">
        <f>"php artisan make:seed "&amp;Tables[Class Name]&amp;"TableSeeder"</f>
        <v>php artisan make:seed FiscalyearmasterTableSeeder</v>
      </c>
      <c r="J49" s="7" t="str">
        <f>Tables[Class Name]&amp;"TableSeeder"&amp;"::class,"</f>
        <v>FiscalyearmasterTableSeeder::class,</v>
      </c>
    </row>
    <row r="50" spans="1:10" x14ac:dyDescent="0.25">
      <c r="A50" s="4" t="s">
        <v>851</v>
      </c>
      <c r="B50" s="7" t="str">
        <f>Tables[Name]</f>
        <v>functiondetails</v>
      </c>
      <c r="C50" s="7" t="str">
        <f>IF(RIGHT(Tables[Name],3)="ies",MID(Tables[Name],1,LEN(Tables[Name])-3)&amp;"y",IF(RIGHT(Tables[Name],1)="s",MID(Tables[Name],1,LEN(Tables[Name])-1),Tables[Name]))</f>
        <v>functiondetail</v>
      </c>
      <c r="D50" s="8" t="str">
        <f t="shared" si="0"/>
        <v>Milestone\SS\Model</v>
      </c>
      <c r="E50" s="7" t="str">
        <f>SUBSTITUTE(PROPER(Tables[Singular Name]),"_","")</f>
        <v>Functiondetail</v>
      </c>
      <c r="F50" s="7" t="str">
        <f>"php artisan make:migration create_"&amp;Tables[Table]&amp;"_table --create="&amp;Tables[Table]</f>
        <v>php artisan make:migration create_functiondetails_table --create=functiondetails</v>
      </c>
      <c r="G50" s="7" t="str">
        <f>"php artisan make:model "&amp;Tables[Class Name]</f>
        <v>php artisan make:model Functiondetail</v>
      </c>
      <c r="H50" s="7" t="str">
        <f>"protected $table = '"&amp;Tables[Table]&amp;"';"</f>
        <v>protected $table = 'functiondetails';</v>
      </c>
      <c r="I50" s="7" t="str">
        <f>"php artisan make:seed "&amp;Tables[Class Name]&amp;"TableSeeder"</f>
        <v>php artisan make:seed FunctiondetailTableSeeder</v>
      </c>
      <c r="J50" s="7" t="str">
        <f>Tables[Class Name]&amp;"TableSeeder"&amp;"::class,"</f>
        <v>FunctiondetailTableSeeder::class,</v>
      </c>
    </row>
    <row r="51" spans="1:10" x14ac:dyDescent="0.25">
      <c r="A51" s="4" t="s">
        <v>1806</v>
      </c>
      <c r="B51" s="7" t="str">
        <f>Tables[Name]</f>
        <v>product_group_master</v>
      </c>
      <c r="C51" s="7" t="str">
        <f>IF(RIGHT(Tables[Name],3)="ies",MID(Tables[Name],1,LEN(Tables[Name])-3)&amp;"y",IF(RIGHT(Tables[Name],1)="s",MID(Tables[Name],1,LEN(Tables[Name])-1),Tables[Name]))</f>
        <v>product_group_master</v>
      </c>
      <c r="D51" s="8" t="str">
        <f>"Milestone\SS\Model"</f>
        <v>Milestone\SS\Model</v>
      </c>
      <c r="E51" s="7" t="str">
        <f>SUBSTITUTE(PROPER(Tables[Singular Name]),"_","")</f>
        <v>ProductGroupMaster</v>
      </c>
      <c r="F51" s="7" t="str">
        <f>"php artisan make:migration create_"&amp;Tables[Table]&amp;"_table --create="&amp;Tables[Table]</f>
        <v>php artisan make:migration create_product_group_master_table --create=product_group_master</v>
      </c>
      <c r="G51" s="7" t="str">
        <f>"php artisan make:model "&amp;Tables[Class Name]</f>
        <v>php artisan make:model ProductGroupMaster</v>
      </c>
      <c r="H51" s="7" t="str">
        <f>"protected $table = '"&amp;Tables[Table]&amp;"';"</f>
        <v>protected $table = 'product_group_master';</v>
      </c>
      <c r="I51" s="7" t="str">
        <f>"php artisan make:seed "&amp;Tables[Class Name]&amp;"TableSeeder"</f>
        <v>php artisan make:seed ProductGroupMasterTableSeeder</v>
      </c>
      <c r="J51" s="7" t="str">
        <f>Tables[Class Name]&amp;"TableSeeder"&amp;"::class,"</f>
        <v>ProductGroupMasterTableSeeder::class,</v>
      </c>
    </row>
    <row r="52" spans="1:10" x14ac:dyDescent="0.25">
      <c r="A52" s="4" t="s">
        <v>760</v>
      </c>
      <c r="B52" s="7" t="str">
        <f>Tables[Name]</f>
        <v>products</v>
      </c>
      <c r="C52" s="7" t="str">
        <f>IF(RIGHT(Tables[Name],3)="ies",MID(Tables[Name],1,LEN(Tables[Name])-3)&amp;"y",IF(RIGHT(Tables[Name],1)="s",MID(Tables[Name],1,LEN(Tables[Name])-1),Tables[Name]))</f>
        <v>product</v>
      </c>
      <c r="D52" s="8" t="str">
        <f t="shared" si="0"/>
        <v>Milestone\SS\Model</v>
      </c>
      <c r="E52" s="7" t="str">
        <f>SUBSTITUTE(PROPER(Tables[Singular Name]),"_","")</f>
        <v>Product</v>
      </c>
      <c r="F52" s="7" t="str">
        <f>"php artisan make:migration create_"&amp;Tables[Table]&amp;"_table --create="&amp;Tables[Table]</f>
        <v>php artisan make:migration create_products_table --create=products</v>
      </c>
      <c r="G52" s="7" t="str">
        <f>"php artisan make:model "&amp;Tables[Class Name]</f>
        <v>php artisan make:model Product</v>
      </c>
      <c r="H52" s="7" t="str">
        <f>"protected $table = '"&amp;Tables[Table]&amp;"';"</f>
        <v>protected $table = 'products';</v>
      </c>
      <c r="I52" s="7" t="str">
        <f>"php artisan make:seed "&amp;Tables[Class Name]&amp;"TableSeeder"</f>
        <v>php artisan make:seed ProductTableSeeder</v>
      </c>
      <c r="J52" s="7" t="str">
        <f>Tables[Class Name]&amp;"TableSeeder"&amp;"::class,"</f>
        <v>ProductTableSeeder::class,</v>
      </c>
    </row>
    <row r="53" spans="1:10" x14ac:dyDescent="0.25">
      <c r="A53" s="4" t="s">
        <v>1820</v>
      </c>
      <c r="B53" s="7" t="str">
        <f>Tables[Name]</f>
        <v>product_groups</v>
      </c>
      <c r="C53" s="7" t="str">
        <f>IF(RIGHT(Tables[Name],3)="ies",MID(Tables[Name],1,LEN(Tables[Name])-3)&amp;"y",IF(RIGHT(Tables[Name],1)="s",MID(Tables[Name],1,LEN(Tables[Name])-1),Tables[Name]))</f>
        <v>product_group</v>
      </c>
      <c r="D53" s="8" t="str">
        <f>"Milestone\SS\Model"</f>
        <v>Milestone\SS\Model</v>
      </c>
      <c r="E53" s="7" t="str">
        <f>SUBSTITUTE(PROPER(Tables[Singular Name]),"_","")</f>
        <v>ProductGroup</v>
      </c>
      <c r="F53" s="7" t="str">
        <f>"php artisan make:migration create_"&amp;Tables[Table]&amp;"_table --create="&amp;Tables[Table]</f>
        <v>php artisan make:migration create_product_groups_table --create=product_groups</v>
      </c>
      <c r="G53" s="7" t="str">
        <f>"php artisan make:model "&amp;Tables[Class Name]</f>
        <v>php artisan make:model ProductGroup</v>
      </c>
      <c r="H53" s="7" t="str">
        <f>"protected $table = '"&amp;Tables[Table]&amp;"';"</f>
        <v>protected $table = 'product_groups';</v>
      </c>
      <c r="I53" s="7" t="str">
        <f>"php artisan make:seed "&amp;Tables[Class Name]&amp;"TableSeeder"</f>
        <v>php artisan make:seed ProductGroupTableSeeder</v>
      </c>
      <c r="J53" s="7" t="str">
        <f>Tables[Class Name]&amp;"TableSeeder"&amp;"::class,"</f>
        <v>ProductGroupTableSeeder::class,</v>
      </c>
    </row>
    <row r="54" spans="1:10" x14ac:dyDescent="0.25">
      <c r="A54" s="4" t="s">
        <v>763</v>
      </c>
      <c r="B54" s="7" t="str">
        <f>Tables[Name]</f>
        <v>pricelist</v>
      </c>
      <c r="C54" s="7" t="str">
        <f>IF(RIGHT(Tables[Name],3)="ies",MID(Tables[Name],1,LEN(Tables[Name])-3)&amp;"y",IF(RIGHT(Tables[Name],1)="s",MID(Tables[Name],1,LEN(Tables[Name])-1),Tables[Name]))</f>
        <v>pricelist</v>
      </c>
      <c r="D54" s="8" t="str">
        <f t="shared" si="0"/>
        <v>Milestone\SS\Model</v>
      </c>
      <c r="E54" s="7" t="str">
        <f>SUBSTITUTE(PROPER(Tables[Singular Name]),"_","")</f>
        <v>Pricelist</v>
      </c>
      <c r="F54" s="7" t="str">
        <f>"php artisan make:migration create_"&amp;Tables[Table]&amp;"_table --create="&amp;Tables[Table]</f>
        <v>php artisan make:migration create_pricelist_table --create=pricelist</v>
      </c>
      <c r="G54" s="7" t="str">
        <f>"php artisan make:model "&amp;Tables[Class Name]</f>
        <v>php artisan make:model Pricelist</v>
      </c>
      <c r="H54" s="7" t="str">
        <f>"protected $table = '"&amp;Tables[Table]&amp;"';"</f>
        <v>protected $table = 'pricelist';</v>
      </c>
      <c r="I54" s="7" t="str">
        <f>"php artisan make:seed "&amp;Tables[Class Name]&amp;"TableSeeder"</f>
        <v>php artisan make:seed PricelistTableSeeder</v>
      </c>
      <c r="J54" s="7" t="str">
        <f>Tables[Class Name]&amp;"TableSeeder"&amp;"::class,"</f>
        <v>PricelistTableSeeder::class,</v>
      </c>
    </row>
    <row r="55" spans="1:10" x14ac:dyDescent="0.25">
      <c r="A55" s="4" t="s">
        <v>764</v>
      </c>
      <c r="B55" s="7" t="str">
        <f>Tables[Name]</f>
        <v>pricelist_products</v>
      </c>
      <c r="C55" s="7" t="str">
        <f>IF(RIGHT(Tables[Name],3)="ies",MID(Tables[Name],1,LEN(Tables[Name])-3)&amp;"y",IF(RIGHT(Tables[Name],1)="s",MID(Tables[Name],1,LEN(Tables[Name])-1),Tables[Name]))</f>
        <v>pricelist_product</v>
      </c>
      <c r="D55" s="8" t="str">
        <f t="shared" si="0"/>
        <v>Milestone\SS\Model</v>
      </c>
      <c r="E55" s="7" t="str">
        <f>SUBSTITUTE(PROPER(Tables[Singular Name]),"_","")</f>
        <v>PricelistProduct</v>
      </c>
      <c r="F55" s="7" t="str">
        <f>"php artisan make:migration create_"&amp;Tables[Table]&amp;"_table --create="&amp;Tables[Table]</f>
        <v>php artisan make:migration create_pricelist_products_table --create=pricelist_products</v>
      </c>
      <c r="G55" s="7" t="str">
        <f>"php artisan make:model "&amp;Tables[Class Name]</f>
        <v>php artisan make:model PricelistProduct</v>
      </c>
      <c r="H55" s="7" t="str">
        <f>"protected $table = '"&amp;Tables[Table]&amp;"';"</f>
        <v>protected $table = 'pricelist_products';</v>
      </c>
      <c r="I55" s="7" t="str">
        <f>"php artisan make:seed "&amp;Tables[Class Name]&amp;"TableSeeder"</f>
        <v>php artisan make:seed PricelistProductTableSeeder</v>
      </c>
      <c r="J55" s="7" t="str">
        <f>Tables[Class Name]&amp;"TableSeeder"&amp;"::class,"</f>
        <v>PricelistProductTableSeeder::class,</v>
      </c>
    </row>
    <row r="56" spans="1:10" x14ac:dyDescent="0.25">
      <c r="A56" s="4" t="s">
        <v>757</v>
      </c>
      <c r="B56" s="7" t="str">
        <f>Tables[Name]</f>
        <v>stores</v>
      </c>
      <c r="C56" s="7" t="str">
        <f>IF(RIGHT(Tables[Name],3)="ies",MID(Tables[Name],1,LEN(Tables[Name])-3)&amp;"y",IF(RIGHT(Tables[Name],1)="s",MID(Tables[Name],1,LEN(Tables[Name])-1),Tables[Name]))</f>
        <v>store</v>
      </c>
      <c r="D56" s="8" t="str">
        <f t="shared" si="0"/>
        <v>Milestone\SS\Model</v>
      </c>
      <c r="E56" s="7" t="str">
        <f>SUBSTITUTE(PROPER(Tables[Singular Name]),"_","")</f>
        <v>Store</v>
      </c>
      <c r="F56" s="7" t="str">
        <f>"php artisan make:migration create_"&amp;Tables[Table]&amp;"_table --create="&amp;Tables[Table]</f>
        <v>php artisan make:migration create_stores_table --create=stores</v>
      </c>
      <c r="G56" s="7" t="str">
        <f>"php artisan make:model "&amp;Tables[Class Name]</f>
        <v>php artisan make:model Store</v>
      </c>
      <c r="H56" s="7" t="str">
        <f>"protected $table = '"&amp;Tables[Table]&amp;"';"</f>
        <v>protected $table = 'stores';</v>
      </c>
      <c r="I56" s="7" t="str">
        <f>"php artisan make:seed "&amp;Tables[Class Name]&amp;"TableSeeder"</f>
        <v>php artisan make:seed StoreTableSeeder</v>
      </c>
      <c r="J56" s="7" t="str">
        <f>Tables[Class Name]&amp;"TableSeeder"&amp;"::class,"</f>
        <v>StoreTableSeeder::class,</v>
      </c>
    </row>
    <row r="57" spans="1:10" x14ac:dyDescent="0.25">
      <c r="A57" s="4" t="s">
        <v>758</v>
      </c>
      <c r="B57" s="7" t="str">
        <f>Tables[Name]</f>
        <v>areas</v>
      </c>
      <c r="C57" s="7" t="str">
        <f>IF(RIGHT(Tables[Name],3)="ies",MID(Tables[Name],1,LEN(Tables[Name])-3)&amp;"y",IF(RIGHT(Tables[Name],1)="s",MID(Tables[Name],1,LEN(Tables[Name])-1),Tables[Name]))</f>
        <v>area</v>
      </c>
      <c r="D57" s="8" t="str">
        <f t="shared" si="0"/>
        <v>Milestone\SS\Model</v>
      </c>
      <c r="E57" s="7" t="str">
        <f>SUBSTITUTE(PROPER(Tables[Singular Name]),"_","")</f>
        <v>Area</v>
      </c>
      <c r="F57" s="7" t="str">
        <f>"php artisan make:migration create_"&amp;Tables[Table]&amp;"_table --create="&amp;Tables[Table]</f>
        <v>php artisan make:migration create_areas_table --create=areas</v>
      </c>
      <c r="G57" s="7" t="str">
        <f>"php artisan make:model "&amp;Tables[Class Name]</f>
        <v>php artisan make:model Area</v>
      </c>
      <c r="H57" s="7" t="str">
        <f>"protected $table = '"&amp;Tables[Table]&amp;"';"</f>
        <v>protected $table = 'areas';</v>
      </c>
      <c r="I57" s="7" t="str">
        <f>"php artisan make:seed "&amp;Tables[Class Name]&amp;"TableSeeder"</f>
        <v>php artisan make:seed AreaTableSeeder</v>
      </c>
      <c r="J57" s="7" t="str">
        <f>Tables[Class Name]&amp;"TableSeeder"&amp;"::class,"</f>
        <v>AreaTableSeeder::class,</v>
      </c>
    </row>
    <row r="58" spans="1:10" x14ac:dyDescent="0.25">
      <c r="A58" s="4" t="s">
        <v>755</v>
      </c>
      <c r="B58" s="7" t="str">
        <f>Tables[Name]</f>
        <v>area_users</v>
      </c>
      <c r="C58" s="7" t="str">
        <f>IF(RIGHT(Tables[Name],3)="ies",MID(Tables[Name],1,LEN(Tables[Name])-3)&amp;"y",IF(RIGHT(Tables[Name],1)="s",MID(Tables[Name],1,LEN(Tables[Name])-1),Tables[Name]))</f>
        <v>area_user</v>
      </c>
      <c r="D58" s="8" t="str">
        <f t="shared" si="0"/>
        <v>Milestone\SS\Model</v>
      </c>
      <c r="E58" s="7" t="str">
        <f>SUBSTITUTE(PROPER(Tables[Singular Name]),"_","")</f>
        <v>AreaUser</v>
      </c>
      <c r="F58" s="7" t="str">
        <f>"php artisan make:migration create_"&amp;Tables[Table]&amp;"_table --create="&amp;Tables[Table]</f>
        <v>php artisan make:migration create_area_users_table --create=area_users</v>
      </c>
      <c r="G58" s="7" t="str">
        <f>"php artisan make:model "&amp;Tables[Class Name]</f>
        <v>php artisan make:model AreaUser</v>
      </c>
      <c r="H58" s="7" t="str">
        <f>"protected $table = '"&amp;Tables[Table]&amp;"';"</f>
        <v>protected $table = 'area_users';</v>
      </c>
      <c r="I58" s="7" t="str">
        <f>"php artisan make:seed "&amp;Tables[Class Name]&amp;"TableSeeder"</f>
        <v>php artisan make:seed AreaUserTableSeeder</v>
      </c>
      <c r="J58" s="7" t="str">
        <f>Tables[Class Name]&amp;"TableSeeder"&amp;"::class,"</f>
        <v>AreaUserTableSeeder::class,</v>
      </c>
    </row>
    <row r="59" spans="1:10" x14ac:dyDescent="0.25">
      <c r="A59" s="4" t="s">
        <v>1274</v>
      </c>
      <c r="B59" s="7" t="str">
        <f>Tables[Name]</f>
        <v>user_settings</v>
      </c>
      <c r="C59" s="7" t="str">
        <f>IF(RIGHT(Tables[Name],3)="ies",MID(Tables[Name],1,LEN(Tables[Name])-3)&amp;"y",IF(RIGHT(Tables[Name],1)="s",MID(Tables[Name],1,LEN(Tables[Name])-1),Tables[Name]))</f>
        <v>user_setting</v>
      </c>
      <c r="D59" s="8" t="str">
        <f t="shared" si="0"/>
        <v>Milestone\SS\Model</v>
      </c>
      <c r="E59" s="7" t="str">
        <f>SUBSTITUTE(PROPER(Tables[Singular Name]),"_","")</f>
        <v>UserSetting</v>
      </c>
      <c r="F59" s="7" t="str">
        <f>"php artisan make:migration create_"&amp;Tables[Table]&amp;"_table --create="&amp;Tables[Table]</f>
        <v>php artisan make:migration create_user_settings_table --create=user_settings</v>
      </c>
      <c r="G59" s="7" t="str">
        <f>"php artisan make:model "&amp;Tables[Class Name]</f>
        <v>php artisan make:model UserSetting</v>
      </c>
      <c r="H59" s="7" t="str">
        <f>"protected $table = '"&amp;Tables[Table]&amp;"';"</f>
        <v>protected $table = 'user_settings';</v>
      </c>
      <c r="I59" s="7" t="str">
        <f>"php artisan make:seed "&amp;Tables[Class Name]&amp;"TableSeeder"</f>
        <v>php artisan make:seed UserSettingTableSeeder</v>
      </c>
      <c r="J59" s="7" t="str">
        <f>Tables[Class Name]&amp;"TableSeeder"&amp;"::class,"</f>
        <v>UserSettingTableSeeder::class,</v>
      </c>
    </row>
    <row r="60" spans="1:10" x14ac:dyDescent="0.25">
      <c r="A60" s="4" t="s">
        <v>759</v>
      </c>
      <c r="B60" s="7" t="str">
        <f>Tables[Name]</f>
        <v>user_store_area</v>
      </c>
      <c r="C60" s="7" t="str">
        <f>IF(RIGHT(Tables[Name],3)="ies",MID(Tables[Name],1,LEN(Tables[Name])-3)&amp;"y",IF(RIGHT(Tables[Name],1)="s",MID(Tables[Name],1,LEN(Tables[Name])-1),Tables[Name]))</f>
        <v>user_store_area</v>
      </c>
      <c r="D60" s="8" t="str">
        <f t="shared" si="0"/>
        <v>Milestone\SS\Model</v>
      </c>
      <c r="E60" s="7" t="str">
        <f>SUBSTITUTE(PROPER(Tables[Singular Name]),"_","")</f>
        <v>UserStoreArea</v>
      </c>
      <c r="F60" s="7" t="str">
        <f>"php artisan make:migration create_"&amp;Tables[Table]&amp;"_table --create="&amp;Tables[Table]</f>
        <v>php artisan make:migration create_user_store_area_table --create=user_store_area</v>
      </c>
      <c r="G60" s="7" t="str">
        <f>"php artisan make:model "&amp;Tables[Class Name]</f>
        <v>php artisan make:model UserStoreArea</v>
      </c>
      <c r="H60" s="7" t="str">
        <f>"protected $table = '"&amp;Tables[Table]&amp;"';"</f>
        <v>protected $table = 'user_store_area';</v>
      </c>
      <c r="I60" s="7" t="str">
        <f>"php artisan make:seed "&amp;Tables[Class Name]&amp;"TableSeeder"</f>
        <v>php artisan make:seed UserStoreAreaTableSeeder</v>
      </c>
      <c r="J60" s="7" t="str">
        <f>Tables[Class Name]&amp;"TableSeeder"&amp;"::class,"</f>
        <v>UserStoreAreaTableSeeder::class,</v>
      </c>
    </row>
    <row r="61" spans="1:10" x14ac:dyDescent="0.25">
      <c r="A61" s="4" t="s">
        <v>762</v>
      </c>
      <c r="B61" s="7" t="str">
        <f>Tables[Name]</f>
        <v>store_products</v>
      </c>
      <c r="C61" s="7" t="str">
        <f>IF(RIGHT(Tables[Name],3)="ies",MID(Tables[Name],1,LEN(Tables[Name])-3)&amp;"y",IF(RIGHT(Tables[Name],1)="s",MID(Tables[Name],1,LEN(Tables[Name])-1),Tables[Name]))</f>
        <v>store_product</v>
      </c>
      <c r="D61" s="8" t="str">
        <f t="shared" si="0"/>
        <v>Milestone\SS\Model</v>
      </c>
      <c r="E61" s="7" t="str">
        <f>SUBSTITUTE(PROPER(Tables[Singular Name]),"_","")</f>
        <v>StoreProduct</v>
      </c>
      <c r="F61" s="7" t="str">
        <f>"php artisan make:migration create_"&amp;Tables[Table]&amp;"_table --create="&amp;Tables[Table]</f>
        <v>php artisan make:migration create_store_products_table --create=store_products</v>
      </c>
      <c r="G61" s="7" t="str">
        <f>"php artisan make:model "&amp;Tables[Class Name]</f>
        <v>php artisan make:model StoreProduct</v>
      </c>
      <c r="H61" s="7" t="str">
        <f>"protected $table = '"&amp;Tables[Table]&amp;"';"</f>
        <v>protected $table = 'store_products';</v>
      </c>
      <c r="I61" s="7" t="str">
        <f>"php artisan make:seed "&amp;Tables[Class Name]&amp;"TableSeeder"</f>
        <v>php artisan make:seed StoreProductTableSeeder</v>
      </c>
      <c r="J61" s="7" t="str">
        <f>Tables[Class Name]&amp;"TableSeeder"&amp;"::class,"</f>
        <v>StoreProductTableSeeder::class,</v>
      </c>
    </row>
    <row r="62" spans="1:10" x14ac:dyDescent="0.25">
      <c r="A62" s="4" t="s">
        <v>829</v>
      </c>
      <c r="B62" s="7" t="str">
        <f>Tables[Name]</f>
        <v>product_transaction_natures</v>
      </c>
      <c r="C62" s="7" t="str">
        <f>IF(RIGHT(Tables[Name],3)="ies",MID(Tables[Name],1,LEN(Tables[Name])-3)&amp;"y",IF(RIGHT(Tables[Name],1)="s",MID(Tables[Name],1,LEN(Tables[Name])-1),Tables[Name]))</f>
        <v>product_transaction_nature</v>
      </c>
      <c r="D62" s="8" t="str">
        <f t="shared" si="0"/>
        <v>Milestone\SS\Model</v>
      </c>
      <c r="E62" s="7" t="str">
        <f>SUBSTITUTE(PROPER(Tables[Singular Name]),"_","")</f>
        <v>ProductTransactionNature</v>
      </c>
      <c r="F62" s="7" t="str">
        <f>"php artisan make:migration create_"&amp;Tables[Table]&amp;"_table --create="&amp;Tables[Table]</f>
        <v>php artisan make:migration create_product_transaction_natures_table --create=product_transaction_natures</v>
      </c>
      <c r="G62" s="7" t="str">
        <f>"php artisan make:model "&amp;Tables[Class Name]</f>
        <v>php artisan make:model ProductTransactionNature</v>
      </c>
      <c r="H62" s="7" t="str">
        <f>"protected $table = '"&amp;Tables[Table]&amp;"';"</f>
        <v>protected $table = 'product_transaction_natures';</v>
      </c>
      <c r="I62" s="7" t="str">
        <f>"php artisan make:seed "&amp;Tables[Class Name]&amp;"TableSeeder"</f>
        <v>php artisan make:seed ProductTransactionNatureTableSeeder</v>
      </c>
      <c r="J62" s="7" t="str">
        <f>Tables[Class Name]&amp;"TableSeeder"&amp;"::class,"</f>
        <v>ProductTransactionNatureTableSeeder::class,</v>
      </c>
    </row>
    <row r="63" spans="1:10" x14ac:dyDescent="0.25">
      <c r="A63" s="4" t="s">
        <v>836</v>
      </c>
      <c r="B63" s="7" t="str">
        <f>Tables[Name]</f>
        <v>product_transaction_types</v>
      </c>
      <c r="C63" s="7" t="str">
        <f>IF(RIGHT(Tables[Name],3)="ies",MID(Tables[Name],1,LEN(Tables[Name])-3)&amp;"y",IF(RIGHT(Tables[Name],1)="s",MID(Tables[Name],1,LEN(Tables[Name])-1),Tables[Name]))</f>
        <v>product_transaction_type</v>
      </c>
      <c r="D63" s="8" t="str">
        <f t="shared" si="0"/>
        <v>Milestone\SS\Model</v>
      </c>
      <c r="E63" s="7" t="str">
        <f>SUBSTITUTE(PROPER(Tables[Singular Name]),"_","")</f>
        <v>ProductTransactionType</v>
      </c>
      <c r="F63" s="7" t="str">
        <f>"php artisan make:migration create_"&amp;Tables[Table]&amp;"_table --create="&amp;Tables[Table]</f>
        <v>php artisan make:migration create_product_transaction_types_table --create=product_transaction_types</v>
      </c>
      <c r="G63" s="7" t="str">
        <f>"php artisan make:model "&amp;Tables[Class Name]</f>
        <v>php artisan make:model ProductTransactionType</v>
      </c>
      <c r="H63" s="7" t="str">
        <f>"protected $table = '"&amp;Tables[Table]&amp;"';"</f>
        <v>protected $table = 'product_transaction_types';</v>
      </c>
      <c r="I63" s="7" t="str">
        <f>"php artisan make:seed "&amp;Tables[Class Name]&amp;"TableSeeder"</f>
        <v>php artisan make:seed ProductTransactionTypeTableSeeder</v>
      </c>
      <c r="J63" s="7" t="str">
        <f>Tables[Class Name]&amp;"TableSeeder"&amp;"::class,"</f>
        <v>ProductTransactionTypeTableSeeder::class,</v>
      </c>
    </row>
    <row r="64" spans="1:10" x14ac:dyDescent="0.25">
      <c r="A64" s="4" t="s">
        <v>765</v>
      </c>
      <c r="B64" s="7" t="str">
        <f>Tables[Name]</f>
        <v>store_product_transactions</v>
      </c>
      <c r="C64" s="7" t="str">
        <f>IF(RIGHT(Tables[Name],3)="ies",MID(Tables[Name],1,LEN(Tables[Name])-3)&amp;"y",IF(RIGHT(Tables[Name],1)="s",MID(Tables[Name],1,LEN(Tables[Name])-1),Tables[Name]))</f>
        <v>store_product_transaction</v>
      </c>
      <c r="D64" s="8" t="str">
        <f t="shared" si="0"/>
        <v>Milestone\SS\Model</v>
      </c>
      <c r="E64" s="7" t="str">
        <f>SUBSTITUTE(PROPER(Tables[Singular Name]),"_","")</f>
        <v>StoreProductTransaction</v>
      </c>
      <c r="F64" s="7" t="str">
        <f>"php artisan make:migration create_"&amp;Tables[Table]&amp;"_table --create="&amp;Tables[Table]</f>
        <v>php artisan make:migration create_store_product_transactions_table --create=store_product_transactions</v>
      </c>
      <c r="G64" s="7" t="str">
        <f>"php artisan make:model "&amp;Tables[Class Name]</f>
        <v>php artisan make:model StoreProductTransaction</v>
      </c>
      <c r="H64" s="7" t="str">
        <f>"protected $table = '"&amp;Tables[Table]&amp;"';"</f>
        <v>protected $table = 'store_product_transactions';</v>
      </c>
      <c r="I64" s="7" t="str">
        <f>"php artisan make:seed "&amp;Tables[Class Name]&amp;"TableSeeder"</f>
        <v>php artisan make:seed StoreProductTransactionTableSeeder</v>
      </c>
      <c r="J64" s="7" t="str">
        <f>Tables[Class Name]&amp;"TableSeeder"&amp;"::class,"</f>
        <v>StoreProductTransactionTableSeeder::class,</v>
      </c>
    </row>
    <row r="65" spans="1:10" x14ac:dyDescent="0.25">
      <c r="A65" s="4" t="s">
        <v>899</v>
      </c>
      <c r="B65" s="7" t="str">
        <f>Tables[Name]</f>
        <v>transactions</v>
      </c>
      <c r="C65" s="7" t="str">
        <f>IF(RIGHT(Tables[Name],3)="ies",MID(Tables[Name],1,LEN(Tables[Name])-3)&amp;"y",IF(RIGHT(Tables[Name],1)="s",MID(Tables[Name],1,LEN(Tables[Name])-1),Tables[Name]))</f>
        <v>transaction</v>
      </c>
      <c r="D65" s="7" t="str">
        <f t="shared" ref="D65:D74" si="1">"Milestone\SS\Model"</f>
        <v>Milestone\SS\Model</v>
      </c>
      <c r="E65" s="7" t="str">
        <f>SUBSTITUTE(PROPER(Tables[Singular Name]),"_","")</f>
        <v>Transaction</v>
      </c>
      <c r="F65" s="7" t="str">
        <f>"php artisan make:migration create_"&amp;Tables[Table]&amp;"_table --create="&amp;Tables[Table]</f>
        <v>php artisan make:migration create_transactions_table --create=transactions</v>
      </c>
      <c r="G65" s="7" t="str">
        <f>"php artisan make:model "&amp;Tables[Class Name]</f>
        <v>php artisan make:model Transaction</v>
      </c>
      <c r="H65" s="7" t="str">
        <f>"protected $table = '"&amp;Tables[Table]&amp;"';"</f>
        <v>protected $table = 'transactions';</v>
      </c>
      <c r="I65" s="7" t="str">
        <f>"php artisan make:seed "&amp;Tables[Class Name]&amp;"TableSeeder"</f>
        <v>php artisan make:seed TransactionTableSeeder</v>
      </c>
      <c r="J65" s="7" t="str">
        <f>Tables[Class Name]&amp;"TableSeeder"&amp;"::class,"</f>
        <v>TransactionTableSeeder::class,</v>
      </c>
    </row>
    <row r="66" spans="1:10" x14ac:dyDescent="0.25">
      <c r="A66" s="4" t="s">
        <v>900</v>
      </c>
      <c r="B66" s="7" t="str">
        <f>Tables[Name]</f>
        <v>transaction_details</v>
      </c>
      <c r="C66" s="7" t="str">
        <f>IF(RIGHT(Tables[Name],3)="ies",MID(Tables[Name],1,LEN(Tables[Name])-3)&amp;"y",IF(RIGHT(Tables[Name],1)="s",MID(Tables[Name],1,LEN(Tables[Name])-1),Tables[Name]))</f>
        <v>transaction_detail</v>
      </c>
      <c r="D66" s="7" t="str">
        <f t="shared" si="1"/>
        <v>Milestone\SS\Model</v>
      </c>
      <c r="E66" s="7" t="str">
        <f>SUBSTITUTE(PROPER(Tables[Singular Name]),"_","")</f>
        <v>TransactionDetail</v>
      </c>
      <c r="F66" s="7" t="str">
        <f>"php artisan make:migration create_"&amp;Tables[Table]&amp;"_table --create="&amp;Tables[Table]</f>
        <v>php artisan make:migration create_transaction_details_table --create=transaction_details</v>
      </c>
      <c r="G66" s="7" t="str">
        <f>"php artisan make:model "&amp;Tables[Class Name]</f>
        <v>php artisan make:model TransactionDetail</v>
      </c>
      <c r="H66" s="7" t="str">
        <f>"protected $table = '"&amp;Tables[Table]&amp;"';"</f>
        <v>protected $table = 'transaction_details';</v>
      </c>
      <c r="I66" s="7" t="str">
        <f>"php artisan make:seed "&amp;Tables[Class Name]&amp;"TableSeeder"</f>
        <v>php artisan make:seed TransactionDetailTableSeeder</v>
      </c>
      <c r="J66" s="7" t="str">
        <f>Tables[Class Name]&amp;"TableSeeder"&amp;"::class,"</f>
        <v>TransactionDetailTableSeeder::class,</v>
      </c>
    </row>
    <row r="67" spans="1:10" x14ac:dyDescent="0.25">
      <c r="A67" s="4" t="s">
        <v>1055</v>
      </c>
      <c r="B67" s="7" t="str">
        <f>Tables[Name]</f>
        <v>d_data</v>
      </c>
      <c r="C67" s="7" t="str">
        <f>IF(RIGHT(Tables[Name],3)="ies",MID(Tables[Name],1,LEN(Tables[Name])-3)&amp;"y",IF(RIGHT(Tables[Name],1)="s",MID(Tables[Name],1,LEN(Tables[Name])-1),Tables[Name]))</f>
        <v>d_data</v>
      </c>
      <c r="D67" s="7" t="str">
        <f>"Milestone\SS\Model"</f>
        <v>Milestone\SS\Model</v>
      </c>
      <c r="E67" s="7" t="str">
        <f>SUBSTITUTE(PROPER(Tables[Singular Name]),"_","")</f>
        <v>DData</v>
      </c>
      <c r="F67" s="7" t="str">
        <f>"php artisan make:migration create_"&amp;Tables[Table]&amp;"_table --create="&amp;Tables[Table]</f>
        <v>php artisan make:migration create_d_data_table --create=d_data</v>
      </c>
      <c r="G67" s="7" t="str">
        <f>"php artisan make:model "&amp;Tables[Class Name]</f>
        <v>php artisan make:model DData</v>
      </c>
      <c r="H67" s="7" t="str">
        <f>"protected $table = '"&amp;Tables[Table]&amp;"';"</f>
        <v>protected $table = 'd_data';</v>
      </c>
      <c r="I67" s="7" t="str">
        <f>"php artisan make:seed "&amp;Tables[Class Name]&amp;"TableSeeder"</f>
        <v>php artisan make:seed DDataTableSeeder</v>
      </c>
      <c r="J67" s="7" t="str">
        <f>Tables[Class Name]&amp;"TableSeeder"&amp;"::class,"</f>
        <v>DDataTableSeeder::class,</v>
      </c>
    </row>
    <row r="68" spans="1:10" x14ac:dyDescent="0.25">
      <c r="A68" s="4" t="s">
        <v>950</v>
      </c>
      <c r="B68" s="7" t="str">
        <f>Tables[Name]</f>
        <v>sales_order</v>
      </c>
      <c r="C68" s="7" t="str">
        <f>IF(RIGHT(Tables[Name],3)="ies",MID(Tables[Name],1,LEN(Tables[Name])-3)&amp;"y",IF(RIGHT(Tables[Name],1)="s",MID(Tables[Name],1,LEN(Tables[Name])-1),Tables[Name]))</f>
        <v>sales_order</v>
      </c>
      <c r="D68" s="7" t="str">
        <f t="shared" si="1"/>
        <v>Milestone\SS\Model</v>
      </c>
      <c r="E68" s="7" t="str">
        <f>SUBSTITUTE(PROPER(Tables[Singular Name]),"_","")</f>
        <v>SalesOrder</v>
      </c>
      <c r="F68" s="7" t="str">
        <f>"php artisan make:migration create_"&amp;Tables[Table]&amp;"_table --create="&amp;Tables[Table]</f>
        <v>php artisan make:migration create_sales_order_table --create=sales_order</v>
      </c>
      <c r="G68" s="7" t="str">
        <f>"php artisan make:model "&amp;Tables[Class Name]</f>
        <v>php artisan make:model SalesOrder</v>
      </c>
      <c r="H68" s="7" t="str">
        <f>"protected $table = '"&amp;Tables[Table]&amp;"';"</f>
        <v>protected $table = 'sales_order';</v>
      </c>
      <c r="I68" s="7" t="str">
        <f>"php artisan make:seed "&amp;Tables[Class Name]&amp;"TableSeeder"</f>
        <v>php artisan make:seed SalesOrderTableSeeder</v>
      </c>
      <c r="J68" s="7" t="str">
        <f>Tables[Class Name]&amp;"TableSeeder"&amp;"::class,"</f>
        <v>SalesOrderTableSeeder::class,</v>
      </c>
    </row>
    <row r="69" spans="1:10" x14ac:dyDescent="0.25">
      <c r="A69" s="4" t="s">
        <v>951</v>
      </c>
      <c r="B69" s="7" t="str">
        <f>Tables[Name]</f>
        <v>sales_order_items</v>
      </c>
      <c r="C69" s="7" t="str">
        <f>IF(RIGHT(Tables[Name],3)="ies",MID(Tables[Name],1,LEN(Tables[Name])-3)&amp;"y",IF(RIGHT(Tables[Name],1)="s",MID(Tables[Name],1,LEN(Tables[Name])-1),Tables[Name]))</f>
        <v>sales_order_item</v>
      </c>
      <c r="D69" s="7" t="str">
        <f t="shared" si="1"/>
        <v>Milestone\SS\Model</v>
      </c>
      <c r="E69" s="7" t="str">
        <f>SUBSTITUTE(PROPER(Tables[Singular Name]),"_","")</f>
        <v>SalesOrderItem</v>
      </c>
      <c r="F69" s="7" t="str">
        <f>"php artisan make:migration create_"&amp;Tables[Table]&amp;"_table --create="&amp;Tables[Table]</f>
        <v>php artisan make:migration create_sales_order_items_table --create=sales_order_items</v>
      </c>
      <c r="G69" s="7" t="str">
        <f>"php artisan make:model "&amp;Tables[Class Name]</f>
        <v>php artisan make:model SalesOrderItem</v>
      </c>
      <c r="H69" s="7" t="str">
        <f>"protected $table = '"&amp;Tables[Table]&amp;"';"</f>
        <v>protected $table = 'sales_order_items';</v>
      </c>
      <c r="I69" s="7" t="str">
        <f>"php artisan make:seed "&amp;Tables[Class Name]&amp;"TableSeeder"</f>
        <v>php artisan make:seed SalesOrderItemTableSeeder</v>
      </c>
      <c r="J69" s="7" t="str">
        <f>Tables[Class Name]&amp;"TableSeeder"&amp;"::class,"</f>
        <v>SalesOrderItemTableSeeder::class,</v>
      </c>
    </row>
    <row r="70" spans="1:10" x14ac:dyDescent="0.25">
      <c r="A70" s="4" t="s">
        <v>907</v>
      </c>
      <c r="B70" s="7" t="str">
        <f>Tables[Name]</f>
        <v>stock_transfer</v>
      </c>
      <c r="C70" s="7" t="str">
        <f>IF(RIGHT(Tables[Name],3)="ies",MID(Tables[Name],1,LEN(Tables[Name])-3)&amp;"y",IF(RIGHT(Tables[Name],1)="s",MID(Tables[Name],1,LEN(Tables[Name])-1),Tables[Name]))</f>
        <v>stock_transfer</v>
      </c>
      <c r="D70" s="7" t="str">
        <f t="shared" si="1"/>
        <v>Milestone\SS\Model</v>
      </c>
      <c r="E70" s="7" t="str">
        <f>SUBSTITUTE(PROPER(Tables[Singular Name]),"_","")</f>
        <v>StockTransfer</v>
      </c>
      <c r="F70" s="7" t="str">
        <f>"php artisan make:migration create_"&amp;Tables[Table]&amp;"_table --create="&amp;Tables[Table]</f>
        <v>php artisan make:migration create_stock_transfer_table --create=stock_transfer</v>
      </c>
      <c r="G70" s="7" t="str">
        <f>"php artisan make:model "&amp;Tables[Class Name]</f>
        <v>php artisan make:model StockTransfer</v>
      </c>
      <c r="H70" s="7" t="str">
        <f>"protected $table = '"&amp;Tables[Table]&amp;"';"</f>
        <v>protected $table = 'stock_transfer';</v>
      </c>
      <c r="I70" s="7" t="str">
        <f>"php artisan make:seed "&amp;Tables[Class Name]&amp;"TableSeeder"</f>
        <v>php artisan make:seed StockTransferTableSeeder</v>
      </c>
      <c r="J70" s="7" t="str">
        <f>Tables[Class Name]&amp;"TableSeeder"&amp;"::class,"</f>
        <v>StockTransferTableSeeder::class,</v>
      </c>
    </row>
    <row r="71" spans="1:10" x14ac:dyDescent="0.25">
      <c r="A71" s="4" t="s">
        <v>1724</v>
      </c>
      <c r="B71" s="7" t="str">
        <f>Tables[Name]</f>
        <v>receipts</v>
      </c>
      <c r="C71" s="7" t="str">
        <f>IF(RIGHT(Tables[Name],3)="ies",MID(Tables[Name],1,LEN(Tables[Name])-3)&amp;"y",IF(RIGHT(Tables[Name],1)="s",MID(Tables[Name],1,LEN(Tables[Name])-1),Tables[Name]))</f>
        <v>receipt</v>
      </c>
      <c r="D71" s="7" t="str">
        <f>"Milestone\SS\Model"</f>
        <v>Milestone\SS\Model</v>
      </c>
      <c r="E71" s="7" t="str">
        <f>SUBSTITUTE(PROPER(Tables[Singular Name]),"_","")</f>
        <v>Receipt</v>
      </c>
      <c r="F71" s="7" t="str">
        <f>"php artisan make:migration create_"&amp;Tables[Table]&amp;"_table --create="&amp;Tables[Table]</f>
        <v>php artisan make:migration create_receipts_table --create=receipts</v>
      </c>
      <c r="G71" s="7" t="str">
        <f>"php artisan make:model "&amp;Tables[Class Name]</f>
        <v>php artisan make:model Receipt</v>
      </c>
      <c r="H71" s="7" t="str">
        <f>"protected $table = '"&amp;Tables[Table]&amp;"';"</f>
        <v>protected $table = 'receipts';</v>
      </c>
      <c r="I71" s="7" t="str">
        <f>"php artisan make:seed "&amp;Tables[Class Name]&amp;"TableSeeder"</f>
        <v>php artisan make:seed ReceiptTableSeeder</v>
      </c>
      <c r="J71" s="7" t="str">
        <f>Tables[Class Name]&amp;"TableSeeder"&amp;"::class,"</f>
        <v>ReceiptTableSeeder::class,</v>
      </c>
    </row>
    <row r="72" spans="1:10" x14ac:dyDescent="0.25">
      <c r="A72" s="4" t="s">
        <v>1735</v>
      </c>
      <c r="B72" s="7" t="str">
        <f>Tables[Name]</f>
        <v>fn_reserves</v>
      </c>
      <c r="C72" s="7" t="str">
        <f>IF(RIGHT(Tables[Name],3)="ies",MID(Tables[Name],1,LEN(Tables[Name])-3)&amp;"y",IF(RIGHT(Tables[Name],1)="s",MID(Tables[Name],1,LEN(Tables[Name])-1),Tables[Name]))</f>
        <v>fn_reserve</v>
      </c>
      <c r="D72" s="7" t="str">
        <f>"Milestone\SS\Model"</f>
        <v>Milestone\SS\Model</v>
      </c>
      <c r="E72" s="7" t="str">
        <f>SUBSTITUTE(PROPER(Tables[Singular Name]),"_","")</f>
        <v>FnReserve</v>
      </c>
      <c r="F72" s="7" t="str">
        <f>"php artisan make:migration create_"&amp;Tables[Table]&amp;"_table --create="&amp;Tables[Table]</f>
        <v>php artisan make:migration create_fn_reserves_table --create=fn_reserves</v>
      </c>
      <c r="G72" s="7" t="str">
        <f>"php artisan make:model "&amp;Tables[Class Name]</f>
        <v>php artisan make:model FnReserve</v>
      </c>
      <c r="H72" s="7" t="str">
        <f>"protected $table = '"&amp;Tables[Table]&amp;"';"</f>
        <v>protected $table = 'fn_reserves';</v>
      </c>
      <c r="I72" s="7" t="str">
        <f>"php artisan make:seed "&amp;Tables[Class Name]&amp;"TableSeeder"</f>
        <v>php artisan make:seed FnReserveTableSeeder</v>
      </c>
      <c r="J72" s="7" t="str">
        <f>Tables[Class Name]&amp;"TableSeeder"&amp;"::class,"</f>
        <v>FnReserveTableSeeder::class,</v>
      </c>
    </row>
    <row r="73" spans="1:10" x14ac:dyDescent="0.25">
      <c r="A73" s="4" t="s">
        <v>1756</v>
      </c>
      <c r="B73" s="7" t="str">
        <f>Tables[Name]</f>
        <v>sales_order_sales</v>
      </c>
      <c r="C73" s="7" t="str">
        <f>IF(RIGHT(Tables[Name],3)="ies",MID(Tables[Name],1,LEN(Tables[Name])-3)&amp;"y",IF(RIGHT(Tables[Name],1)="s",MID(Tables[Name],1,LEN(Tables[Name])-1),Tables[Name]))</f>
        <v>sales_order_sale</v>
      </c>
      <c r="D73" s="7" t="str">
        <f>"Milestone\SS\Model"</f>
        <v>Milestone\SS\Model</v>
      </c>
      <c r="E73" s="7" t="str">
        <f>SUBSTITUTE(PROPER(Tables[Singular Name]),"_","")</f>
        <v>SalesOrderSale</v>
      </c>
      <c r="F73" s="7" t="str">
        <f>"php artisan make:migration create_"&amp;Tables[Table]&amp;"_table --create="&amp;Tables[Table]</f>
        <v>php artisan make:migration create_sales_order_sales_table --create=sales_order_sales</v>
      </c>
      <c r="G73" s="7" t="str">
        <f>"php artisan make:model "&amp;Tables[Class Name]</f>
        <v>php artisan make:model SalesOrderSale</v>
      </c>
      <c r="H73" s="7" t="str">
        <f>"protected $table = '"&amp;Tables[Table]&amp;"';"</f>
        <v>protected $table = 'sales_order_sales';</v>
      </c>
      <c r="I73" s="7" t="str">
        <f>"php artisan make:seed "&amp;Tables[Class Name]&amp;"TableSeeder"</f>
        <v>php artisan make:seed SalesOrderSaleTableSeeder</v>
      </c>
      <c r="J73" s="7" t="str">
        <f>Tables[Class Name]&amp;"TableSeeder"&amp;"::class,"</f>
        <v>SalesOrderSaleTableSeeder::class,</v>
      </c>
    </row>
    <row r="74" spans="1:10" x14ac:dyDescent="0.25">
      <c r="A74" s="4" t="s">
        <v>883</v>
      </c>
      <c r="B74" s="7" t="str">
        <f>Tables[Name]</f>
        <v>w_bin</v>
      </c>
      <c r="C74" s="7" t="str">
        <f>IF(RIGHT(Tables[Name],3)="ies",MID(Tables[Name],1,LEN(Tables[Name])-3)&amp;"y",IF(RIGHT(Tables[Name],1)="s",MID(Tables[Name],1,LEN(Tables[Name])-1),Tables[Name]))</f>
        <v>w_bin</v>
      </c>
      <c r="D74" s="7" t="str">
        <f t="shared" si="1"/>
        <v>Milestone\SS\Model</v>
      </c>
      <c r="E74" s="7" t="str">
        <f>SUBSTITUTE(PROPER(Tables[Singular Name]),"_","")</f>
        <v>WBin</v>
      </c>
      <c r="F74" s="7" t="str">
        <f>"php artisan make:migration create_"&amp;Tables[Table]&amp;"_table --create="&amp;Tables[Table]</f>
        <v>php artisan make:migration create_w_bin_table --create=w_bin</v>
      </c>
      <c r="G74" s="7" t="str">
        <f>"php artisan make:model "&amp;Tables[Class Name]</f>
        <v>php artisan make:model WBin</v>
      </c>
      <c r="H74" s="7" t="str">
        <f>"protected $table = '"&amp;Tables[Table]&amp;"';"</f>
        <v>protected $table = 'w_bin';</v>
      </c>
      <c r="I74" s="7" t="str">
        <f>"php artisan make:seed "&amp;Tables[Class Name]&amp;"TableSeeder"</f>
        <v>php artisan make:seed WBinTableSeeder</v>
      </c>
      <c r="J74" s="7" t="str">
        <f>Tables[Class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8"/>
  <sheetViews>
    <sheetView topLeftCell="CR1" workbookViewId="0">
      <selection activeCell="DE2" sqref="DE2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1688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4" t="s">
        <v>1292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305115</v>
      </c>
      <c r="G3" s="7" t="s">
        <v>1390</v>
      </c>
      <c r="H3" s="60" t="s">
        <v>1391</v>
      </c>
      <c r="I3" s="7" t="s">
        <v>1392</v>
      </c>
      <c r="J3" s="7" t="s">
        <v>1393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1399</v>
      </c>
      <c r="O3" s="67">
        <f>COUNTA($N$1:FormFields[[#This Row],[Form Name]])-1</f>
        <v>1</v>
      </c>
      <c r="P3" s="65" t="str">
        <f>FormFields[[#This Row],[Form Name]]&amp;"/"&amp;FormFields[[#This Row],[Name]]</f>
        <v>ProductTransactionNature/NewTransactionProductNature/name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1442</v>
      </c>
      <c r="U3" s="69" t="s">
        <v>1397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0</v>
      </c>
      <c r="AU3" s="67" t="str">
        <f>'Table Seed Map'!$A$19&amp;"-"&amp;FormFields[[#This Row],[NO8]]</f>
        <v>Form Layout-0</v>
      </c>
      <c r="AV3" s="67">
        <f>COUNTIF($AT$1:FormFields[[#This Row],[Exists FL]],1)</f>
        <v>0</v>
      </c>
      <c r="AW3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/>
      <c r="BA3" s="67">
        <f>FormFields[[#This Row],[ID]]</f>
        <v>310101</v>
      </c>
      <c r="BC3" s="4" t="s">
        <v>1611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310113</v>
      </c>
      <c r="BG3" s="74" t="s">
        <v>1612</v>
      </c>
      <c r="BH3" s="74">
        <v>4</v>
      </c>
      <c r="BJ3" s="4" t="s">
        <v>1401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1402</v>
      </c>
      <c r="BP3" s="64" t="s">
        <v>1403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4" t="s">
        <v>1293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305116</v>
      </c>
      <c r="G4" s="7" t="s">
        <v>1394</v>
      </c>
      <c r="H4" s="60" t="s">
        <v>1395</v>
      </c>
      <c r="I4" s="7" t="s">
        <v>1396</v>
      </c>
      <c r="J4" s="7" t="s">
        <v>1393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1399</v>
      </c>
      <c r="O4" s="67">
        <f>COUNTA($N$1:FormFields[[#This Row],[Form Name]])-1</f>
        <v>2</v>
      </c>
      <c r="P4" s="65" t="str">
        <f>FormFields[[#This Row],[Form Name]]&amp;"/"&amp;FormFields[[#This Row],[Name]]</f>
        <v>ProductTransactionNature/NewTransactionProductNature/status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777</v>
      </c>
      <c r="T4" s="69" t="s">
        <v>1443</v>
      </c>
      <c r="U4" s="69" t="s">
        <v>1388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status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1</v>
      </c>
      <c r="AK4" s="67" t="str">
        <f>'Table Seed Map'!$A$14&amp;"-"&amp;FormFields[[#This Row],[NO4]]</f>
        <v>Field Options-1</v>
      </c>
      <c r="AL4" s="67">
        <f>COUNTIF($AJ$2:FormFields[[#This Row],[Exists FO]],1)</f>
        <v>1</v>
      </c>
      <c r="AM4" s="67">
        <f>IF(FormFields[[#This Row],[NO4]]=0,"id",FormFields[[#This Row],[NO4]]+IF(ISNUMBER(VLOOKUP('Table Seed Map'!$A$14,SeedMap[],9,0)),VLOOKUP('Table Seed Map'!$A$14,SeedMap[],9,0),0))</f>
        <v>312101</v>
      </c>
      <c r="AN4" s="67">
        <f>IF(FormFields[[#This Row],[ID]]="id","form_field",FormFields[[#This Row],[ID]])</f>
        <v>310102</v>
      </c>
      <c r="AO4" s="75" t="s">
        <v>1544</v>
      </c>
      <c r="AP4" s="75"/>
      <c r="AQ4" s="75"/>
      <c r="AR4" s="75"/>
      <c r="AS4" s="75"/>
      <c r="AT4" s="67">
        <f>IF(OR(FormFields[[#This Row],[Colspan]]="",FormFields[[#This Row],[Colspan]]="colspan"),0,1)</f>
        <v>0</v>
      </c>
      <c r="AU4" s="67" t="str">
        <f>'Table Seed Map'!$A$19&amp;"-"&amp;FormFields[[#This Row],[NO8]]</f>
        <v>Form Layout-0</v>
      </c>
      <c r="AV4" s="67">
        <f>COUNTIF($AT$1:FormFields[[#This Row],[Exists FL]],1)</f>
        <v>0</v>
      </c>
      <c r="AW4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/>
      <c r="BA4" s="67">
        <f>FormFields[[#This Row],[ID]]</f>
        <v>310102</v>
      </c>
      <c r="BC4" s="4" t="s">
        <v>1613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310114</v>
      </c>
      <c r="BG4" s="74" t="s">
        <v>1612</v>
      </c>
      <c r="BH4" s="74">
        <v>4</v>
      </c>
      <c r="BJ4" s="4" t="s">
        <v>1404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VLOOKUP(FieldValidations[Validation Field],FormFields[[Field Name]:[ID]],2,0)</f>
        <v>310103</v>
      </c>
      <c r="BO4" s="64" t="s">
        <v>1402</v>
      </c>
      <c r="BP4" s="64" t="s">
        <v>1403</v>
      </c>
      <c r="BQ4" s="64"/>
      <c r="BR4" s="64"/>
      <c r="BS4" s="64"/>
      <c r="CE4" s="20"/>
      <c r="CH4"/>
      <c r="CI4" s="20"/>
      <c r="CM4"/>
      <c r="CU4" s="20"/>
      <c r="DA4"/>
      <c r="DC4" s="20"/>
    </row>
    <row r="5" spans="1:149" x14ac:dyDescent="0.25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4" t="s">
        <v>1280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1439</v>
      </c>
      <c r="H5" s="60" t="s">
        <v>1440</v>
      </c>
      <c r="I5" s="7" t="s">
        <v>1302</v>
      </c>
      <c r="J5" s="7" t="s">
        <v>1393</v>
      </c>
      <c r="K5" s="58">
        <f>ResourceForms[ID]</f>
        <v>309103</v>
      </c>
      <c r="M5" s="65" t="str">
        <f>'Table Seed Map'!$A$12&amp;"-"&amp;FormFields[[#This Row],[No]]</f>
        <v>Form Fields-3</v>
      </c>
      <c r="N5" s="66" t="s">
        <v>1400</v>
      </c>
      <c r="O5" s="67">
        <f>COUNTA($N$1:FormFields[[#This Row],[Form Name]])-1</f>
        <v>3</v>
      </c>
      <c r="P5" s="65" t="str">
        <f>FormFields[[#This Row],[Form Name]]&amp;"/"&amp;FormFields[[#This Row],[Name]]</f>
        <v>ProductTransactionType/NewProductTransactionType/name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309102</v>
      </c>
      <c r="S5" s="69" t="s">
        <v>23</v>
      </c>
      <c r="T5" s="69" t="s">
        <v>1442</v>
      </c>
      <c r="U5" s="69" t="s">
        <v>1398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name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0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/>
      <c r="AP5" s="75"/>
      <c r="AQ5" s="75"/>
      <c r="AR5" s="75"/>
      <c r="AS5" s="75"/>
      <c r="AT5" s="67">
        <f>IF(OR(FormFields[[#This Row],[Colspan]]="",FormFields[[#This Row],[Colspan]]="colspan"),0,1)</f>
        <v>0</v>
      </c>
      <c r="AU5" s="67" t="str">
        <f>'Table Seed Map'!$A$19&amp;"-"&amp;FormFields[[#This Row],[NO8]]</f>
        <v>Form Layout-0</v>
      </c>
      <c r="AV5" s="67">
        <f>COUNTIF($AT$1:FormFields[[#This Row],[Exists FL]],1)</f>
        <v>0</v>
      </c>
      <c r="AW5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67">
        <f>FormFields[Form]</f>
        <v>309102</v>
      </c>
      <c r="AY5" s="67">
        <f>IF(FormFields[[#This Row],[ID]]="id","form_field",FormFields[[#This Row],[ID]])</f>
        <v>310103</v>
      </c>
      <c r="AZ5" s="76"/>
      <c r="BA5" s="67">
        <f>FormFields[[#This Row],[ID]]</f>
        <v>310103</v>
      </c>
      <c r="BC5" s="4" t="s">
        <v>1614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310115</v>
      </c>
      <c r="BG5" s="74" t="s">
        <v>1612</v>
      </c>
      <c r="BH5" s="74">
        <v>4</v>
      </c>
      <c r="BJ5" s="4" t="s">
        <v>1447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VLOOKUP(FieldValidations[Validation Field],FormFields[[Field Name]:[ID]],2,0)</f>
        <v>310105</v>
      </c>
      <c r="BO5" s="64" t="s">
        <v>1402</v>
      </c>
      <c r="BP5" s="64" t="s">
        <v>1403</v>
      </c>
      <c r="BQ5" s="64"/>
      <c r="BR5" s="64"/>
      <c r="BS5" s="64"/>
      <c r="CE5" s="20"/>
      <c r="CH5"/>
      <c r="CI5" s="20"/>
      <c r="CM5"/>
      <c r="CU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4" t="s">
        <v>1289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305112</v>
      </c>
      <c r="G6" s="7" t="s">
        <v>1528</v>
      </c>
      <c r="H6" s="60" t="s">
        <v>1529</v>
      </c>
      <c r="I6" s="7" t="s">
        <v>1530</v>
      </c>
      <c r="J6" s="7" t="s">
        <v>1393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1400</v>
      </c>
      <c r="O6" s="67">
        <f>COUNTA($N$1:FormFields[[#This Row],[Form Name]])-1</f>
        <v>4</v>
      </c>
      <c r="P6" s="65" t="str">
        <f>FormFields[[#This Row],[Form Name]]&amp;"/"&amp;FormFields[[#This Row],[Name]]</f>
        <v>ProductTransactionType/NewProductTransactionType/status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309102</v>
      </c>
      <c r="S6" s="69" t="s">
        <v>777</v>
      </c>
      <c r="T6" s="69" t="s">
        <v>1443</v>
      </c>
      <c r="U6" s="69" t="s">
        <v>1388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status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1</v>
      </c>
      <c r="AK6" s="67" t="str">
        <f>'Table Seed Map'!$A$14&amp;"-"&amp;FormFields[[#This Row],[NO4]]</f>
        <v>Field Options-2</v>
      </c>
      <c r="AL6" s="67">
        <f>COUNTIF($AJ$2:FormFields[[#This Row],[Exists FO]],1)</f>
        <v>2</v>
      </c>
      <c r="AM6" s="67">
        <f>IF(FormFields[[#This Row],[NO4]]=0,"id",FormFields[[#This Row],[NO4]]+IF(ISNUMBER(VLOOKUP('Table Seed Map'!$A$14,SeedMap[],9,0)),VLOOKUP('Table Seed Map'!$A$14,SeedMap[],9,0),0))</f>
        <v>312102</v>
      </c>
      <c r="AN6" s="67">
        <f>IF(FormFields[[#This Row],[ID]]="id","form_field",FormFields[[#This Row],[ID]])</f>
        <v>310104</v>
      </c>
      <c r="AO6" s="75" t="s">
        <v>1544</v>
      </c>
      <c r="AP6" s="75"/>
      <c r="AQ6" s="75"/>
      <c r="AR6" s="75"/>
      <c r="AS6" s="75"/>
      <c r="AT6" s="67">
        <f>IF(OR(FormFields[[#This Row],[Colspan]]="",FormFields[[#This Row],[Colspan]]="colspan"),0,1)</f>
        <v>0</v>
      </c>
      <c r="AU6" s="67" t="str">
        <f>'Table Seed Map'!$A$19&amp;"-"&amp;FormFields[[#This Row],[NO8]]</f>
        <v>Form Layout-0</v>
      </c>
      <c r="AV6" s="67">
        <f>COUNTIF($AT$1:FormFields[[#This Row],[Exists FL]],1)</f>
        <v>0</v>
      </c>
      <c r="AW6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67">
        <f>FormFields[Form]</f>
        <v>309102</v>
      </c>
      <c r="AY6" s="67">
        <f>IF(FormFields[[#This Row],[ID]]="id","form_field",FormFields[[#This Row],[ID]])</f>
        <v>310104</v>
      </c>
      <c r="AZ6" s="76"/>
      <c r="BA6" s="67">
        <f>FormFields[[#This Row],[ID]]</f>
        <v>310104</v>
      </c>
      <c r="BC6" s="4" t="s">
        <v>1615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310116</v>
      </c>
      <c r="BG6" s="74" t="s">
        <v>1612</v>
      </c>
      <c r="BH6" s="74">
        <v>4</v>
      </c>
    </row>
    <row r="7" spans="1:149" x14ac:dyDescent="0.25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4" t="s">
        <v>1289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305112</v>
      </c>
      <c r="G7" s="9" t="s">
        <v>1571</v>
      </c>
      <c r="H7" s="16" t="s">
        <v>1572</v>
      </c>
      <c r="I7" s="9" t="s">
        <v>1573</v>
      </c>
      <c r="J7" s="9" t="s">
        <v>1393</v>
      </c>
      <c r="K7" s="59">
        <f>ResourceForms[ID]</f>
        <v>309105</v>
      </c>
      <c r="M7" s="65" t="str">
        <f>'Table Seed Map'!$A$12&amp;"-"&amp;FormFields[[#This Row],[No]]</f>
        <v>Form Fields-5</v>
      </c>
      <c r="N7" s="66" t="s">
        <v>1441</v>
      </c>
      <c r="O7" s="67">
        <f>COUNTA($N$1:FormFields[[#This Row],[Form Name]])-1</f>
        <v>5</v>
      </c>
      <c r="P7" s="65" t="str">
        <f>FormFields[[#This Row],[Form Name]]&amp;"/"&amp;FormFields[[#This Row],[Name]]</f>
        <v>Setting/AddNewSetting/name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309103</v>
      </c>
      <c r="S7" s="69" t="s">
        <v>23</v>
      </c>
      <c r="T7" s="69" t="s">
        <v>1442</v>
      </c>
      <c r="U7" s="69" t="s">
        <v>1445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name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0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/>
      <c r="AP7" s="75"/>
      <c r="AQ7" s="75"/>
      <c r="AR7" s="75"/>
      <c r="AS7" s="75"/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Layout-1</v>
      </c>
      <c r="AV7" s="67">
        <f>COUNTIF($AT$1:FormFields[[#This Row],[Exists FL]],1)</f>
        <v>1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67">
        <f>FormFields[Form]</f>
        <v>309103</v>
      </c>
      <c r="AY7" s="67">
        <f>IF(FormFields[[#This Row],[ID]]="id","form_field",FormFields[[#This Row],[ID]])</f>
        <v>310105</v>
      </c>
      <c r="AZ7" s="76">
        <v>4</v>
      </c>
      <c r="BA7" s="67">
        <f>FormFields[[#This Row],[ID]]</f>
        <v>310105</v>
      </c>
    </row>
    <row r="8" spans="1:149" x14ac:dyDescent="0.25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4" t="s">
        <v>1290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305113</v>
      </c>
      <c r="G8" s="7" t="s">
        <v>1593</v>
      </c>
      <c r="H8" s="60" t="s">
        <v>1594</v>
      </c>
      <c r="I8" s="7" t="s">
        <v>1595</v>
      </c>
      <c r="J8" s="7" t="s">
        <v>1393</v>
      </c>
      <c r="K8" s="58">
        <f>ResourceForms[ID]</f>
        <v>309106</v>
      </c>
      <c r="M8" s="65" t="str">
        <f>'Table Seed Map'!$A$12&amp;"-"&amp;FormFields[[#This Row],[No]]</f>
        <v>Form Fields-6</v>
      </c>
      <c r="N8" s="66" t="s">
        <v>1441</v>
      </c>
      <c r="O8" s="67">
        <f>COUNTA($N$1:FormFields[[#This Row],[Form Name]])-1</f>
        <v>6</v>
      </c>
      <c r="P8" s="65" t="str">
        <f>FormFields[[#This Row],[Form Name]]&amp;"/"&amp;FormFields[[#This Row],[Name]]</f>
        <v>Setting/AddNewSetting/value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309103</v>
      </c>
      <c r="S8" s="69" t="s">
        <v>44</v>
      </c>
      <c r="T8" s="69" t="s">
        <v>1442</v>
      </c>
      <c r="U8" s="69" t="s">
        <v>1446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value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0</v>
      </c>
      <c r="AK8" s="67" t="str">
        <f>'Table Seed Map'!$A$14&amp;"-"&amp;FormFields[[#This Row],[NO4]]</f>
        <v>Field Options-2</v>
      </c>
      <c r="AL8" s="67">
        <f>COUNTIF($AJ$2:FormFields[[#This Row],[Exists FO]],1)</f>
        <v>2</v>
      </c>
      <c r="AM8" s="67">
        <f>IF(FormFields[[#This Row],[NO4]]=0,"id",FormFields[[#This Row],[NO4]]+IF(ISNUMBER(VLOOKUP('Table Seed Map'!$A$14,SeedMap[],9,0)),VLOOKUP('Table Seed Map'!$A$14,SeedMap[],9,0),0))</f>
        <v>312102</v>
      </c>
      <c r="AN8" s="67">
        <f>IF(FormFields[[#This Row],[ID]]="id","form_field",FormFields[[#This Row],[ID]])</f>
        <v>310106</v>
      </c>
      <c r="AO8" s="75"/>
      <c r="AP8" s="75"/>
      <c r="AQ8" s="75"/>
      <c r="AR8" s="75"/>
      <c r="AS8" s="75"/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Layout-2</v>
      </c>
      <c r="AV8" s="67">
        <f>COUNTIF($AT$1:FormFields[[#This Row],[Exists FL]],1)</f>
        <v>2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67">
        <f>FormFields[Form]</f>
        <v>309103</v>
      </c>
      <c r="AY8" s="67">
        <f>IF(FormFields[[#This Row],[ID]]="id","form_field",FormFields[[#This Row],[ID]])</f>
        <v>310106</v>
      </c>
      <c r="AZ8" s="76">
        <v>4</v>
      </c>
      <c r="BA8" s="67">
        <f>FormFields[[#This Row],[ID]]</f>
        <v>310106</v>
      </c>
    </row>
    <row r="9" spans="1:149" x14ac:dyDescent="0.25">
      <c r="M9" s="65" t="str">
        <f>'Table Seed Map'!$A$12&amp;"-"&amp;FormFields[[#This Row],[No]]</f>
        <v>Form Fields-7</v>
      </c>
      <c r="N9" s="66" t="s">
        <v>1441</v>
      </c>
      <c r="O9" s="67">
        <f>COUNTA($N$1:FormFields[[#This Row],[Form Name]])-1</f>
        <v>7</v>
      </c>
      <c r="P9" s="65" t="str">
        <f>FormFields[[#This Row],[Form Name]]&amp;"/"&amp;FormFields[[#This Row],[Name]]</f>
        <v>Setting/AddNewSetting/status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309103</v>
      </c>
      <c r="S9" s="69" t="s">
        <v>777</v>
      </c>
      <c r="T9" s="69" t="s">
        <v>1443</v>
      </c>
      <c r="U9" s="69" t="s">
        <v>1388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status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1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 t="s">
        <v>1544</v>
      </c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Layout-3</v>
      </c>
      <c r="AV9" s="67">
        <f>COUNTIF($AT$1:FormFields[[#This Row],[Exists FL]],1)</f>
        <v>3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67">
        <f>FormFields[Form]</f>
        <v>309103</v>
      </c>
      <c r="AY9" s="67">
        <f>IF(FormFields[[#This Row],[ID]]="id","form_field",FormFields[[#This Row],[ID]])</f>
        <v>310107</v>
      </c>
      <c r="AZ9" s="76">
        <v>4</v>
      </c>
      <c r="BA9" s="67">
        <f>FormFields[[#This Row],[ID]]</f>
        <v>310107</v>
      </c>
    </row>
    <row r="10" spans="1:149" x14ac:dyDescent="0.25">
      <c r="M10" s="65" t="str">
        <f>'Table Seed Map'!$A$12&amp;"-"&amp;FormFields[[#This Row],[No]]</f>
        <v>Form Fields-8</v>
      </c>
      <c r="N10" s="66" t="s">
        <v>1441</v>
      </c>
      <c r="O10" s="67">
        <f>COUNTA($N$1:FormFields[[#This Row],[Form Name]])-1</f>
        <v>8</v>
      </c>
      <c r="P10" s="65" t="str">
        <f>FormFields[[#This Row],[Form Name]]&amp;"/"&amp;FormFields[[#This Row],[Name]]</f>
        <v>Setting/AddNewSetting/description</v>
      </c>
      <c r="Q10" s="67">
        <f>IF(FormFields[[#This Row],[No]]=0,"id",FormFields[[#This Row],[No]]+IF(ISNUMBER(VLOOKUP('Table Seed Map'!$A$12,SeedMap[],9,0)),VLOOKUP('Table Seed Map'!$A$12,SeedMap[],9,0),0))</f>
        <v>310108</v>
      </c>
      <c r="R10" s="68">
        <f>IFERROR(VLOOKUP(FormFields[[#This Row],[Form Name]],ResourceForms[[FormName]:[ID]],4,0),"resource_form")</f>
        <v>309103</v>
      </c>
      <c r="S10" s="89" t="s">
        <v>24</v>
      </c>
      <c r="T10" s="89" t="s">
        <v>1444</v>
      </c>
      <c r="U10" s="89" t="s">
        <v>102</v>
      </c>
      <c r="V10" s="70"/>
      <c r="W10" s="70"/>
      <c r="X10" s="70"/>
      <c r="Y10" s="70"/>
      <c r="Z10" s="71" t="str">
        <f>'Table Seed Map'!$A$13&amp;"-"&amp;FormFields[[#This Row],[NO2]]</f>
        <v>Field Data-8</v>
      </c>
      <c r="AA10" s="72">
        <f>COUNTIFS($AB$1:FormFields[[#This Row],[Exists]],1)-1</f>
        <v>8</v>
      </c>
      <c r="AB10" s="72">
        <f>IF(AND(FormFields[[#This Row],[Attribute]]="",FormFields[[#This Row],[Rel]]=""),0,1)</f>
        <v>1</v>
      </c>
      <c r="AC10" s="72">
        <f>IF(FormFields[[#This Row],[NO2]]=0,"id",FormFields[[#This Row],[NO2]]+IF(ISNUMBER(VLOOKUP('Table Seed Map'!$A$13,SeedMap[],9,0)),VLOOKUP('Table Seed Map'!$A$13,SeedMap[],9,0),0))</f>
        <v>311108</v>
      </c>
      <c r="AD10" s="77">
        <f>IF(FormFields[[#This Row],[ID]]="id","form_field",FormFields[[#This Row],[ID]])</f>
        <v>310108</v>
      </c>
      <c r="AE10" s="72" t="str">
        <f>IF(FormFields[[#This Row],[No]]=0,"attribute",FormFields[[#This Row],[Name]])</f>
        <v>description</v>
      </c>
      <c r="AF10" s="73" t="str">
        <f>IF(FormFields[[#This Row],[NO2]]=0,"relation",IF(FormFields[[#This Row],[Rel]]="","",VLOOKUP(FormFields[[#This Row],[Rel]],RelationTable[[Display]:[RELID]],2,0)))</f>
        <v/>
      </c>
      <c r="AG10" s="73" t="str">
        <f>IF(FormFields[[#This Row],[NO2]]=0,"nest_relation1",IF(FormFields[[#This Row],[Rel1]]="","",VLOOKUP(FormFields[[#This Row],[Rel1]],RelationTable[[Display]:[RELID]],2,0)))</f>
        <v/>
      </c>
      <c r="AH10" s="73" t="str">
        <f>IF(FormFields[[#This Row],[NO2]]=0,"nest_relation2",IF(FormFields[[#This Row],[Rel2]]="","",VLOOKUP(FormFields[[#This Row],[Rel2]],RelationTable[[Display]:[RELID]],2,0)))</f>
        <v/>
      </c>
      <c r="AI10" s="73" t="str">
        <f>IF(FormFields[[#This Row],[NO2]]=0,"nest_relation2",IF(FormFields[[#This Row],[Rel2]]="","",VLOOKUP(FormFields[[#This Row],[Rel2]],RelationTable[[Display]:[RELID]],2,0)))</f>
        <v/>
      </c>
      <c r="AJ10" s="67">
        <f>IF(OR(FormFields[[#This Row],[Option Type]]="",FormFields[[#This Row],[Option Type]]="type"),0,1)</f>
        <v>0</v>
      </c>
      <c r="AK10" s="67" t="str">
        <f>'Table Seed Map'!$A$14&amp;"-"&amp;FormFields[[#This Row],[NO4]]</f>
        <v>Field Options-3</v>
      </c>
      <c r="AL10" s="67">
        <f>COUNTIF($AJ$2:FormFields[[#This Row],[Exists FO]],1)</f>
        <v>3</v>
      </c>
      <c r="AM10" s="67">
        <f>IF(FormFields[[#This Row],[NO4]]=0,"id",FormFields[[#This Row],[NO4]]+IF(ISNUMBER(VLOOKUP('Table Seed Map'!$A$14,SeedMap[],9,0)),VLOOKUP('Table Seed Map'!$A$14,SeedMap[],9,0),0))</f>
        <v>312103</v>
      </c>
      <c r="AN10" s="67">
        <f>IF(FormFields[[#This Row],[ID]]="id","form_field",FormFields[[#This Row],[ID]])</f>
        <v>310108</v>
      </c>
      <c r="AO10" s="75"/>
      <c r="AP10" s="75"/>
      <c r="AQ10" s="75"/>
      <c r="AR10" s="75"/>
      <c r="AS10" s="75"/>
      <c r="AT10" s="67">
        <f>IF(OR(FormFields[[#This Row],[Colspan]]="",FormFields[[#This Row],[Colspan]]="colspan"),0,1)</f>
        <v>1</v>
      </c>
      <c r="AU10" s="67" t="str">
        <f>'Table Seed Map'!$A$19&amp;"-"&amp;FormFields[[#This Row],[NO8]]</f>
        <v>Form Layout-4</v>
      </c>
      <c r="AV10" s="67">
        <f>COUNTIF($AT$1:FormFields[[#This Row],[Exists FL]],1)</f>
        <v>4</v>
      </c>
      <c r="AW10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67">
        <f>FormFields[Form]</f>
        <v>309103</v>
      </c>
      <c r="AY10" s="67">
        <f>IF(FormFields[[#This Row],[ID]]="id","form_field",FormFields[[#This Row],[ID]])</f>
        <v>310108</v>
      </c>
      <c r="AZ10" s="76">
        <v>12</v>
      </c>
      <c r="BA10" s="67">
        <f>FormFields[[#This Row],[ID]]</f>
        <v>310108</v>
      </c>
    </row>
    <row r="11" spans="1:149" x14ac:dyDescent="0.25">
      <c r="M11" s="65" t="str">
        <f>'Table Seed Map'!$A$12&amp;"-"&amp;FormFields[[#This Row],[No]]</f>
        <v>Form Fields-9</v>
      </c>
      <c r="N11" s="66" t="s">
        <v>1531</v>
      </c>
      <c r="O11" s="67">
        <f>COUNTA($N$1:FormFields[[#This Row],[Form Name]])-1</f>
        <v>9</v>
      </c>
      <c r="P11" s="65" t="str">
        <f>FormFields[[#This Row],[Form Name]]&amp;"/"&amp;FormFields[[#This Row],[Name]]</f>
        <v>UserSetting/AddNewUserSetting/user</v>
      </c>
      <c r="Q11" s="67">
        <f>IF(FormFields[[#This Row],[No]]=0,"id",FormFields[[#This Row],[No]]+IF(ISNUMBER(VLOOKUP('Table Seed Map'!$A$12,SeedMap[],9,0)),VLOOKUP('Table Seed Map'!$A$12,SeedMap[],9,0),0))</f>
        <v>310109</v>
      </c>
      <c r="R11" s="68">
        <f>IFERROR(VLOOKUP(FormFields[[#This Row],[Form Name]],ResourceForms[[FormName]:[ID]],4,0),"resource_form")</f>
        <v>309104</v>
      </c>
      <c r="S11" s="69" t="s">
        <v>64</v>
      </c>
      <c r="T11" s="69" t="s">
        <v>1443</v>
      </c>
      <c r="U11" s="69" t="s">
        <v>74</v>
      </c>
      <c r="V11" s="70"/>
      <c r="W11" s="70"/>
      <c r="X11" s="70"/>
      <c r="Y11" s="70"/>
      <c r="Z11" s="71" t="str">
        <f>'Table Seed Map'!$A$13&amp;"-"&amp;FormFields[[#This Row],[NO2]]</f>
        <v>Field Data-9</v>
      </c>
      <c r="AA11" s="72">
        <f>COUNTIFS($AB$1:FormFields[[#This Row],[Exists]],1)-1</f>
        <v>9</v>
      </c>
      <c r="AB11" s="72">
        <f>IF(AND(FormFields[[#This Row],[Attribute]]="",FormFields[[#This Row],[Rel]]=""),0,1)</f>
        <v>1</v>
      </c>
      <c r="AC11" s="72">
        <f>IF(FormFields[[#This Row],[NO2]]=0,"id",FormFields[[#This Row],[NO2]]+IF(ISNUMBER(VLOOKUP('Table Seed Map'!$A$13,SeedMap[],9,0)),VLOOKUP('Table Seed Map'!$A$13,SeedMap[],9,0),0))</f>
        <v>311109</v>
      </c>
      <c r="AD11" s="77">
        <f>IF(FormFields[[#This Row],[ID]]="id","form_field",FormFields[[#This Row],[ID]])</f>
        <v>310109</v>
      </c>
      <c r="AE11" s="72" t="str">
        <f>IF(FormFields[[#This Row],[No]]=0,"attribute",FormFields[[#This Row],[Name]])</f>
        <v>user</v>
      </c>
      <c r="AF11" s="73" t="str">
        <f>IF(FormFields[[#This Row],[NO2]]=0,"relation",IF(FormFields[[#This Row],[Rel]]="","",VLOOKUP(FormFields[[#This Row],[Rel]],RelationTable[[Display]:[RELID]],2,0)))</f>
        <v/>
      </c>
      <c r="AG11" s="73" t="str">
        <f>IF(FormFields[[#This Row],[NO2]]=0,"nest_relation1",IF(FormFields[[#This Row],[Rel1]]="","",VLOOKUP(FormFields[[#This Row],[Rel1]],RelationTable[[Display]:[RELID]],2,0)))</f>
        <v/>
      </c>
      <c r="AH11" s="73" t="str">
        <f>IF(FormFields[[#This Row],[NO2]]=0,"nest_relation2",IF(FormFields[[#This Row],[Rel2]]="","",VLOOKUP(FormFields[[#This Row],[Rel2]],RelationTable[[Display]:[RELID]],2,0)))</f>
        <v/>
      </c>
      <c r="AI11" s="73" t="str">
        <f>IF(FormFields[[#This Row],[NO2]]=0,"nest_relation2",IF(FormFields[[#This Row],[Rel2]]="","",VLOOKUP(FormFields[[#This Row],[Rel2]],RelationTable[[Display]:[RELID]],2,0)))</f>
        <v/>
      </c>
      <c r="AJ11" s="67">
        <f>IF(OR(FormFields[[#This Row],[Option Type]]="",FormFields[[#This Row],[Option Type]]="type"),0,1)</f>
        <v>1</v>
      </c>
      <c r="AK11" s="67" t="str">
        <f>'Table Seed Map'!$A$14&amp;"-"&amp;FormFields[[#This Row],[NO4]]</f>
        <v>Field Options-4</v>
      </c>
      <c r="AL11" s="67">
        <f>COUNTIF($AJ$2:FormFields[[#This Row],[Exists FO]],1)</f>
        <v>4</v>
      </c>
      <c r="AM11" s="67">
        <f>IF(FormFields[[#This Row],[NO4]]=0,"id",FormFields[[#This Row],[NO4]]+IF(ISNUMBER(VLOOKUP('Table Seed Map'!$A$14,SeedMap[],9,0)),VLOOKUP('Table Seed Map'!$A$14,SeedMap[],9,0),0))</f>
        <v>312104</v>
      </c>
      <c r="AN11" s="67">
        <f>IF(FormFields[[#This Row],[ID]]="id","form_field",FormFields[[#This Row],[ID]])</f>
        <v>310109</v>
      </c>
      <c r="AO11" s="75" t="s">
        <v>122</v>
      </c>
      <c r="AP11" s="75">
        <v>322106</v>
      </c>
      <c r="AQ11" s="75" t="s">
        <v>21</v>
      </c>
      <c r="AR11" s="75" t="s">
        <v>23</v>
      </c>
      <c r="AS11" s="75" t="s">
        <v>1543</v>
      </c>
      <c r="AT11" s="67">
        <f>IF(OR(FormFields[[#This Row],[Colspan]]="",FormFields[[#This Row],[Colspan]]="colspan"),0,1)</f>
        <v>1</v>
      </c>
      <c r="AU11" s="67" t="str">
        <f>'Table Seed Map'!$A$19&amp;"-"&amp;FormFields[[#This Row],[NO8]]</f>
        <v>Form Layout-5</v>
      </c>
      <c r="AV11" s="67">
        <f>COUNTIF($AT$1:FormFields[[#This Row],[Exists FL]],1)</f>
        <v>5</v>
      </c>
      <c r="AW11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67">
        <f>FormFields[Form]</f>
        <v>309104</v>
      </c>
      <c r="AY11" s="67">
        <f>IF(FormFields[[#This Row],[ID]]="id","form_field",FormFields[[#This Row],[ID]])</f>
        <v>310109</v>
      </c>
      <c r="AZ11" s="76">
        <v>6</v>
      </c>
      <c r="BA11" s="67">
        <f>FormFields[[#This Row],[ID]]</f>
        <v>310109</v>
      </c>
    </row>
    <row r="12" spans="1:149" x14ac:dyDescent="0.25">
      <c r="M12" s="65" t="str">
        <f>'Table Seed Map'!$A$12&amp;"-"&amp;FormFields[[#This Row],[No]]</f>
        <v>Form Fields-10</v>
      </c>
      <c r="N12" s="66" t="s">
        <v>1531</v>
      </c>
      <c r="O12" s="67">
        <f>COUNTA($N$1:FormFields[[#This Row],[Form Name]])-1</f>
        <v>10</v>
      </c>
      <c r="P12" s="65" t="str">
        <f>FormFields[[#This Row],[Form Name]]&amp;"/"&amp;FormFields[[#This Row],[Name]]</f>
        <v>UserSetting/AddNewUserSetting/setting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1276</v>
      </c>
      <c r="T12" s="69" t="s">
        <v>1443</v>
      </c>
      <c r="U12" s="69" t="s">
        <v>1280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setting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Options-5</v>
      </c>
      <c r="AL12" s="67">
        <f>COUNTIF($AJ$2:FormFields[[#This Row],[Exists FO]],1)</f>
        <v>5</v>
      </c>
      <c r="AM12" s="67">
        <f>IF(FormFields[[#This Row],[NO4]]=0,"id",FormFields[[#This Row],[NO4]]+IF(ISNUMBER(VLOOKUP('Table Seed Map'!$A$14,SeedMap[],9,0)),VLOOKUP('Table Seed Map'!$A$14,SeedMap[],9,0),0))</f>
        <v>312105</v>
      </c>
      <c r="AN12" s="67">
        <f>IF(FormFields[[#This Row],[ID]]="id","form_field",FormFields[[#This Row],[ID]])</f>
        <v>310110</v>
      </c>
      <c r="AO12" s="75" t="s">
        <v>278</v>
      </c>
      <c r="AP12" s="75"/>
      <c r="AQ12" s="75" t="s">
        <v>21</v>
      </c>
      <c r="AR12" s="75" t="s">
        <v>23</v>
      </c>
      <c r="AS12" s="75" t="s">
        <v>1543</v>
      </c>
      <c r="AT12" s="67">
        <f>IF(OR(FormFields[[#This Row],[Colspan]]="",FormFields[[#This Row],[Colspan]]="colspan"),0,1)</f>
        <v>1</v>
      </c>
      <c r="AU12" s="67" t="str">
        <f>'Table Seed Map'!$A$19&amp;"-"&amp;FormFields[[#This Row],[NO8]]</f>
        <v>Form Layout-6</v>
      </c>
      <c r="AV12" s="67">
        <f>COUNTIF($AT$1:FormFields[[#This Row],[Exists FL]],1)</f>
        <v>6</v>
      </c>
      <c r="AW12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>
        <v>6</v>
      </c>
      <c r="BA12" s="67">
        <f>FormFields[[#This Row],[ID]]</f>
        <v>310110</v>
      </c>
    </row>
    <row r="13" spans="1:149" x14ac:dyDescent="0.25">
      <c r="M13" s="65" t="str">
        <f>'Table Seed Map'!$A$12&amp;"-"&amp;FormFields[[#This Row],[No]]</f>
        <v>Form Fields-11</v>
      </c>
      <c r="N13" s="66" t="s">
        <v>1531</v>
      </c>
      <c r="O13" s="67">
        <f>COUNTA($N$1:FormFields[[#This Row],[Form Name]])-1</f>
        <v>11</v>
      </c>
      <c r="P13" s="65" t="str">
        <f>FormFields[[#This Row],[Form Name]]&amp;"/"&amp;FormFields[[#This Row],[Name]]</f>
        <v>UserSetting/AddNewUserSetting/value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44</v>
      </c>
      <c r="T13" s="69" t="s">
        <v>1442</v>
      </c>
      <c r="U13" s="69" t="s">
        <v>276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value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0</v>
      </c>
      <c r="AK13" s="67" t="str">
        <f>'Table Seed Map'!$A$14&amp;"-"&amp;FormFields[[#This Row],[NO4]]</f>
        <v>Field Options-5</v>
      </c>
      <c r="AL13" s="67">
        <f>COUNTIF($AJ$2:FormFields[[#This Row],[Exists FO]],1)</f>
        <v>5</v>
      </c>
      <c r="AM13" s="67">
        <f>IF(FormFields[[#This Row],[NO4]]=0,"id",FormFields[[#This Row],[NO4]]+IF(ISNUMBER(VLOOKUP('Table Seed Map'!$A$14,SeedMap[],9,0)),VLOOKUP('Table Seed Map'!$A$14,SeedMap[],9,0),0))</f>
        <v>312105</v>
      </c>
      <c r="AN13" s="67">
        <f>IF(FormFields[[#This Row],[ID]]="id","form_field",FormFields[[#This Row],[ID]])</f>
        <v>310111</v>
      </c>
      <c r="AO13" s="75"/>
      <c r="AP13" s="75"/>
      <c r="AQ13" s="75"/>
      <c r="AR13" s="75"/>
      <c r="AS13" s="75"/>
      <c r="AT13" s="67">
        <f>IF(OR(FormFields[[#This Row],[Colspan]]="",FormFields[[#This Row],[Colspan]]="colspan"),0,1)</f>
        <v>1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>
        <v>12</v>
      </c>
      <c r="BA13" s="67">
        <f>FormFields[[#This Row],[ID]]</f>
        <v>310111</v>
      </c>
    </row>
    <row r="14" spans="1:149" x14ac:dyDescent="0.25">
      <c r="M14" s="93" t="str">
        <f>'Table Seed Map'!$A$12&amp;"-"&amp;FormFields[[#This Row],[No]]</f>
        <v>Form Fields-12</v>
      </c>
      <c r="N14" s="66" t="s">
        <v>1574</v>
      </c>
      <c r="O14" s="38">
        <f>COUNTA($N$1:FormFields[[#This Row],[Form Name]])-1</f>
        <v>12</v>
      </c>
      <c r="P14" s="93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97">
        <f>IFERROR(VLOOKUP(FormFields[[#This Row],[Form Name]],ResourceForms[[FormName]:[ID]],4,0),"resource_form")</f>
        <v>309105</v>
      </c>
      <c r="S14" s="98" t="s">
        <v>777</v>
      </c>
      <c r="T14" s="98" t="s">
        <v>1443</v>
      </c>
      <c r="U14" s="98" t="s">
        <v>1575</v>
      </c>
      <c r="V14" s="99"/>
      <c r="W14" s="99"/>
      <c r="X14" s="99"/>
      <c r="Y14" s="99"/>
      <c r="Z14" s="100" t="str">
        <f>'Table Seed Map'!$A$13&amp;"-"&amp;FormFields[[#This Row],[NO2]]</f>
        <v>Field Data-12</v>
      </c>
      <c r="AA14" s="101">
        <f>COUNTIFS($AB$1:FormFields[[#This Row],[Exists]],1)-1</f>
        <v>12</v>
      </c>
      <c r="AB14" s="101">
        <f>IF(AND(FormFields[[#This Row],[Attribute]]="",FormFields[[#This Row],[Rel]]=""),0,1)</f>
        <v>1</v>
      </c>
      <c r="AC14" s="101">
        <f>IF(FormFields[[#This Row],[NO2]]=0,"id",FormFields[[#This Row],[NO2]]+IF(ISNUMBER(VLOOKUP('Table Seed Map'!$A$13,SeedMap[],9,0)),VLOOKUP('Table Seed Map'!$A$13,SeedMap[],9,0),0))</f>
        <v>311112</v>
      </c>
      <c r="AD14" s="102">
        <f>IF(FormFields[[#This Row],[ID]]="id","form_field",FormFields[[#This Row],[ID]])</f>
        <v>310112</v>
      </c>
      <c r="AE14" s="101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3" t="s">
        <v>1544</v>
      </c>
      <c r="AP14" s="103"/>
      <c r="AQ14" s="103"/>
      <c r="AR14" s="103"/>
      <c r="AS14" s="103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FormFields[Form]</f>
        <v>309105</v>
      </c>
      <c r="AY14" s="38">
        <f>IF(FormFields[[#This Row],[ID]]="id","form_field",FormFields[[#This Row],[ID]])</f>
        <v>310112</v>
      </c>
      <c r="AZ14" s="104"/>
      <c r="BA14" s="38">
        <f>FormFields[[#This Row],[ID]]</f>
        <v>310112</v>
      </c>
    </row>
    <row r="15" spans="1:149" x14ac:dyDescent="0.25">
      <c r="M15" s="65" t="str">
        <f>'Table Seed Map'!$A$12&amp;"-"&amp;FormFields[[#This Row],[No]]</f>
        <v>Form Fields-13</v>
      </c>
      <c r="N15" s="66" t="s">
        <v>1596</v>
      </c>
      <c r="O15" s="67">
        <f>COUNTA($N$1:FormFields[[#This Row],[Form Name]])-1</f>
        <v>13</v>
      </c>
      <c r="P15" s="65" t="str">
        <f>FormFields[[#This Row],[Form Name]]&amp;"/"&amp;FormFields[[#This Row],[Name]]</f>
        <v>UserStoreArea/AddUserStoreAreaForm/user</v>
      </c>
      <c r="Q15" s="67">
        <f>IF(FormFields[[#This Row],[No]]=0,"id",FormFields[[#This Row],[No]]+IF(ISNUMBER(VLOOKUP('Table Seed Map'!$A$12,SeedMap[],9,0)),VLOOKUP('Table Seed Map'!$A$12,SeedMap[],9,0),0))</f>
        <v>310113</v>
      </c>
      <c r="R15" s="68">
        <f>IFERROR(VLOOKUP(FormFields[[#This Row],[Form Name]],ResourceForms[[FormName]:[ID]],4,0),"resource_form")</f>
        <v>309106</v>
      </c>
      <c r="S15" s="69" t="s">
        <v>64</v>
      </c>
      <c r="T15" s="69" t="s">
        <v>1443</v>
      </c>
      <c r="U15" s="69" t="s">
        <v>1597</v>
      </c>
      <c r="V15" s="70"/>
      <c r="W15" s="70"/>
      <c r="X15" s="70"/>
      <c r="Y15" s="70"/>
      <c r="Z15" s="71" t="str">
        <f>'Table Seed Map'!$A$13&amp;"-"&amp;FormFields[[#This Row],[NO2]]</f>
        <v>Field Data-13</v>
      </c>
      <c r="AA15" s="72">
        <f>COUNTIFS($AB$1:FormFields[[#This Row],[Exists]],1)-1</f>
        <v>13</v>
      </c>
      <c r="AB15" s="72">
        <f>IF(AND(FormFields[[#This Row],[Attribute]]="",FormFields[[#This Row],[Rel]]=""),0,1)</f>
        <v>1</v>
      </c>
      <c r="AC15" s="72">
        <f>IF(FormFields[[#This Row],[NO2]]=0,"id",FormFields[[#This Row],[NO2]]+IF(ISNUMBER(VLOOKUP('Table Seed Map'!$A$13,SeedMap[],9,0)),VLOOKUP('Table Seed Map'!$A$13,SeedMap[],9,0),0))</f>
        <v>311113</v>
      </c>
      <c r="AD15" s="77">
        <f>IF(FormFields[[#This Row],[ID]]="id","form_field",FormFields[[#This Row],[ID]])</f>
        <v>310113</v>
      </c>
      <c r="AE15" s="72" t="str">
        <f>IF(FormFields[[#This Row],[No]]=0,"attribute",FormFields[[#This Row],[Name]])</f>
        <v>user</v>
      </c>
      <c r="AF15" s="73" t="str">
        <f>IF(FormFields[[#This Row],[NO2]]=0,"relation",IF(FormFields[[#This Row],[Rel]]="","",VLOOKUP(FormFields[[#This Row],[Rel]],RelationTable[[Display]:[RELID]],2,0)))</f>
        <v/>
      </c>
      <c r="AG15" s="73" t="str">
        <f>IF(FormFields[[#This Row],[NO2]]=0,"nest_relation1",IF(FormFields[[#This Row],[Rel1]]="","",VLOOKUP(FormFields[[#This Row],[Rel1]],RelationTable[[Display]:[RELID]],2,0)))</f>
        <v/>
      </c>
      <c r="AH15" s="73" t="str">
        <f>IF(FormFields[[#This Row],[NO2]]=0,"nest_relation2",IF(FormFields[[#This Row],[Rel2]]="","",VLOOKUP(FormFields[[#This Row],[Rel2]],RelationTable[[Display]:[RELID]],2,0)))</f>
        <v/>
      </c>
      <c r="AI15" s="73" t="str">
        <f>IF(FormFields[[#This Row],[NO2]]=0,"nest_relation2",IF(FormFields[[#This Row],[Rel2]]="","",VLOOKUP(FormFields[[#This Row],[Rel2]],RelationTable[[Display]:[RELID]],2,0)))</f>
        <v/>
      </c>
      <c r="AJ15" s="67">
        <f>IF(OR(FormFields[[#This Row],[Option Type]]="",FormFields[[#This Row],[Option Type]]="type"),0,1)</f>
        <v>1</v>
      </c>
      <c r="AK15" s="67" t="str">
        <f>'Table Seed Map'!$A$14&amp;"-"&amp;FormFields[[#This Row],[NO4]]</f>
        <v>Field Options-7</v>
      </c>
      <c r="AL15" s="67">
        <f>COUNTIF($AJ$2:FormFields[[#This Row],[Exists FO]],1)</f>
        <v>7</v>
      </c>
      <c r="AM15" s="67">
        <f>IF(FormFields[[#This Row],[NO4]]=0,"id",FormFields[[#This Row],[NO4]]+IF(ISNUMBER(VLOOKUP('Table Seed Map'!$A$14,SeedMap[],9,0)),VLOOKUP('Table Seed Map'!$A$14,SeedMap[],9,0),0))</f>
        <v>312107</v>
      </c>
      <c r="AN15" s="67">
        <f>IF(FormFields[[#This Row],[ID]]="id","form_field",FormFields[[#This Row],[ID]])</f>
        <v>310113</v>
      </c>
      <c r="AO15" s="75" t="s">
        <v>122</v>
      </c>
      <c r="AP15" s="75">
        <v>322106</v>
      </c>
      <c r="AQ15" s="75" t="s">
        <v>21</v>
      </c>
      <c r="AR15" s="75" t="s">
        <v>23</v>
      </c>
      <c r="AS15" s="75" t="s">
        <v>1543</v>
      </c>
      <c r="AT15" s="67">
        <f>IF(OR(FormFields[[#This Row],[Colspan]]="",FormFields[[#This Row],[Colspan]]="colspan"),0,1)</f>
        <v>0</v>
      </c>
      <c r="AU15" s="67" t="str">
        <f>'Table Seed Map'!$A$19&amp;"-"&amp;FormFields[[#This Row],[NO8]]</f>
        <v>Form Layout-7</v>
      </c>
      <c r="AV15" s="67">
        <f>COUNTIF($AT$1:FormFields[[#This Row],[Exists FL]],1)</f>
        <v>7</v>
      </c>
      <c r="AW15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67">
        <f>FormFields[Form]</f>
        <v>309106</v>
      </c>
      <c r="AY15" s="67">
        <f>IF(FormFields[[#This Row],[ID]]="id","form_field",FormFields[[#This Row],[ID]])</f>
        <v>310113</v>
      </c>
      <c r="AZ15" s="76"/>
      <c r="BA15" s="67">
        <f>FormFields[[#This Row],[ID]]</f>
        <v>310113</v>
      </c>
    </row>
    <row r="16" spans="1:149" x14ac:dyDescent="0.25">
      <c r="M16" s="65" t="str">
        <f>'Table Seed Map'!$A$12&amp;"-"&amp;FormFields[[#This Row],[No]]</f>
        <v>Form Fields-14</v>
      </c>
      <c r="N16" s="66" t="s">
        <v>1596</v>
      </c>
      <c r="O16" s="67">
        <f>COUNTA($N$1:FormFields[[#This Row],[Form Name]])-1</f>
        <v>14</v>
      </c>
      <c r="P16" s="65" t="str">
        <f>FormFields[[#This Row],[Form Name]]&amp;"/"&amp;FormFields[[#This Row],[Name]]</f>
        <v>UserStoreArea/AddUserStoreAreaForm/store</v>
      </c>
      <c r="Q16" s="67">
        <f>IF(FormFields[[#This Row],[No]]=0,"id",FormFields[[#This Row],[No]]+IF(ISNUMBER(VLOOKUP('Table Seed Map'!$A$12,SeedMap[],9,0)),VLOOKUP('Table Seed Map'!$A$12,SeedMap[],9,0),0))</f>
        <v>310114</v>
      </c>
      <c r="R16" s="68">
        <f>IFERROR(VLOOKUP(FormFields[[#This Row],[Form Name]],ResourceForms[[FormName]:[ID]],4,0),"resource_form")</f>
        <v>309106</v>
      </c>
      <c r="S16" s="69" t="s">
        <v>756</v>
      </c>
      <c r="T16" s="69" t="s">
        <v>1443</v>
      </c>
      <c r="U16" s="69" t="s">
        <v>1286</v>
      </c>
      <c r="V16" s="70"/>
      <c r="W16" s="70"/>
      <c r="X16" s="70"/>
      <c r="Y16" s="70"/>
      <c r="Z16" s="71" t="str">
        <f>'Table Seed Map'!$A$13&amp;"-"&amp;FormFields[[#This Row],[NO2]]</f>
        <v>Field Data-14</v>
      </c>
      <c r="AA16" s="72">
        <f>COUNTIFS($AB$1:FormFields[[#This Row],[Exists]],1)-1</f>
        <v>14</v>
      </c>
      <c r="AB16" s="72">
        <f>IF(AND(FormFields[[#This Row],[Attribute]]="",FormFields[[#This Row],[Rel]]=""),0,1)</f>
        <v>1</v>
      </c>
      <c r="AC16" s="72">
        <f>IF(FormFields[[#This Row],[NO2]]=0,"id",FormFields[[#This Row],[NO2]]+IF(ISNUMBER(VLOOKUP('Table Seed Map'!$A$13,SeedMap[],9,0)),VLOOKUP('Table Seed Map'!$A$13,SeedMap[],9,0),0))</f>
        <v>311114</v>
      </c>
      <c r="AD16" s="77">
        <f>IF(FormFields[[#This Row],[ID]]="id","form_field",FormFields[[#This Row],[ID]])</f>
        <v>310114</v>
      </c>
      <c r="AE16" s="72" t="str">
        <f>IF(FormFields[[#This Row],[No]]=0,"attribute",FormFields[[#This Row],[Name]])</f>
        <v>store</v>
      </c>
      <c r="AF16" s="73" t="str">
        <f>IF(FormFields[[#This Row],[NO2]]=0,"relation",IF(FormFields[[#This Row],[Rel]]="","",VLOOKUP(FormFields[[#This Row],[Rel]],RelationTable[[Display]:[RELID]],2,0)))</f>
        <v/>
      </c>
      <c r="AG16" s="73" t="str">
        <f>IF(FormFields[[#This Row],[NO2]]=0,"nest_relation1",IF(FormFields[[#This Row],[Rel1]]="","",VLOOKUP(FormFields[[#This Row],[Rel1]],RelationTable[[Display]:[RELID]],2,0)))</f>
        <v/>
      </c>
      <c r="AH16" s="73" t="str">
        <f>IF(FormFields[[#This Row],[NO2]]=0,"nest_relation2",IF(FormFields[[#This Row],[Rel2]]="","",VLOOKUP(FormFields[[#This Row],[Rel2]],RelationTable[[Display]:[RELID]],2,0)))</f>
        <v/>
      </c>
      <c r="AI16" s="73" t="str">
        <f>IF(FormFields[[#This Row],[NO2]]=0,"nest_relation2",IF(FormFields[[#This Row],[Rel2]]="","",VLOOKUP(FormFields[[#This Row],[Rel2]],RelationTable[[Display]:[RELID]],2,0)))</f>
        <v/>
      </c>
      <c r="AJ16" s="67">
        <f>IF(OR(FormFields[[#This Row],[Option Type]]="",FormFields[[#This Row],[Option Type]]="type"),0,1)</f>
        <v>1</v>
      </c>
      <c r="AK16" s="67" t="str">
        <f>'Table Seed Map'!$A$14&amp;"-"&amp;FormFields[[#This Row],[NO4]]</f>
        <v>Field Options-8</v>
      </c>
      <c r="AL16" s="67">
        <f>COUNTIF($AJ$2:FormFields[[#This Row],[Exists FO]],1)</f>
        <v>8</v>
      </c>
      <c r="AM16" s="67">
        <f>IF(FormFields[[#This Row],[NO4]]=0,"id",FormFields[[#This Row],[NO4]]+IF(ISNUMBER(VLOOKUP('Table Seed Map'!$A$14,SeedMap[],9,0)),VLOOKUP('Table Seed Map'!$A$14,SeedMap[],9,0),0))</f>
        <v>312108</v>
      </c>
      <c r="AN16" s="67">
        <f>IF(FormFields[[#This Row],[ID]]="id","form_field",FormFields[[#This Row],[ID]])</f>
        <v>310114</v>
      </c>
      <c r="AO16" s="75" t="s">
        <v>278</v>
      </c>
      <c r="AP16" s="75"/>
      <c r="AQ16" s="75" t="s">
        <v>21</v>
      </c>
      <c r="AR16" s="75" t="s">
        <v>23</v>
      </c>
      <c r="AS16" s="75" t="s">
        <v>1543</v>
      </c>
      <c r="AT16" s="67">
        <f>IF(OR(FormFields[[#This Row],[Colspan]]="",FormFields[[#This Row],[Colspan]]="colspan"),0,1)</f>
        <v>0</v>
      </c>
      <c r="AU16" s="67" t="str">
        <f>'Table Seed Map'!$A$19&amp;"-"&amp;FormFields[[#This Row],[NO8]]</f>
        <v>Form Layout-7</v>
      </c>
      <c r="AV16" s="67">
        <f>COUNTIF($AT$1:FormFields[[#This Row],[Exists FL]],1)</f>
        <v>7</v>
      </c>
      <c r="AW16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67">
        <f>FormFields[Form]</f>
        <v>309106</v>
      </c>
      <c r="AY16" s="67">
        <f>IF(FormFields[[#This Row],[ID]]="id","form_field",FormFields[[#This Row],[ID]])</f>
        <v>310114</v>
      </c>
      <c r="AZ16" s="76"/>
      <c r="BA16" s="67">
        <f>FormFields[[#This Row],[ID]]</f>
        <v>310114</v>
      </c>
    </row>
    <row r="17" spans="13:53" x14ac:dyDescent="0.25">
      <c r="M17" s="65" t="str">
        <f>'Table Seed Map'!$A$12&amp;"-"&amp;FormFields[[#This Row],[No]]</f>
        <v>Form Fields-15</v>
      </c>
      <c r="N17" s="66" t="s">
        <v>1596</v>
      </c>
      <c r="O17" s="67">
        <f>COUNTA($N$1:FormFields[[#This Row],[Form Name]])-1</f>
        <v>15</v>
      </c>
      <c r="P17" s="65" t="str">
        <f>FormFields[[#This Row],[Form Name]]&amp;"/"&amp;FormFields[[#This Row],[Name]]</f>
        <v>UserStoreArea/AddUserStoreAreaForm/area</v>
      </c>
      <c r="Q17" s="67">
        <f>IF(FormFields[[#This Row],[No]]=0,"id",FormFields[[#This Row],[No]]+IF(ISNUMBER(VLOOKUP('Table Seed Map'!$A$12,SeedMap[],9,0)),VLOOKUP('Table Seed Map'!$A$12,SeedMap[],9,0),0))</f>
        <v>310115</v>
      </c>
      <c r="R17" s="68">
        <f>IFERROR(VLOOKUP(FormFields[[#This Row],[Form Name]],ResourceForms[[FormName]:[ID]],4,0),"resource_form")</f>
        <v>309106</v>
      </c>
      <c r="S17" s="69" t="s">
        <v>754</v>
      </c>
      <c r="T17" s="69" t="s">
        <v>1443</v>
      </c>
      <c r="U17" s="69" t="s">
        <v>1287</v>
      </c>
      <c r="V17" s="70"/>
      <c r="W17" s="70"/>
      <c r="X17" s="70"/>
      <c r="Y17" s="70"/>
      <c r="Z17" s="71" t="str">
        <f>'Table Seed Map'!$A$13&amp;"-"&amp;FormFields[[#This Row],[NO2]]</f>
        <v>Field Data-15</v>
      </c>
      <c r="AA17" s="72">
        <f>COUNTIFS($AB$1:FormFields[[#This Row],[Exists]],1)-1</f>
        <v>15</v>
      </c>
      <c r="AB17" s="72">
        <f>IF(AND(FormFields[[#This Row],[Attribute]]="",FormFields[[#This Row],[Rel]]=""),0,1)</f>
        <v>1</v>
      </c>
      <c r="AC17" s="72">
        <f>IF(FormFields[[#This Row],[NO2]]=0,"id",FormFields[[#This Row],[NO2]]+IF(ISNUMBER(VLOOKUP('Table Seed Map'!$A$13,SeedMap[],9,0)),VLOOKUP('Table Seed Map'!$A$13,SeedMap[],9,0),0))</f>
        <v>311115</v>
      </c>
      <c r="AD17" s="77">
        <f>IF(FormFields[[#This Row],[ID]]="id","form_field",FormFields[[#This Row],[ID]])</f>
        <v>310115</v>
      </c>
      <c r="AE17" s="72" t="str">
        <f>IF(FormFields[[#This Row],[No]]=0,"attribute",FormFields[[#This Row],[Name]])</f>
        <v>area</v>
      </c>
      <c r="AF17" s="73" t="str">
        <f>IF(FormFields[[#This Row],[NO2]]=0,"relation",IF(FormFields[[#This Row],[Rel]]="","",VLOOKUP(FormFields[[#This Row],[Rel]],RelationTable[[Display]:[RELID]],2,0)))</f>
        <v/>
      </c>
      <c r="AG17" s="73" t="str">
        <f>IF(FormFields[[#This Row],[NO2]]=0,"nest_relation1",IF(FormFields[[#This Row],[Rel1]]="","",VLOOKUP(FormFields[[#This Row],[Rel1]],RelationTable[[Display]:[RELID]],2,0)))</f>
        <v/>
      </c>
      <c r="AH17" s="73" t="str">
        <f>IF(FormFields[[#This Row],[NO2]]=0,"nest_relation2",IF(FormFields[[#This Row],[Rel2]]="","",VLOOKUP(FormFields[[#This Row],[Rel2]],RelationTable[[Display]:[RELID]],2,0)))</f>
        <v/>
      </c>
      <c r="AI17" s="73" t="str">
        <f>IF(FormFields[[#This Row],[NO2]]=0,"nest_relation2",IF(FormFields[[#This Row],[Rel2]]="","",VLOOKUP(FormFields[[#This Row],[Rel2]],RelationTable[[Display]:[RELID]],2,0)))</f>
        <v/>
      </c>
      <c r="AJ17" s="67">
        <f>IF(OR(FormFields[[#This Row],[Option Type]]="",FormFields[[#This Row],[Option Type]]="type"),0,1)</f>
        <v>1</v>
      </c>
      <c r="AK17" s="67" t="str">
        <f>'Table Seed Map'!$A$14&amp;"-"&amp;FormFields[[#This Row],[NO4]]</f>
        <v>Field Options-9</v>
      </c>
      <c r="AL17" s="67">
        <f>COUNTIF($AJ$2:FormFields[[#This Row],[Exists FO]],1)</f>
        <v>9</v>
      </c>
      <c r="AM17" s="67">
        <f>IF(FormFields[[#This Row],[NO4]]=0,"id",FormFields[[#This Row],[NO4]]+IF(ISNUMBER(VLOOKUP('Table Seed Map'!$A$14,SeedMap[],9,0)),VLOOKUP('Table Seed Map'!$A$14,SeedMap[],9,0),0))</f>
        <v>312109</v>
      </c>
      <c r="AN17" s="67">
        <f>IF(FormFields[[#This Row],[ID]]="id","form_field",FormFields[[#This Row],[ID]])</f>
        <v>310115</v>
      </c>
      <c r="AO17" s="75" t="s">
        <v>278</v>
      </c>
      <c r="AP17" s="75"/>
      <c r="AQ17" s="75" t="s">
        <v>21</v>
      </c>
      <c r="AR17" s="75" t="s">
        <v>23</v>
      </c>
      <c r="AS17" s="75" t="s">
        <v>1543</v>
      </c>
      <c r="AT17" s="67">
        <f>IF(OR(FormFields[[#This Row],[Colspan]]="",FormFields[[#This Row],[Colspan]]="colspan"),0,1)</f>
        <v>0</v>
      </c>
      <c r="AU17" s="67" t="str">
        <f>'Table Seed Map'!$A$19&amp;"-"&amp;FormFields[[#This Row],[NO8]]</f>
        <v>Form Layout-7</v>
      </c>
      <c r="AV17" s="67">
        <f>COUNTIF($AT$1:FormFields[[#This Row],[Exists FL]],1)</f>
        <v>7</v>
      </c>
      <c r="AW17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67">
        <f>FormFields[Form]</f>
        <v>309106</v>
      </c>
      <c r="AY17" s="67">
        <f>IF(FormFields[[#This Row],[ID]]="id","form_field",FormFields[[#This Row],[ID]])</f>
        <v>310115</v>
      </c>
      <c r="AZ17" s="76"/>
      <c r="BA17" s="67">
        <f>FormFields[[#This Row],[ID]]</f>
        <v>310115</v>
      </c>
    </row>
    <row r="18" spans="13:53" x14ac:dyDescent="0.25">
      <c r="M18" s="65" t="str">
        <f>'Table Seed Map'!$A$12&amp;"-"&amp;FormFields[[#This Row],[No]]</f>
        <v>Form Fields-16</v>
      </c>
      <c r="N18" s="66" t="s">
        <v>1596</v>
      </c>
      <c r="O18" s="67">
        <f>COUNTA($N$1:FormFields[[#This Row],[Form Name]])-1</f>
        <v>16</v>
      </c>
      <c r="P18" s="65" t="str">
        <f>FormFields[[#This Row],[Form Name]]&amp;"/"&amp;FormFields[[#This Row],[Name]]</f>
        <v>UserStoreArea/AddUserStoreAreaForm/status</v>
      </c>
      <c r="Q18" s="67">
        <f>IF(FormFields[[#This Row],[No]]=0,"id",FormFields[[#This Row],[No]]+IF(ISNUMBER(VLOOKUP('Table Seed Map'!$A$12,SeedMap[],9,0)),VLOOKUP('Table Seed Map'!$A$12,SeedMap[],9,0),0))</f>
        <v>310116</v>
      </c>
      <c r="R18" s="68">
        <f>IFERROR(VLOOKUP(FormFields[[#This Row],[Form Name]],ResourceForms[[FormName]:[ID]],4,0),"resource_form")</f>
        <v>309106</v>
      </c>
      <c r="S18" s="69" t="s">
        <v>777</v>
      </c>
      <c r="T18" s="69" t="s">
        <v>1443</v>
      </c>
      <c r="U18" s="69" t="s">
        <v>1388</v>
      </c>
      <c r="V18" s="70"/>
      <c r="W18" s="70"/>
      <c r="X18" s="70"/>
      <c r="Y18" s="70"/>
      <c r="Z18" s="71" t="str">
        <f>'Table Seed Map'!$A$13&amp;"-"&amp;FormFields[[#This Row],[NO2]]</f>
        <v>Field Data-16</v>
      </c>
      <c r="AA18" s="72">
        <f>COUNTIFS($AB$1:FormFields[[#This Row],[Exists]],1)-1</f>
        <v>16</v>
      </c>
      <c r="AB18" s="72">
        <f>IF(AND(FormFields[[#This Row],[Attribute]]="",FormFields[[#This Row],[Rel]]=""),0,1)</f>
        <v>1</v>
      </c>
      <c r="AC18" s="72">
        <f>IF(FormFields[[#This Row],[NO2]]=0,"id",FormFields[[#This Row],[NO2]]+IF(ISNUMBER(VLOOKUP('Table Seed Map'!$A$13,SeedMap[],9,0)),VLOOKUP('Table Seed Map'!$A$13,SeedMap[],9,0),0))</f>
        <v>311116</v>
      </c>
      <c r="AD18" s="77">
        <f>IF(FormFields[[#This Row],[ID]]="id","form_field",FormFields[[#This Row],[ID]])</f>
        <v>310116</v>
      </c>
      <c r="AE18" s="72" t="str">
        <f>IF(FormFields[[#This Row],[No]]=0,"attribute",FormFields[[#This Row],[Name]])</f>
        <v>status</v>
      </c>
      <c r="AF18" s="73" t="str">
        <f>IF(FormFields[[#This Row],[NO2]]=0,"relation",IF(FormFields[[#This Row],[Rel]]="","",VLOOKUP(FormFields[[#This Row],[Rel]],RelationTable[[Display]:[RELID]],2,0)))</f>
        <v/>
      </c>
      <c r="AG18" s="73" t="str">
        <f>IF(FormFields[[#This Row],[NO2]]=0,"nest_relation1",IF(FormFields[[#This Row],[Rel1]]="","",VLOOKUP(FormFields[[#This Row],[Rel1]],RelationTable[[Display]:[RELID]],2,0)))</f>
        <v/>
      </c>
      <c r="AH18" s="73" t="str">
        <f>IF(FormFields[[#This Row],[NO2]]=0,"nest_relation2",IF(FormFields[[#This Row],[Rel2]]="","",VLOOKUP(FormFields[[#This Row],[Rel2]],RelationTable[[Display]:[RELID]],2,0)))</f>
        <v/>
      </c>
      <c r="AI18" s="73" t="str">
        <f>IF(FormFields[[#This Row],[NO2]]=0,"nest_relation2",IF(FormFields[[#This Row],[Rel2]]="","",VLOOKUP(FormFields[[#This Row],[Rel2]],RelationTable[[Display]:[RELID]],2,0)))</f>
        <v/>
      </c>
      <c r="AJ18" s="67">
        <f>IF(OR(FormFields[[#This Row],[Option Type]]="",FormFields[[#This Row],[Option Type]]="type"),0,1)</f>
        <v>1</v>
      </c>
      <c r="AK18" s="67" t="str">
        <f>'Table Seed Map'!$A$14&amp;"-"&amp;FormFields[[#This Row],[NO4]]</f>
        <v>Field Options-10</v>
      </c>
      <c r="AL18" s="67">
        <f>COUNTIF($AJ$2:FormFields[[#This Row],[Exists FO]],1)</f>
        <v>10</v>
      </c>
      <c r="AM18" s="67">
        <f>IF(FormFields[[#This Row],[NO4]]=0,"id",FormFields[[#This Row],[NO4]]+IF(ISNUMBER(VLOOKUP('Table Seed Map'!$A$14,SeedMap[],9,0)),VLOOKUP('Table Seed Map'!$A$14,SeedMap[],9,0),0))</f>
        <v>312110</v>
      </c>
      <c r="AN18" s="67">
        <f>IF(FormFields[[#This Row],[ID]]="id","form_field",FormFields[[#This Row],[ID]])</f>
        <v>310116</v>
      </c>
      <c r="AO18" s="75" t="s">
        <v>1544</v>
      </c>
      <c r="AP18" s="75"/>
      <c r="AQ18" s="75"/>
      <c r="AR18" s="75"/>
      <c r="AS18" s="75"/>
      <c r="AT18" s="67">
        <f>IF(OR(FormFields[[#This Row],[Colspan]]="",FormFields[[#This Row],[Colspan]]="colspan"),0,1)</f>
        <v>0</v>
      </c>
      <c r="AU18" s="67" t="str">
        <f>'Table Seed Map'!$A$19&amp;"-"&amp;FormFields[[#This Row],[NO8]]</f>
        <v>Form Layout-7</v>
      </c>
      <c r="AV18" s="67">
        <f>COUNTIF($AT$1:FormFields[[#This Row],[Exists FL]],1)</f>
        <v>7</v>
      </c>
      <c r="AW18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67">
        <f>FormFields[Form]</f>
        <v>309106</v>
      </c>
      <c r="AY18" s="67">
        <f>IF(FormFields[[#This Row],[ID]]="id","form_field",FormFields[[#This Row],[ID]])</f>
        <v>310116</v>
      </c>
      <c r="AZ18" s="76"/>
      <c r="BA18" s="67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8" workbookViewId="0">
      <selection activeCell="H13" sqref="H13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2">
        <f t="shared" ref="A2:A29" si="0">IFERROR($A1+1,1)</f>
        <v>1</v>
      </c>
      <c r="B2" s="1" t="s">
        <v>1732</v>
      </c>
      <c r="C2" s="8" t="str">
        <f>MID(MigrationRenamer[Filename],26,LEN(MigrationRenamer[Filename])-35)</f>
        <v>setup</v>
      </c>
      <c r="D2" s="8" t="str">
        <f t="shared" ref="D2:D29" si="1">"2019_03_28_"</f>
        <v>2019_03_28_</v>
      </c>
      <c r="E2" s="8" t="str">
        <f>TEXT(MATCH(MigrationRenamer[[#This Row],[Table]],Tables[Table],0),"000000")</f>
        <v>000046</v>
      </c>
      <c r="F2" s="8" t="str">
        <f>RIGHT(MigrationRenamer[Filename],LEN(MigrationRenamer[Filename])-LEN(MigrationRenamer[Date Part])-LEN(MigrationRenamer[Sequence]))</f>
        <v>_create_setup_table.php</v>
      </c>
      <c r="G2" s="8" t="str">
        <f>MigrationRenamer[Date Part]&amp;MigrationRenamer[Sequence]&amp;MigrationRenamer[Name Part]</f>
        <v>2019_03_28_000046_create_setup_table.php</v>
      </c>
      <c r="H2" s="8" t="str">
        <f>IFERROR("ren "&amp;MigrationRenamer[Filename]&amp;" "&amp;MigrationRenamer[New Name],"del "&amp;MigrationRenamer[Filename])</f>
        <v>ren 2019_03_28_000046_create_setup_table.php 2019_03_28_000046_create_setup_table.php</v>
      </c>
    </row>
    <row r="3" spans="1:8" x14ac:dyDescent="0.25">
      <c r="A3" s="32">
        <f t="shared" si="0"/>
        <v>2</v>
      </c>
      <c r="B3" s="1" t="s">
        <v>1733</v>
      </c>
      <c r="C3" s="8" t="str">
        <f>MID(MigrationRenamer[Filename],26,LEN(MigrationRenamer[Filename])-35)</f>
        <v>settings</v>
      </c>
      <c r="D3" s="8" t="str">
        <f t="shared" si="1"/>
        <v>2019_03_28_</v>
      </c>
      <c r="E3" s="8" t="str">
        <f>TEXT(MATCH(MigrationRenamer[[#This Row],[Table]],Tables[Table],0),"000000")</f>
        <v>000047</v>
      </c>
      <c r="F3" s="8" t="str">
        <f>RIGHT(MigrationRenamer[Filename],LEN(MigrationRenamer[Filename])-LEN(MigrationRenamer[Date Part])-LEN(MigrationRenamer[Sequence]))</f>
        <v>_create_settings_table.php</v>
      </c>
      <c r="G3" s="8" t="str">
        <f>MigrationRenamer[Date Part]&amp;MigrationRenamer[Sequence]&amp;MigrationRenamer[Name Part]</f>
        <v>2019_03_28_000047_create_settings_table.php</v>
      </c>
      <c r="H3" s="8" t="str">
        <f>IFERROR("ren "&amp;MigrationRenamer[Filename]&amp;" "&amp;MigrationRenamer[New Name],"del "&amp;MigrationRenamer[Filename])</f>
        <v>ren 2019_03_28_000047_create_settings_table.php 2019_03_28_000047_create_settings_table.php</v>
      </c>
    </row>
    <row r="4" spans="1:8" x14ac:dyDescent="0.25">
      <c r="A4" s="32">
        <f t="shared" si="0"/>
        <v>3</v>
      </c>
      <c r="B4" s="1" t="s">
        <v>1823</v>
      </c>
      <c r="C4" s="8" t="str">
        <f>MID(MigrationRenamer[Filename],26,LEN(MigrationRenamer[Filename])-35)</f>
        <v>fiscalyearmaster</v>
      </c>
      <c r="D4" s="8" t="str">
        <f t="shared" si="1"/>
        <v>2019_03_28_</v>
      </c>
      <c r="E4" s="8" t="str">
        <f>TEXT(MATCH(MigrationRenamer[[#This Row],[Table]],Tables[Table],0),"000000")</f>
        <v>000048</v>
      </c>
      <c r="F4" s="8" t="str">
        <f>RIGHT(MigrationRenamer[Filename],LEN(MigrationRenamer[Filename])-LEN(MigrationRenamer[Date Part])-LEN(MigrationRenamer[Sequence]))</f>
        <v>_create_fiscalyearmaster_table.php</v>
      </c>
      <c r="G4" s="8" t="str">
        <f>MigrationRenamer[Date Part]&amp;MigrationRenamer[Sequence]&amp;MigrationRenamer[Name Part]</f>
        <v>2019_03_28_000048_create_fiscalyearmaster_table.php</v>
      </c>
      <c r="H4" s="8" t="str">
        <f>IFERROR("ren "&amp;MigrationRenamer[Filename]&amp;" "&amp;MigrationRenamer[New Name],"del "&amp;MigrationRenamer[Filename])</f>
        <v>ren 2019_03_28_000048_create_fiscalyearmaster_table.php 2019_03_28_000048_create_fiscalyearmaster_table.php</v>
      </c>
    </row>
    <row r="5" spans="1:8" x14ac:dyDescent="0.25">
      <c r="A5" s="32">
        <f t="shared" si="0"/>
        <v>4</v>
      </c>
      <c r="B5" s="1" t="s">
        <v>1824</v>
      </c>
      <c r="C5" s="8" t="str">
        <f>MID(MigrationRenamer[Filename],26,LEN(MigrationRenamer[Filename])-35)</f>
        <v>functiondetails</v>
      </c>
      <c r="D5" s="8" t="str">
        <f t="shared" si="1"/>
        <v>2019_03_28_</v>
      </c>
      <c r="E5" s="8" t="str">
        <f>TEXT(MATCH(MigrationRenamer[[#This Row],[Table]],Tables[Table],0),"000000")</f>
        <v>000049</v>
      </c>
      <c r="F5" s="8" t="str">
        <f>RIGHT(MigrationRenamer[Filename],LEN(MigrationRenamer[Filename])-LEN(MigrationRenamer[Date Part])-LEN(MigrationRenamer[Sequence]))</f>
        <v>_create_functiondetails_table.php</v>
      </c>
      <c r="G5" s="8" t="str">
        <f>MigrationRenamer[Date Part]&amp;MigrationRenamer[Sequence]&amp;MigrationRenamer[Name Part]</f>
        <v>2019_03_28_000049_create_functiondetails_table.php</v>
      </c>
      <c r="H5" s="8" t="str">
        <f>IFERROR("ren "&amp;MigrationRenamer[Filename]&amp;" "&amp;MigrationRenamer[New Name],"del "&amp;MigrationRenamer[Filename])</f>
        <v>ren 2019_03_28_000049_create_functiondetails_table.php 2019_03_28_000049_create_functiondetails_table.php</v>
      </c>
    </row>
    <row r="6" spans="1:8" x14ac:dyDescent="0.25">
      <c r="A6" s="32">
        <f t="shared" si="0"/>
        <v>5</v>
      </c>
      <c r="B6" s="1" t="s">
        <v>1825</v>
      </c>
      <c r="C6" s="8" t="str">
        <f>MID(MigrationRenamer[Filename],26,LEN(MigrationRenamer[Filename])-35)</f>
        <v>products</v>
      </c>
      <c r="D6" s="8" t="str">
        <f t="shared" si="1"/>
        <v>2019_03_28_</v>
      </c>
      <c r="E6" s="8" t="str">
        <f>TEXT(MATCH(MigrationRenamer[[#This Row],[Table]],Tables[Table],0),"000000")</f>
        <v>000051</v>
      </c>
      <c r="F6" s="8" t="str">
        <f>RIGHT(MigrationRenamer[Filename],LEN(MigrationRenamer[Filename])-LEN(MigrationRenamer[Date Part])-LEN(MigrationRenamer[Sequence]))</f>
        <v>_create_products_table.php</v>
      </c>
      <c r="G6" s="8" t="str">
        <f>MigrationRenamer[Date Part]&amp;MigrationRenamer[Sequence]&amp;MigrationRenamer[Name Part]</f>
        <v>2019_03_28_000051_create_products_table.php</v>
      </c>
      <c r="H6" s="8" t="str">
        <f>IFERROR("ren "&amp;MigrationRenamer[Filename]&amp;" "&amp;MigrationRenamer[New Name],"del "&amp;MigrationRenamer[Filename])</f>
        <v>ren 2019_03_28_000050_create_products_table.php 2019_03_28_000051_create_products_table.php</v>
      </c>
    </row>
    <row r="7" spans="1:8" x14ac:dyDescent="0.25">
      <c r="A7" s="32">
        <f t="shared" si="0"/>
        <v>6</v>
      </c>
      <c r="B7" s="1" t="s">
        <v>1826</v>
      </c>
      <c r="C7" s="8" t="str">
        <f>MID(MigrationRenamer[Filename],26,LEN(MigrationRenamer[Filename])-35)</f>
        <v>pricelist</v>
      </c>
      <c r="D7" s="8" t="str">
        <f t="shared" si="1"/>
        <v>2019_03_28_</v>
      </c>
      <c r="E7" s="8" t="str">
        <f>TEXT(MATCH(MigrationRenamer[[#This Row],[Table]],Tables[Table],0),"000000")</f>
        <v>000053</v>
      </c>
      <c r="F7" s="8" t="str">
        <f>RIGHT(MigrationRenamer[Filename],LEN(MigrationRenamer[Filename])-LEN(MigrationRenamer[Date Part])-LEN(MigrationRenamer[Sequence]))</f>
        <v>_create_pricelist_table.php</v>
      </c>
      <c r="G7" s="8" t="str">
        <f>MigrationRenamer[Date Part]&amp;MigrationRenamer[Sequence]&amp;MigrationRenamer[Name Part]</f>
        <v>2019_03_28_000053_create_pricelist_table.php</v>
      </c>
      <c r="H7" s="8" t="str">
        <f>IFERROR("ren "&amp;MigrationRenamer[Filename]&amp;" "&amp;MigrationRenamer[New Name],"del "&amp;MigrationRenamer[Filename])</f>
        <v>ren 2019_03_28_000051_create_pricelist_table.php 2019_03_28_000053_create_pricelist_table.php</v>
      </c>
    </row>
    <row r="8" spans="1:8" x14ac:dyDescent="0.25">
      <c r="A8" s="32">
        <f t="shared" si="0"/>
        <v>7</v>
      </c>
      <c r="B8" s="1" t="s">
        <v>1827</v>
      </c>
      <c r="C8" s="8" t="str">
        <f>MID(MigrationRenamer[Filename],26,LEN(MigrationRenamer[Filename])-35)</f>
        <v>pricelist_products</v>
      </c>
      <c r="D8" s="8" t="str">
        <f t="shared" si="1"/>
        <v>2019_03_28_</v>
      </c>
      <c r="E8" s="8" t="str">
        <f>TEXT(MATCH(MigrationRenamer[[#This Row],[Table]],Tables[Table],0),"000000")</f>
        <v>000054</v>
      </c>
      <c r="F8" s="8" t="str">
        <f>RIGHT(MigrationRenamer[Filename],LEN(MigrationRenamer[Filename])-LEN(MigrationRenamer[Date Part])-LEN(MigrationRenamer[Sequence]))</f>
        <v>_create_pricelist_products_table.php</v>
      </c>
      <c r="G8" s="8" t="str">
        <f>MigrationRenamer[Date Part]&amp;MigrationRenamer[Sequence]&amp;MigrationRenamer[Name Part]</f>
        <v>2019_03_28_000054_create_pricelist_products_table.php</v>
      </c>
      <c r="H8" s="8" t="str">
        <f>IFERROR("ren "&amp;MigrationRenamer[Filename]&amp;" "&amp;MigrationRenamer[New Name],"del "&amp;MigrationRenamer[Filename])</f>
        <v>ren 2019_03_28_000052_create_pricelist_products_table.php 2019_03_28_000054_create_pricelist_products_table.php</v>
      </c>
    </row>
    <row r="9" spans="1:8" x14ac:dyDescent="0.25">
      <c r="A9" s="32">
        <f t="shared" si="0"/>
        <v>8</v>
      </c>
      <c r="B9" s="1" t="s">
        <v>1828</v>
      </c>
      <c r="C9" s="8" t="str">
        <f>MID(MigrationRenamer[Filename],26,LEN(MigrationRenamer[Filename])-35)</f>
        <v>stores</v>
      </c>
      <c r="D9" s="8" t="str">
        <f t="shared" si="1"/>
        <v>2019_03_28_</v>
      </c>
      <c r="E9" s="8" t="str">
        <f>TEXT(MATCH(MigrationRenamer[[#This Row],[Table]],Tables[Table],0),"000000")</f>
        <v>000055</v>
      </c>
      <c r="F9" s="8" t="str">
        <f>RIGHT(MigrationRenamer[Filename],LEN(MigrationRenamer[Filename])-LEN(MigrationRenamer[Date Part])-LEN(MigrationRenamer[Sequence]))</f>
        <v>_create_stores_table.php</v>
      </c>
      <c r="G9" s="8" t="str">
        <f>MigrationRenamer[Date Part]&amp;MigrationRenamer[Sequence]&amp;MigrationRenamer[Name Part]</f>
        <v>2019_03_28_000055_create_stores_table.php</v>
      </c>
      <c r="H9" s="8" t="str">
        <f>IFERROR("ren "&amp;MigrationRenamer[Filename]&amp;" "&amp;MigrationRenamer[New Name],"del "&amp;MigrationRenamer[Filename])</f>
        <v>ren 2019_03_28_000053_create_stores_table.php 2019_03_28_000055_create_stores_table.php</v>
      </c>
    </row>
    <row r="10" spans="1:8" x14ac:dyDescent="0.25">
      <c r="A10" s="32">
        <f t="shared" si="0"/>
        <v>9</v>
      </c>
      <c r="B10" s="1" t="s">
        <v>1829</v>
      </c>
      <c r="C10" s="8" t="str">
        <f>MID(MigrationRenamer[Filename],26,LEN(MigrationRenamer[Filename])-35)</f>
        <v>areas</v>
      </c>
      <c r="D10" s="8" t="str">
        <f t="shared" si="1"/>
        <v>2019_03_28_</v>
      </c>
      <c r="E10" s="8" t="str">
        <f>TEXT(MATCH(MigrationRenamer[[#This Row],[Table]],Tables[Table],0),"000000")</f>
        <v>000056</v>
      </c>
      <c r="F10" s="8" t="str">
        <f>RIGHT(MigrationRenamer[Filename],LEN(MigrationRenamer[Filename])-LEN(MigrationRenamer[Date Part])-LEN(MigrationRenamer[Sequence]))</f>
        <v>_create_areas_table.php</v>
      </c>
      <c r="G10" s="8" t="str">
        <f>MigrationRenamer[Date Part]&amp;MigrationRenamer[Sequence]&amp;MigrationRenamer[Name Part]</f>
        <v>2019_03_28_000056_create_areas_table.php</v>
      </c>
      <c r="H10" s="8" t="str">
        <f>IFERROR("ren "&amp;MigrationRenamer[Filename]&amp;" "&amp;MigrationRenamer[New Name],"del "&amp;MigrationRenamer[Filename])</f>
        <v>ren 2019_03_28_000054_create_areas_table.php 2019_03_28_000056_create_areas_table.php</v>
      </c>
    </row>
    <row r="11" spans="1:8" x14ac:dyDescent="0.25">
      <c r="A11" s="32">
        <f t="shared" si="0"/>
        <v>10</v>
      </c>
      <c r="B11" s="1" t="s">
        <v>1830</v>
      </c>
      <c r="C11" s="8" t="str">
        <f>MID(MigrationRenamer[Filename],26,LEN(MigrationRenamer[Filename])-35)</f>
        <v>area_users</v>
      </c>
      <c r="D11" s="8" t="str">
        <f t="shared" si="1"/>
        <v>2019_03_28_</v>
      </c>
      <c r="E11" s="8" t="str">
        <f>TEXT(MATCH(MigrationRenamer[[#This Row],[Table]],Tables[Table],0),"000000")</f>
        <v>000057</v>
      </c>
      <c r="F11" s="8" t="str">
        <f>RIGHT(MigrationRenamer[Filename],LEN(MigrationRenamer[Filename])-LEN(MigrationRenamer[Date Part])-LEN(MigrationRenamer[Sequence]))</f>
        <v>_create_area_users_table.php</v>
      </c>
      <c r="G11" s="8" t="str">
        <f>MigrationRenamer[Date Part]&amp;MigrationRenamer[Sequence]&amp;MigrationRenamer[Name Part]</f>
        <v>2019_03_28_000057_create_area_users_table.php</v>
      </c>
      <c r="H11" s="8" t="str">
        <f>IFERROR("ren "&amp;MigrationRenamer[Filename]&amp;" "&amp;MigrationRenamer[New Name],"del "&amp;MigrationRenamer[Filename])</f>
        <v>ren 2019_03_28_000055_create_area_users_table.php 2019_03_28_000057_create_area_users_table.php</v>
      </c>
    </row>
    <row r="12" spans="1:8" x14ac:dyDescent="0.25">
      <c r="A12" s="32">
        <f t="shared" si="0"/>
        <v>11</v>
      </c>
      <c r="B12" s="1" t="s">
        <v>1831</v>
      </c>
      <c r="C12" s="8" t="str">
        <f>MID(MigrationRenamer[Filename],26,LEN(MigrationRenamer[Filename])-35)</f>
        <v>user_settings</v>
      </c>
      <c r="D12" s="8" t="str">
        <f t="shared" si="1"/>
        <v>2019_03_28_</v>
      </c>
      <c r="E12" s="8" t="str">
        <f>TEXT(MATCH(MigrationRenamer[[#This Row],[Table]],Tables[Table],0),"000000")</f>
        <v>000058</v>
      </c>
      <c r="F12" s="8" t="str">
        <f>RIGHT(MigrationRenamer[Filename],LEN(MigrationRenamer[Filename])-LEN(MigrationRenamer[Date Part])-LEN(MigrationRenamer[Sequence]))</f>
        <v>_create_user_settings_table.php</v>
      </c>
      <c r="G12" s="8" t="str">
        <f>MigrationRenamer[Date Part]&amp;MigrationRenamer[Sequence]&amp;MigrationRenamer[Name Part]</f>
        <v>2019_03_28_000058_create_user_settings_table.php</v>
      </c>
      <c r="H12" s="8" t="str">
        <f>IFERROR("ren "&amp;MigrationRenamer[Filename]&amp;" "&amp;MigrationRenamer[New Name],"del "&amp;MigrationRenamer[Filename])</f>
        <v>ren 2019_03_28_000056_create_user_settings_table.php 2019_03_28_000058_create_user_settings_table.php</v>
      </c>
    </row>
    <row r="13" spans="1:8" x14ac:dyDescent="0.25">
      <c r="A13" s="32">
        <f t="shared" si="0"/>
        <v>12</v>
      </c>
      <c r="B13" s="1" t="s">
        <v>1832</v>
      </c>
      <c r="C13" s="8" t="str">
        <f>MID(MigrationRenamer[Filename],26,LEN(MigrationRenamer[Filename])-35)</f>
        <v>user_store_area</v>
      </c>
      <c r="D13" s="8" t="str">
        <f t="shared" si="1"/>
        <v>2019_03_28_</v>
      </c>
      <c r="E13" s="8" t="str">
        <f>TEXT(MATCH(MigrationRenamer[[#This Row],[Table]],Tables[Table],0),"000000")</f>
        <v>000059</v>
      </c>
      <c r="F13" s="8" t="str">
        <f>RIGHT(MigrationRenamer[Filename],LEN(MigrationRenamer[Filename])-LEN(MigrationRenamer[Date Part])-LEN(MigrationRenamer[Sequence]))</f>
        <v>_create_user_store_area_table.php</v>
      </c>
      <c r="G13" s="8" t="str">
        <f>MigrationRenamer[Date Part]&amp;MigrationRenamer[Sequence]&amp;MigrationRenamer[Name Part]</f>
        <v>2019_03_28_000059_create_user_store_area_table.php</v>
      </c>
      <c r="H13" s="8" t="str">
        <f>IFERROR("ren "&amp;MigrationRenamer[Filename]&amp;" "&amp;MigrationRenamer[New Name],"del "&amp;MigrationRenamer[Filename])</f>
        <v>ren 2019_03_28_000057_create_user_store_area_table.php 2019_03_28_000059_create_user_store_area_table.php</v>
      </c>
    </row>
    <row r="14" spans="1:8" x14ac:dyDescent="0.25">
      <c r="A14" s="32">
        <f t="shared" si="0"/>
        <v>13</v>
      </c>
      <c r="B14" s="1" t="s">
        <v>1833</v>
      </c>
      <c r="C14" s="8" t="str">
        <f>MID(MigrationRenamer[Filename],26,LEN(MigrationRenamer[Filename])-35)</f>
        <v>store_products</v>
      </c>
      <c r="D14" s="8" t="str">
        <f t="shared" si="1"/>
        <v>2019_03_28_</v>
      </c>
      <c r="E14" s="8" t="str">
        <f>TEXT(MATCH(MigrationRenamer[[#This Row],[Table]],Tables[Table],0),"000000")</f>
        <v>000060</v>
      </c>
      <c r="F14" s="8" t="str">
        <f>RIGHT(MigrationRenamer[Filename],LEN(MigrationRenamer[Filename])-LEN(MigrationRenamer[Date Part])-LEN(MigrationRenamer[Sequence]))</f>
        <v>_create_store_products_table.php</v>
      </c>
      <c r="G14" s="8" t="str">
        <f>MigrationRenamer[Date Part]&amp;MigrationRenamer[Sequence]&amp;MigrationRenamer[Name Part]</f>
        <v>2019_03_28_000060_create_store_products_table.php</v>
      </c>
      <c r="H14" s="8" t="str">
        <f>IFERROR("ren "&amp;MigrationRenamer[Filename]&amp;" "&amp;MigrationRenamer[New Name],"del "&amp;MigrationRenamer[Filename])</f>
        <v>ren 2019_03_28_000058_create_store_products_table.php 2019_03_28_000060_create_store_products_table.php</v>
      </c>
    </row>
    <row r="15" spans="1:8" x14ac:dyDescent="0.25">
      <c r="A15" s="32">
        <f t="shared" si="0"/>
        <v>14</v>
      </c>
      <c r="B15" s="1" t="s">
        <v>1834</v>
      </c>
      <c r="C15" s="8" t="str">
        <f>MID(MigrationRenamer[Filename],26,LEN(MigrationRenamer[Filename])-35)</f>
        <v>product_transaction_natures</v>
      </c>
      <c r="D15" s="8" t="str">
        <f t="shared" si="1"/>
        <v>2019_03_28_</v>
      </c>
      <c r="E15" s="8" t="str">
        <f>TEXT(MATCH(MigrationRenamer[[#This Row],[Table]],Tables[Table],0),"000000")</f>
        <v>000061</v>
      </c>
      <c r="F15" s="8" t="str">
        <f>RIGHT(MigrationRenamer[Filename],LEN(MigrationRenamer[Filename])-LEN(MigrationRenamer[Date Part])-LEN(MigrationRenamer[Sequence]))</f>
        <v>_create_product_transaction_natures_table.php</v>
      </c>
      <c r="G15" s="8" t="str">
        <f>MigrationRenamer[Date Part]&amp;MigrationRenamer[Sequence]&amp;MigrationRenamer[Name Part]</f>
        <v>2019_03_28_000061_create_product_transaction_natures_table.php</v>
      </c>
      <c r="H15" s="8" t="str">
        <f>IFERROR("ren "&amp;MigrationRenamer[Filename]&amp;" "&amp;MigrationRenamer[New Name],"del "&amp;MigrationRenamer[Filename])</f>
        <v>ren 2019_03_28_000059_create_product_transaction_natures_table.php 2019_03_28_000061_create_product_transaction_natures_table.php</v>
      </c>
    </row>
    <row r="16" spans="1:8" x14ac:dyDescent="0.25">
      <c r="A16" s="32">
        <f t="shared" si="0"/>
        <v>15</v>
      </c>
      <c r="B16" s="1" t="s">
        <v>1835</v>
      </c>
      <c r="C16" s="8" t="str">
        <f>MID(MigrationRenamer[Filename],26,LEN(MigrationRenamer[Filename])-35)</f>
        <v>product_transaction_types</v>
      </c>
      <c r="D16" s="8" t="str">
        <f t="shared" si="1"/>
        <v>2019_03_28_</v>
      </c>
      <c r="E16" s="8" t="str">
        <f>TEXT(MATCH(MigrationRenamer[[#This Row],[Table]],Tables[Table],0),"000000")</f>
        <v>000062</v>
      </c>
      <c r="F16" s="8" t="str">
        <f>RIGHT(MigrationRenamer[Filename],LEN(MigrationRenamer[Filename])-LEN(MigrationRenamer[Date Part])-LEN(MigrationRenamer[Sequence]))</f>
        <v>_create_product_transaction_types_table.php</v>
      </c>
      <c r="G16" s="8" t="str">
        <f>MigrationRenamer[Date Part]&amp;MigrationRenamer[Sequence]&amp;MigrationRenamer[Name Part]</f>
        <v>2019_03_28_000062_create_product_transaction_types_table.php</v>
      </c>
      <c r="H16" s="8" t="str">
        <f>IFERROR("ren "&amp;MigrationRenamer[Filename]&amp;" "&amp;MigrationRenamer[New Name],"del "&amp;MigrationRenamer[Filename])</f>
        <v>ren 2019_03_28_000060_create_product_transaction_types_table.php 2019_03_28_000062_create_product_transaction_types_table.php</v>
      </c>
    </row>
    <row r="17" spans="1:8" x14ac:dyDescent="0.25">
      <c r="A17" s="32">
        <f t="shared" si="0"/>
        <v>16</v>
      </c>
      <c r="B17" s="1" t="s">
        <v>1836</v>
      </c>
      <c r="C17" s="8" t="str">
        <f>MID(MigrationRenamer[Filename],26,LEN(MigrationRenamer[Filename])-35)</f>
        <v>store_product_transactions</v>
      </c>
      <c r="D17" s="8" t="str">
        <f t="shared" si="1"/>
        <v>2019_03_28_</v>
      </c>
      <c r="E17" s="8" t="str">
        <f>TEXT(MATCH(MigrationRenamer[[#This Row],[Table]],Tables[Table],0),"000000")</f>
        <v>000063</v>
      </c>
      <c r="F17" s="8" t="str">
        <f>RIGHT(MigrationRenamer[Filename],LEN(MigrationRenamer[Filename])-LEN(MigrationRenamer[Date Part])-LEN(MigrationRenamer[Sequence]))</f>
        <v>_create_store_product_transactions_table.php</v>
      </c>
      <c r="G17" s="8" t="str">
        <f>MigrationRenamer[Date Part]&amp;MigrationRenamer[Sequence]&amp;MigrationRenamer[Name Part]</f>
        <v>2019_03_28_000063_create_store_product_transactions_table.php</v>
      </c>
      <c r="H17" s="8" t="str">
        <f>IFERROR("ren "&amp;MigrationRenamer[Filename]&amp;" "&amp;MigrationRenamer[New Name],"del "&amp;MigrationRenamer[Filename])</f>
        <v>ren 2019_03_28_000061_create_store_product_transactions_table.php 2019_03_28_000063_create_store_product_transactions_table.php</v>
      </c>
    </row>
    <row r="18" spans="1:8" x14ac:dyDescent="0.25">
      <c r="A18" s="32">
        <f t="shared" si="0"/>
        <v>17</v>
      </c>
      <c r="B18" s="1" t="s">
        <v>1837</v>
      </c>
      <c r="C18" s="8" t="str">
        <f>MID(MigrationRenamer[Filename],26,LEN(MigrationRenamer[Filename])-35)</f>
        <v>transactions</v>
      </c>
      <c r="D18" s="8" t="str">
        <f t="shared" si="1"/>
        <v>2019_03_28_</v>
      </c>
      <c r="E18" s="8" t="str">
        <f>TEXT(MATCH(MigrationRenamer[[#This Row],[Table]],Tables[Table],0),"000000")</f>
        <v>000064</v>
      </c>
      <c r="F18" s="8" t="str">
        <f>RIGHT(MigrationRenamer[Filename],LEN(MigrationRenamer[Filename])-LEN(MigrationRenamer[Date Part])-LEN(MigrationRenamer[Sequence]))</f>
        <v>_create_transactions_table.php</v>
      </c>
      <c r="G18" s="8" t="str">
        <f>MigrationRenamer[Date Part]&amp;MigrationRenamer[Sequence]&amp;MigrationRenamer[Name Part]</f>
        <v>2019_03_28_000064_create_transactions_table.php</v>
      </c>
      <c r="H18" s="8" t="str">
        <f>IFERROR("ren "&amp;MigrationRenamer[Filename]&amp;" "&amp;MigrationRenamer[New Name],"del "&amp;MigrationRenamer[Filename])</f>
        <v>ren 2019_03_28_000062_create_transactions_table.php 2019_03_28_000064_create_transactions_table.php</v>
      </c>
    </row>
    <row r="19" spans="1:8" x14ac:dyDescent="0.25">
      <c r="A19" s="32">
        <f t="shared" si="0"/>
        <v>18</v>
      </c>
      <c r="B19" s="1" t="s">
        <v>1838</v>
      </c>
      <c r="C19" s="8" t="str">
        <f>MID(MigrationRenamer[Filename],26,LEN(MigrationRenamer[Filename])-35)</f>
        <v>transaction_details</v>
      </c>
      <c r="D19" s="8" t="str">
        <f t="shared" si="1"/>
        <v>2019_03_28_</v>
      </c>
      <c r="E19" s="8" t="str">
        <f>TEXT(MATCH(MigrationRenamer[[#This Row],[Table]],Tables[Table],0),"000000")</f>
        <v>000065</v>
      </c>
      <c r="F19" s="8" t="str">
        <f>RIGHT(MigrationRenamer[Filename],LEN(MigrationRenamer[Filename])-LEN(MigrationRenamer[Date Part])-LEN(MigrationRenamer[Sequence]))</f>
        <v>_create_transaction_details_table.php</v>
      </c>
      <c r="G19" s="8" t="str">
        <f>MigrationRenamer[Date Part]&amp;MigrationRenamer[Sequence]&amp;MigrationRenamer[Name Part]</f>
        <v>2019_03_28_000065_create_transaction_details_table.php</v>
      </c>
      <c r="H19" s="8" t="str">
        <f>IFERROR("ren "&amp;MigrationRenamer[Filename]&amp;" "&amp;MigrationRenamer[New Name],"del "&amp;MigrationRenamer[Filename])</f>
        <v>ren 2019_03_28_000063_create_transaction_details_table.php 2019_03_28_000065_create_transaction_details_table.php</v>
      </c>
    </row>
    <row r="20" spans="1:8" x14ac:dyDescent="0.25">
      <c r="A20" s="32">
        <f t="shared" si="0"/>
        <v>19</v>
      </c>
      <c r="B20" s="1" t="s">
        <v>1839</v>
      </c>
      <c r="C20" s="8" t="str">
        <f>MID(MigrationRenamer[Filename],26,LEN(MigrationRenamer[Filename])-35)</f>
        <v>d_data</v>
      </c>
      <c r="D20" s="8" t="str">
        <f t="shared" si="1"/>
        <v>2019_03_28_</v>
      </c>
      <c r="E20" s="8" t="str">
        <f>TEXT(MATCH(MigrationRenamer[[#This Row],[Table]],Tables[Table],0),"000000")</f>
        <v>000066</v>
      </c>
      <c r="F20" s="8" t="str">
        <f>RIGHT(MigrationRenamer[Filename],LEN(MigrationRenamer[Filename])-LEN(MigrationRenamer[Date Part])-LEN(MigrationRenamer[Sequence]))</f>
        <v>_create_d_data_table.php</v>
      </c>
      <c r="G20" s="8" t="str">
        <f>MigrationRenamer[Date Part]&amp;MigrationRenamer[Sequence]&amp;MigrationRenamer[Name Part]</f>
        <v>2019_03_28_000066_create_d_data_table.php</v>
      </c>
      <c r="H20" s="8" t="str">
        <f>IFERROR("ren "&amp;MigrationRenamer[Filename]&amp;" "&amp;MigrationRenamer[New Name],"del "&amp;MigrationRenamer[Filename])</f>
        <v>ren 2019_03_28_000064_create_d_data_table.php 2019_03_28_000066_create_d_data_table.php</v>
      </c>
    </row>
    <row r="21" spans="1:8" x14ac:dyDescent="0.25">
      <c r="A21" s="32">
        <f t="shared" si="0"/>
        <v>20</v>
      </c>
      <c r="B21" s="1" t="s">
        <v>1840</v>
      </c>
      <c r="C21" s="8" t="str">
        <f>MID(MigrationRenamer[Filename],26,LEN(MigrationRenamer[Filename])-35)</f>
        <v>sales_order</v>
      </c>
      <c r="D21" s="8" t="str">
        <f t="shared" si="1"/>
        <v>2019_03_28_</v>
      </c>
      <c r="E21" s="8" t="str">
        <f>TEXT(MATCH(MigrationRenamer[[#This Row],[Table]],Tables[Table],0),"000000")</f>
        <v>000067</v>
      </c>
      <c r="F21" s="8" t="str">
        <f>RIGHT(MigrationRenamer[Filename],LEN(MigrationRenamer[Filename])-LEN(MigrationRenamer[Date Part])-LEN(MigrationRenamer[Sequence]))</f>
        <v>_create_sales_order_table.php</v>
      </c>
      <c r="G21" s="8" t="str">
        <f>MigrationRenamer[Date Part]&amp;MigrationRenamer[Sequence]&amp;MigrationRenamer[Name Part]</f>
        <v>2019_03_28_000067_create_sales_order_table.php</v>
      </c>
      <c r="H21" s="8" t="str">
        <f>IFERROR("ren "&amp;MigrationRenamer[Filename]&amp;" "&amp;MigrationRenamer[New Name],"del "&amp;MigrationRenamer[Filename])</f>
        <v>ren 2019_03_28_000065_create_sales_order_table.php 2019_03_28_000067_create_sales_order_table.php</v>
      </c>
    </row>
    <row r="22" spans="1:8" x14ac:dyDescent="0.25">
      <c r="A22" s="32">
        <f t="shared" si="0"/>
        <v>21</v>
      </c>
      <c r="B22" s="1" t="s">
        <v>1841</v>
      </c>
      <c r="C22" s="8" t="str">
        <f>MID(MigrationRenamer[Filename],26,LEN(MigrationRenamer[Filename])-35)</f>
        <v>sales_order_items</v>
      </c>
      <c r="D22" s="8" t="str">
        <f t="shared" si="1"/>
        <v>2019_03_28_</v>
      </c>
      <c r="E22" s="8" t="str">
        <f>TEXT(MATCH(MigrationRenamer[[#This Row],[Table]],Tables[Table],0),"000000")</f>
        <v>000068</v>
      </c>
      <c r="F22" s="8" t="str">
        <f>RIGHT(MigrationRenamer[Filename],LEN(MigrationRenamer[Filename])-LEN(MigrationRenamer[Date Part])-LEN(MigrationRenamer[Sequence]))</f>
        <v>_create_sales_order_items_table.php</v>
      </c>
      <c r="G22" s="8" t="str">
        <f>MigrationRenamer[Date Part]&amp;MigrationRenamer[Sequence]&amp;MigrationRenamer[Name Part]</f>
        <v>2019_03_28_000068_create_sales_order_items_table.php</v>
      </c>
      <c r="H22" s="8" t="str">
        <f>IFERROR("ren "&amp;MigrationRenamer[Filename]&amp;" "&amp;MigrationRenamer[New Name],"del "&amp;MigrationRenamer[Filename])</f>
        <v>ren 2019_03_28_000066_create_sales_order_items_table.php 2019_03_28_000068_create_sales_order_items_table.php</v>
      </c>
    </row>
    <row r="23" spans="1:8" x14ac:dyDescent="0.25">
      <c r="A23" s="32">
        <f t="shared" si="0"/>
        <v>22</v>
      </c>
      <c r="B23" s="1" t="s">
        <v>1842</v>
      </c>
      <c r="C23" s="8" t="str">
        <f>MID(MigrationRenamer[Filename],26,LEN(MigrationRenamer[Filename])-35)</f>
        <v>stock_transfer</v>
      </c>
      <c r="D23" s="8" t="str">
        <f t="shared" si="1"/>
        <v>2019_03_28_</v>
      </c>
      <c r="E23" s="8" t="str">
        <f>TEXT(MATCH(MigrationRenamer[[#This Row],[Table]],Tables[Table],0),"000000")</f>
        <v>000069</v>
      </c>
      <c r="F23" s="8" t="str">
        <f>RIGHT(MigrationRenamer[Filename],LEN(MigrationRenamer[Filename])-LEN(MigrationRenamer[Date Part])-LEN(MigrationRenamer[Sequence]))</f>
        <v>_create_stock_transfer_table.php</v>
      </c>
      <c r="G23" s="8" t="str">
        <f>MigrationRenamer[Date Part]&amp;MigrationRenamer[Sequence]&amp;MigrationRenamer[Name Part]</f>
        <v>2019_03_28_000069_create_stock_transfer_table.php</v>
      </c>
      <c r="H23" s="8" t="str">
        <f>IFERROR("ren "&amp;MigrationRenamer[Filename]&amp;" "&amp;MigrationRenamer[New Name],"del "&amp;MigrationRenamer[Filename])</f>
        <v>ren 2019_03_28_000067_create_stock_transfer_table.php 2019_03_28_000069_create_stock_transfer_table.php</v>
      </c>
    </row>
    <row r="24" spans="1:8" x14ac:dyDescent="0.25">
      <c r="A24" s="32">
        <f t="shared" si="0"/>
        <v>23</v>
      </c>
      <c r="B24" s="1" t="s">
        <v>1843</v>
      </c>
      <c r="C24" s="8" t="str">
        <f>MID(MigrationRenamer[Filename],26,LEN(MigrationRenamer[Filename])-35)</f>
        <v>receipts</v>
      </c>
      <c r="D24" s="8" t="str">
        <f t="shared" si="1"/>
        <v>2019_03_28_</v>
      </c>
      <c r="E24" s="8" t="str">
        <f>TEXT(MATCH(MigrationRenamer[[#This Row],[Table]],Tables[Table],0),"000000")</f>
        <v>000070</v>
      </c>
      <c r="F24" s="8" t="str">
        <f>RIGHT(MigrationRenamer[Filename],LEN(MigrationRenamer[Filename])-LEN(MigrationRenamer[Date Part])-LEN(MigrationRenamer[Sequence]))</f>
        <v>_create_receipts_table.php</v>
      </c>
      <c r="G24" s="8" t="str">
        <f>MigrationRenamer[Date Part]&amp;MigrationRenamer[Sequence]&amp;MigrationRenamer[Name Part]</f>
        <v>2019_03_28_000070_create_receipts_table.php</v>
      </c>
      <c r="H24" s="8" t="str">
        <f>IFERROR("ren "&amp;MigrationRenamer[Filename]&amp;" "&amp;MigrationRenamer[New Name],"del "&amp;MigrationRenamer[Filename])</f>
        <v>ren 2019_03_28_000068_create_receipts_table.php 2019_03_28_000070_create_receipts_table.php</v>
      </c>
    </row>
    <row r="25" spans="1:8" x14ac:dyDescent="0.25">
      <c r="A25" s="32">
        <f t="shared" si="0"/>
        <v>24</v>
      </c>
      <c r="B25" s="1" t="s">
        <v>1844</v>
      </c>
      <c r="C25" s="8" t="str">
        <f>MID(MigrationRenamer[Filename],26,LEN(MigrationRenamer[Filename])-35)</f>
        <v>fn_reserves</v>
      </c>
      <c r="D25" s="8" t="str">
        <f t="shared" si="1"/>
        <v>2019_03_28_</v>
      </c>
      <c r="E25" s="8" t="str">
        <f>TEXT(MATCH(MigrationRenamer[[#This Row],[Table]],Tables[Table],0),"000000")</f>
        <v>000071</v>
      </c>
      <c r="F25" s="8" t="str">
        <f>RIGHT(MigrationRenamer[Filename],LEN(MigrationRenamer[Filename])-LEN(MigrationRenamer[Date Part])-LEN(MigrationRenamer[Sequence]))</f>
        <v>_create_fn_reserves_table.php</v>
      </c>
      <c r="G25" s="8" t="str">
        <f>MigrationRenamer[Date Part]&amp;MigrationRenamer[Sequence]&amp;MigrationRenamer[Name Part]</f>
        <v>2019_03_28_000071_create_fn_reserves_table.php</v>
      </c>
      <c r="H25" s="8" t="str">
        <f>IFERROR("ren "&amp;MigrationRenamer[Filename]&amp;" "&amp;MigrationRenamer[New Name],"del "&amp;MigrationRenamer[Filename])</f>
        <v>ren 2019_03_28_000069_create_fn_reserves_table.php 2019_03_28_000071_create_fn_reserves_table.php</v>
      </c>
    </row>
    <row r="26" spans="1:8" x14ac:dyDescent="0.25">
      <c r="A26" s="32">
        <f t="shared" si="0"/>
        <v>25</v>
      </c>
      <c r="B26" s="1" t="s">
        <v>1845</v>
      </c>
      <c r="C26" s="8" t="str">
        <f>MID(MigrationRenamer[Filename],26,LEN(MigrationRenamer[Filename])-35)</f>
        <v>sales_order_sales</v>
      </c>
      <c r="D26" s="8" t="str">
        <f t="shared" si="1"/>
        <v>2019_03_28_</v>
      </c>
      <c r="E26" s="8" t="str">
        <f>TEXT(MATCH(MigrationRenamer[[#This Row],[Table]],Tables[Table],0),"000000")</f>
        <v>000072</v>
      </c>
      <c r="F26" s="8" t="str">
        <f>RIGHT(MigrationRenamer[Filename],LEN(MigrationRenamer[Filename])-LEN(MigrationRenamer[Date Part])-LEN(MigrationRenamer[Sequence]))</f>
        <v>_create_sales_order_sales_table.php</v>
      </c>
      <c r="G26" s="8" t="str">
        <f>MigrationRenamer[Date Part]&amp;MigrationRenamer[Sequence]&amp;MigrationRenamer[Name Part]</f>
        <v>2019_03_28_000072_create_sales_order_sales_table.php</v>
      </c>
      <c r="H26" s="8" t="str">
        <f>IFERROR("ren "&amp;MigrationRenamer[Filename]&amp;" "&amp;MigrationRenamer[New Name],"del "&amp;MigrationRenamer[Filename])</f>
        <v>ren 2019_03_28_000070_create_sales_order_sales_table.php 2019_03_28_000072_create_sales_order_sales_table.php</v>
      </c>
    </row>
    <row r="27" spans="1:8" x14ac:dyDescent="0.25">
      <c r="A27" s="32">
        <f t="shared" si="0"/>
        <v>26</v>
      </c>
      <c r="B27" s="1" t="s">
        <v>1846</v>
      </c>
      <c r="C27" s="8" t="str">
        <f>MID(MigrationRenamer[Filename],26,LEN(MigrationRenamer[Filename])-35)</f>
        <v>w_bin</v>
      </c>
      <c r="D27" s="8" t="str">
        <f t="shared" si="1"/>
        <v>2019_03_28_</v>
      </c>
      <c r="E27" s="8" t="str">
        <f>TEXT(MATCH(MigrationRenamer[[#This Row],[Table]],Tables[Table],0),"000000")</f>
        <v>000073</v>
      </c>
      <c r="F27" s="8" t="str">
        <f>RIGHT(MigrationRenamer[Filename],LEN(MigrationRenamer[Filename])-LEN(MigrationRenamer[Date Part])-LEN(MigrationRenamer[Sequence]))</f>
        <v>_create_w_bin_table.php</v>
      </c>
      <c r="G27" s="8" t="str">
        <f>MigrationRenamer[Date Part]&amp;MigrationRenamer[Sequence]&amp;MigrationRenamer[Name Part]</f>
        <v>2019_03_28_000073_create_w_bin_table.php</v>
      </c>
      <c r="H27" s="8" t="str">
        <f>IFERROR("ren "&amp;MigrationRenamer[Filename]&amp;" "&amp;MigrationRenamer[New Name],"del "&amp;MigrationRenamer[Filename])</f>
        <v>ren 2019_03_28_000071_create_w_bin_table.php 2019_03_28_000073_create_w_bin_table.php</v>
      </c>
    </row>
    <row r="28" spans="1:8" x14ac:dyDescent="0.25">
      <c r="A28" s="32">
        <f t="shared" si="0"/>
        <v>27</v>
      </c>
      <c r="B28" s="1" t="s">
        <v>1847</v>
      </c>
      <c r="C28" s="8" t="str">
        <f>MID(MigrationRenamer[Filename],26,LEN(MigrationRenamer[Filename])-35)</f>
        <v>product_group_master</v>
      </c>
      <c r="D28" s="8" t="str">
        <f t="shared" si="1"/>
        <v>2019_03_28_</v>
      </c>
      <c r="E28" s="8" t="str">
        <f>TEXT(MATCH(MigrationRenamer[[#This Row],[Table]],Tables[Table],0),"000000")</f>
        <v>000050</v>
      </c>
      <c r="F28" s="8" t="str">
        <f>RIGHT(MigrationRenamer[Filename],LEN(MigrationRenamer[Filename])-LEN(MigrationRenamer[Date Part])-LEN(MigrationRenamer[Sequence]))</f>
        <v>_create_product_group_master_table.php</v>
      </c>
      <c r="G28" s="8" t="str">
        <f>MigrationRenamer[Date Part]&amp;MigrationRenamer[Sequence]&amp;MigrationRenamer[Name Part]</f>
        <v>2019_03_28_000050_create_product_group_master_table.php</v>
      </c>
      <c r="H28" s="8" t="str">
        <f>IFERROR("ren "&amp;MigrationRenamer[Filename]&amp;" "&amp;MigrationRenamer[New Name],"del "&amp;MigrationRenamer[Filename])</f>
        <v>ren 2019_09_10_120358_create_product_group_master_table.php 2019_03_28_000050_create_product_group_master_table.php</v>
      </c>
    </row>
    <row r="29" spans="1:8" x14ac:dyDescent="0.25">
      <c r="A29" s="32">
        <f t="shared" si="0"/>
        <v>28</v>
      </c>
      <c r="B29" s="1" t="s">
        <v>1848</v>
      </c>
      <c r="C29" s="8" t="str">
        <f>MID(MigrationRenamer[Filename],26,LEN(MigrationRenamer[Filename])-35)</f>
        <v>product_groups</v>
      </c>
      <c r="D29" s="8" t="str">
        <f t="shared" si="1"/>
        <v>2019_03_28_</v>
      </c>
      <c r="E29" s="8" t="str">
        <f>TEXT(MATCH(MigrationRenamer[[#This Row],[Table]],Tables[Table],0),"000000")</f>
        <v>000052</v>
      </c>
      <c r="F29" s="8" t="str">
        <f>RIGHT(MigrationRenamer[Filename],LEN(MigrationRenamer[Filename])-LEN(MigrationRenamer[Date Part])-LEN(MigrationRenamer[Sequence]))</f>
        <v>_create_product_groups_table.php</v>
      </c>
      <c r="G29" s="8" t="str">
        <f>MigrationRenamer[Date Part]&amp;MigrationRenamer[Sequence]&amp;MigrationRenamer[Name Part]</f>
        <v>2019_03_28_000052_create_product_groups_table.php</v>
      </c>
      <c r="H29" s="8" t="str">
        <f>IFERROR("ren "&amp;MigrationRenamer[Filename]&amp;" "&amp;MigrationRenamer[New Name],"del "&amp;MigrationRenamer[Filename])</f>
        <v>ren 2019_09_10_122429_create_product_groups_table.php 2019_03_28_000052_create_product_groups_table.php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1"/>
  <sheetViews>
    <sheetView topLeftCell="B1" workbookViewId="0">
      <selection activeCell="F6" sqref="F6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1292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305115</v>
      </c>
      <c r="F3" s="64" t="s">
        <v>1381</v>
      </c>
      <c r="G3" s="64" t="s">
        <v>1382</v>
      </c>
      <c r="H3" s="64" t="s">
        <v>1383</v>
      </c>
      <c r="I3" s="64" t="s">
        <v>23</v>
      </c>
      <c r="J3" s="64">
        <v>20</v>
      </c>
      <c r="K3" s="58">
        <f>ResourceList[No]</f>
        <v>322101</v>
      </c>
      <c r="M3" s="4" t="s">
        <v>1494</v>
      </c>
      <c r="N3" s="7">
        <f>VLOOKUP(ListExtras[[#This Row],[List Name]],ResourceList[[ListDisplayName]:[No]],2,0)</f>
        <v>322105</v>
      </c>
      <c r="O3" s="4"/>
      <c r="P3" s="4" t="s">
        <v>1480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308109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1387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1387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1293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305116</v>
      </c>
      <c r="F4" s="64" t="s">
        <v>1384</v>
      </c>
      <c r="G4" s="64" t="s">
        <v>1385</v>
      </c>
      <c r="H4" s="64" t="s">
        <v>1386</v>
      </c>
      <c r="I4" s="64" t="s">
        <v>23</v>
      </c>
      <c r="J4" s="64">
        <v>20</v>
      </c>
      <c r="K4" s="58">
        <f>ResourceList[No]</f>
        <v>322102</v>
      </c>
      <c r="M4" s="4" t="s">
        <v>1494</v>
      </c>
      <c r="N4" s="7">
        <f>VLOOKUP(ListExtras[[#This Row],[List Name]],ResourceList[[ListDisplayName]:[No]],2,0)</f>
        <v>322105</v>
      </c>
      <c r="O4" s="4"/>
      <c r="P4" s="4" t="s">
        <v>1481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308111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1389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4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1387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1388</v>
      </c>
      <c r="AY4" s="64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1280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4" t="s">
        <v>1302</v>
      </c>
      <c r="G5" s="64" t="s">
        <v>1448</v>
      </c>
      <c r="H5" s="64" t="s">
        <v>1302</v>
      </c>
      <c r="I5" s="64" t="s">
        <v>23</v>
      </c>
      <c r="J5" s="64">
        <v>20</v>
      </c>
      <c r="K5" s="58">
        <f>ResourceList[No]</f>
        <v>322103</v>
      </c>
      <c r="M5" s="4" t="s">
        <v>1538</v>
      </c>
      <c r="N5" s="7">
        <f>VLOOKUP(ListExtras[[#This Row],[List Name]],ResourceList[[ListDisplayName]:[No]],2,0)</f>
        <v>322106</v>
      </c>
      <c r="O5" s="4" t="s">
        <v>1539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1449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1389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4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1483</v>
      </c>
      <c r="G6" s="64" t="s">
        <v>1484</v>
      </c>
      <c r="H6" s="64" t="s">
        <v>78</v>
      </c>
      <c r="I6" s="64" t="s">
        <v>23</v>
      </c>
      <c r="J6" s="64">
        <v>50</v>
      </c>
      <c r="K6" s="58">
        <f>ResourceList[No]</f>
        <v>322104</v>
      </c>
      <c r="M6" s="4" t="s">
        <v>1600</v>
      </c>
      <c r="N6" s="7">
        <f>VLOOKUP(ListExtras[[#This Row],[List Name]],ResourceList[[ListDisplayName]:[No]],2,0)</f>
        <v>322107</v>
      </c>
      <c r="O6" s="4"/>
      <c r="P6" s="4" t="s">
        <v>1601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308113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1449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4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1389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1388</v>
      </c>
      <c r="AY6" s="64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1289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305112</v>
      </c>
      <c r="F7" s="64" t="s">
        <v>1492</v>
      </c>
      <c r="G7" s="64" t="s">
        <v>1493</v>
      </c>
      <c r="H7" s="64" t="s">
        <v>1311</v>
      </c>
      <c r="I7" s="64" t="s">
        <v>1549</v>
      </c>
      <c r="J7" s="64">
        <v>50</v>
      </c>
      <c r="K7" s="58">
        <f>ResourceList[No]</f>
        <v>322105</v>
      </c>
      <c r="M7" s="4" t="s">
        <v>1600</v>
      </c>
      <c r="N7" s="7">
        <f>VLOOKUP(ListExtras[[#This Row],[List Name]],ResourceList[[ListDisplayName]:[No]],2,0)</f>
        <v>322107</v>
      </c>
      <c r="O7" s="4"/>
      <c r="P7" s="4" t="s">
        <v>1602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308114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1485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4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1449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4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4" t="s">
        <v>1535</v>
      </c>
      <c r="G8" s="64" t="s">
        <v>1536</v>
      </c>
      <c r="H8" s="64" t="s">
        <v>1537</v>
      </c>
      <c r="I8" s="64" t="s">
        <v>23</v>
      </c>
      <c r="J8" s="64">
        <v>50</v>
      </c>
      <c r="K8" s="58">
        <f>ResourceList[No]</f>
        <v>322106</v>
      </c>
      <c r="M8" s="4" t="s">
        <v>1600</v>
      </c>
      <c r="N8" s="7">
        <f>VLOOKUP(ListExtras[[#This Row],[List Name]],ResourceList[[ListDisplayName]:[No]],2,0)</f>
        <v>322107</v>
      </c>
      <c r="O8" s="4"/>
      <c r="P8" s="4" t="s">
        <v>1603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308115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1485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4" t="s">
        <v>1486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/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1449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1446</v>
      </c>
      <c r="AY8" s="64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1290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305113</v>
      </c>
      <c r="F9" s="64" t="s">
        <v>1598</v>
      </c>
      <c r="G9" s="64" t="s">
        <v>1599</v>
      </c>
      <c r="H9" s="64" t="s">
        <v>1595</v>
      </c>
      <c r="I9" s="64" t="s">
        <v>1549</v>
      </c>
      <c r="J9" s="64">
        <v>50</v>
      </c>
      <c r="K9" s="58">
        <f>ResourceList[No]</f>
        <v>322107</v>
      </c>
      <c r="AF9" s="60" t="str">
        <f>'Table Seed Map'!$A$28&amp;"-"&amp;COUNTA($AH$1:ListSearch[[#This Row],[No]])-2</f>
        <v>List Search-7</v>
      </c>
      <c r="AG9" s="4" t="s">
        <v>1485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4" t="s">
        <v>1489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/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1449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1388</v>
      </c>
      <c r="AY9" s="64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/>
      <c r="BD9" s="64"/>
      <c r="BE9" s="64"/>
    </row>
    <row r="10" spans="1:57" x14ac:dyDescent="0.25">
      <c r="A10" s="7" t="str">
        <f>'Table Seed Map'!$A$24&amp;"-"&amp;COUNTA($B$1:ResourceList[[#This Row],[Resource Name]])-1</f>
        <v>Resource Lists-8</v>
      </c>
      <c r="B10" s="4" t="s">
        <v>1287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305110</v>
      </c>
      <c r="F10" s="64" t="s">
        <v>1629</v>
      </c>
      <c r="G10" s="64" t="s">
        <v>1630</v>
      </c>
      <c r="H10" s="64" t="s">
        <v>1287</v>
      </c>
      <c r="I10" s="64" t="s">
        <v>23</v>
      </c>
      <c r="J10" s="64">
        <v>50</v>
      </c>
      <c r="K10" s="58">
        <f>ResourceList[No]</f>
        <v>322108</v>
      </c>
      <c r="AF10" s="60" t="str">
        <f>'Table Seed Map'!$A$28&amp;"-"&amp;COUNTA($AH$1:ListSearch[[#This Row],[No]])-2</f>
        <v>List Search-8</v>
      </c>
      <c r="AG10" s="4" t="s">
        <v>1494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4" t="s">
        <v>23</v>
      </c>
      <c r="AK10" s="60">
        <f>IF(ListSearch[[#This Row],[List Name for Search]]="","relation",IFERROR(VLOOKUP(ListSearch[[#This Row],[Relation]],RelationTable[[Display]:[RELID]],2,0),""))</f>
        <v>308111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 t="s">
        <v>1481</v>
      </c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1485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4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/>
      <c r="BD10" s="64"/>
      <c r="BE10" s="64"/>
    </row>
    <row r="11" spans="1:57" x14ac:dyDescent="0.25">
      <c r="A11" s="7" t="str">
        <f>'Table Seed Map'!$A$24&amp;"-"&amp;COUNTA($B$1:ResourceList[[#This Row],[Resource Name]])-1</f>
        <v>Resource Lists-9</v>
      </c>
      <c r="B11" s="4" t="s">
        <v>1286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305109</v>
      </c>
      <c r="F11" s="64" t="s">
        <v>1633</v>
      </c>
      <c r="G11" s="64" t="s">
        <v>1634</v>
      </c>
      <c r="H11" s="64" t="s">
        <v>1308</v>
      </c>
      <c r="I11" s="64" t="s">
        <v>23</v>
      </c>
      <c r="J11" s="64">
        <v>50</v>
      </c>
      <c r="K11" s="58">
        <f>ResourceList[No]</f>
        <v>322109</v>
      </c>
      <c r="AF11" s="60" t="str">
        <f>'Table Seed Map'!$A$28&amp;"-"&amp;COUNTA($AH$1:ListSearch[[#This Row],[No]])-2</f>
        <v>List Search-9</v>
      </c>
      <c r="AG11" s="4" t="s">
        <v>1494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308109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1480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1485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1487</v>
      </c>
      <c r="AY11" s="64" t="s">
        <v>1486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F12" s="60" t="str">
        <f>'Table Seed Map'!$A$28&amp;"-"&amp;COUNTA($AH$1:ListSearch[[#This Row],[No]])-2</f>
        <v>List Search-10</v>
      </c>
      <c r="AG12" s="4" t="s">
        <v>1538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4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/>
      <c r="AP12" s="64"/>
      <c r="AQ12" s="64"/>
      <c r="AR12" s="64"/>
      <c r="AT12" s="60" t="str">
        <f>'Table Seed Map'!$A$27&amp;"-"&amp;COUNTA($AV$1:ListLayout[[#This Row],[No]])-2</f>
        <v>List Layout-10</v>
      </c>
      <c r="AU12" s="4" t="s">
        <v>1485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1488</v>
      </c>
      <c r="AY12" s="64" t="s">
        <v>1489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4"/>
      <c r="BD12" s="64"/>
      <c r="BE12" s="64"/>
    </row>
    <row r="13" spans="1:57" x14ac:dyDescent="0.25">
      <c r="AF13" s="60" t="str">
        <f>'Table Seed Map'!$A$28&amp;"-"&amp;COUNTA($AH$1:ListSearch[[#This Row],[No]])-2</f>
        <v>List Search-11</v>
      </c>
      <c r="AG13" s="4" t="s">
        <v>1600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308113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1601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1494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4" t="s">
        <v>23</v>
      </c>
      <c r="AZ13" s="60">
        <f>IF(ListLayout[[#This Row],[List Name for Layout]]="","relation",IFERROR(VLOOKUP(ListLayout[[#This Row],[Relation]],RelationTable[[Display]:[RELID]],2,0),""))</f>
        <v>308111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 t="s">
        <v>1481</v>
      </c>
      <c r="BD13" s="64"/>
      <c r="BE13" s="64"/>
    </row>
    <row r="14" spans="1:57" x14ac:dyDescent="0.25">
      <c r="AF14" s="60" t="str">
        <f>'Table Seed Map'!$A$28&amp;"-"&amp;COUNTA($AH$1:ListSearch[[#This Row],[No]])-2</f>
        <v>List Search-12</v>
      </c>
      <c r="AG14" s="4" t="s">
        <v>1600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4" t="s">
        <v>23</v>
      </c>
      <c r="AK14" s="60">
        <f>IF(ListSearch[[#This Row],[List Name for Search]]="","relation",IFERROR(VLOOKUP(ListSearch[[#This Row],[Relation]],RelationTable[[Display]:[RELID]],2,0),""))</f>
        <v>308114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 t="s">
        <v>1602</v>
      </c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1494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1302</v>
      </c>
      <c r="AY14" s="64" t="s">
        <v>23</v>
      </c>
      <c r="AZ14" s="60">
        <f>IF(ListLayout[[#This Row],[List Name for Layout]]="","relation",IFERROR(VLOOKUP(ListLayout[[#This Row],[Relation]],RelationTable[[Display]:[RELID]],2,0),""))</f>
        <v>308109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 t="s">
        <v>1480</v>
      </c>
      <c r="BD14" s="64"/>
      <c r="BE14" s="64"/>
    </row>
    <row r="15" spans="1:57" x14ac:dyDescent="0.25">
      <c r="AF15" s="60" t="str">
        <f>'Table Seed Map'!$A$28&amp;"-"&amp;COUNTA($AH$1:ListSearch[[#This Row],[No]])-2</f>
        <v>List Search-13</v>
      </c>
      <c r="AG15" s="4" t="s">
        <v>1600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>
        <f>IF(ListSearch[[#This Row],[List Name for Search]]="","relation",IFERROR(VLOOKUP(ListSearch[[#This Row],[Relation]],RelationTable[[Display]:[RELID]],2,0),""))</f>
        <v>308115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 t="s">
        <v>1603</v>
      </c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1494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4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F16" s="60" t="str">
        <f>'Table Seed Map'!$A$28&amp;"-"&amp;COUNTA($AH$1:ListSearch[[#This Row],[No]])-2</f>
        <v>List Search-14</v>
      </c>
      <c r="AG16" s="4" t="s">
        <v>1631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4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4"/>
      <c r="AP16" s="64"/>
      <c r="AQ16" s="64"/>
      <c r="AR16" s="64"/>
      <c r="AT16" s="16" t="str">
        <f>'Table Seed Map'!$A$27&amp;"-"&amp;COUNTA($AV$1:ListLayout[[#This Row],[No]])-2</f>
        <v>List Layout-14</v>
      </c>
      <c r="AU16" s="4" t="s">
        <v>1494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1388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 x14ac:dyDescent="0.25">
      <c r="AF17" s="60" t="str">
        <f>'Table Seed Map'!$A$28&amp;"-"&amp;COUNTA($AH$1:ListSearch[[#This Row],[No]])-2</f>
        <v>List Search-15</v>
      </c>
      <c r="AG17" s="4" t="s">
        <v>1635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4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4"/>
      <c r="AP17" s="64"/>
      <c r="AQ17" s="64"/>
      <c r="AR17" s="64"/>
      <c r="AT17" s="60" t="str">
        <f>'Table Seed Map'!$A$27&amp;"-"&amp;COUNTA($AV$1:ListLayout[[#This Row],[No]])-2</f>
        <v>List Layout-15</v>
      </c>
      <c r="AU17" s="4" t="s">
        <v>1538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4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/>
      <c r="BD17" s="64"/>
      <c r="BE17" s="64"/>
    </row>
    <row r="18" spans="32:57" x14ac:dyDescent="0.25">
      <c r="AT18" s="60" t="str">
        <f>'Table Seed Map'!$A$27&amp;"-"&amp;COUNTA($AV$1:ListLayout[[#This Row],[No]])-2</f>
        <v>List Layout-16</v>
      </c>
      <c r="AU18" s="4" t="s">
        <v>1538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1488</v>
      </c>
      <c r="AY18" s="64" t="s">
        <v>1489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/>
      <c r="BD18" s="64"/>
      <c r="BE18" s="64"/>
    </row>
    <row r="19" spans="32:57" x14ac:dyDescent="0.25">
      <c r="AT19" s="60" t="str">
        <f>'Table Seed Map'!$A$27&amp;"-"&amp;COUNTA($AV$1:ListLayout[[#This Row],[No]])-2</f>
        <v>List Layout-17</v>
      </c>
      <c r="AU19" s="4" t="s">
        <v>1538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1487</v>
      </c>
      <c r="AY19" s="64" t="s">
        <v>1486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32:57" x14ac:dyDescent="0.25">
      <c r="AT20" s="60" t="str">
        <f>'Table Seed Map'!$A$27&amp;"-"&amp;COUNTA($AV$1:ListLayout[[#This Row],[No]])-2</f>
        <v>List Layout-18</v>
      </c>
      <c r="AU20" s="4" t="s">
        <v>1600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1604</v>
      </c>
      <c r="AY20" s="64" t="s">
        <v>23</v>
      </c>
      <c r="AZ20" s="60">
        <f>IF(ListLayout[[#This Row],[List Name for Layout]]="","relation",IFERROR(VLOOKUP(ListLayout[[#This Row],[Relation]],RelationTable[[Display]:[RELID]],2,0),""))</f>
        <v>308115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 t="s">
        <v>1603</v>
      </c>
      <c r="BD20" s="64"/>
      <c r="BE20" s="64"/>
    </row>
    <row r="21" spans="32:57" x14ac:dyDescent="0.25">
      <c r="AT21" s="60" t="str">
        <f>'Table Seed Map'!$A$27&amp;"-"&amp;COUNTA($AV$1:ListLayout[[#This Row],[No]])-2</f>
        <v>List Layout-19</v>
      </c>
      <c r="AU21" s="4" t="s">
        <v>1600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1286</v>
      </c>
      <c r="AY21" s="64" t="s">
        <v>23</v>
      </c>
      <c r="AZ21" s="60">
        <f>IF(ListLayout[[#This Row],[List Name for Layout]]="","relation",IFERROR(VLOOKUP(ListLayout[[#This Row],[Relation]],RelationTable[[Display]:[RELID]],2,0),""))</f>
        <v>308114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 t="s">
        <v>1602</v>
      </c>
      <c r="BD21" s="64"/>
      <c r="BE21" s="64"/>
    </row>
    <row r="22" spans="32:57" x14ac:dyDescent="0.25">
      <c r="AT22" s="60" t="str">
        <f>'Table Seed Map'!$A$27&amp;"-"&amp;COUNTA($AV$1:ListLayout[[#This Row],[No]])-2</f>
        <v>List Layout-20</v>
      </c>
      <c r="AU22" s="4" t="s">
        <v>1600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1287</v>
      </c>
      <c r="AY22" s="64" t="s">
        <v>23</v>
      </c>
      <c r="AZ22" s="60">
        <f>IF(ListLayout[[#This Row],[List Name for Layout]]="","relation",IFERROR(VLOOKUP(ListLayout[[#This Row],[Relation]],RelationTable[[Display]:[RELID]],2,0),""))</f>
        <v>308113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 t="s">
        <v>1601</v>
      </c>
      <c r="BD22" s="64"/>
      <c r="BE22" s="64"/>
    </row>
    <row r="23" spans="32:57" x14ac:dyDescent="0.25">
      <c r="AT23" s="60" t="str">
        <f>'Table Seed Map'!$A$27&amp;"-"&amp;COUNTA($AV$1:ListLayout[[#This Row],[No]])-2</f>
        <v>List Layout-21</v>
      </c>
      <c r="AU23" s="4" t="s">
        <v>1600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1388</v>
      </c>
      <c r="AY23" s="64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32:57" x14ac:dyDescent="0.25">
      <c r="AT24" s="60" t="str">
        <f>'Table Seed Map'!$A$27&amp;"-"&amp;COUNTA($AV$1:ListLayout[[#This Row],[No]])-2</f>
        <v>List Layout-22</v>
      </c>
      <c r="AU24" s="4" t="s">
        <v>1631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1632</v>
      </c>
      <c r="AY24" s="64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32:57" x14ac:dyDescent="0.25">
      <c r="AT25" s="60" t="str">
        <f>'Table Seed Map'!$A$27&amp;"-"&amp;COUNTA($AV$1:ListLayout[[#This Row],[No]])-2</f>
        <v>List Layout-23</v>
      </c>
      <c r="AU25" s="4" t="s">
        <v>1631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32:57" x14ac:dyDescent="0.25">
      <c r="AT26" s="60" t="str">
        <f>'Table Seed Map'!$A$27&amp;"-"&amp;COUNTA($AV$1:ListLayout[[#This Row],[No]])-2</f>
        <v>List Layout-24</v>
      </c>
      <c r="AU26" s="4" t="s">
        <v>1631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4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32:57" x14ac:dyDescent="0.25">
      <c r="AT27" s="60" t="str">
        <f>'Table Seed Map'!$A$27&amp;"-"&amp;COUNTA($AV$1:ListLayout[[#This Row],[No]])-2</f>
        <v>List Layout-25</v>
      </c>
      <c r="AU27" s="4" t="s">
        <v>1631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1388</v>
      </c>
      <c r="AY27" s="64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32:57" x14ac:dyDescent="0.25">
      <c r="AT28" s="60" t="str">
        <f>'Table Seed Map'!$A$27&amp;"-"&amp;COUNTA($AV$1:ListLayout[[#This Row],[No]])-2</f>
        <v>List Layout-26</v>
      </c>
      <c r="AU28" s="4" t="s">
        <v>1635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1632</v>
      </c>
      <c r="AY28" s="64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4"/>
      <c r="BD28" s="64"/>
      <c r="BE28" s="64"/>
    </row>
    <row r="29" spans="32:57" x14ac:dyDescent="0.25">
      <c r="AT29" s="60" t="str">
        <f>'Table Seed Map'!$A$27&amp;"-"&amp;COUNTA($AV$1:ListLayout[[#This Row],[No]])-2</f>
        <v>List Layout-27</v>
      </c>
      <c r="AU29" s="4" t="s">
        <v>1635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4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4"/>
      <c r="BD29" s="64"/>
      <c r="BE29" s="64"/>
    </row>
    <row r="30" spans="32:57" x14ac:dyDescent="0.25">
      <c r="AT30" s="60" t="str">
        <f>'Table Seed Map'!$A$27&amp;"-"&amp;COUNTA($AV$1:ListLayout[[#This Row],[No]])-2</f>
        <v>List Layout-28</v>
      </c>
      <c r="AU30" s="4" t="s">
        <v>1635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1636</v>
      </c>
      <c r="AY30" s="64" t="s">
        <v>876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4"/>
      <c r="BD30" s="64"/>
      <c r="BE30" s="64"/>
    </row>
    <row r="31" spans="32:57" x14ac:dyDescent="0.25">
      <c r="AT31" s="60" t="str">
        <f>'Table Seed Map'!$A$27&amp;"-"&amp;COUNTA($AV$1:ListLayout[[#This Row],[No]])-2</f>
        <v>List Layout-29</v>
      </c>
      <c r="AU31" s="4" t="s">
        <v>1635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1637</v>
      </c>
      <c r="AY31" s="64" t="s">
        <v>877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4"/>
      <c r="BD31" s="64"/>
      <c r="BE31" s="64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topLeftCell="AD1" workbookViewId="0">
      <selection activeCell="AJ10" sqref="AJ10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1292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305115</v>
      </c>
      <c r="F3" s="64" t="s">
        <v>1420</v>
      </c>
      <c r="G3" s="64" t="s">
        <v>1421</v>
      </c>
      <c r="H3" s="64" t="s">
        <v>23</v>
      </c>
      <c r="I3" s="88"/>
      <c r="J3" s="63">
        <f>ResourceData[No]</f>
        <v>327101</v>
      </c>
      <c r="L3" s="2" t="s">
        <v>1581</v>
      </c>
      <c r="M3" s="9">
        <f>VLOOKUP(DataExtra[[#This Row],[Data Name]],ResourceData[[DataDisplayName]:[No]],2,0)</f>
        <v>327104</v>
      </c>
      <c r="N3" s="2"/>
      <c r="O3" s="2" t="s">
        <v>1481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308111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1424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4">
        <v>12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1426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7" t="str">
        <f>'Table Seed Map'!$A$29&amp;"-"&amp;COUNTA($E$1:ResourceData[[#This Row],[Resource]])-2</f>
        <v>Resource Data-2</v>
      </c>
      <c r="B4" s="4" t="s">
        <v>1293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305116</v>
      </c>
      <c r="F4" s="64" t="s">
        <v>1422</v>
      </c>
      <c r="G4" s="64" t="s">
        <v>1423</v>
      </c>
      <c r="H4" s="64" t="s">
        <v>23</v>
      </c>
      <c r="I4" s="88"/>
      <c r="J4" s="63">
        <f>ResourceData[No]</f>
        <v>327102</v>
      </c>
      <c r="L4" s="2" t="s">
        <v>1581</v>
      </c>
      <c r="M4" s="9">
        <f>VLOOKUP(DataExtra[[#This Row],[Data Name]],ResourceData[[DataDisplayName]:[No]],2,0)</f>
        <v>327104</v>
      </c>
      <c r="N4" s="2"/>
      <c r="O4" s="2" t="s">
        <v>1480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308109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1425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1426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1388</v>
      </c>
      <c r="AU4" s="64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1280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4" t="s">
        <v>1450</v>
      </c>
      <c r="G5" s="64" t="s">
        <v>1451</v>
      </c>
      <c r="H5" s="64" t="s">
        <v>23</v>
      </c>
      <c r="I5" s="88"/>
      <c r="J5" s="63">
        <f>ResourceData[No]</f>
        <v>327103</v>
      </c>
      <c r="L5" s="2" t="s">
        <v>1618</v>
      </c>
      <c r="M5" s="7">
        <f>VLOOKUP(DataExtra[[#This Row],[Data Name]],ResourceData[[DataDisplayName]:[No]],2,0)</f>
        <v>327105</v>
      </c>
      <c r="N5" s="4"/>
      <c r="O5" s="2" t="s">
        <v>1601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308113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Map'!$A$32&amp;"-"&amp;COUNTA($AF$1:DataViewSection[[#This Row],[Data Name for Layout]])-1</f>
        <v>Data View Section-3</v>
      </c>
      <c r="AF5" s="4" t="s">
        <v>1452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Layout]]="","id",-1+COUNTA($AF$1:DataViewSection[[#This Row],[Data Name for Layout]])+VLOOKUP('Table Seed Map'!$A$32,SeedMap[],9,0))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1453</v>
      </c>
      <c r="AK5" s="60"/>
      <c r="AL5" s="60" t="str">
        <f>IFERROR(VLOOKUP(DataViewSection[[#This Row],[Relation]],RelationTable[[Display]:[RELID]],2,0),"")</f>
        <v/>
      </c>
      <c r="AM5" s="64">
        <v>4</v>
      </c>
      <c r="AN5" s="64"/>
      <c r="AP5" s="60" t="str">
        <f>'Table Seed Map'!$A$33&amp;"-"&amp;-1+COUNTA($AQ$1:DataViewSectionItem[[#This Row],[Data Section for Items]])</f>
        <v>Data View Section Items-3</v>
      </c>
      <c r="AQ5" s="4" t="s">
        <v>1454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4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9" t="str">
        <f>'Table Seed Map'!$A$29&amp;"-"&amp;COUNTA($E$1:ResourceData[[#This Row],[Resource]])-2</f>
        <v>Resource Data-4</v>
      </c>
      <c r="B6" s="4" t="s">
        <v>1289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305112</v>
      </c>
      <c r="F6" s="14" t="s">
        <v>1579</v>
      </c>
      <c r="G6" s="14" t="s">
        <v>1580</v>
      </c>
      <c r="H6" s="14" t="s">
        <v>1549</v>
      </c>
      <c r="I6" s="105"/>
      <c r="J6" s="106">
        <f>ResourceData[No]</f>
        <v>327104</v>
      </c>
      <c r="L6" s="2" t="s">
        <v>1618</v>
      </c>
      <c r="M6" s="7">
        <f>VLOOKUP(DataExtra[[#This Row],[Data Name]],ResourceData[[DataDisplayName]:[No]],2,0)</f>
        <v>327105</v>
      </c>
      <c r="N6" s="4"/>
      <c r="O6" s="2" t="s">
        <v>1602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308114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1452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1454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1388</v>
      </c>
      <c r="AU6" s="64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7" t="str">
        <f>'Table Seed Map'!$A$29&amp;"-"&amp;COUNTA($E$1:ResourceData[[#This Row],[Resource]])-2</f>
        <v>Resource Data-5</v>
      </c>
      <c r="B7" s="4" t="s">
        <v>1290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305113</v>
      </c>
      <c r="F7" s="64" t="s">
        <v>1616</v>
      </c>
      <c r="G7" s="64" t="s">
        <v>1617</v>
      </c>
      <c r="H7" s="14" t="s">
        <v>1549</v>
      </c>
      <c r="I7" s="88"/>
      <c r="J7" s="63">
        <f>ResourceData[No]</f>
        <v>327105</v>
      </c>
      <c r="L7" s="2" t="s">
        <v>1618</v>
      </c>
      <c r="M7" s="7">
        <f>VLOOKUP(DataExtra[[#This Row],[Data Name]],ResourceData[[DataDisplayName]:[No]],2,0)</f>
        <v>327105</v>
      </c>
      <c r="N7" s="4"/>
      <c r="O7" s="2" t="s">
        <v>1603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308115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Map'!$A$32&amp;"-"&amp;COUNTA($AF$1:DataViewSection[[#This Row],[Data Name for Layout]])-1</f>
        <v>Data View Section-5</v>
      </c>
      <c r="AF7" s="4" t="s">
        <v>1581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Layout]]="","id",-1+COUNTA($AF$1:DataViewSection[[#This Row],[Data Name for Layout]])+VLOOKUP('Table Seed Map'!$A$32,SeedMap[],9,0))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1582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1455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4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4"/>
    </row>
    <row r="8" spans="1:49" x14ac:dyDescent="0.25">
      <c r="AE8" s="60" t="str">
        <f>'Table Seed Map'!$A$32&amp;"-"&amp;COUNTA($AF$1:DataViewSection[[#This Row],[Data Name for Layout]])-1</f>
        <v>Data View Section-6</v>
      </c>
      <c r="AF8" s="4" t="s">
        <v>1618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Layout]]="","id",-1+COUNTA($AF$1:DataViewSection[[#This Row],[Data Name for Layout]])+VLOOKUP('Table Seed Map'!$A$32,SeedMap[],9,0))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1371</v>
      </c>
      <c r="AK8" s="60"/>
      <c r="AL8" s="60" t="str">
        <f>IFERROR(VLOOKUP(DataViewSection[[#This Row],[Relation]],RelationTable[[Display]:[RELID]],2,0),"")</f>
        <v/>
      </c>
      <c r="AM8" s="64">
        <v>12</v>
      </c>
      <c r="AN8" s="64"/>
      <c r="AP8" s="60" t="str">
        <f>'Table Seed Map'!$A$33&amp;"-"&amp;-1+COUNTA($AQ$1:DataViewSectionItem[[#This Row],[Data Section for Items]])</f>
        <v>Data View Section Items-6</v>
      </c>
      <c r="AQ8" s="4" t="s">
        <v>1455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1446</v>
      </c>
      <c r="AU8" s="64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4"/>
    </row>
    <row r="9" spans="1:49" x14ac:dyDescent="0.25">
      <c r="AP9" s="60" t="str">
        <f>'Table Seed Map'!$A$33&amp;"-"&amp;-1+COUNTA($AQ$1:DataViewSectionItem[[#This Row],[Data Section for Items]])</f>
        <v>Data View Section Items-7</v>
      </c>
      <c r="AQ9" s="4" t="s">
        <v>1455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1388</v>
      </c>
      <c r="AU9" s="64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4"/>
    </row>
    <row r="10" spans="1:49" x14ac:dyDescent="0.25">
      <c r="AP10" s="60" t="str">
        <f>'Table Seed Map'!$A$33&amp;"-"&amp;-1+COUNTA($AQ$1:DataViewSectionItem[[#This Row],[Data Section for Items]])</f>
        <v>Data View Section Items-8</v>
      </c>
      <c r="AQ10" s="4" t="s">
        <v>1456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1371</v>
      </c>
      <c r="AU10" s="64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4"/>
    </row>
    <row r="11" spans="1:49" x14ac:dyDescent="0.25">
      <c r="AP11" s="16" t="str">
        <f>'Table Seed Map'!$A$33&amp;"-"&amp;-1+COUNTA($AQ$1:DataViewSectionItem[[#This Row],[Data Section for Items]])</f>
        <v>Data View Section Items-9</v>
      </c>
      <c r="AQ11" s="4" t="s">
        <v>1583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308111</v>
      </c>
      <c r="AW11" s="14" t="s">
        <v>1481</v>
      </c>
    </row>
    <row r="12" spans="1:49" x14ac:dyDescent="0.25">
      <c r="AP12" s="16" t="str">
        <f>'Table Seed Map'!$A$33&amp;"-"&amp;-1+COUNTA($AQ$1:DataViewSectionItem[[#This Row],[Data Section for Items]])</f>
        <v>Data View Section Items-10</v>
      </c>
      <c r="AQ12" s="4" t="s">
        <v>1583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1584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308109</v>
      </c>
      <c r="AW12" s="14" t="s">
        <v>1480</v>
      </c>
    </row>
    <row r="13" spans="1:49" x14ac:dyDescent="0.25">
      <c r="AP13" s="16" t="str">
        <f>'Table Seed Map'!$A$33&amp;"-"&amp;-1+COUNTA($AQ$1:DataViewSectionItem[[#This Row],[Data Section for Items]])</f>
        <v>Data View Section Items-11</v>
      </c>
      <c r="AQ13" s="4" t="s">
        <v>1583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 x14ac:dyDescent="0.25">
      <c r="AP14" s="16" t="str">
        <f>'Table Seed Map'!$A$33&amp;"-"&amp;-1+COUNTA($AQ$1:DataViewSectionItem[[#This Row],[Data Section for Items]])</f>
        <v>Data View Section Items-12</v>
      </c>
      <c r="AQ14" s="4" t="s">
        <v>1583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1388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 x14ac:dyDescent="0.25">
      <c r="AP15" s="60" t="str">
        <f>'Table Seed Map'!$A$33&amp;"-"&amp;-1+COUNTA($AQ$1:DataViewSectionItem[[#This Row],[Data Section for Items]])</f>
        <v>Data View Section Items-13</v>
      </c>
      <c r="AQ15" s="4" t="s">
        <v>1619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1604</v>
      </c>
      <c r="AU15" s="64" t="s">
        <v>23</v>
      </c>
      <c r="AV15" s="60">
        <f>IF(DataViewSectionItem[[#This Row],[Data Section for Items]]="","relation",IFERROR(VLOOKUP(DataViewSectionItem[[#This Row],[Relation]],RelationTable[[Display]:[RELID]],2,0),""))</f>
        <v>308115</v>
      </c>
      <c r="AW15" s="64" t="s">
        <v>1603</v>
      </c>
    </row>
    <row r="16" spans="1:49" x14ac:dyDescent="0.25">
      <c r="AP16" s="60" t="str">
        <f>'Table Seed Map'!$A$33&amp;"-"&amp;-1+COUNTA($AQ$1:DataViewSectionItem[[#This Row],[Data Section for Items]])</f>
        <v>Data View Section Items-14</v>
      </c>
      <c r="AQ16" s="4" t="s">
        <v>1619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1286</v>
      </c>
      <c r="AU16" s="64" t="s">
        <v>23</v>
      </c>
      <c r="AV16" s="60">
        <f>IF(DataViewSectionItem[[#This Row],[Data Section for Items]]="","relation",IFERROR(VLOOKUP(DataViewSectionItem[[#This Row],[Relation]],RelationTable[[Display]:[RELID]],2,0),""))</f>
        <v>308114</v>
      </c>
      <c r="AW16" s="64" t="s">
        <v>1602</v>
      </c>
    </row>
    <row r="17" spans="42:49" x14ac:dyDescent="0.25">
      <c r="AP17" s="60" t="str">
        <f>'Table Seed Map'!$A$33&amp;"-"&amp;-1+COUNTA($AQ$1:DataViewSectionItem[[#This Row],[Data Section for Items]])</f>
        <v>Data View Section Items-15</v>
      </c>
      <c r="AQ17" s="4" t="s">
        <v>1619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1287</v>
      </c>
      <c r="AU17" s="64" t="s">
        <v>23</v>
      </c>
      <c r="AV17" s="60">
        <f>IF(DataViewSectionItem[[#This Row],[Data Section for Items]]="","relation",IFERROR(VLOOKUP(DataViewSectionItem[[#This Row],[Relation]],RelationTable[[Display]:[RELID]],2,0),""))</f>
        <v>308113</v>
      </c>
      <c r="AW17" s="64" t="s">
        <v>1601</v>
      </c>
    </row>
    <row r="18" spans="42:49" x14ac:dyDescent="0.25">
      <c r="AP18" s="60" t="str">
        <f>'Table Seed Map'!$A$33&amp;"-"&amp;-1+COUNTA($AQ$1:DataViewSectionItem[[#This Row],[Data Section for Items]])</f>
        <v>Data View Section Items-16</v>
      </c>
      <c r="AQ18" s="4" t="s">
        <v>1619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1388</v>
      </c>
      <c r="AU18" s="64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4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42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1566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Pricelist/Items</v>
      </c>
      <c r="O22" s="6" t="str">
        <f ca="1">IF(IDNMaps[[#This Row],[Name]]="","","("&amp;IDNMaps[[#This Row],[Type]]&amp;") "&amp;IDNMaps[[#This Row],[Name]])</f>
        <v>(Relation) Pricelist/Items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PricelistProduct/Pricelist</v>
      </c>
      <c r="O23" s="6" t="str">
        <f ca="1">IF(IDNMaps[[#This Row],[Name]]="","","("&amp;IDNMaps[[#This Row],[Type]]&amp;") "&amp;IDNMaps[[#This Row],[Name]])</f>
        <v>(Relation) PricelistProduct/Pricelist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PricelistProduct/Product</v>
      </c>
      <c r="O24" s="6" t="str">
        <f ca="1">IF(IDNMaps[[#This Row],[Name]]="","","("&amp;IDNMaps[[#This Row],[Type]]&amp;") "&amp;IDNMaps[[#This Row],[Name]])</f>
        <v>(Relation) PricelistProduct/Product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AreaUser/Area</v>
      </c>
      <c r="O25" s="6" t="str">
        <f ca="1">IF(IDNMaps[[#This Row],[Name]]="","","("&amp;IDNMaps[[#This Row],[Type]]&amp;") "&amp;IDNMaps[[#This Row],[Name]])</f>
        <v>(Relation) AreaUser/Area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AreaUser/Customer</v>
      </c>
      <c r="O26" s="6" t="str">
        <f ca="1">IF(IDNMaps[[#This Row],[Name]]="","","("&amp;IDNMaps[[#This Row],[Type]]&amp;") "&amp;IDNMaps[[#This Row],[Name]])</f>
        <v>(Relation) AreaUser/Customer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Area/User</v>
      </c>
      <c r="O27" s="6" t="str">
        <f ca="1">IF(IDNMaps[[#This Row],[Name]]="","","("&amp;IDNMaps[[#This Row],[Type]]&amp;") "&amp;IDNMaps[[#This Row],[Name]])</f>
        <v>(Relation) Area/User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Setting/Users</v>
      </c>
      <c r="O28" s="6" t="str">
        <f ca="1">IF(IDNMaps[[#This Row],[Name]]="","","("&amp;IDNMaps[[#This Row],[Type]]&amp;") "&amp;IDNMaps[[#This Row],[Name]])</f>
        <v>(Relation) Setting/Users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User/Area</v>
      </c>
      <c r="O29" s="6" t="str">
        <f ca="1">IF(IDNMaps[[#This Row],[Name]]="","","("&amp;IDNMaps[[#This Row],[Type]]&amp;") "&amp;IDNMaps[[#This Row],[Name]])</f>
        <v>(Relation) User/Area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UserSetting/Settings</v>
      </c>
      <c r="O30" s="6" t="str">
        <f ca="1">IF(IDNMaps[[#This Row],[Name]]="","","("&amp;IDNMaps[[#This Row],[Type]]&amp;") "&amp;IDNMaps[[#This Row],[Name]])</f>
        <v>(Relation) UserSetting/Settings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User/Settings</v>
      </c>
      <c r="O31" s="6" t="str">
        <f ca="1">IF(IDNMaps[[#This Row],[Name]]="","","("&amp;IDNMaps[[#This Row],[Type]]&amp;") "&amp;IDNMaps[[#This Row],[Name]])</f>
        <v>(Relation) User/Settings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UserSetting/User</v>
      </c>
      <c r="O32" s="6" t="str">
        <f ca="1">IF(IDNMaps[[#This Row],[Name]]="","","("&amp;IDNMaps[[#This Row],[Type]]&amp;") "&amp;IDNMaps[[#This Row],[Name]])</f>
        <v>(Relation) UserSetting/User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User/StoreAndArea</v>
      </c>
      <c r="O33" s="6" t="str">
        <f ca="1">IF(IDNMaps[[#This Row],[Name]]="","","("&amp;IDNMaps[[#This Row],[Type]]&amp;") "&amp;IDNMaps[[#This Row],[Name]])</f>
        <v>(Relation) User/StoreAndArea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UserStoreArea/Area</v>
      </c>
      <c r="O34" s="6" t="str">
        <f ca="1">IF(IDNMaps[[#This Row],[Name]]="","","("&amp;IDNMaps[[#This Row],[Type]]&amp;") "&amp;IDNMaps[[#This Row],[Name]])</f>
        <v>(Relation) UserStoreArea/Area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UserStoreArea/Store</v>
      </c>
      <c r="O35" s="6" t="str">
        <f ca="1">IF(IDNMaps[[#This Row],[Name]]="","","("&amp;IDNMaps[[#This Row],[Type]]&amp;") "&amp;IDNMaps[[#This Row],[Name]])</f>
        <v>(Relation) UserStoreArea/Store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UserStoreArea/User</v>
      </c>
      <c r="O36" s="6" t="str">
        <f ca="1">IF(IDNMaps[[#This Row],[Name]]="","","("&amp;IDNMaps[[#This Row],[Type]]&amp;") "&amp;IDNMaps[[#This Row],[Name]])</f>
        <v>(Relation) UserStoreArea/User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Store/Users</v>
      </c>
      <c r="O37" s="6" t="str">
        <f ca="1">IF(IDNMaps[[#This Row],[Name]]="","","("&amp;IDNMaps[[#This Row],[Type]]&amp;") "&amp;IDNMaps[[#This Row],[Name]])</f>
        <v>(Relation) Store/Users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Area/StoreAndUser</v>
      </c>
      <c r="O38" s="6" t="str">
        <f ca="1">IF(IDNMaps[[#This Row],[Name]]="","","("&amp;IDNMaps[[#This Row],[Type]]&amp;") "&amp;IDNMaps[[#This Row],[Name]])</f>
        <v>(Relation) Area/StoreAndUser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39" s="6" t="str">
        <f ca="1">IF(IDNMaps[[#This Row],[Name]]="","","("&amp;IDNMaps[[#This Row],[Type]]&amp;") "&amp;IDNMaps[[#This Row],[Name]])</f>
        <v>(Relation) StoreProductTransaction/Product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40" s="6" t="str">
        <f ca="1">IF(IDNMaps[[#This Row],[Name]]="","","("&amp;IDNMaps[[#This Row],[Type]]&amp;") "&amp;IDNMaps[[#This Row],[Name]])</f>
        <v>(Relation) StoreProductTransaction/Store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41" s="6" t="str">
        <f ca="1">IF(IDNMaps[[#This Row],[Name]]="","","("&amp;IDNMaps[[#This Row],[Type]]&amp;") "&amp;IDNMaps[[#This Row],[Name]])</f>
        <v>(Relation) StoreProductTransaction/User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42" s="6" t="str">
        <f ca="1">IF(IDNMaps[[#This Row],[Name]]="","","("&amp;IDNMaps[[#This Row],[Type]]&amp;") "&amp;IDNMaps[[#This Row],[Name]])</f>
        <v>(Relation) StoreProductTransaction/Nature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43" s="6" t="str">
        <f ca="1">IF(IDNMaps[[#This Row],[Name]]="","","("&amp;IDNMaps[[#This Row],[Type]]&amp;") "&amp;IDNMaps[[#This Row],[Name]])</f>
        <v>(Relation) StoreProductTransaction/Type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Store/ProductTransaction</v>
      </c>
      <c r="O44" s="6" t="str">
        <f ca="1">IF(IDNMaps[[#This Row],[Name]]="","","("&amp;IDNMaps[[#This Row],[Type]]&amp;") "&amp;IDNMaps[[#This Row],[Name]])</f>
        <v>(Relation) Store/ProductTransaction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Transaction/Details</v>
      </c>
      <c r="O45" s="6" t="str">
        <f ca="1">IF(IDNMaps[[#This Row],[Name]]="","","("&amp;IDNMaps[[#This Row],[Type]]&amp;") "&amp;IDNMaps[[#This Row],[Name]])</f>
        <v>(Relation) Transaction/Details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Transaction/Products</v>
      </c>
      <c r="O46" s="6" t="str">
        <f ca="1">IF(IDNMaps[[#This Row],[Name]]="","","("&amp;IDNMaps[[#This Row],[Type]]&amp;") "&amp;IDNMaps[[#This Row],[Name]])</f>
        <v>(Relation) Transaction/Products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TransactionDetail/Product</v>
      </c>
      <c r="O47" s="6" t="str">
        <f ca="1">IF(IDNMaps[[#This Row],[Name]]="","","("&amp;IDNMaps[[#This Row],[Type]]&amp;") "&amp;IDNMaps[[#This Row],[Name]])</f>
        <v>(Relation) TransactionDetail/Product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SalesOrder/Items</v>
      </c>
      <c r="O48" s="6" t="str">
        <f ca="1">IF(IDNMaps[[#This Row],[Name]]="","","("&amp;IDNMaps[[#This Row],[Type]]&amp;") "&amp;IDNMaps[[#This Row],[Name]])</f>
        <v>(Relation) SalesOrder/Items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SalesOrderItem/Product</v>
      </c>
      <c r="O49" s="6" t="str">
        <f ca="1">IF(IDNMaps[[#This Row],[Name]]="","","("&amp;IDNMaps[[#This Row],[Type]]&amp;") "&amp;IDNMaps[[#This Row],[Name]])</f>
        <v>(Relation) SalesOrderItem/Product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StockTransfer/IN</v>
      </c>
      <c r="O50" s="6" t="str">
        <f ca="1">IF(IDNMaps[[#This Row],[Name]]="","","("&amp;IDNMaps[[#This Row],[Type]]&amp;") "&amp;IDNMaps[[#This Row],[Name]])</f>
        <v>(Relation) StockTransfer/IN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StockTransfer/OUT</v>
      </c>
      <c r="O51" s="6" t="str">
        <f ca="1">IF(IDNMaps[[#This Row],[Name]]="","","("&amp;IDNMaps[[#This Row],[Type]]&amp;") "&amp;IDNMaps[[#This Row],[Name]])</f>
        <v>(Relation) StockTransfer/OUT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SalesOrder/Customer</v>
      </c>
      <c r="O52" s="6" t="str">
        <f ca="1">IF(IDNMaps[[#This Row],[Name]]="","","("&amp;IDNMaps[[#This Row],[Type]]&amp;") "&amp;IDNMaps[[#This Row],[Name]])</f>
        <v>(Relation) SalesOrder/Customer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53" s="6" t="str">
        <f ca="1">IF(IDNMaps[[#This Row],[Name]]="","","("&amp;IDNMaps[[#This Row],[Type]]&amp;") "&amp;IDNMaps[[#This Row],[Name]])</f>
        <v>(Relation) UserStoreArea/AssignedAreas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AreaUser/Users</v>
      </c>
      <c r="O54" s="6" t="str">
        <f ca="1">IF(IDNMaps[[#This Row],[Name]]="","","("&amp;IDNMaps[[#This Row],[Type]]&amp;") "&amp;IDNMaps[[#This Row],[Name]])</f>
        <v>(Relation) AreaUser/Users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UserStoreArea/Customers</v>
      </c>
      <c r="O55" s="6" t="str">
        <f ca="1">IF(IDNMaps[[#This Row],[Name]]="","","("&amp;IDNMaps[[#This Row],[Type]]&amp;") "&amp;IDNMaps[[#This Row],[Name]])</f>
        <v>(Relation) UserStoreArea/Customers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User/AreaCustomers</v>
      </c>
      <c r="O56" s="6" t="str">
        <f ca="1">IF(IDNMaps[[#This Row],[Name]]="","","("&amp;IDNMaps[[#This Row],[Type]]&amp;") "&amp;IDNMaps[[#This Row],[Name]])</f>
        <v>(Relation) User/AreaCustomers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SalesOrderItem/SalesOrder</v>
      </c>
      <c r="O57" s="6" t="str">
        <f ca="1">IF(IDNMaps[[#This Row],[Name]]="","","("&amp;IDNMaps[[#This Row],[Type]]&amp;") "&amp;IDNMaps[[#This Row],[Name]])</f>
        <v>(Relation) SalesOrderItem/SalesOrder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58" s="6" t="str">
        <f ca="1">IF(IDNMaps[[#This Row],[Name]]="","","("&amp;IDNMaps[[#This Row],[Type]]&amp;") "&amp;IDNMaps[[#This Row],[Name]])</f>
        <v>(Relation) TransactionDetail/Transaction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SalesOrderSale/SalesOrder</v>
      </c>
      <c r="O59" s="6" t="str">
        <f ca="1">IF(IDNMaps[[#This Row],[Name]]="","","("&amp;IDNMaps[[#This Row],[Type]]&amp;") "&amp;IDNMaps[[#This Row],[Name]])</f>
        <v>(Relation) SalesOrderSale/SalesOrder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SalesOrderSale/Transaction</v>
      </c>
      <c r="O60" s="6" t="str">
        <f ca="1">IF(IDNMaps[[#This Row],[Name]]="","","("&amp;IDNMaps[[#This Row],[Type]]&amp;") "&amp;IDNMaps[[#This Row],[Name]])</f>
        <v>(Relation) SalesOrderSale/Transaction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Transaction/STOut</v>
      </c>
      <c r="O61" s="6" t="str">
        <f ca="1">IF(IDNMaps[[#This Row],[Name]]="","","("&amp;IDNMaps[[#This Row],[Type]]&amp;") "&amp;IDNMaps[[#This Row],[Name]])</f>
        <v>(Relation) Transaction/STOut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Transaction/STIn</v>
      </c>
      <c r="O62" s="6" t="str">
        <f ca="1">IF(IDNMaps[[#This Row],[Name]]="","","("&amp;IDNMaps[[#This Row],[Type]]&amp;") "&amp;IDNMaps[[#This Row],[Name]])</f>
        <v>(Relation) Transaction/STIn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StoreProductTransaction/TransactionDetail</v>
      </c>
      <c r="O63" s="6" t="str">
        <f ca="1">IF(IDNMaps[[#This Row],[Name]]="","","("&amp;IDNMaps[[#This Row],[Type]]&amp;") "&amp;IDNMaps[[#This Row],[Name]])</f>
        <v>(Relation) StoreProductTransaction/TransactionDetail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4" s="6">
        <f ca="1">IF(IDNMaps[[#This Row],[Type]]="","",COUNTIF($K$1:IDNMaps[[#This Row],[Type]],IDNMaps[[#This Row],[Type]]))</f>
        <v>1</v>
      </c>
      <c r="M64" s="6" t="str">
        <f ca="1">IFERROR(VLOOKUP(IDNMaps[[#This Row],[Type]],RecordCount[],6,0)&amp;"-"&amp;IDNMaps[[#This Row],[Type Count]],"")</f>
        <v>Form Fields-1</v>
      </c>
      <c r="N64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64" s="6" t="str">
        <f ca="1">IF(IDNMaps[[#This Row],[Name]]="","","("&amp;IDNMaps[[#This Row],[Type]]&amp;") "&amp;IDNMaps[[#This Row],[Name]])</f>
        <v>(Fields) ProductTransactionNature/NewTransactionProductNature/name</v>
      </c>
      <c r="P64" s="6">
        <f ca="1">IFERROR(VLOOKUP(IDNMaps[[#This Row],[Primary]],INDIRECT(VLOOKUP(IDNMaps[[#This Row],[Type]],RecordCount[],2,0)),VLOOKUP(IDNMaps[[#This Row],[Type]],RecordCount[],8,0),0),"")</f>
        <v>310101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5" s="6">
        <f ca="1">IF(IDNMaps[[#This Row],[Type]]="","",COUNTIF($K$1:IDNMaps[[#This Row],[Type]],IDNMaps[[#This Row],[Type]]))</f>
        <v>2</v>
      </c>
      <c r="M65" s="6" t="str">
        <f ca="1">IFERROR(VLOOKUP(IDNMaps[[#This Row],[Type]],RecordCount[],6,0)&amp;"-"&amp;IDNMaps[[#This Row],[Type Count]],"")</f>
        <v>Form Fields-2</v>
      </c>
      <c r="N65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65" s="6" t="str">
        <f ca="1">IF(IDNMaps[[#This Row],[Name]]="","","("&amp;IDNMaps[[#This Row],[Type]]&amp;") "&amp;IDNMaps[[#This Row],[Name]])</f>
        <v>(Fields) ProductTransactionNature/NewTransactionProductNature/status</v>
      </c>
      <c r="P65" s="6">
        <f ca="1">IFERROR(VLOOKUP(IDNMaps[[#This Row],[Primary]],INDIRECT(VLOOKUP(IDNMaps[[#This Row],[Type]],RecordCount[],2,0)),VLOOKUP(IDNMaps[[#This Row],[Type]],RecordCount[],8,0),0),"")</f>
        <v>310102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6" s="6">
        <f ca="1">IF(IDNMaps[[#This Row],[Type]]="","",COUNTIF($K$1:IDNMaps[[#This Row],[Type]],IDNMaps[[#This Row],[Type]]))</f>
        <v>3</v>
      </c>
      <c r="M66" s="6" t="str">
        <f ca="1">IFERROR(VLOOKUP(IDNMaps[[#This Row],[Type]],RecordCount[],6,0)&amp;"-"&amp;IDNMaps[[#This Row],[Type Count]],"")</f>
        <v>Form Fields-3</v>
      </c>
      <c r="N66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66" s="6" t="str">
        <f ca="1">IF(IDNMaps[[#This Row],[Name]]="","","("&amp;IDNMaps[[#This Row],[Type]]&amp;") "&amp;IDNMaps[[#This Row],[Name]])</f>
        <v>(Fields) ProductTransactionType/NewProductTransactionType/name</v>
      </c>
      <c r="P66" s="6">
        <f ca="1">IFERROR(VLOOKUP(IDNMaps[[#This Row],[Primary]],INDIRECT(VLOOKUP(IDNMaps[[#This Row],[Type]],RecordCount[],2,0)),VLOOKUP(IDNMaps[[#This Row],[Type]],RecordCount[],8,0),0),"")</f>
        <v>310103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7" s="6">
        <f ca="1">IF(IDNMaps[[#This Row],[Type]]="","",COUNTIF($K$1:IDNMaps[[#This Row],[Type]],IDNMaps[[#This Row],[Type]]))</f>
        <v>4</v>
      </c>
      <c r="M67" s="6" t="str">
        <f ca="1">IFERROR(VLOOKUP(IDNMaps[[#This Row],[Type]],RecordCount[],6,0)&amp;"-"&amp;IDNMaps[[#This Row],[Type Count]],"")</f>
        <v>Form Fields-4</v>
      </c>
      <c r="N67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67" s="6" t="str">
        <f ca="1">IF(IDNMaps[[#This Row],[Name]]="","","("&amp;IDNMaps[[#This Row],[Type]]&amp;") "&amp;IDNMaps[[#This Row],[Name]])</f>
        <v>(Fields) ProductTransactionType/NewProductTransactionType/status</v>
      </c>
      <c r="P67" s="6">
        <f ca="1">IFERROR(VLOOKUP(IDNMaps[[#This Row],[Primary]],INDIRECT(VLOOKUP(IDNMaps[[#This Row],[Type]],RecordCount[],2,0)),VLOOKUP(IDNMaps[[#This Row],[Type]],RecordCount[],8,0),0),"")</f>
        <v>310104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8" s="6">
        <f ca="1">IF(IDNMaps[[#This Row],[Type]]="","",COUNTIF($K$1:IDNMaps[[#This Row],[Type]],IDNMaps[[#This Row],[Type]]))</f>
        <v>5</v>
      </c>
      <c r="M68" s="6" t="str">
        <f ca="1">IFERROR(VLOOKUP(IDNMaps[[#This Row],[Type]],RecordCount[],6,0)&amp;"-"&amp;IDNMaps[[#This Row],[Type Count]],"")</f>
        <v>Form Fields-5</v>
      </c>
      <c r="N68" s="6" t="str">
        <f ca="1">IFERROR(VLOOKUP(IDNMaps[[#This Row],[Primary]],INDIRECT(VLOOKUP(IDNMaps[[#This Row],[Type]],RecordCount[],2,0)),VLOOKUP(IDNMaps[[#This Row],[Type]],RecordCount[],7,0),0),"")</f>
        <v>Setting/AddNewSetting/name</v>
      </c>
      <c r="O68" s="6" t="str">
        <f ca="1">IF(IDNMaps[[#This Row],[Name]]="","","("&amp;IDNMaps[[#This Row],[Type]]&amp;") "&amp;IDNMaps[[#This Row],[Name]])</f>
        <v>(Fields) Setting/AddNewSetting/name</v>
      </c>
      <c r="P68" s="6">
        <f ca="1">IFERROR(VLOOKUP(IDNMaps[[#This Row],[Primary]],INDIRECT(VLOOKUP(IDNMaps[[#This Row],[Type]],RecordCount[],2,0)),VLOOKUP(IDNMaps[[#This Row],[Type]],RecordCount[],8,0),0),"")</f>
        <v>310105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9" s="6">
        <f ca="1">IF(IDNMaps[[#This Row],[Type]]="","",COUNTIF($K$1:IDNMaps[[#This Row],[Type]],IDNMaps[[#This Row],[Type]]))</f>
        <v>6</v>
      </c>
      <c r="M69" s="6" t="str">
        <f ca="1">IFERROR(VLOOKUP(IDNMaps[[#This Row],[Type]],RecordCount[],6,0)&amp;"-"&amp;IDNMaps[[#This Row],[Type Count]],"")</f>
        <v>Form Fields-6</v>
      </c>
      <c r="N69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69" s="6" t="str">
        <f ca="1">IF(IDNMaps[[#This Row],[Name]]="","","("&amp;IDNMaps[[#This Row],[Type]]&amp;") "&amp;IDNMaps[[#This Row],[Name]])</f>
        <v>(Fields) Setting/AddNewSetting/value</v>
      </c>
      <c r="P69" s="6">
        <f ca="1">IFERROR(VLOOKUP(IDNMaps[[#This Row],[Primary]],INDIRECT(VLOOKUP(IDNMaps[[#This Row],[Type]],RecordCount[],2,0)),VLOOKUP(IDNMaps[[#This Row],[Type]],RecordCount[],8,0),0),"")</f>
        <v>310106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0" s="6">
        <f ca="1">IF(IDNMaps[[#This Row],[Type]]="","",COUNTIF($K$1:IDNMaps[[#This Row],[Type]],IDNMaps[[#This Row],[Type]]))</f>
        <v>7</v>
      </c>
      <c r="M70" s="6" t="str">
        <f ca="1">IFERROR(VLOOKUP(IDNMaps[[#This Row],[Type]],RecordCount[],6,0)&amp;"-"&amp;IDNMaps[[#This Row],[Type Count]],"")</f>
        <v>Form Fields-7</v>
      </c>
      <c r="N70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70" s="6" t="str">
        <f ca="1">IF(IDNMaps[[#This Row],[Name]]="","","("&amp;IDNMaps[[#This Row],[Type]]&amp;") "&amp;IDNMaps[[#This Row],[Name]])</f>
        <v>(Fields) Setting/AddNewSetting/status</v>
      </c>
      <c r="P70" s="6">
        <f ca="1">IFERROR(VLOOKUP(IDNMaps[[#This Row],[Primary]],INDIRECT(VLOOKUP(IDNMaps[[#This Row],[Type]],RecordCount[],2,0)),VLOOKUP(IDNMaps[[#This Row],[Type]],RecordCount[],8,0),0),"")</f>
        <v>310107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1" s="6">
        <f ca="1">IF(IDNMaps[[#This Row],[Type]]="","",COUNTIF($K$1:IDNMaps[[#This Row],[Type]],IDNMaps[[#This Row],[Type]]))</f>
        <v>8</v>
      </c>
      <c r="M71" s="6" t="str">
        <f ca="1">IFERROR(VLOOKUP(IDNMaps[[#This Row],[Type]],RecordCount[],6,0)&amp;"-"&amp;IDNMaps[[#This Row],[Type Count]],"")</f>
        <v>Form Fields-8</v>
      </c>
      <c r="N71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71" s="6" t="str">
        <f ca="1">IF(IDNMaps[[#This Row],[Name]]="","","("&amp;IDNMaps[[#This Row],[Type]]&amp;") "&amp;IDNMaps[[#This Row],[Name]])</f>
        <v>(Fields) Setting/AddNewSetting/description</v>
      </c>
      <c r="P71" s="6">
        <f ca="1">IFERROR(VLOOKUP(IDNMaps[[#This Row],[Primary]],INDIRECT(VLOOKUP(IDNMaps[[#This Row],[Type]],RecordCount[],2,0)),VLOOKUP(IDNMaps[[#This Row],[Type]],RecordCount[],8,0),0),"")</f>
        <v>310108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2" s="6">
        <f ca="1">IF(IDNMaps[[#This Row],[Type]]="","",COUNTIF($K$1:IDNMaps[[#This Row],[Type]],IDNMaps[[#This Row],[Type]]))</f>
        <v>9</v>
      </c>
      <c r="M72" s="6" t="str">
        <f ca="1">IFERROR(VLOOKUP(IDNMaps[[#This Row],[Type]],RecordCount[],6,0)&amp;"-"&amp;IDNMaps[[#This Row],[Type Count]],"")</f>
        <v>Form Fields-9</v>
      </c>
      <c r="N72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72" s="6" t="str">
        <f ca="1">IF(IDNMaps[[#This Row],[Name]]="","","("&amp;IDNMaps[[#This Row],[Type]]&amp;") "&amp;IDNMaps[[#This Row],[Name]])</f>
        <v>(Fields) UserSetting/AddNewUserSetting/user</v>
      </c>
      <c r="P72" s="6">
        <f ca="1">IFERROR(VLOOKUP(IDNMaps[[#This Row],[Primary]],INDIRECT(VLOOKUP(IDNMaps[[#This Row],[Type]],RecordCount[],2,0)),VLOOKUP(IDNMaps[[#This Row],[Type]],RecordCount[],8,0),0),"")</f>
        <v>310109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3" s="6">
        <f ca="1">IF(IDNMaps[[#This Row],[Type]]="","",COUNTIF($K$1:IDNMaps[[#This Row],[Type]],IDNMaps[[#This Row],[Type]]))</f>
        <v>10</v>
      </c>
      <c r="M73" s="6" t="str">
        <f ca="1">IFERROR(VLOOKUP(IDNMaps[[#This Row],[Type]],RecordCount[],6,0)&amp;"-"&amp;IDNMaps[[#This Row],[Type Count]],"")</f>
        <v>Form Fields-10</v>
      </c>
      <c r="N73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73" s="6" t="str">
        <f ca="1">IF(IDNMaps[[#This Row],[Name]]="","","("&amp;IDNMaps[[#This Row],[Type]]&amp;") "&amp;IDNMaps[[#This Row],[Name]])</f>
        <v>(Fields) UserSetting/AddNewUserSetting/setting</v>
      </c>
      <c r="P73" s="6">
        <f ca="1">IFERROR(VLOOKUP(IDNMaps[[#This Row],[Primary]],INDIRECT(VLOOKUP(IDNMaps[[#This Row],[Type]],RecordCount[],2,0)),VLOOKUP(IDNMaps[[#This Row],[Type]],RecordCount[],8,0),0),"")</f>
        <v>310110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4" s="6">
        <f ca="1">IF(IDNMaps[[#This Row],[Type]]="","",COUNTIF($K$1:IDNMaps[[#This Row],[Type]],IDNMaps[[#This Row],[Type]]))</f>
        <v>11</v>
      </c>
      <c r="M74" s="6" t="str">
        <f ca="1">IFERROR(VLOOKUP(IDNMaps[[#This Row],[Type]],RecordCount[],6,0)&amp;"-"&amp;IDNMaps[[#This Row],[Type Count]],"")</f>
        <v>Form Fields-11</v>
      </c>
      <c r="N74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74" s="6" t="str">
        <f ca="1">IF(IDNMaps[[#This Row],[Name]]="","","("&amp;IDNMaps[[#This Row],[Type]]&amp;") "&amp;IDNMaps[[#This Row],[Name]])</f>
        <v>(Fields) UserSetting/AddNewUserSetting/value</v>
      </c>
      <c r="P74" s="6">
        <f ca="1">IFERROR(VLOOKUP(IDNMaps[[#This Row],[Primary]],INDIRECT(VLOOKUP(IDNMaps[[#This Row],[Type]],RecordCount[],2,0)),VLOOKUP(IDNMaps[[#This Row],[Type]],RecordCount[],8,0),0),"")</f>
        <v>310111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5" s="6">
        <f ca="1">IF(IDNMaps[[#This Row],[Type]]="","",COUNTIF($K$1:IDNMaps[[#This Row],[Type]],IDNMaps[[#This Row],[Type]]))</f>
        <v>12</v>
      </c>
      <c r="M75" s="6" t="str">
        <f ca="1">IFERROR(VLOOKUP(IDNMaps[[#This Row],[Type]],RecordCount[],6,0)&amp;"-"&amp;IDNMaps[[#This Row],[Type Count]],"")</f>
        <v>Form Fields-12</v>
      </c>
      <c r="N75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75" s="6" t="str">
        <f ca="1">IF(IDNMaps[[#This Row],[Name]]="","","("&amp;IDNMaps[[#This Row],[Type]]&amp;") "&amp;IDNMaps[[#This Row],[Name]])</f>
        <v>(Fields) UserSetting/ChangeUserSettingStatus/status</v>
      </c>
      <c r="P75" s="6">
        <f ca="1">IFERROR(VLOOKUP(IDNMaps[[#This Row],[Primary]],INDIRECT(VLOOKUP(IDNMaps[[#This Row],[Type]],RecordCount[],2,0)),VLOOKUP(IDNMaps[[#This Row],[Type]],RecordCount[],8,0),0),"")</f>
        <v>310112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6" s="6">
        <f ca="1">IF(IDNMaps[[#This Row],[Type]]="","",COUNTIF($K$1:IDNMaps[[#This Row],[Type]],IDNMaps[[#This Row],[Type]]))</f>
        <v>13</v>
      </c>
      <c r="M76" s="6" t="str">
        <f ca="1">IFERROR(VLOOKUP(IDNMaps[[#This Row],[Type]],RecordCount[],6,0)&amp;"-"&amp;IDNMaps[[#This Row],[Type Count]],"")</f>
        <v>Form Fields-13</v>
      </c>
      <c r="N76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76" s="6" t="str">
        <f ca="1">IF(IDNMaps[[#This Row],[Name]]="","","("&amp;IDNMaps[[#This Row],[Type]]&amp;") "&amp;IDNMaps[[#This Row],[Name]])</f>
        <v>(Fields) UserStoreArea/AddUserStoreAreaForm/user</v>
      </c>
      <c r="P76" s="6">
        <f ca="1">IFERROR(VLOOKUP(IDNMaps[[#This Row],[Primary]],INDIRECT(VLOOKUP(IDNMaps[[#This Row],[Type]],RecordCount[],2,0)),VLOOKUP(IDNMaps[[#This Row],[Type]],RecordCount[],8,0),0),"")</f>
        <v>310113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7" s="6">
        <f ca="1">IF(IDNMaps[[#This Row],[Type]]="","",COUNTIF($K$1:IDNMaps[[#This Row],[Type]],IDNMaps[[#This Row],[Type]]))</f>
        <v>14</v>
      </c>
      <c r="M77" s="6" t="str">
        <f ca="1">IFERROR(VLOOKUP(IDNMaps[[#This Row],[Type]],RecordCount[],6,0)&amp;"-"&amp;IDNMaps[[#This Row],[Type Count]],"")</f>
        <v>Form Fields-14</v>
      </c>
      <c r="N77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77" s="6" t="str">
        <f ca="1">IF(IDNMaps[[#This Row],[Name]]="","","("&amp;IDNMaps[[#This Row],[Type]]&amp;") "&amp;IDNMaps[[#This Row],[Name]])</f>
        <v>(Fields) UserStoreArea/AddUserStoreAreaForm/store</v>
      </c>
      <c r="P77" s="6">
        <f ca="1">IFERROR(VLOOKUP(IDNMaps[[#This Row],[Primary]],INDIRECT(VLOOKUP(IDNMaps[[#This Row],[Type]],RecordCount[],2,0)),VLOOKUP(IDNMaps[[#This Row],[Type]],RecordCount[],8,0),0),"")</f>
        <v>310114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8" s="6">
        <f ca="1">IF(IDNMaps[[#This Row],[Type]]="","",COUNTIF($K$1:IDNMaps[[#This Row],[Type]],IDNMaps[[#This Row],[Type]]))</f>
        <v>15</v>
      </c>
      <c r="M78" s="6" t="str">
        <f ca="1">IFERROR(VLOOKUP(IDNMaps[[#This Row],[Type]],RecordCount[],6,0)&amp;"-"&amp;IDNMaps[[#This Row],[Type Count]],"")</f>
        <v>Form Fields-15</v>
      </c>
      <c r="N78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78" s="6" t="str">
        <f ca="1">IF(IDNMaps[[#This Row],[Name]]="","","("&amp;IDNMaps[[#This Row],[Type]]&amp;") "&amp;IDNMaps[[#This Row],[Name]])</f>
        <v>(Fields) UserStoreArea/AddUserStoreAreaForm/area</v>
      </c>
      <c r="P78" s="6">
        <f ca="1">IFERROR(VLOOKUP(IDNMaps[[#This Row],[Primary]],INDIRECT(VLOOKUP(IDNMaps[[#This Row],[Type]],RecordCount[],2,0)),VLOOKUP(IDNMaps[[#This Row],[Type]],RecordCount[],8,0),0),"")</f>
        <v>310115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16</v>
      </c>
      <c r="M79" s="6" t="str">
        <f ca="1">IFERROR(VLOOKUP(IDNMaps[[#This Row],[Type]],RecordCount[],6,0)&amp;"-"&amp;IDNMaps[[#This Row],[Type Count]],"")</f>
        <v>Form Fields-16</v>
      </c>
      <c r="N79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79" s="6" t="str">
        <f ca="1">IF(IDNMaps[[#This Row],[Name]]="","","("&amp;IDNMaps[[#This Row],[Type]]&amp;") "&amp;IDNMaps[[#This Row],[Name]])</f>
        <v>(Fields) UserStoreArea/AddUserStoreAreaForm/status</v>
      </c>
      <c r="P79" s="6">
        <f ca="1">IFERROR(VLOOKUP(IDNMaps[[#This Row],[Primary]],INDIRECT(VLOOKUP(IDNMaps[[#This Row],[Type]],RecordCount[],2,0)),VLOOKUP(IDNMaps[[#This Row],[Type]],RecordCount[],8,0),0),"")</f>
        <v>310116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6"/>
  <sheetViews>
    <sheetView topLeftCell="A255" workbookViewId="0">
      <selection activeCell="A276" sqref="A276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878</v>
      </c>
    </row>
    <row r="2" spans="1:10" x14ac:dyDescent="0.25">
      <c r="A2" s="1" t="s">
        <v>21</v>
      </c>
      <c r="B2" s="1" t="s">
        <v>865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28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28</v>
      </c>
    </row>
    <row r="5" spans="1:10" x14ac:dyDescent="0.25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6</v>
      </c>
    </row>
    <row r="6" spans="1:10" x14ac:dyDescent="0.25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811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885</v>
      </c>
      <c r="B8" s="4" t="s">
        <v>770</v>
      </c>
      <c r="C8" s="4" t="s">
        <v>769</v>
      </c>
      <c r="D8" s="4">
        <v>15</v>
      </c>
      <c r="E8" s="4" t="s">
        <v>886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9</v>
      </c>
    </row>
    <row r="10" spans="1:10" x14ac:dyDescent="0.25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 x14ac:dyDescent="0.25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3</v>
      </c>
    </row>
    <row r="12" spans="1:10" x14ac:dyDescent="0.25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14</v>
      </c>
    </row>
    <row r="14" spans="1:10" x14ac:dyDescent="0.25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 x14ac:dyDescent="0.25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 x14ac:dyDescent="0.25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 x14ac:dyDescent="0.25">
      <c r="A17" s="4" t="s">
        <v>866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x14ac:dyDescent="0.25">
      <c r="A18" s="4" t="s">
        <v>867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 x14ac:dyDescent="0.25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 x14ac:dyDescent="0.25">
      <c r="A20" s="4" t="s">
        <v>821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x14ac:dyDescent="0.25">
      <c r="A21" s="4" t="s">
        <v>881</v>
      </c>
      <c r="B21" s="4" t="s">
        <v>770</v>
      </c>
      <c r="C21" s="4" t="s">
        <v>882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0</v>
      </c>
    </row>
    <row r="22" spans="1:10" x14ac:dyDescent="0.25">
      <c r="A22" s="4" t="s">
        <v>879</v>
      </c>
      <c r="B22" s="4" t="s">
        <v>794</v>
      </c>
      <c r="C22" s="4" t="s">
        <v>880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0</v>
      </c>
    </row>
    <row r="23" spans="1:10" x14ac:dyDescent="0.25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0</v>
      </c>
    </row>
    <row r="24" spans="1:10" x14ac:dyDescent="0.25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 x14ac:dyDescent="0.25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 x14ac:dyDescent="0.25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0</v>
      </c>
    </row>
    <row r="27" spans="1:10" x14ac:dyDescent="0.25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0</v>
      </c>
    </row>
    <row r="28" spans="1:10" x14ac:dyDescent="0.25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0</v>
      </c>
    </row>
    <row r="29" spans="1:10" x14ac:dyDescent="0.25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0</v>
      </c>
    </row>
    <row r="30" spans="1:10" x14ac:dyDescent="0.25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0</v>
      </c>
    </row>
    <row r="31" spans="1:10" x14ac:dyDescent="0.25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0</v>
      </c>
    </row>
    <row r="32" spans="1:10" x14ac:dyDescent="0.25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808</v>
      </c>
      <c r="B34" s="4" t="s">
        <v>770</v>
      </c>
      <c r="C34" s="4" t="s">
        <v>808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 x14ac:dyDescent="0.25">
      <c r="A35" s="4" t="s">
        <v>809</v>
      </c>
      <c r="B35" s="4" t="s">
        <v>770</v>
      </c>
      <c r="C35" s="4" t="s">
        <v>809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 x14ac:dyDescent="0.25">
      <c r="A36" s="4" t="s">
        <v>810</v>
      </c>
      <c r="B36" s="4" t="s">
        <v>798</v>
      </c>
      <c r="C36" s="4" t="s">
        <v>810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 x14ac:dyDescent="0.25">
      <c r="A37" s="4" t="s">
        <v>1808</v>
      </c>
      <c r="B37" s="4" t="s">
        <v>794</v>
      </c>
      <c r="C37" s="4" t="s">
        <v>1808</v>
      </c>
      <c r="D37" s="4" t="s">
        <v>1806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 x14ac:dyDescent="0.25">
      <c r="A38" s="4" t="s">
        <v>1809</v>
      </c>
      <c r="B38" s="4" t="s">
        <v>794</v>
      </c>
      <c r="C38" s="4" t="s">
        <v>1809</v>
      </c>
      <c r="D38" s="4" t="s">
        <v>1806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 x14ac:dyDescent="0.25">
      <c r="A39" s="4" t="s">
        <v>1810</v>
      </c>
      <c r="B39" s="4" t="s">
        <v>794</v>
      </c>
      <c r="C39" s="5" t="s">
        <v>1810</v>
      </c>
      <c r="D39" s="4" t="s">
        <v>1806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 x14ac:dyDescent="0.25">
      <c r="A40" s="4" t="s">
        <v>1811</v>
      </c>
      <c r="B40" s="4" t="s">
        <v>794</v>
      </c>
      <c r="C40" s="5" t="s">
        <v>1811</v>
      </c>
      <c r="D40" s="4" t="s">
        <v>1806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 x14ac:dyDescent="0.25">
      <c r="A41" s="4" t="s">
        <v>1812</v>
      </c>
      <c r="B41" s="4" t="s">
        <v>794</v>
      </c>
      <c r="C41" s="5" t="s">
        <v>1812</v>
      </c>
      <c r="D41" s="4" t="s">
        <v>1806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 x14ac:dyDescent="0.25">
      <c r="A42" s="4" t="s">
        <v>1813</v>
      </c>
      <c r="B42" s="4" t="s">
        <v>794</v>
      </c>
      <c r="C42" s="5" t="s">
        <v>1813</v>
      </c>
      <c r="D42" s="4" t="s">
        <v>1806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 x14ac:dyDescent="0.25">
      <c r="A43" s="4" t="s">
        <v>1814</v>
      </c>
      <c r="B43" s="4" t="s">
        <v>794</v>
      </c>
      <c r="C43" s="5" t="s">
        <v>1814</v>
      </c>
      <c r="D43" s="4" t="s">
        <v>1806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 x14ac:dyDescent="0.25">
      <c r="A44" s="4" t="s">
        <v>1815</v>
      </c>
      <c r="B44" s="4" t="s">
        <v>794</v>
      </c>
      <c r="C44" s="5" t="s">
        <v>1815</v>
      </c>
      <c r="D44" s="4" t="s">
        <v>1806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 x14ac:dyDescent="0.25">
      <c r="A45" s="4" t="s">
        <v>1816</v>
      </c>
      <c r="B45" s="4" t="s">
        <v>794</v>
      </c>
      <c r="C45" s="5" t="s">
        <v>1816</v>
      </c>
      <c r="D45" s="4" t="s">
        <v>1806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x14ac:dyDescent="0.25">
      <c r="A46" s="4" t="s">
        <v>1817</v>
      </c>
      <c r="B46" s="4" t="s">
        <v>794</v>
      </c>
      <c r="C46" s="5" t="s">
        <v>1817</v>
      </c>
      <c r="D46" s="4" t="s">
        <v>1806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x14ac:dyDescent="0.25">
      <c r="A47" s="4" t="s">
        <v>1850</v>
      </c>
      <c r="B47" s="4" t="s">
        <v>818</v>
      </c>
      <c r="C47" s="5" t="s">
        <v>1850</v>
      </c>
      <c r="D47" s="4" t="s">
        <v>819</v>
      </c>
      <c r="E47" s="5" t="s">
        <v>1257</v>
      </c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1851</v>
      </c>
      <c r="B48" s="4" t="s">
        <v>818</v>
      </c>
      <c r="C48" s="5" t="s">
        <v>1851</v>
      </c>
      <c r="D48" s="4" t="s">
        <v>819</v>
      </c>
      <c r="E48" s="5" t="s">
        <v>1257</v>
      </c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1802</v>
      </c>
      <c r="B49" s="4" t="s">
        <v>818</v>
      </c>
      <c r="C49" s="5" t="s">
        <v>1802</v>
      </c>
      <c r="D49" s="4" t="s">
        <v>819</v>
      </c>
      <c r="E49" s="5" t="s">
        <v>1257</v>
      </c>
      <c r="F49" s="5"/>
      <c r="G49" s="5"/>
      <c r="H49" s="5"/>
      <c r="I49" s="5"/>
      <c r="J49" s="32">
        <f>COUNTIF(TableFields[Field],Columns[[#This Row],[Column]])</f>
        <v>1</v>
      </c>
    </row>
    <row r="50" spans="1:10" x14ac:dyDescent="0.25">
      <c r="A50" s="4" t="s">
        <v>1803</v>
      </c>
      <c r="B50" s="4" t="s">
        <v>818</v>
      </c>
      <c r="C50" s="5" t="s">
        <v>1803</v>
      </c>
      <c r="D50" s="4" t="s">
        <v>819</v>
      </c>
      <c r="E50" s="5" t="s">
        <v>1257</v>
      </c>
      <c r="F50" s="5"/>
      <c r="G50" s="5"/>
      <c r="H50" s="5"/>
      <c r="I50" s="5"/>
      <c r="J50" s="32">
        <f>COUNTIF(TableFields[Field],Columns[[#This Row],[Column]])</f>
        <v>1</v>
      </c>
    </row>
    <row r="51" spans="1:10" x14ac:dyDescent="0.25">
      <c r="A51" s="4" t="s">
        <v>812</v>
      </c>
      <c r="B51" s="4" t="s">
        <v>782</v>
      </c>
      <c r="C51" s="4" t="s">
        <v>763</v>
      </c>
      <c r="D51" s="4" t="s">
        <v>763</v>
      </c>
      <c r="E51" s="4"/>
      <c r="F51" s="4"/>
      <c r="G51" s="4"/>
      <c r="H51" s="4"/>
      <c r="I51" s="4"/>
      <c r="J51" s="32">
        <f>COUNTIF(TableFields[Field],Columns[[#This Row],[Column]])</f>
        <v>1</v>
      </c>
    </row>
    <row r="52" spans="1:10" x14ac:dyDescent="0.25">
      <c r="A52" s="4" t="s">
        <v>813</v>
      </c>
      <c r="B52" s="4" t="s">
        <v>782</v>
      </c>
      <c r="C52" s="4" t="s">
        <v>814</v>
      </c>
      <c r="D52" s="4" t="s">
        <v>760</v>
      </c>
      <c r="E52" s="4"/>
      <c r="F52" s="4"/>
      <c r="G52" s="4"/>
      <c r="H52" s="4"/>
      <c r="I52" s="4"/>
      <c r="J52" s="32">
        <f>COUNTIF(TableFields[Field],Columns[[#This Row],[Column]])</f>
        <v>3</v>
      </c>
    </row>
    <row r="53" spans="1:10" x14ac:dyDescent="0.25">
      <c r="A53" s="4" t="s">
        <v>822</v>
      </c>
      <c r="B53" s="4" t="s">
        <v>794</v>
      </c>
      <c r="C53" s="4" t="s">
        <v>814</v>
      </c>
      <c r="D53" s="4" t="s">
        <v>760</v>
      </c>
      <c r="E53" s="4"/>
      <c r="F53" s="4"/>
      <c r="G53" s="4"/>
      <c r="H53" s="4"/>
      <c r="I53" s="4"/>
      <c r="J53" s="32">
        <f>COUNTIF(TableFields[Field],Columns[[#This Row],[Column]])</f>
        <v>3</v>
      </c>
    </row>
    <row r="54" spans="1:10" x14ac:dyDescent="0.25">
      <c r="A54" s="4" t="s">
        <v>815</v>
      </c>
      <c r="B54" s="4" t="s">
        <v>818</v>
      </c>
      <c r="C54" s="4" t="s">
        <v>815</v>
      </c>
      <c r="D54" s="4" t="s">
        <v>819</v>
      </c>
      <c r="E54" s="4" t="s">
        <v>820</v>
      </c>
      <c r="F54" s="4"/>
      <c r="G54" s="4"/>
      <c r="H54" s="4"/>
      <c r="I54" s="4"/>
      <c r="J54" s="32">
        <f>COUNTIF(TableFields[Field],Columns[[#This Row],[Column]])</f>
        <v>1</v>
      </c>
    </row>
    <row r="55" spans="1:10" x14ac:dyDescent="0.25">
      <c r="A55" s="4" t="s">
        <v>816</v>
      </c>
      <c r="B55" s="4" t="s">
        <v>818</v>
      </c>
      <c r="C55" s="4" t="s">
        <v>816</v>
      </c>
      <c r="D55" s="4" t="s">
        <v>819</v>
      </c>
      <c r="E55" s="4" t="s">
        <v>820</v>
      </c>
      <c r="F55" s="4"/>
      <c r="G55" s="4"/>
      <c r="H55" s="4"/>
      <c r="I55" s="4"/>
      <c r="J55" s="32">
        <f>COUNTIF(TableFields[Field],Columns[[#This Row],[Column]])</f>
        <v>1</v>
      </c>
    </row>
    <row r="56" spans="1:10" x14ac:dyDescent="0.25">
      <c r="A56" s="4" t="s">
        <v>817</v>
      </c>
      <c r="B56" s="4" t="s">
        <v>818</v>
      </c>
      <c r="C56" s="4" t="s">
        <v>817</v>
      </c>
      <c r="D56" s="4" t="s">
        <v>819</v>
      </c>
      <c r="E56" s="4" t="s">
        <v>820</v>
      </c>
      <c r="F56" s="4"/>
      <c r="G56" s="4"/>
      <c r="H56" s="4"/>
      <c r="I56" s="4"/>
      <c r="J56" s="32">
        <f>COUNTIF(TableFields[Field],Columns[[#This Row],[Column]])</f>
        <v>1</v>
      </c>
    </row>
    <row r="57" spans="1:10" x14ac:dyDescent="0.25">
      <c r="A57" s="4" t="s">
        <v>823</v>
      </c>
      <c r="B57" s="4" t="s">
        <v>774</v>
      </c>
      <c r="C57" s="4" t="s">
        <v>824</v>
      </c>
      <c r="D57" s="4" t="s">
        <v>826</v>
      </c>
      <c r="E57" s="4" t="s">
        <v>825</v>
      </c>
      <c r="F57" s="4"/>
      <c r="G57" s="4"/>
      <c r="H57" s="4"/>
      <c r="I57" s="4"/>
      <c r="J57" s="32">
        <f>COUNTIF(TableFields[Field],Columns[[#This Row],[Column]])</f>
        <v>2</v>
      </c>
    </row>
    <row r="58" spans="1:10" x14ac:dyDescent="0.25">
      <c r="A58" s="4" t="s">
        <v>827</v>
      </c>
      <c r="B58" s="4" t="s">
        <v>818</v>
      </c>
      <c r="C58" s="4" t="s">
        <v>827</v>
      </c>
      <c r="D58" s="4" t="s">
        <v>819</v>
      </c>
      <c r="E58" s="4" t="s">
        <v>828</v>
      </c>
      <c r="F58" s="4"/>
      <c r="G58" s="4"/>
      <c r="H58" s="4"/>
      <c r="I58" s="4"/>
      <c r="J58" s="32">
        <f>COUNTIF(TableFields[Field],Columns[[#This Row],[Column]])</f>
        <v>4</v>
      </c>
    </row>
    <row r="59" spans="1:10" x14ac:dyDescent="0.25">
      <c r="A59" s="4" t="s">
        <v>830</v>
      </c>
      <c r="B59" s="4" t="s">
        <v>794</v>
      </c>
      <c r="C59" s="4" t="s">
        <v>831</v>
      </c>
      <c r="D59" s="4" t="s">
        <v>829</v>
      </c>
      <c r="E59" s="4"/>
      <c r="F59" s="4"/>
      <c r="G59" s="4"/>
      <c r="H59" s="4"/>
      <c r="I59" s="4"/>
      <c r="J59" s="32">
        <f>COUNTIF(TableFields[Field],Columns[[#This Row],[Column]])</f>
        <v>1</v>
      </c>
    </row>
    <row r="60" spans="1:10" x14ac:dyDescent="0.25">
      <c r="A60" s="4" t="s">
        <v>832</v>
      </c>
      <c r="B60" s="4" t="s">
        <v>833</v>
      </c>
      <c r="C60" s="4" t="s">
        <v>834</v>
      </c>
      <c r="D60" s="4"/>
      <c r="E60" s="4" t="s">
        <v>835</v>
      </c>
      <c r="F60" s="4"/>
      <c r="G60" s="4"/>
      <c r="H60" s="4"/>
      <c r="I60" s="4"/>
      <c r="J60" s="32">
        <f>COUNTIF(TableFields[Field],Columns[[#This Row],[Column]])</f>
        <v>4</v>
      </c>
    </row>
    <row r="61" spans="1:10" x14ac:dyDescent="0.25">
      <c r="A61" s="4" t="s">
        <v>837</v>
      </c>
      <c r="B61" s="4" t="s">
        <v>794</v>
      </c>
      <c r="C61" s="4" t="s">
        <v>35</v>
      </c>
      <c r="D61" s="4" t="s">
        <v>836</v>
      </c>
      <c r="E61" s="4"/>
      <c r="F61" s="4"/>
      <c r="G61" s="4"/>
      <c r="H61" s="4"/>
      <c r="I61" s="4"/>
      <c r="J61" s="32">
        <f>COUNTIF(TableFields[Field],Columns[[#This Row],[Column]])</f>
        <v>1</v>
      </c>
    </row>
    <row r="62" spans="1:10" x14ac:dyDescent="0.25">
      <c r="A62" s="4" t="s">
        <v>838</v>
      </c>
      <c r="B62" s="4" t="s">
        <v>770</v>
      </c>
      <c r="C62" s="4" t="s">
        <v>838</v>
      </c>
      <c r="D62" s="4">
        <v>20</v>
      </c>
      <c r="E62" s="4" t="s">
        <v>772</v>
      </c>
      <c r="F62" s="4" t="s">
        <v>771</v>
      </c>
      <c r="G62" s="4"/>
      <c r="H62" s="4"/>
      <c r="I62" s="4"/>
      <c r="J62" s="32">
        <f>COUNTIF(TableFields[Field],Columns[[#This Row],[Column]])</f>
        <v>3</v>
      </c>
    </row>
    <row r="63" spans="1:10" x14ac:dyDescent="0.25">
      <c r="A63" s="4" t="s">
        <v>839</v>
      </c>
      <c r="B63" s="4" t="s">
        <v>783</v>
      </c>
      <c r="C63" s="4" t="s">
        <v>839</v>
      </c>
      <c r="D63" s="4"/>
      <c r="E63" s="4" t="s">
        <v>772</v>
      </c>
      <c r="F63" s="4" t="s">
        <v>771</v>
      </c>
      <c r="G63" s="4"/>
      <c r="H63" s="4"/>
      <c r="I63" s="4"/>
      <c r="J63" s="32">
        <f>COUNTIF(TableFields[Field],Columns[[#This Row],[Column]])</f>
        <v>0</v>
      </c>
    </row>
    <row r="64" spans="1:10" x14ac:dyDescent="0.25">
      <c r="A64" s="4" t="s">
        <v>847</v>
      </c>
      <c r="B64" s="4" t="s">
        <v>785</v>
      </c>
      <c r="C64" s="4" t="s">
        <v>839</v>
      </c>
      <c r="D64" s="4"/>
      <c r="E64" s="4" t="s">
        <v>788</v>
      </c>
      <c r="F64" s="4" t="s">
        <v>790</v>
      </c>
      <c r="G64" s="4" t="s">
        <v>786</v>
      </c>
      <c r="H64" s="4" t="s">
        <v>789</v>
      </c>
      <c r="I64" s="4"/>
      <c r="J64" s="32">
        <f>COUNTIF(TableFields[Field],Columns[[#This Row],[Column]])</f>
        <v>0</v>
      </c>
    </row>
    <row r="65" spans="1:10" x14ac:dyDescent="0.25">
      <c r="A65" s="4" t="s">
        <v>840</v>
      </c>
      <c r="B65" s="4" t="s">
        <v>783</v>
      </c>
      <c r="C65" s="4" t="s">
        <v>840</v>
      </c>
      <c r="D65" s="4"/>
      <c r="E65" s="4" t="s">
        <v>772</v>
      </c>
      <c r="F65" s="4" t="s">
        <v>771</v>
      </c>
      <c r="G65" s="4"/>
      <c r="H65" s="4"/>
      <c r="I65" s="4"/>
      <c r="J65" s="32">
        <f>COUNTIF(TableFields[Field],Columns[[#This Row],[Column]])</f>
        <v>0</v>
      </c>
    </row>
    <row r="66" spans="1:10" x14ac:dyDescent="0.25">
      <c r="A66" s="4" t="s">
        <v>848</v>
      </c>
      <c r="B66" s="4" t="s">
        <v>785</v>
      </c>
      <c r="C66" s="4" t="s">
        <v>840</v>
      </c>
      <c r="D66" s="4"/>
      <c r="E66" s="4" t="s">
        <v>788</v>
      </c>
      <c r="F66" s="4" t="s">
        <v>790</v>
      </c>
      <c r="G66" s="4" t="s">
        <v>786</v>
      </c>
      <c r="H66" s="4" t="s">
        <v>789</v>
      </c>
      <c r="I66" s="4"/>
      <c r="J66" s="32">
        <f>COUNTIF(TableFields[Field],Columns[[#This Row],[Column]])</f>
        <v>0</v>
      </c>
    </row>
    <row r="67" spans="1:10" x14ac:dyDescent="0.25">
      <c r="A67" s="4" t="s">
        <v>841</v>
      </c>
      <c r="B67" s="4" t="s">
        <v>782</v>
      </c>
      <c r="C67" s="4" t="s">
        <v>766</v>
      </c>
      <c r="D67" s="4" t="s">
        <v>766</v>
      </c>
      <c r="E67" s="4"/>
      <c r="F67" s="4"/>
      <c r="G67" s="4"/>
      <c r="H67" s="4"/>
      <c r="I67" s="4"/>
      <c r="J67" s="32">
        <f>COUNTIF(TableFields[Field],Columns[[#This Row],[Column]])</f>
        <v>0</v>
      </c>
    </row>
    <row r="68" spans="1:10" x14ac:dyDescent="0.25">
      <c r="A68" s="4" t="s">
        <v>842</v>
      </c>
      <c r="B68" s="4" t="s">
        <v>782</v>
      </c>
      <c r="C68" s="4" t="s">
        <v>842</v>
      </c>
      <c r="D68" s="4" t="s">
        <v>765</v>
      </c>
      <c r="E68" s="4"/>
      <c r="F68" s="4"/>
      <c r="G68" s="4"/>
      <c r="H68" s="4"/>
      <c r="I68" s="4"/>
      <c r="J68" s="32">
        <f>COUNTIF(TableFields[Field],Columns[[#This Row],[Column]])</f>
        <v>1</v>
      </c>
    </row>
    <row r="69" spans="1:10" x14ac:dyDescent="0.25">
      <c r="A69" s="4" t="s">
        <v>843</v>
      </c>
      <c r="B69" s="4" t="s">
        <v>782</v>
      </c>
      <c r="C69" s="4" t="s">
        <v>767</v>
      </c>
      <c r="D69" s="4" t="s">
        <v>767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 x14ac:dyDescent="0.25">
      <c r="A70" s="4" t="s">
        <v>844</v>
      </c>
      <c r="B70" s="4" t="s">
        <v>774</v>
      </c>
      <c r="C70" s="4" t="s">
        <v>844</v>
      </c>
      <c r="D70" s="4" t="s">
        <v>845</v>
      </c>
      <c r="E70" s="4" t="s">
        <v>820</v>
      </c>
      <c r="F70" s="4" t="s">
        <v>771</v>
      </c>
      <c r="G70" s="4"/>
      <c r="H70" s="4"/>
      <c r="I70" s="4"/>
      <c r="J70" s="32">
        <f>COUNTIF(TableFields[Field],Columns[[#This Row],[Column]])</f>
        <v>0</v>
      </c>
    </row>
    <row r="71" spans="1:10" x14ac:dyDescent="0.25">
      <c r="A71" s="4" t="s">
        <v>846</v>
      </c>
      <c r="B71" s="4" t="s">
        <v>783</v>
      </c>
      <c r="C71" s="4" t="s">
        <v>846</v>
      </c>
      <c r="D71" s="4"/>
      <c r="E71" s="4" t="s">
        <v>772</v>
      </c>
      <c r="F71" s="4"/>
      <c r="G71" s="4"/>
      <c r="H71" s="4"/>
      <c r="I71" s="4"/>
      <c r="J71" s="32">
        <f>COUNTIF(TableFields[Field],Columns[[#This Row],[Column]])</f>
        <v>0</v>
      </c>
    </row>
    <row r="72" spans="1:10" x14ac:dyDescent="0.25">
      <c r="A72" s="4" t="s">
        <v>849</v>
      </c>
      <c r="B72" s="4" t="s">
        <v>785</v>
      </c>
      <c r="C72" s="4" t="s">
        <v>846</v>
      </c>
      <c r="D72" s="4"/>
      <c r="E72" s="4" t="s">
        <v>788</v>
      </c>
      <c r="F72" s="4" t="s">
        <v>790</v>
      </c>
      <c r="G72" s="4" t="s">
        <v>786</v>
      </c>
      <c r="H72" s="4" t="s">
        <v>789</v>
      </c>
      <c r="I72" s="4"/>
      <c r="J72" s="32">
        <f>COUNTIF(TableFields[Field],Columns[[#This Row],[Column]])</f>
        <v>0</v>
      </c>
    </row>
    <row r="73" spans="1:10" x14ac:dyDescent="0.25">
      <c r="A73" s="4" t="s">
        <v>850</v>
      </c>
      <c r="B73" s="4" t="s">
        <v>782</v>
      </c>
      <c r="C73" s="4" t="s">
        <v>768</v>
      </c>
      <c r="D73" s="4" t="s">
        <v>768</v>
      </c>
      <c r="E73" s="4"/>
      <c r="F73" s="4"/>
      <c r="G73" s="4"/>
      <c r="H73" s="4"/>
      <c r="I73" s="4"/>
      <c r="J73" s="32">
        <f>COUNTIF(TableFields[Field],Columns[[#This Row],[Column]])</f>
        <v>0</v>
      </c>
    </row>
    <row r="74" spans="1:10" x14ac:dyDescent="0.25">
      <c r="A74" s="4" t="s">
        <v>852</v>
      </c>
      <c r="B74" s="4" t="s">
        <v>798</v>
      </c>
      <c r="C74" s="4" t="s">
        <v>853</v>
      </c>
      <c r="D74" s="4">
        <v>30</v>
      </c>
      <c r="E74" s="4" t="s">
        <v>772</v>
      </c>
      <c r="F74" s="4" t="s">
        <v>854</v>
      </c>
      <c r="G74" s="4"/>
      <c r="H74" s="4"/>
      <c r="I74" s="4"/>
      <c r="J74" s="32">
        <f>COUNTIF(TableFields[Field],Columns[[#This Row],[Column]])</f>
        <v>1</v>
      </c>
    </row>
    <row r="75" spans="1:10" x14ac:dyDescent="0.25">
      <c r="A75" s="4" t="s">
        <v>855</v>
      </c>
      <c r="B75" s="4" t="s">
        <v>818</v>
      </c>
      <c r="C75" s="4" t="s">
        <v>855</v>
      </c>
      <c r="D75" s="4" t="s">
        <v>856</v>
      </c>
      <c r="E75" s="4" t="s">
        <v>857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 x14ac:dyDescent="0.25">
      <c r="A76" s="4" t="s">
        <v>858</v>
      </c>
      <c r="B76" s="4" t="s">
        <v>770</v>
      </c>
      <c r="C76" s="4" t="s">
        <v>859</v>
      </c>
      <c r="D76" s="4">
        <v>15</v>
      </c>
      <c r="E76" s="4" t="s">
        <v>772</v>
      </c>
      <c r="F76" s="4" t="s">
        <v>771</v>
      </c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860</v>
      </c>
      <c r="B77" s="4" t="s">
        <v>785</v>
      </c>
      <c r="C77" s="4" t="s">
        <v>859</v>
      </c>
      <c r="D77" s="4"/>
      <c r="E77" s="4" t="s">
        <v>861</v>
      </c>
      <c r="F77" s="4" t="s">
        <v>862</v>
      </c>
      <c r="G77" s="4" t="s">
        <v>786</v>
      </c>
      <c r="H77" s="4" t="s">
        <v>789</v>
      </c>
      <c r="I77" s="4"/>
      <c r="J77" s="32">
        <f>COUNTIF(TableFields[Field],Columns[[#This Row],[Column]])</f>
        <v>0</v>
      </c>
    </row>
    <row r="78" spans="1:10" x14ac:dyDescent="0.25">
      <c r="A78" s="4" t="s">
        <v>863</v>
      </c>
      <c r="B78" s="4" t="s">
        <v>868</v>
      </c>
      <c r="C78" s="4" t="s">
        <v>864</v>
      </c>
      <c r="D78" s="4"/>
      <c r="E78" s="4" t="s">
        <v>820</v>
      </c>
      <c r="F78" s="4"/>
      <c r="G78" s="4"/>
      <c r="H78" s="4"/>
      <c r="I78" s="4"/>
      <c r="J78" s="32">
        <f>COUNTIF(TableFields[Field],Columns[[#This Row],[Column]])</f>
        <v>0</v>
      </c>
    </row>
    <row r="79" spans="1:10" x14ac:dyDescent="0.25">
      <c r="A79" s="4" t="s">
        <v>869</v>
      </c>
      <c r="B79" s="4" t="s">
        <v>774</v>
      </c>
      <c r="C79" s="4" t="s">
        <v>869</v>
      </c>
      <c r="D79" s="4" t="s">
        <v>872</v>
      </c>
      <c r="E79" s="4" t="s">
        <v>873</v>
      </c>
      <c r="F79" s="4"/>
      <c r="G79" s="4"/>
      <c r="H79" s="4"/>
      <c r="I79" s="4"/>
      <c r="J79" s="32">
        <f>COUNTIF(TableFields[Field],Columns[[#This Row],[Column]])</f>
        <v>1</v>
      </c>
    </row>
    <row r="80" spans="1:10" x14ac:dyDescent="0.25">
      <c r="A80" s="4" t="s">
        <v>874</v>
      </c>
      <c r="B80" s="4" t="s">
        <v>818</v>
      </c>
      <c r="C80" s="4" t="s">
        <v>874</v>
      </c>
      <c r="D80" s="4" t="s">
        <v>871</v>
      </c>
      <c r="E80" s="4" t="s">
        <v>820</v>
      </c>
      <c r="F80" s="4"/>
      <c r="G80" s="4"/>
      <c r="H80" s="4"/>
      <c r="I80" s="4"/>
      <c r="J80" s="32">
        <f>COUNTIF(TableFields[Field],Columns[[#This Row],[Column]])</f>
        <v>1</v>
      </c>
    </row>
    <row r="81" spans="1:10" x14ac:dyDescent="0.25">
      <c r="A81" s="4" t="s">
        <v>870</v>
      </c>
      <c r="B81" s="5" t="s">
        <v>774</v>
      </c>
      <c r="C81" s="4" t="s">
        <v>870</v>
      </c>
      <c r="D81" s="4" t="s">
        <v>872</v>
      </c>
      <c r="E81" s="4" t="s">
        <v>873</v>
      </c>
      <c r="F81" s="5"/>
      <c r="G81" s="5"/>
      <c r="H81" s="5"/>
      <c r="I81" s="5"/>
      <c r="J81" s="32">
        <f>COUNTIF(TableFields[Field],Columns[[#This Row],[Column]])</f>
        <v>1</v>
      </c>
    </row>
    <row r="82" spans="1:10" x14ac:dyDescent="0.25">
      <c r="A82" s="4" t="s">
        <v>875</v>
      </c>
      <c r="B82" s="4" t="s">
        <v>818</v>
      </c>
      <c r="C82" s="4" t="s">
        <v>875</v>
      </c>
      <c r="D82" s="4" t="s">
        <v>871</v>
      </c>
      <c r="E82" s="4" t="s">
        <v>820</v>
      </c>
      <c r="F82" s="4"/>
      <c r="G82" s="4"/>
      <c r="H82" s="4"/>
      <c r="I82" s="4"/>
      <c r="J82" s="32">
        <f>COUNTIF(TableFields[Field],Columns[[#This Row],[Column]])</f>
        <v>1</v>
      </c>
    </row>
    <row r="83" spans="1:10" x14ac:dyDescent="0.25">
      <c r="A83" s="4" t="s">
        <v>876</v>
      </c>
      <c r="B83" s="4" t="s">
        <v>770</v>
      </c>
      <c r="C83" s="4" t="s">
        <v>876</v>
      </c>
      <c r="D83" s="4">
        <v>5</v>
      </c>
      <c r="E83" s="4" t="s">
        <v>772</v>
      </c>
      <c r="F83" s="4" t="s">
        <v>771</v>
      </c>
      <c r="G83" s="4"/>
      <c r="H83" s="4"/>
      <c r="I83" s="4"/>
      <c r="J83" s="32">
        <f>COUNTIF(TableFields[Field],Columns[[#This Row],[Column]])</f>
        <v>2</v>
      </c>
    </row>
    <row r="84" spans="1:10" x14ac:dyDescent="0.25">
      <c r="A84" s="4" t="s">
        <v>877</v>
      </c>
      <c r="B84" s="4" t="s">
        <v>770</v>
      </c>
      <c r="C84" s="4" t="s">
        <v>877</v>
      </c>
      <c r="D84" s="4">
        <v>6</v>
      </c>
      <c r="E84" s="4" t="s">
        <v>772</v>
      </c>
      <c r="F84" s="4" t="s">
        <v>771</v>
      </c>
      <c r="G84" s="4"/>
      <c r="H84" s="4"/>
      <c r="I84" s="4"/>
      <c r="J84" s="32">
        <f>COUNTIF(TableFields[Field],Columns[[#This Row],[Column]])</f>
        <v>1</v>
      </c>
    </row>
    <row r="85" spans="1:10" x14ac:dyDescent="0.25">
      <c r="A85" s="4" t="s">
        <v>884</v>
      </c>
      <c r="B85" s="4" t="s">
        <v>868</v>
      </c>
      <c r="C85" s="4" t="s">
        <v>884</v>
      </c>
      <c r="D85" s="4"/>
      <c r="E85" s="4" t="s">
        <v>828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 x14ac:dyDescent="0.25">
      <c r="A86" s="4" t="s">
        <v>887</v>
      </c>
      <c r="B86" s="4" t="s">
        <v>774</v>
      </c>
      <c r="C86" s="4" t="s">
        <v>35</v>
      </c>
      <c r="D86" s="4" t="s">
        <v>888</v>
      </c>
      <c r="E86" s="4" t="s">
        <v>889</v>
      </c>
      <c r="F86" s="4"/>
      <c r="G86" s="4"/>
      <c r="H86" s="4"/>
      <c r="I86" s="4"/>
      <c r="J86" s="58">
        <f>COUNTIF(TableFields[Field],Columns[[#This Row],[Column]])</f>
        <v>0</v>
      </c>
    </row>
    <row r="87" spans="1:10" x14ac:dyDescent="0.25">
      <c r="A87" s="4" t="s">
        <v>890</v>
      </c>
      <c r="B87" s="4" t="s">
        <v>782</v>
      </c>
      <c r="C87" s="4" t="s">
        <v>64</v>
      </c>
      <c r="D87" s="4" t="s">
        <v>75</v>
      </c>
      <c r="E87" s="4"/>
      <c r="F87" s="4"/>
      <c r="G87" s="4"/>
      <c r="H87" s="4"/>
      <c r="I87" s="4"/>
      <c r="J87" s="58">
        <f>COUNTIF(TableFields[Field],Columns[[#This Row],[Column]])</f>
        <v>2</v>
      </c>
    </row>
    <row r="88" spans="1:10" x14ac:dyDescent="0.25">
      <c r="A88" s="4" t="s">
        <v>901</v>
      </c>
      <c r="B88" s="4" t="s">
        <v>794</v>
      </c>
      <c r="C88" s="4" t="s">
        <v>64</v>
      </c>
      <c r="D88" s="4" t="s">
        <v>75</v>
      </c>
      <c r="E88" s="4"/>
      <c r="F88" s="4"/>
      <c r="G88" s="4"/>
      <c r="H88" s="4"/>
      <c r="I88" s="4"/>
      <c r="J88" s="58">
        <f>COUNTIF(TableFields[Field],Columns[[#This Row],[Column]])</f>
        <v>4</v>
      </c>
    </row>
    <row r="89" spans="1:10" x14ac:dyDescent="0.25">
      <c r="A89" s="4" t="s">
        <v>892</v>
      </c>
      <c r="B89" s="4" t="s">
        <v>832</v>
      </c>
      <c r="C89" s="4" t="s">
        <v>893</v>
      </c>
      <c r="D89" s="4"/>
      <c r="E89" s="4" t="s">
        <v>772</v>
      </c>
      <c r="F89" s="4"/>
      <c r="G89" s="4"/>
      <c r="H89" s="4"/>
      <c r="I89" s="4"/>
      <c r="J89" s="58">
        <f>COUNTIF(TableFields[Field],Columns[[#This Row],[Column]])</f>
        <v>1</v>
      </c>
    </row>
    <row r="90" spans="1:10" x14ac:dyDescent="0.25">
      <c r="A90" s="4" t="s">
        <v>894</v>
      </c>
      <c r="B90" s="4" t="s">
        <v>832</v>
      </c>
      <c r="C90" s="4" t="s">
        <v>895</v>
      </c>
      <c r="D90" s="4"/>
      <c r="E90" s="4" t="s">
        <v>772</v>
      </c>
      <c r="F90" s="4"/>
      <c r="G90" s="4"/>
      <c r="H90" s="4"/>
      <c r="I90" s="4"/>
      <c r="J90" s="58">
        <f>COUNTIF(TableFields[Field],Columns[[#This Row],[Column]])</f>
        <v>1</v>
      </c>
    </row>
    <row r="91" spans="1:10" x14ac:dyDescent="0.25">
      <c r="A91" s="4" t="s">
        <v>896</v>
      </c>
      <c r="B91" s="4" t="s">
        <v>774</v>
      </c>
      <c r="C91" s="4" t="s">
        <v>777</v>
      </c>
      <c r="D91" s="4" t="s">
        <v>897</v>
      </c>
      <c r="E91" s="4" t="s">
        <v>898</v>
      </c>
      <c r="F91" s="4" t="s">
        <v>772</v>
      </c>
      <c r="G91" s="4"/>
      <c r="H91" s="4"/>
      <c r="I91" s="4"/>
      <c r="J91" s="58">
        <f>COUNTIF(TableFields[Field],Columns[[#This Row],[Column]])</f>
        <v>1</v>
      </c>
    </row>
    <row r="92" spans="1:10" x14ac:dyDescent="0.25">
      <c r="A92" s="4" t="s">
        <v>902</v>
      </c>
      <c r="B92" s="4" t="s">
        <v>782</v>
      </c>
      <c r="C92" s="4" t="s">
        <v>903</v>
      </c>
      <c r="D92" s="4" t="s">
        <v>899</v>
      </c>
      <c r="E92" s="4"/>
      <c r="F92" s="4"/>
      <c r="G92" s="4"/>
      <c r="H92" s="4"/>
      <c r="I92" s="4"/>
      <c r="J92" s="58">
        <f>COUNTIF(TableFields[Field],Columns[[#This Row],[Column]])</f>
        <v>1</v>
      </c>
    </row>
    <row r="93" spans="1:10" x14ac:dyDescent="0.25">
      <c r="A93" s="4" t="s">
        <v>904</v>
      </c>
      <c r="B93" s="4" t="s">
        <v>818</v>
      </c>
      <c r="C93" s="4" t="s">
        <v>904</v>
      </c>
      <c r="D93" s="4" t="s">
        <v>819</v>
      </c>
      <c r="E93" s="4" t="s">
        <v>820</v>
      </c>
      <c r="F93" s="4"/>
      <c r="G93" s="4"/>
      <c r="H93" s="4"/>
      <c r="I93" s="4"/>
      <c r="J93" s="58">
        <f>COUNTIF(TableFields[Field],Columns[[#This Row],[Column]])</f>
        <v>2</v>
      </c>
    </row>
    <row r="94" spans="1:10" x14ac:dyDescent="0.25">
      <c r="A94" s="4" t="s">
        <v>905</v>
      </c>
      <c r="B94" s="4" t="s">
        <v>818</v>
      </c>
      <c r="C94" s="4" t="s">
        <v>905</v>
      </c>
      <c r="D94" s="4" t="s">
        <v>819</v>
      </c>
      <c r="E94" s="4" t="s">
        <v>820</v>
      </c>
      <c r="F94" s="4"/>
      <c r="G94" s="4"/>
      <c r="H94" s="4"/>
      <c r="I94" s="4"/>
      <c r="J94" s="58">
        <f>COUNTIF(TableFields[Field],Columns[[#This Row],[Column]])</f>
        <v>2</v>
      </c>
    </row>
    <row r="95" spans="1:10" x14ac:dyDescent="0.25">
      <c r="A95" s="4" t="s">
        <v>968</v>
      </c>
      <c r="B95" s="4" t="s">
        <v>818</v>
      </c>
      <c r="C95" s="4" t="s">
        <v>968</v>
      </c>
      <c r="D95" s="4" t="s">
        <v>819</v>
      </c>
      <c r="E95" s="4" t="s">
        <v>820</v>
      </c>
      <c r="F95" s="4"/>
      <c r="G95" s="4"/>
      <c r="H95" s="4"/>
      <c r="I95" s="4"/>
      <c r="J95" s="58">
        <f>COUNTIF(TableFields[Field],Columns[[#This Row],[Column]])</f>
        <v>2</v>
      </c>
    </row>
    <row r="96" spans="1:10" x14ac:dyDescent="0.25">
      <c r="A96" s="4" t="s">
        <v>906</v>
      </c>
      <c r="B96" s="4" t="s">
        <v>770</v>
      </c>
      <c r="C96" s="4" t="s">
        <v>906</v>
      </c>
      <c r="D96" s="4">
        <v>5</v>
      </c>
      <c r="E96" s="4" t="s">
        <v>772</v>
      </c>
      <c r="F96" s="4" t="s">
        <v>771</v>
      </c>
      <c r="G96" s="4"/>
      <c r="H96" s="4"/>
      <c r="I96" s="4"/>
      <c r="J96" s="58">
        <f>COUNTIF(TableFields[Field],Columns[[#This Row],[Column]])</f>
        <v>3</v>
      </c>
    </row>
    <row r="97" spans="1:10" x14ac:dyDescent="0.25">
      <c r="A97" s="4" t="s">
        <v>859</v>
      </c>
      <c r="B97" s="4" t="s">
        <v>770</v>
      </c>
      <c r="C97" s="4" t="s">
        <v>859</v>
      </c>
      <c r="D97" s="4">
        <v>5</v>
      </c>
      <c r="E97" s="4" t="s">
        <v>772</v>
      </c>
      <c r="F97" s="4" t="s">
        <v>771</v>
      </c>
      <c r="G97" s="4"/>
      <c r="H97" s="4"/>
      <c r="I97" s="4"/>
      <c r="J97" s="58">
        <f>COUNTIF(TableFields[Field],Columns[[#This Row],[Column]])</f>
        <v>4</v>
      </c>
    </row>
    <row r="98" spans="1:10" x14ac:dyDescent="0.25">
      <c r="A98" s="4" t="s">
        <v>908</v>
      </c>
      <c r="B98" s="4" t="s">
        <v>794</v>
      </c>
      <c r="C98" s="4" t="s">
        <v>909</v>
      </c>
      <c r="D98" s="4" t="s">
        <v>899</v>
      </c>
      <c r="E98" s="4"/>
      <c r="F98" s="4"/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910</v>
      </c>
      <c r="B99" s="4" t="s">
        <v>794</v>
      </c>
      <c r="C99" s="4" t="s">
        <v>911</v>
      </c>
      <c r="D99" s="4" t="s">
        <v>899</v>
      </c>
      <c r="E99" s="4"/>
      <c r="F99" s="4"/>
      <c r="G99" s="4"/>
      <c r="H99" s="4"/>
      <c r="I99" s="4"/>
      <c r="J99" s="58">
        <f>COUNTIF(TableFields[Field],Columns[[#This Row],[Column]])</f>
        <v>1</v>
      </c>
    </row>
    <row r="100" spans="1:10" x14ac:dyDescent="0.25">
      <c r="A100" s="4" t="s">
        <v>912</v>
      </c>
      <c r="B100" s="4" t="s">
        <v>794</v>
      </c>
      <c r="C100" s="4" t="s">
        <v>914</v>
      </c>
      <c r="D100" s="4" t="s">
        <v>75</v>
      </c>
      <c r="E100" s="4"/>
      <c r="F100" s="4"/>
      <c r="G100" s="4"/>
      <c r="H100" s="4"/>
      <c r="I100" s="4"/>
      <c r="J100" s="58">
        <f>COUNTIF(TableFields[Field],Columns[[#This Row],[Column]])</f>
        <v>1</v>
      </c>
    </row>
    <row r="101" spans="1:10" x14ac:dyDescent="0.25">
      <c r="A101" s="4" t="s">
        <v>913</v>
      </c>
      <c r="B101" s="4" t="s">
        <v>833</v>
      </c>
      <c r="C101" s="4" t="s">
        <v>915</v>
      </c>
      <c r="D101" s="4"/>
      <c r="E101" s="4" t="s">
        <v>772</v>
      </c>
      <c r="F101" s="4"/>
      <c r="G101" s="4"/>
      <c r="H101" s="4"/>
      <c r="I101" s="4"/>
      <c r="J101" s="58">
        <f>COUNTIF(TableFields[Field],Columns[[#This Row],[Column]])</f>
        <v>1</v>
      </c>
    </row>
    <row r="102" spans="1:10" x14ac:dyDescent="0.25">
      <c r="A102" s="4" t="s">
        <v>916</v>
      </c>
      <c r="B102" s="4" t="s">
        <v>818</v>
      </c>
      <c r="C102" s="4" t="s">
        <v>916</v>
      </c>
      <c r="D102" s="4" t="s">
        <v>819</v>
      </c>
      <c r="E102" s="4" t="s">
        <v>820</v>
      </c>
      <c r="F102" s="4"/>
      <c r="G102" s="4"/>
      <c r="H102" s="4"/>
      <c r="I102" s="4"/>
      <c r="J102" s="58">
        <f>COUNTIF(TableFields[Field],Columns[[#This Row],[Column]])</f>
        <v>2</v>
      </c>
    </row>
    <row r="103" spans="1:10" x14ac:dyDescent="0.25">
      <c r="A103" s="4" t="s">
        <v>1852</v>
      </c>
      <c r="B103" s="4" t="s">
        <v>770</v>
      </c>
      <c r="C103" s="4" t="s">
        <v>1852</v>
      </c>
      <c r="D103" s="4">
        <v>15</v>
      </c>
      <c r="E103" s="4" t="s">
        <v>772</v>
      </c>
      <c r="F103" s="4" t="s">
        <v>771</v>
      </c>
      <c r="G103" s="4"/>
      <c r="H103" s="4"/>
      <c r="I103" s="4"/>
      <c r="J103" s="58">
        <f>COUNTIF(TableFields[Field],Columns[[#This Row],[Column]])</f>
        <v>1</v>
      </c>
    </row>
    <row r="104" spans="1:10" x14ac:dyDescent="0.25">
      <c r="A104" s="4" t="s">
        <v>1849</v>
      </c>
      <c r="B104" s="4" t="s">
        <v>770</v>
      </c>
      <c r="C104" s="4" t="s">
        <v>1849</v>
      </c>
      <c r="D104" s="4">
        <v>15</v>
      </c>
      <c r="E104" s="4" t="s">
        <v>772</v>
      </c>
      <c r="F104" s="4" t="s">
        <v>771</v>
      </c>
      <c r="G104" s="4"/>
      <c r="H104" s="4"/>
      <c r="I104" s="4"/>
      <c r="J104" s="58">
        <f>COUNTIF(TableFields[Field],Columns[[#This Row],[Column]])</f>
        <v>1</v>
      </c>
    </row>
    <row r="105" spans="1:10" x14ac:dyDescent="0.25">
      <c r="A105" s="4" t="s">
        <v>918</v>
      </c>
      <c r="B105" s="4" t="s">
        <v>818</v>
      </c>
      <c r="C105" s="4" t="s">
        <v>918</v>
      </c>
      <c r="D105" s="4" t="s">
        <v>871</v>
      </c>
      <c r="E105" s="4" t="s">
        <v>820</v>
      </c>
      <c r="F105" s="4"/>
      <c r="G105" s="4"/>
      <c r="H105" s="4"/>
      <c r="I105" s="4"/>
      <c r="J105" s="58">
        <f>COUNTIF(TableFields[Field],Columns[[#This Row],[Column]])</f>
        <v>0</v>
      </c>
    </row>
    <row r="106" spans="1:10" x14ac:dyDescent="0.25">
      <c r="A106" s="4" t="s">
        <v>919</v>
      </c>
      <c r="B106" s="4" t="s">
        <v>770</v>
      </c>
      <c r="C106" s="4" t="s">
        <v>920</v>
      </c>
      <c r="D106" s="4">
        <v>15</v>
      </c>
      <c r="E106" s="4" t="s">
        <v>772</v>
      </c>
      <c r="F106" s="4"/>
      <c r="G106" s="4"/>
      <c r="H106" s="4"/>
      <c r="I106" s="4"/>
      <c r="J106" s="58">
        <f>COUNTIF(TableFields[Field],Columns[[#This Row],[Column]])</f>
        <v>1</v>
      </c>
    </row>
    <row r="107" spans="1:10" x14ac:dyDescent="0.25">
      <c r="A107" s="4" t="s">
        <v>921</v>
      </c>
      <c r="B107" s="4" t="s">
        <v>774</v>
      </c>
      <c r="C107" s="4" t="s">
        <v>904</v>
      </c>
      <c r="D107" s="4" t="s">
        <v>944</v>
      </c>
      <c r="E107" s="4" t="s">
        <v>772</v>
      </c>
      <c r="F107" s="4" t="s">
        <v>948</v>
      </c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922</v>
      </c>
      <c r="B108" s="4" t="s">
        <v>774</v>
      </c>
      <c r="C108" s="4" t="s">
        <v>946</v>
      </c>
      <c r="D108" s="4" t="s">
        <v>945</v>
      </c>
      <c r="E108" s="4" t="s">
        <v>772</v>
      </c>
      <c r="F108" s="4" t="s">
        <v>949</v>
      </c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924</v>
      </c>
      <c r="B109" s="4" t="s">
        <v>774</v>
      </c>
      <c r="C109" s="4" t="s">
        <v>923</v>
      </c>
      <c r="D109" s="4" t="s">
        <v>944</v>
      </c>
      <c r="E109" s="4" t="s">
        <v>772</v>
      </c>
      <c r="F109" s="4" t="s">
        <v>948</v>
      </c>
      <c r="G109" s="4"/>
      <c r="H109" s="4"/>
      <c r="I109" s="4"/>
      <c r="J109" s="58">
        <f>COUNTIF(TableFields[Field],Columns[[#This Row],[Column]])</f>
        <v>1</v>
      </c>
    </row>
    <row r="110" spans="1:10" x14ac:dyDescent="0.25">
      <c r="A110" s="4" t="s">
        <v>925</v>
      </c>
      <c r="B110" s="4" t="s">
        <v>794</v>
      </c>
      <c r="C110" s="4" t="s">
        <v>917</v>
      </c>
      <c r="D110" s="4" t="s">
        <v>904</v>
      </c>
      <c r="E110" s="4"/>
      <c r="F110" s="4"/>
      <c r="G110" s="4"/>
      <c r="H110" s="4"/>
      <c r="I110" s="4"/>
      <c r="J110" s="58">
        <f>COUNTIF(TableFields[Field],Columns[[#This Row],[Column]])</f>
        <v>0</v>
      </c>
    </row>
    <row r="111" spans="1:10" x14ac:dyDescent="0.25">
      <c r="A111" s="4" t="s">
        <v>926</v>
      </c>
      <c r="B111" s="4" t="s">
        <v>774</v>
      </c>
      <c r="C111" s="4" t="s">
        <v>947</v>
      </c>
      <c r="D111" s="4" t="s">
        <v>944</v>
      </c>
      <c r="E111" s="4" t="s">
        <v>772</v>
      </c>
      <c r="F111" s="4" t="s">
        <v>948</v>
      </c>
      <c r="G111" s="4"/>
      <c r="H111" s="4"/>
      <c r="I111" s="4"/>
      <c r="J111" s="58">
        <f>COUNTIF(TableFields[Field],Columns[[#This Row],[Column]])</f>
        <v>1</v>
      </c>
    </row>
    <row r="112" spans="1:10" x14ac:dyDescent="0.25">
      <c r="A112" s="4" t="s">
        <v>927</v>
      </c>
      <c r="B112" s="4" t="s">
        <v>774</v>
      </c>
      <c r="C112" s="4" t="s">
        <v>937</v>
      </c>
      <c r="D112" s="4" t="s">
        <v>938</v>
      </c>
      <c r="E112" s="4" t="s">
        <v>772</v>
      </c>
      <c r="F112" s="4" t="s">
        <v>941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928</v>
      </c>
      <c r="B113" s="4" t="s">
        <v>774</v>
      </c>
      <c r="C113" s="4" t="s">
        <v>936</v>
      </c>
      <c r="D113" s="4" t="s">
        <v>938</v>
      </c>
      <c r="E113" s="4" t="s">
        <v>772</v>
      </c>
      <c r="F113" s="4" t="s">
        <v>941</v>
      </c>
      <c r="G113" s="4"/>
      <c r="H113" s="4"/>
      <c r="I113" s="4"/>
      <c r="J113" s="58">
        <f>COUNTIF(TableFields[Field],Columns[[#This Row],[Column]])</f>
        <v>1</v>
      </c>
    </row>
    <row r="114" spans="1:10" x14ac:dyDescent="0.25">
      <c r="A114" s="4" t="s">
        <v>929</v>
      </c>
      <c r="B114" s="4" t="s">
        <v>774</v>
      </c>
      <c r="C114" s="4" t="s">
        <v>935</v>
      </c>
      <c r="D114" s="4" t="s">
        <v>939</v>
      </c>
      <c r="E114" s="4" t="s">
        <v>772</v>
      </c>
      <c r="F114" s="4" t="s">
        <v>943</v>
      </c>
      <c r="G114" s="4"/>
      <c r="H114" s="4"/>
      <c r="I114" s="4"/>
      <c r="J114" s="58">
        <f>COUNTIF(TableFields[Field],Columns[[#This Row],[Column]])</f>
        <v>1</v>
      </c>
    </row>
    <row r="115" spans="1:10" x14ac:dyDescent="0.25">
      <c r="A115" s="4" t="s">
        <v>930</v>
      </c>
      <c r="B115" s="4" t="s">
        <v>774</v>
      </c>
      <c r="C115" s="4" t="s">
        <v>934</v>
      </c>
      <c r="D115" s="4" t="s">
        <v>938</v>
      </c>
      <c r="E115" s="4" t="s">
        <v>772</v>
      </c>
      <c r="F115" s="4" t="s">
        <v>941</v>
      </c>
      <c r="G115" s="4"/>
      <c r="H115" s="4"/>
      <c r="I115" s="4"/>
      <c r="J115" s="58">
        <f>COUNTIF(TableFields[Field],Columns[[#This Row],[Column]])</f>
        <v>1</v>
      </c>
    </row>
    <row r="116" spans="1:10" x14ac:dyDescent="0.25">
      <c r="A116" s="4" t="s">
        <v>931</v>
      </c>
      <c r="B116" s="4" t="s">
        <v>774</v>
      </c>
      <c r="C116" s="4" t="s">
        <v>933</v>
      </c>
      <c r="D116" s="4" t="s">
        <v>940</v>
      </c>
      <c r="E116" s="4" t="s">
        <v>772</v>
      </c>
      <c r="F116" s="4" t="s">
        <v>942</v>
      </c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932</v>
      </c>
      <c r="B117" s="4" t="s">
        <v>770</v>
      </c>
      <c r="C117" s="4" t="s">
        <v>916</v>
      </c>
      <c r="D117" s="4">
        <v>15</v>
      </c>
      <c r="E117" s="4" t="s">
        <v>772</v>
      </c>
      <c r="F117" s="4"/>
      <c r="G117" s="4"/>
      <c r="H117" s="4"/>
      <c r="I117" s="4"/>
      <c r="J117" s="58">
        <f>COUNTIF(TableFields[Field],Columns[[#This Row],[Column]])</f>
        <v>1</v>
      </c>
    </row>
    <row r="118" spans="1:10" x14ac:dyDescent="0.25">
      <c r="A118" s="4" t="s">
        <v>1818</v>
      </c>
      <c r="B118" s="4" t="s">
        <v>770</v>
      </c>
      <c r="C118" s="4" t="s">
        <v>1807</v>
      </c>
      <c r="D118" s="4">
        <v>15</v>
      </c>
      <c r="E118" s="4" t="s">
        <v>772</v>
      </c>
      <c r="F118" s="4" t="s">
        <v>1819</v>
      </c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952</v>
      </c>
      <c r="B119" s="4" t="s">
        <v>794</v>
      </c>
      <c r="C119" s="4" t="s">
        <v>839</v>
      </c>
      <c r="D119" s="4" t="s">
        <v>75</v>
      </c>
      <c r="E119" s="4"/>
      <c r="F119" s="4"/>
      <c r="G119" s="4"/>
      <c r="H119" s="4"/>
      <c r="I119" s="4"/>
      <c r="J119" s="58">
        <f>COUNTIF(TableFields[Field],Columns[[#This Row],[Column]])</f>
        <v>3</v>
      </c>
    </row>
    <row r="120" spans="1:10" x14ac:dyDescent="0.25">
      <c r="A120" s="4" t="s">
        <v>954</v>
      </c>
      <c r="B120" s="4" t="s">
        <v>774</v>
      </c>
      <c r="C120" s="4" t="s">
        <v>953</v>
      </c>
      <c r="D120" s="4" t="s">
        <v>955</v>
      </c>
      <c r="E120" s="4" t="s">
        <v>772</v>
      </c>
      <c r="F120" s="4" t="s">
        <v>956</v>
      </c>
      <c r="G120" s="4"/>
      <c r="H120" s="4"/>
      <c r="I120" s="4"/>
      <c r="J120" s="58">
        <f>COUNTIF(TableFields[Field],Columns[[#This Row],[Column]])</f>
        <v>1</v>
      </c>
    </row>
    <row r="121" spans="1:10" x14ac:dyDescent="0.25">
      <c r="A121" s="4" t="s">
        <v>957</v>
      </c>
      <c r="B121" s="4" t="s">
        <v>794</v>
      </c>
      <c r="C121" s="4" t="s">
        <v>958</v>
      </c>
      <c r="D121" s="4" t="s">
        <v>950</v>
      </c>
      <c r="E121" s="4"/>
      <c r="F121" s="4"/>
      <c r="G121" s="4"/>
      <c r="H121" s="4"/>
      <c r="I121" s="4"/>
      <c r="J121" s="58">
        <f>COUNTIF(TableFields[Field],Columns[[#This Row],[Column]])</f>
        <v>2</v>
      </c>
    </row>
    <row r="122" spans="1:10" x14ac:dyDescent="0.25">
      <c r="A122" s="4" t="s">
        <v>959</v>
      </c>
      <c r="B122" s="4" t="s">
        <v>818</v>
      </c>
      <c r="C122" s="4" t="s">
        <v>959</v>
      </c>
      <c r="D122" s="4" t="s">
        <v>819</v>
      </c>
      <c r="E122" s="4" t="s">
        <v>820</v>
      </c>
      <c r="F122" s="4"/>
      <c r="G122" s="4"/>
      <c r="H122" s="4"/>
      <c r="I122" s="4"/>
      <c r="J122" s="58">
        <f>COUNTIF(TableFields[Field],Columns[[#This Row],[Column]])</f>
        <v>1</v>
      </c>
    </row>
    <row r="123" spans="1:10" x14ac:dyDescent="0.25">
      <c r="A123" s="4" t="s">
        <v>960</v>
      </c>
      <c r="B123" s="4" t="s">
        <v>782</v>
      </c>
      <c r="C123" s="4" t="s">
        <v>904</v>
      </c>
      <c r="D123" s="4" t="s">
        <v>904</v>
      </c>
      <c r="E123" s="4"/>
      <c r="F123" s="4"/>
      <c r="G123" s="4"/>
      <c r="H123" s="4"/>
      <c r="I123" s="4"/>
      <c r="J123" s="58">
        <f>COUNTIF(TableFields[Field],Columns[[#This Row],[Column]])</f>
        <v>0</v>
      </c>
    </row>
    <row r="124" spans="1:10" x14ac:dyDescent="0.25">
      <c r="A124" s="2" t="s">
        <v>1260</v>
      </c>
      <c r="B124" s="2" t="s">
        <v>798</v>
      </c>
      <c r="C124" s="2" t="s">
        <v>1260</v>
      </c>
      <c r="D124" s="2">
        <v>200</v>
      </c>
      <c r="E124" s="2" t="s">
        <v>772</v>
      </c>
      <c r="F124" s="2"/>
      <c r="G124" s="2"/>
      <c r="H124" s="2"/>
      <c r="I124" s="2"/>
      <c r="J124" s="59">
        <f>COUNTIF(TableFields[Field],Columns[[#This Row],[Column]])</f>
        <v>0</v>
      </c>
    </row>
    <row r="125" spans="1:10" x14ac:dyDescent="0.25">
      <c r="A125" s="4" t="s">
        <v>961</v>
      </c>
      <c r="B125" s="4" t="s">
        <v>774</v>
      </c>
      <c r="C125" s="2" t="s">
        <v>1269</v>
      </c>
      <c r="D125" s="4" t="s">
        <v>962</v>
      </c>
      <c r="E125" s="5" t="s">
        <v>772</v>
      </c>
      <c r="F125" s="4" t="s">
        <v>963</v>
      </c>
      <c r="G125" s="4"/>
      <c r="H125" s="4"/>
      <c r="I125" s="4"/>
      <c r="J125" s="58">
        <f>COUNTIF(TableFields[Field],Columns[[#This Row],[Column]])</f>
        <v>0</v>
      </c>
    </row>
    <row r="126" spans="1:10" x14ac:dyDescent="0.25">
      <c r="A126" s="4" t="s">
        <v>964</v>
      </c>
      <c r="B126" s="4" t="s">
        <v>774</v>
      </c>
      <c r="C126" s="2" t="s">
        <v>1270</v>
      </c>
      <c r="D126" s="4" t="s">
        <v>965</v>
      </c>
      <c r="E126" s="4" t="s">
        <v>772</v>
      </c>
      <c r="F126" s="4" t="s">
        <v>966</v>
      </c>
      <c r="G126" s="4"/>
      <c r="H126" s="4"/>
      <c r="I126" s="4"/>
      <c r="J126" s="58">
        <f>COUNTIF(TableFields[Field],Columns[[#This Row],[Column]])</f>
        <v>0</v>
      </c>
    </row>
    <row r="127" spans="1:10" x14ac:dyDescent="0.25">
      <c r="A127" s="4" t="s">
        <v>967</v>
      </c>
      <c r="B127" s="4" t="s">
        <v>818</v>
      </c>
      <c r="C127" s="4" t="s">
        <v>968</v>
      </c>
      <c r="D127" s="4" t="s">
        <v>819</v>
      </c>
      <c r="E127" s="2" t="s">
        <v>820</v>
      </c>
      <c r="F127" s="4"/>
      <c r="G127" s="4"/>
      <c r="H127" s="4"/>
      <c r="I127" s="4"/>
      <c r="J127" s="58">
        <f>COUNTIF(TableFields[Field],Columns[[#This Row],[Column]])</f>
        <v>0</v>
      </c>
    </row>
    <row r="128" spans="1:10" x14ac:dyDescent="0.25">
      <c r="A128" s="2" t="s">
        <v>1261</v>
      </c>
      <c r="B128" s="2" t="s">
        <v>770</v>
      </c>
      <c r="C128" s="2" t="s">
        <v>1265</v>
      </c>
      <c r="D128" s="2">
        <v>15</v>
      </c>
      <c r="E128" s="2" t="s">
        <v>772</v>
      </c>
      <c r="F128" s="2"/>
      <c r="G128" s="2"/>
      <c r="H128" s="2"/>
      <c r="I128" s="2"/>
      <c r="J128" s="59">
        <f>COUNTIF(TableFields[Field],Columns[[#This Row],[Column]])</f>
        <v>0</v>
      </c>
    </row>
    <row r="129" spans="1:10" x14ac:dyDescent="0.25">
      <c r="A129" s="2" t="s">
        <v>1262</v>
      </c>
      <c r="B129" s="2" t="s">
        <v>770</v>
      </c>
      <c r="C129" s="2" t="s">
        <v>1266</v>
      </c>
      <c r="D129" s="2">
        <v>15</v>
      </c>
      <c r="E129" s="2" t="s">
        <v>772</v>
      </c>
      <c r="F129" s="2"/>
      <c r="G129" s="2"/>
      <c r="H129" s="2"/>
      <c r="I129" s="2"/>
      <c r="J129" s="59">
        <f>COUNTIF(TableFields[Field],Columns[[#This Row],[Column]])</f>
        <v>0</v>
      </c>
    </row>
    <row r="130" spans="1:10" x14ac:dyDescent="0.25">
      <c r="A130" s="2" t="s">
        <v>1263</v>
      </c>
      <c r="B130" s="2" t="s">
        <v>770</v>
      </c>
      <c r="C130" s="2" t="s">
        <v>1267</v>
      </c>
      <c r="D130" s="2">
        <v>15</v>
      </c>
      <c r="E130" s="2" t="s">
        <v>772</v>
      </c>
      <c r="F130" s="2"/>
      <c r="G130" s="2"/>
      <c r="H130" s="2"/>
      <c r="I130" s="2"/>
      <c r="J130" s="59">
        <f>COUNTIF(TableFields[Field],Columns[[#This Row],[Column]])</f>
        <v>0</v>
      </c>
    </row>
    <row r="131" spans="1:10" x14ac:dyDescent="0.25">
      <c r="A131" s="2" t="s">
        <v>1264</v>
      </c>
      <c r="B131" s="2" t="s">
        <v>868</v>
      </c>
      <c r="C131" s="2" t="s">
        <v>1268</v>
      </c>
      <c r="D131" s="2"/>
      <c r="E131" s="2" t="s">
        <v>828</v>
      </c>
      <c r="F131" s="2"/>
      <c r="G131" s="2"/>
      <c r="H131" s="2"/>
      <c r="I131" s="2"/>
      <c r="J131" s="59">
        <f>COUNTIF(TableFields[Field],Columns[[#This Row],[Column]])</f>
        <v>0</v>
      </c>
    </row>
    <row r="132" spans="1:10" x14ac:dyDescent="0.25">
      <c r="A132" s="4" t="s">
        <v>969</v>
      </c>
      <c r="B132" s="4" t="s">
        <v>794</v>
      </c>
      <c r="C132" s="4" t="s">
        <v>971</v>
      </c>
      <c r="D132" s="4" t="s">
        <v>904</v>
      </c>
      <c r="E132" s="4"/>
      <c r="F132" s="4"/>
      <c r="G132" s="4"/>
      <c r="H132" s="4"/>
      <c r="I132" s="4"/>
      <c r="J132" s="58">
        <f>COUNTIF(TableFields[Field],Columns[[#This Row],[Column]])</f>
        <v>0</v>
      </c>
    </row>
    <row r="133" spans="1:10" x14ac:dyDescent="0.25">
      <c r="A133" s="4" t="s">
        <v>970</v>
      </c>
      <c r="B133" s="4" t="s">
        <v>794</v>
      </c>
      <c r="C133" s="4" t="s">
        <v>972</v>
      </c>
      <c r="D133" s="4" t="s">
        <v>904</v>
      </c>
      <c r="E133" s="4"/>
      <c r="F133" s="4"/>
      <c r="G133" s="4"/>
      <c r="H133" s="4"/>
      <c r="I133" s="4"/>
      <c r="J133" s="58">
        <f>COUNTIF(TableFields[Field],Columns[[#This Row],[Column]])</f>
        <v>0</v>
      </c>
    </row>
    <row r="134" spans="1:10" x14ac:dyDescent="0.25">
      <c r="A134" s="4" t="s">
        <v>1742</v>
      </c>
      <c r="B134" s="4" t="s">
        <v>798</v>
      </c>
      <c r="C134" s="4" t="s">
        <v>1742</v>
      </c>
      <c r="D134" s="4">
        <v>15</v>
      </c>
      <c r="E134" s="4" t="s">
        <v>772</v>
      </c>
      <c r="F134" s="4"/>
      <c r="G134" s="4"/>
      <c r="H134" s="4"/>
      <c r="I134" s="4"/>
      <c r="J134" s="58">
        <f>COUNTIF(TableFields[Field],Columns[[#This Row],[Column]])</f>
        <v>2</v>
      </c>
    </row>
    <row r="135" spans="1:10" x14ac:dyDescent="0.25">
      <c r="A135" s="4" t="s">
        <v>1743</v>
      </c>
      <c r="B135" s="4" t="s">
        <v>798</v>
      </c>
      <c r="C135" s="4" t="s">
        <v>1743</v>
      </c>
      <c r="D135" s="4">
        <v>15</v>
      </c>
      <c r="E135" s="4" t="s">
        <v>772</v>
      </c>
      <c r="F135" s="4"/>
      <c r="G135" s="4"/>
      <c r="H135" s="4"/>
      <c r="I135" s="4"/>
      <c r="J135" s="58">
        <f>COUNTIF(TableFields[Field],Columns[[#This Row],[Column]])</f>
        <v>1</v>
      </c>
    </row>
    <row r="136" spans="1:10" x14ac:dyDescent="0.25">
      <c r="A136" s="4" t="s">
        <v>1744</v>
      </c>
      <c r="B136" s="4" t="s">
        <v>798</v>
      </c>
      <c r="C136" s="4" t="s">
        <v>1744</v>
      </c>
      <c r="D136" s="4">
        <v>15</v>
      </c>
      <c r="E136" s="4" t="s">
        <v>772</v>
      </c>
      <c r="F136" s="4"/>
      <c r="G136" s="4"/>
      <c r="H136" s="4"/>
      <c r="I136" s="4"/>
      <c r="J136" s="58">
        <f>COUNTIF(TableFields[Field],Columns[[#This Row],[Column]])</f>
        <v>1</v>
      </c>
    </row>
    <row r="137" spans="1:10" x14ac:dyDescent="0.25">
      <c r="A137" s="4" t="s">
        <v>1689</v>
      </c>
      <c r="B137" s="4" t="s">
        <v>770</v>
      </c>
      <c r="C137" s="4" t="s">
        <v>1689</v>
      </c>
      <c r="D137" s="4">
        <v>30</v>
      </c>
      <c r="E137" s="4" t="s">
        <v>772</v>
      </c>
      <c r="F137" s="4" t="s">
        <v>771</v>
      </c>
      <c r="G137" s="4"/>
      <c r="H137" s="4"/>
      <c r="I137" s="4"/>
      <c r="J137" s="58">
        <f>COUNTIF(TableFields[Field],Columns[[#This Row],[Column]])</f>
        <v>5</v>
      </c>
    </row>
    <row r="138" spans="1:10" x14ac:dyDescent="0.25">
      <c r="A138" s="4" t="s">
        <v>1722</v>
      </c>
      <c r="B138" s="4" t="s">
        <v>770</v>
      </c>
      <c r="C138" s="4" t="s">
        <v>1722</v>
      </c>
      <c r="D138" s="4">
        <v>30</v>
      </c>
      <c r="E138" s="4" t="s">
        <v>772</v>
      </c>
      <c r="F138" s="4" t="s">
        <v>771</v>
      </c>
      <c r="G138" s="4"/>
      <c r="H138" s="4"/>
      <c r="I138" s="4"/>
      <c r="J138" s="58">
        <f>COUNTIF(TableFields[Field],Columns[[#This Row],[Column]])</f>
        <v>1</v>
      </c>
    </row>
    <row r="139" spans="1:10" x14ac:dyDescent="0.25">
      <c r="A139" s="4" t="s">
        <v>1723</v>
      </c>
      <c r="B139" s="4" t="s">
        <v>770</v>
      </c>
      <c r="C139" s="4" t="s">
        <v>1723</v>
      </c>
      <c r="D139" s="4">
        <v>30</v>
      </c>
      <c r="E139" s="4" t="s">
        <v>772</v>
      </c>
      <c r="F139" s="4" t="s">
        <v>771</v>
      </c>
      <c r="G139" s="4"/>
      <c r="H139" s="4"/>
      <c r="I139" s="4"/>
      <c r="J139" s="58">
        <f>COUNTIF(TableFields[Field],Columns[[#This Row],[Column]])</f>
        <v>1</v>
      </c>
    </row>
    <row r="140" spans="1:10" x14ac:dyDescent="0.25">
      <c r="A140" s="4" t="s">
        <v>1726</v>
      </c>
      <c r="B140" s="4" t="s">
        <v>774</v>
      </c>
      <c r="C140" s="4" t="s">
        <v>1725</v>
      </c>
      <c r="D140" s="4" t="s">
        <v>1727</v>
      </c>
      <c r="E140" s="4" t="s">
        <v>772</v>
      </c>
      <c r="F140" s="4" t="s">
        <v>1728</v>
      </c>
      <c r="G140" s="4"/>
      <c r="H140" s="4"/>
      <c r="I140" s="4"/>
      <c r="J140" s="58">
        <f>COUNTIF(TableFields[Field],Columns[[#This Row],[Column]])</f>
        <v>1</v>
      </c>
    </row>
    <row r="141" spans="1:10" x14ac:dyDescent="0.25">
      <c r="A141" s="4" t="s">
        <v>1745</v>
      </c>
      <c r="B141" s="4" t="s">
        <v>774</v>
      </c>
      <c r="C141" s="4" t="s">
        <v>1745</v>
      </c>
      <c r="D141" s="4" t="s">
        <v>1746</v>
      </c>
      <c r="E141" s="4" t="s">
        <v>772</v>
      </c>
      <c r="F141" s="4" t="s">
        <v>1728</v>
      </c>
      <c r="G141" s="4"/>
      <c r="H141" s="4"/>
      <c r="I141" s="4"/>
      <c r="J141" s="58">
        <f>COUNTIF(TableFields[Field],Columns[[#This Row],[Column]])</f>
        <v>2</v>
      </c>
    </row>
    <row r="142" spans="1:10" x14ac:dyDescent="0.25">
      <c r="A142" s="4" t="s">
        <v>1729</v>
      </c>
      <c r="B142" s="4" t="s">
        <v>798</v>
      </c>
      <c r="C142" s="4" t="s">
        <v>1729</v>
      </c>
      <c r="D142" s="4">
        <v>60</v>
      </c>
      <c r="E142" s="4" t="s">
        <v>772</v>
      </c>
      <c r="F142" s="4"/>
      <c r="G142" s="4"/>
      <c r="H142" s="4"/>
      <c r="I142" s="4"/>
      <c r="J142" s="58">
        <f>COUNTIF(TableFields[Field],Columns[[#This Row],[Column]])</f>
        <v>1</v>
      </c>
    </row>
    <row r="143" spans="1:10" x14ac:dyDescent="0.25">
      <c r="A143" s="4" t="s">
        <v>1730</v>
      </c>
      <c r="B143" s="4" t="s">
        <v>798</v>
      </c>
      <c r="C143" s="4" t="s">
        <v>1730</v>
      </c>
      <c r="D143" s="4">
        <v>60</v>
      </c>
      <c r="E143" s="4" t="s">
        <v>772</v>
      </c>
      <c r="F143" s="4"/>
      <c r="G143" s="4"/>
      <c r="H143" s="4"/>
      <c r="I143" s="4"/>
      <c r="J143" s="58">
        <f>COUNTIF(TableFields[Field],Columns[[#This Row],[Column]])</f>
        <v>1</v>
      </c>
    </row>
    <row r="144" spans="1:10" x14ac:dyDescent="0.25">
      <c r="A144" s="4" t="s">
        <v>1731</v>
      </c>
      <c r="B144" s="4" t="s">
        <v>832</v>
      </c>
      <c r="C144" s="4" t="s">
        <v>1731</v>
      </c>
      <c r="D144" s="4"/>
      <c r="E144" s="4" t="s">
        <v>772</v>
      </c>
      <c r="F144" s="4"/>
      <c r="G144" s="4"/>
      <c r="H144" s="4"/>
      <c r="I144" s="4"/>
      <c r="J144" s="58">
        <f>COUNTIF(TableFields[Field],Columns[[#This Row],[Column]])</f>
        <v>1</v>
      </c>
    </row>
    <row r="145" spans="1:10" x14ac:dyDescent="0.25">
      <c r="A145" s="4" t="s">
        <v>1736</v>
      </c>
      <c r="B145" s="4" t="s">
        <v>1738</v>
      </c>
      <c r="C145" s="4" t="s">
        <v>1736</v>
      </c>
      <c r="D145" s="4"/>
      <c r="E145" s="4" t="s">
        <v>772</v>
      </c>
      <c r="F145" s="4"/>
      <c r="G145" s="4"/>
      <c r="H145" s="4"/>
      <c r="I145" s="4"/>
      <c r="J145" s="58">
        <f>COUNTIF(TableFields[Field],Columns[[#This Row],[Column]])</f>
        <v>1</v>
      </c>
    </row>
    <row r="146" spans="1:10" x14ac:dyDescent="0.25">
      <c r="A146" s="4" t="s">
        <v>1737</v>
      </c>
      <c r="B146" s="4" t="s">
        <v>1738</v>
      </c>
      <c r="C146" s="4" t="s">
        <v>1737</v>
      </c>
      <c r="D146" s="4"/>
      <c r="E146" s="4" t="s">
        <v>772</v>
      </c>
      <c r="F146" s="4"/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1753</v>
      </c>
      <c r="B147" s="4" t="s">
        <v>1738</v>
      </c>
      <c r="C147" s="4" t="s">
        <v>1754</v>
      </c>
      <c r="D147" s="4"/>
      <c r="E147" s="4" t="s">
        <v>772</v>
      </c>
      <c r="F147" s="4" t="s">
        <v>820</v>
      </c>
      <c r="G147" s="4"/>
      <c r="H147" s="4"/>
      <c r="I147" s="4"/>
      <c r="J147" s="58">
        <f>COUNTIF(TableFields[Field],Columns[[#This Row],[Column]])</f>
        <v>1</v>
      </c>
    </row>
    <row r="148" spans="1:10" x14ac:dyDescent="0.25">
      <c r="A148" s="4" t="s">
        <v>1739</v>
      </c>
      <c r="B148" s="4" t="s">
        <v>774</v>
      </c>
      <c r="C148" s="4" t="s">
        <v>953</v>
      </c>
      <c r="D148" s="4" t="s">
        <v>1740</v>
      </c>
      <c r="E148" s="4" t="s">
        <v>772</v>
      </c>
      <c r="F148" s="4" t="s">
        <v>1741</v>
      </c>
      <c r="G148" s="4"/>
      <c r="H148" s="4"/>
      <c r="I148" s="4"/>
      <c r="J148" s="58">
        <f>COUNTIF(TableFields[Field],Columns[[#This Row],[Column]])</f>
        <v>1</v>
      </c>
    </row>
    <row r="149" spans="1:10" x14ac:dyDescent="0.25">
      <c r="A149" s="4" t="s">
        <v>1757</v>
      </c>
      <c r="B149" s="4" t="s">
        <v>794</v>
      </c>
      <c r="C149" s="4" t="s">
        <v>903</v>
      </c>
      <c r="D149" s="4" t="s">
        <v>899</v>
      </c>
      <c r="E149" s="4"/>
      <c r="F149" s="4"/>
      <c r="G149" s="4"/>
      <c r="H149" s="4"/>
      <c r="I149" s="4"/>
      <c r="J149" s="58">
        <f>COUNTIF(TableFields[Field],Columns[[#This Row],[Column]])</f>
        <v>1</v>
      </c>
    </row>
    <row r="150" spans="1:10" x14ac:dyDescent="0.25">
      <c r="A150" s="4" t="s">
        <v>1758</v>
      </c>
      <c r="B150" s="4" t="s">
        <v>818</v>
      </c>
      <c r="C150" s="4" t="s">
        <v>1759</v>
      </c>
      <c r="D150" s="4" t="s">
        <v>819</v>
      </c>
      <c r="E150" s="4" t="s">
        <v>820</v>
      </c>
      <c r="F150" s="4"/>
      <c r="G150" s="4"/>
      <c r="H150" s="4"/>
      <c r="I150" s="4"/>
      <c r="J150" s="58">
        <f>COUNTIF(TableFields[Field],Columns[[#This Row],[Column]])</f>
        <v>1</v>
      </c>
    </row>
    <row r="151" spans="1:10" x14ac:dyDescent="0.25">
      <c r="A151" s="4" t="s">
        <v>1771</v>
      </c>
      <c r="B151" s="4" t="s">
        <v>770</v>
      </c>
      <c r="C151" s="4" t="s">
        <v>1770</v>
      </c>
      <c r="D151" s="4">
        <v>15</v>
      </c>
      <c r="E151" s="4" t="s">
        <v>772</v>
      </c>
      <c r="F151" s="4" t="s">
        <v>771</v>
      </c>
      <c r="G151" s="4"/>
      <c r="H151" s="4"/>
      <c r="I151" s="4"/>
      <c r="J151" s="58">
        <f>COUNTIF(TableFields[Field],Columns[[#This Row],[Column]])</f>
        <v>1</v>
      </c>
    </row>
    <row r="152" spans="1:10" x14ac:dyDescent="0.25">
      <c r="A152" s="4" t="s">
        <v>1772</v>
      </c>
      <c r="B152" s="4" t="s">
        <v>798</v>
      </c>
      <c r="C152" s="4" t="s">
        <v>1773</v>
      </c>
      <c r="D152" s="4">
        <v>30</v>
      </c>
      <c r="E152" s="4" t="s">
        <v>772</v>
      </c>
      <c r="F152" s="4" t="s">
        <v>771</v>
      </c>
      <c r="G152" s="4"/>
      <c r="H152" s="4"/>
      <c r="I152" s="4"/>
      <c r="J152" s="58">
        <f>COUNTIF(TableFields[Field],Columns[[#This Row],[Column]])</f>
        <v>1</v>
      </c>
    </row>
    <row r="153" spans="1:10" x14ac:dyDescent="0.25">
      <c r="A153" s="4" t="s">
        <v>1801</v>
      </c>
      <c r="B153" s="4" t="s">
        <v>798</v>
      </c>
      <c r="C153" s="4" t="s">
        <v>1801</v>
      </c>
      <c r="D153" s="4">
        <v>15</v>
      </c>
      <c r="E153" s="4" t="s">
        <v>772</v>
      </c>
      <c r="F153" s="4"/>
      <c r="G153" s="4"/>
      <c r="H153" s="4"/>
      <c r="I153" s="4"/>
      <c r="J153" s="58">
        <f>COUNTIF(TableFields[Field],Columns[[#This Row],[Column]])</f>
        <v>1</v>
      </c>
    </row>
    <row r="154" spans="1:10" x14ac:dyDescent="0.25">
      <c r="A154" s="4" t="s">
        <v>1807</v>
      </c>
      <c r="B154" s="5" t="s">
        <v>770</v>
      </c>
      <c r="C154" s="4" t="s">
        <v>1807</v>
      </c>
      <c r="D154" s="4">
        <v>15</v>
      </c>
      <c r="E154" s="4" t="s">
        <v>772</v>
      </c>
      <c r="F154" s="4" t="s">
        <v>771</v>
      </c>
      <c r="G154" s="4"/>
      <c r="H154" s="4"/>
      <c r="I154" s="4"/>
      <c r="J154" s="58">
        <f>COUNTIF(TableFields[Field],Columns[[#This Row],[Column]])</f>
        <v>1</v>
      </c>
    </row>
    <row r="155" spans="1:10" x14ac:dyDescent="0.25">
      <c r="A155" s="4" t="s">
        <v>917</v>
      </c>
      <c r="B155" s="5" t="s">
        <v>770</v>
      </c>
      <c r="C155" s="4" t="s">
        <v>917</v>
      </c>
      <c r="D155" s="4">
        <v>15</v>
      </c>
      <c r="E155" s="4" t="s">
        <v>772</v>
      </c>
      <c r="F155" s="4"/>
      <c r="G155" s="4"/>
      <c r="H155" s="4"/>
      <c r="I155" s="4"/>
      <c r="J155" s="58">
        <f>COUNTIF(TableFields[Field],Columns[[#This Row],[Column]])</f>
        <v>2</v>
      </c>
    </row>
    <row r="156" spans="1:10" x14ac:dyDescent="0.25">
      <c r="A156" s="5" t="s">
        <v>973</v>
      </c>
      <c r="B156" s="5" t="s">
        <v>770</v>
      </c>
      <c r="C156" s="5" t="s">
        <v>974</v>
      </c>
      <c r="D156" s="5">
        <v>5</v>
      </c>
      <c r="E156" s="5" t="s">
        <v>772</v>
      </c>
      <c r="F156" s="5"/>
      <c r="G156" s="5"/>
      <c r="H156" s="5"/>
      <c r="I156" s="5"/>
      <c r="J156" s="32">
        <f>COUNTIF(TableFields[Field],Columns[[#This Row],[Column]])</f>
        <v>1</v>
      </c>
    </row>
    <row r="157" spans="1:10" x14ac:dyDescent="0.25">
      <c r="A157" s="5" t="s">
        <v>975</v>
      </c>
      <c r="B157" s="5" t="s">
        <v>770</v>
      </c>
      <c r="C157" s="5" t="s">
        <v>976</v>
      </c>
      <c r="D157" s="5">
        <v>5</v>
      </c>
      <c r="E157" s="5" t="s">
        <v>772</v>
      </c>
      <c r="F157" s="5"/>
      <c r="G157" s="5"/>
      <c r="H157" s="5"/>
      <c r="I157" s="5"/>
      <c r="J157" s="32">
        <f>COUNTIF(TableFields[Field],Columns[[#This Row],[Column]])</f>
        <v>1</v>
      </c>
    </row>
    <row r="158" spans="1:10" x14ac:dyDescent="0.25">
      <c r="A158" s="5" t="s">
        <v>977</v>
      </c>
      <c r="B158" s="5" t="s">
        <v>770</v>
      </c>
      <c r="C158" s="5" t="s">
        <v>978</v>
      </c>
      <c r="D158" s="5">
        <v>5</v>
      </c>
      <c r="E158" s="5" t="s">
        <v>772</v>
      </c>
      <c r="F158" s="5"/>
      <c r="G158" s="5"/>
      <c r="H158" s="5"/>
      <c r="I158" s="5"/>
      <c r="J158" s="32">
        <f>COUNTIF(TableFields[Field],Columns[[#This Row],[Column]])</f>
        <v>1</v>
      </c>
    </row>
    <row r="159" spans="1:10" x14ac:dyDescent="0.25">
      <c r="A159" s="5" t="s">
        <v>979</v>
      </c>
      <c r="B159" s="5" t="s">
        <v>770</v>
      </c>
      <c r="C159" s="5" t="s">
        <v>980</v>
      </c>
      <c r="D159" s="5">
        <v>5</v>
      </c>
      <c r="E159" s="5" t="s">
        <v>772</v>
      </c>
      <c r="F159" s="5"/>
      <c r="G159" s="5"/>
      <c r="H159" s="5"/>
      <c r="I159" s="5"/>
      <c r="J159" s="32">
        <f>COUNTIF(TableFields[Field],Columns[[#This Row],[Column]])</f>
        <v>1</v>
      </c>
    </row>
    <row r="160" spans="1:10" x14ac:dyDescent="0.25">
      <c r="A160" s="5" t="s">
        <v>981</v>
      </c>
      <c r="B160" s="5" t="s">
        <v>770</v>
      </c>
      <c r="C160" s="5" t="s">
        <v>982</v>
      </c>
      <c r="D160" s="5">
        <v>20</v>
      </c>
      <c r="E160" s="5" t="s">
        <v>772</v>
      </c>
      <c r="F160" s="5"/>
      <c r="G160" s="5"/>
      <c r="H160" s="5"/>
      <c r="I160" s="5"/>
      <c r="J160" s="32">
        <f>COUNTIF(TableFields[Field],Columns[[#This Row],[Column]])</f>
        <v>1</v>
      </c>
    </row>
    <row r="161" spans="1:10" x14ac:dyDescent="0.25">
      <c r="A161" s="5" t="s">
        <v>983</v>
      </c>
      <c r="B161" s="5" t="s">
        <v>818</v>
      </c>
      <c r="C161" s="5" t="s">
        <v>984</v>
      </c>
      <c r="D161" s="5" t="s">
        <v>1019</v>
      </c>
      <c r="E161" s="5" t="s">
        <v>772</v>
      </c>
      <c r="F161" s="5"/>
      <c r="G161" s="5"/>
      <c r="H161" s="5"/>
      <c r="I161" s="5"/>
      <c r="J161" s="32">
        <f>COUNTIF(TableFields[Field],Columns[[#This Row],[Column]])</f>
        <v>1</v>
      </c>
    </row>
    <row r="162" spans="1:10" x14ac:dyDescent="0.25">
      <c r="A162" s="5" t="s">
        <v>985</v>
      </c>
      <c r="B162" s="5" t="s">
        <v>818</v>
      </c>
      <c r="C162" s="5" t="s">
        <v>986</v>
      </c>
      <c r="D162" s="5" t="s">
        <v>1019</v>
      </c>
      <c r="E162" s="5" t="s">
        <v>772</v>
      </c>
      <c r="F162" s="5"/>
      <c r="G162" s="5"/>
      <c r="H162" s="5"/>
      <c r="I162" s="5"/>
      <c r="J162" s="32">
        <f>COUNTIF(TableFields[Field],Columns[[#This Row],[Column]])</f>
        <v>0</v>
      </c>
    </row>
    <row r="163" spans="1:10" x14ac:dyDescent="0.25">
      <c r="A163" s="5" t="s">
        <v>987</v>
      </c>
      <c r="B163" s="5" t="s">
        <v>832</v>
      </c>
      <c r="C163" s="5" t="s">
        <v>988</v>
      </c>
      <c r="D163" s="5"/>
      <c r="E163" s="5" t="s">
        <v>772</v>
      </c>
      <c r="F163" s="5"/>
      <c r="G163" s="5"/>
      <c r="H163" s="5"/>
      <c r="I163" s="5"/>
      <c r="J163" s="32">
        <f>COUNTIF(TableFields[Field],Columns[[#This Row],[Column]])</f>
        <v>1</v>
      </c>
    </row>
    <row r="164" spans="1:10" x14ac:dyDescent="0.25">
      <c r="A164" s="5" t="s">
        <v>989</v>
      </c>
      <c r="B164" s="5" t="s">
        <v>770</v>
      </c>
      <c r="C164" s="5" t="s">
        <v>990</v>
      </c>
      <c r="D164" s="5">
        <v>5</v>
      </c>
      <c r="E164" s="5" t="s">
        <v>772</v>
      </c>
      <c r="F164" s="5"/>
      <c r="G164" s="5"/>
      <c r="H164" s="5"/>
      <c r="I164" s="5"/>
      <c r="J164" s="32">
        <f>COUNTIF(TableFields[Field],Columns[[#This Row],[Column]])</f>
        <v>1</v>
      </c>
    </row>
    <row r="165" spans="1:10" x14ac:dyDescent="0.25">
      <c r="A165" s="5" t="s">
        <v>991</v>
      </c>
      <c r="B165" s="5" t="s">
        <v>770</v>
      </c>
      <c r="C165" s="5" t="s">
        <v>992</v>
      </c>
      <c r="D165" s="5">
        <v>5</v>
      </c>
      <c r="E165" s="5" t="s">
        <v>772</v>
      </c>
      <c r="F165" s="5"/>
      <c r="G165" s="5"/>
      <c r="H165" s="5"/>
      <c r="I165" s="5"/>
      <c r="J165" s="32">
        <f>COUNTIF(TableFields[Field],Columns[[#This Row],[Column]])</f>
        <v>1</v>
      </c>
    </row>
    <row r="166" spans="1:10" x14ac:dyDescent="0.25">
      <c r="A166" s="5" t="s">
        <v>993</v>
      </c>
      <c r="B166" s="5" t="s">
        <v>770</v>
      </c>
      <c r="C166" s="5" t="s">
        <v>994</v>
      </c>
      <c r="D166" s="5">
        <v>15</v>
      </c>
      <c r="E166" s="5" t="s">
        <v>772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 x14ac:dyDescent="0.25">
      <c r="A167" s="5" t="s">
        <v>995</v>
      </c>
      <c r="B167" s="5" t="s">
        <v>798</v>
      </c>
      <c r="C167" s="5" t="s">
        <v>1018</v>
      </c>
      <c r="D167" s="5">
        <v>60</v>
      </c>
      <c r="E167" s="5" t="s">
        <v>772</v>
      </c>
      <c r="F167" s="5"/>
      <c r="G167" s="5"/>
      <c r="H167" s="5"/>
      <c r="I167" s="5"/>
      <c r="J167" s="32">
        <f>COUNTIF(TableFields[Field],Columns[[#This Row],[Column]])</f>
        <v>0</v>
      </c>
    </row>
    <row r="168" spans="1:10" x14ac:dyDescent="0.25">
      <c r="A168" s="5" t="s">
        <v>996</v>
      </c>
      <c r="B168" s="5" t="s">
        <v>832</v>
      </c>
      <c r="C168" s="5" t="s">
        <v>997</v>
      </c>
      <c r="D168" s="5"/>
      <c r="E168" s="5" t="s">
        <v>772</v>
      </c>
      <c r="F168" s="5"/>
      <c r="G168" s="5"/>
      <c r="H168" s="5"/>
      <c r="I168" s="5"/>
      <c r="J168" s="32">
        <f>COUNTIF(TableFields[Field],Columns[[#This Row],[Column]])</f>
        <v>0</v>
      </c>
    </row>
    <row r="169" spans="1:10" x14ac:dyDescent="0.25">
      <c r="A169" s="5" t="s">
        <v>998</v>
      </c>
      <c r="B169" s="5" t="s">
        <v>832</v>
      </c>
      <c r="C169" s="5" t="s">
        <v>999</v>
      </c>
      <c r="D169" s="5"/>
      <c r="E169" s="5" t="s">
        <v>772</v>
      </c>
      <c r="F169" s="5"/>
      <c r="G169" s="5"/>
      <c r="H169" s="5"/>
      <c r="I169" s="5"/>
      <c r="J169" s="32">
        <f>COUNTIF(TableFields[Field],Columns[[#This Row],[Column]])</f>
        <v>0</v>
      </c>
    </row>
    <row r="170" spans="1:10" x14ac:dyDescent="0.25">
      <c r="A170" s="5" t="s">
        <v>1000</v>
      </c>
      <c r="B170" s="5" t="s">
        <v>818</v>
      </c>
      <c r="C170" s="5" t="s">
        <v>1001</v>
      </c>
      <c r="D170" s="5" t="s">
        <v>819</v>
      </c>
      <c r="E170" s="5" t="s">
        <v>820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 x14ac:dyDescent="0.25">
      <c r="A171" s="5" t="s">
        <v>1002</v>
      </c>
      <c r="B171" s="5" t="s">
        <v>818</v>
      </c>
      <c r="C171" s="5" t="s">
        <v>1003</v>
      </c>
      <c r="D171" s="5" t="s">
        <v>856</v>
      </c>
      <c r="E171" s="5" t="s">
        <v>828</v>
      </c>
      <c r="F171" s="5"/>
      <c r="G171" s="5"/>
      <c r="H171" s="5"/>
      <c r="I171" s="5"/>
      <c r="J171" s="32">
        <f>COUNTIF(TableFields[Field],Columns[[#This Row],[Column]])</f>
        <v>1</v>
      </c>
    </row>
    <row r="172" spans="1:10" x14ac:dyDescent="0.25">
      <c r="A172" s="5" t="s">
        <v>1004</v>
      </c>
      <c r="B172" s="5" t="s">
        <v>774</v>
      </c>
      <c r="C172" s="5" t="s">
        <v>1005</v>
      </c>
      <c r="D172" s="5" t="s">
        <v>1020</v>
      </c>
      <c r="E172" s="5" t="s">
        <v>1021</v>
      </c>
      <c r="F172" s="5"/>
      <c r="G172" s="5"/>
      <c r="H172" s="5"/>
      <c r="I172" s="5"/>
      <c r="J172" s="32">
        <f>COUNTIF(TableFields[Field],Columns[[#This Row],[Column]])</f>
        <v>0</v>
      </c>
    </row>
    <row r="173" spans="1:10" x14ac:dyDescent="0.25">
      <c r="A173" s="5" t="s">
        <v>1006</v>
      </c>
      <c r="B173" s="5" t="s">
        <v>774</v>
      </c>
      <c r="C173" s="5" t="s">
        <v>1007</v>
      </c>
      <c r="D173" s="5" t="s">
        <v>1022</v>
      </c>
      <c r="E173" s="5" t="s">
        <v>1023</v>
      </c>
      <c r="F173" s="5"/>
      <c r="G173" s="5"/>
      <c r="H173" s="5"/>
      <c r="I173" s="5"/>
      <c r="J173" s="32">
        <f>COUNTIF(TableFields[Field],Columns[[#This Row],[Column]])</f>
        <v>1</v>
      </c>
    </row>
    <row r="174" spans="1:10" x14ac:dyDescent="0.25">
      <c r="A174" s="5" t="s">
        <v>1016</v>
      </c>
      <c r="B174" s="5" t="s">
        <v>818</v>
      </c>
      <c r="C174" s="5" t="s">
        <v>1017</v>
      </c>
      <c r="D174" s="5" t="s">
        <v>1019</v>
      </c>
      <c r="E174" s="5" t="s">
        <v>828</v>
      </c>
      <c r="F174" s="5"/>
      <c r="G174" s="5"/>
      <c r="H174" s="5"/>
      <c r="I174" s="5"/>
      <c r="J174" s="32">
        <f>COUNTIF(TableFields[Field],Columns[[#This Row],[Column]])</f>
        <v>1</v>
      </c>
    </row>
    <row r="175" spans="1:10" x14ac:dyDescent="0.25">
      <c r="A175" s="5" t="s">
        <v>1024</v>
      </c>
      <c r="B175" s="5" t="s">
        <v>770</v>
      </c>
      <c r="C175" s="5" t="s">
        <v>1025</v>
      </c>
      <c r="D175" s="5">
        <v>15</v>
      </c>
      <c r="E175" s="5" t="s">
        <v>772</v>
      </c>
      <c r="F175" s="5"/>
      <c r="G175" s="5"/>
      <c r="H175" s="5"/>
      <c r="I175" s="5"/>
      <c r="J175" s="32">
        <f>COUNTIF(TableFields[Field],Columns[[#This Row],[Column]])</f>
        <v>0</v>
      </c>
    </row>
    <row r="176" spans="1:10" x14ac:dyDescent="0.25">
      <c r="A176" s="5" t="s">
        <v>1026</v>
      </c>
      <c r="B176" s="5" t="s">
        <v>770</v>
      </c>
      <c r="C176" s="5" t="s">
        <v>1027</v>
      </c>
      <c r="D176" s="5">
        <v>15</v>
      </c>
      <c r="E176" s="5" t="s">
        <v>772</v>
      </c>
      <c r="F176" s="5"/>
      <c r="G176" s="5"/>
      <c r="H176" s="5"/>
      <c r="I176" s="5"/>
      <c r="J176" s="32">
        <f>COUNTIF(TableFields[Field],Columns[[#This Row],[Column]])</f>
        <v>0</v>
      </c>
    </row>
    <row r="177" spans="1:10" x14ac:dyDescent="0.25">
      <c r="A177" s="5" t="s">
        <v>1028</v>
      </c>
      <c r="B177" s="5" t="s">
        <v>798</v>
      </c>
      <c r="C177" s="5" t="s">
        <v>1029</v>
      </c>
      <c r="D177" s="5">
        <v>60</v>
      </c>
      <c r="E177" s="5" t="s">
        <v>772</v>
      </c>
      <c r="F177" s="5"/>
      <c r="G177" s="5"/>
      <c r="H177" s="5"/>
      <c r="I177" s="5"/>
      <c r="J177" s="32">
        <f>COUNTIF(TableFields[Field],Columns[[#This Row],[Column]])</f>
        <v>0</v>
      </c>
    </row>
    <row r="178" spans="1:10" x14ac:dyDescent="0.25">
      <c r="A178" s="5" t="s">
        <v>1030</v>
      </c>
      <c r="B178" s="5" t="s">
        <v>832</v>
      </c>
      <c r="C178" s="5" t="s">
        <v>1031</v>
      </c>
      <c r="D178" s="5"/>
      <c r="E178" s="5" t="s">
        <v>772</v>
      </c>
      <c r="F178" s="5"/>
      <c r="G178" s="5"/>
      <c r="H178" s="5"/>
      <c r="I178" s="5"/>
      <c r="J178" s="32">
        <f>COUNTIF(TableFields[Field],Columns[[#This Row],[Column]])</f>
        <v>0</v>
      </c>
    </row>
    <row r="179" spans="1:10" x14ac:dyDescent="0.25">
      <c r="A179" s="5" t="s">
        <v>1032</v>
      </c>
      <c r="B179" s="5" t="s">
        <v>832</v>
      </c>
      <c r="C179" s="5" t="s">
        <v>1033</v>
      </c>
      <c r="D179" s="5"/>
      <c r="E179" s="5" t="s">
        <v>772</v>
      </c>
      <c r="F179" s="5"/>
      <c r="G179" s="5"/>
      <c r="H179" s="5"/>
      <c r="I179" s="5"/>
      <c r="J179" s="32">
        <f>COUNTIF(TableFields[Field],Columns[[#This Row],[Column]])</f>
        <v>0</v>
      </c>
    </row>
    <row r="180" spans="1:10" x14ac:dyDescent="0.25">
      <c r="A180" s="5" t="s">
        <v>1034</v>
      </c>
      <c r="B180" s="5" t="s">
        <v>832</v>
      </c>
      <c r="C180" s="5" t="s">
        <v>1035</v>
      </c>
      <c r="D180" s="5"/>
      <c r="E180" s="5" t="s">
        <v>772</v>
      </c>
      <c r="F180" s="5"/>
      <c r="G180" s="5"/>
      <c r="H180" s="5"/>
      <c r="I180" s="5"/>
      <c r="J180" s="32">
        <f>COUNTIF(TableFields[Field],Columns[[#This Row],[Column]])</f>
        <v>0</v>
      </c>
    </row>
    <row r="181" spans="1:10" x14ac:dyDescent="0.25">
      <c r="A181" s="5" t="s">
        <v>1036</v>
      </c>
      <c r="B181" s="5" t="s">
        <v>774</v>
      </c>
      <c r="C181" s="5" t="s">
        <v>1037</v>
      </c>
      <c r="D181" s="5" t="s">
        <v>1052</v>
      </c>
      <c r="E181" s="5" t="s">
        <v>1053</v>
      </c>
      <c r="F181" s="5"/>
      <c r="G181" s="5"/>
      <c r="H181" s="5"/>
      <c r="I181" s="5"/>
      <c r="J181" s="32">
        <f>COUNTIF(TableFields[Field],Columns[[#This Row],[Column]])</f>
        <v>0</v>
      </c>
    </row>
    <row r="182" spans="1:10" x14ac:dyDescent="0.25">
      <c r="A182" s="5" t="s">
        <v>1014</v>
      </c>
      <c r="B182" s="5" t="s">
        <v>774</v>
      </c>
      <c r="C182" s="5" t="s">
        <v>1015</v>
      </c>
      <c r="D182" s="5" t="s">
        <v>944</v>
      </c>
      <c r="E182" s="5" t="s">
        <v>948</v>
      </c>
      <c r="F182" s="5"/>
      <c r="G182" s="5"/>
      <c r="H182" s="5"/>
      <c r="I182" s="5"/>
      <c r="J182" s="32">
        <f>COUNTIF(TableFields[Field],Columns[[#This Row],[Column]])</f>
        <v>1</v>
      </c>
    </row>
    <row r="183" spans="1:10" x14ac:dyDescent="0.25">
      <c r="A183" s="5" t="s">
        <v>1038</v>
      </c>
      <c r="B183" s="5" t="s">
        <v>774</v>
      </c>
      <c r="C183" s="5" t="s">
        <v>1039</v>
      </c>
      <c r="D183" s="5" t="s">
        <v>1054</v>
      </c>
      <c r="E183" s="5" t="s">
        <v>1056</v>
      </c>
      <c r="F183" s="5"/>
      <c r="G183" s="5"/>
      <c r="H183" s="5"/>
      <c r="I183" s="5"/>
      <c r="J183" s="32">
        <f>COUNTIF(TableFields[Field],Columns[[#This Row],[Column]])</f>
        <v>0</v>
      </c>
    </row>
    <row r="184" spans="1:10" x14ac:dyDescent="0.25">
      <c r="A184" s="5" t="s">
        <v>1040</v>
      </c>
      <c r="B184" s="5" t="s">
        <v>832</v>
      </c>
      <c r="C184" s="5" t="s">
        <v>1041</v>
      </c>
      <c r="D184" s="5"/>
      <c r="E184" s="5" t="s">
        <v>772</v>
      </c>
      <c r="F184" s="5"/>
      <c r="G184" s="5"/>
      <c r="H184" s="5"/>
      <c r="I184" s="5"/>
      <c r="J184" s="32">
        <f>COUNTIF(TableFields[Field],Columns[[#This Row],[Column]])</f>
        <v>0</v>
      </c>
    </row>
    <row r="185" spans="1:10" x14ac:dyDescent="0.25">
      <c r="A185" s="5" t="s">
        <v>1042</v>
      </c>
      <c r="B185" s="5" t="s">
        <v>770</v>
      </c>
      <c r="C185" s="5" t="s">
        <v>1043</v>
      </c>
      <c r="D185" s="5">
        <v>5</v>
      </c>
      <c r="E185" s="5" t="s">
        <v>772</v>
      </c>
      <c r="F185" s="5"/>
      <c r="G185" s="5"/>
      <c r="H185" s="5"/>
      <c r="I185" s="5"/>
      <c r="J185" s="32">
        <f>COUNTIF(TableFields[Field],Columns[[#This Row],[Column]])</f>
        <v>1</v>
      </c>
    </row>
    <row r="186" spans="1:10" x14ac:dyDescent="0.25">
      <c r="A186" s="5" t="s">
        <v>1044</v>
      </c>
      <c r="B186" s="5" t="s">
        <v>770</v>
      </c>
      <c r="C186" s="5" t="s">
        <v>1045</v>
      </c>
      <c r="D186" s="5">
        <v>5</v>
      </c>
      <c r="E186" s="5" t="s">
        <v>772</v>
      </c>
      <c r="F186" s="5"/>
      <c r="G186" s="5"/>
      <c r="H186" s="5"/>
      <c r="I186" s="5"/>
      <c r="J186" s="32">
        <f>COUNTIF(TableFields[Field],Columns[[#This Row],[Column]])</f>
        <v>1</v>
      </c>
    </row>
    <row r="187" spans="1:10" x14ac:dyDescent="0.25">
      <c r="A187" s="5" t="s">
        <v>1046</v>
      </c>
      <c r="B187" s="5" t="s">
        <v>770</v>
      </c>
      <c r="C187" s="5" t="s">
        <v>1047</v>
      </c>
      <c r="D187" s="5">
        <v>5</v>
      </c>
      <c r="E187" s="5" t="s">
        <v>772</v>
      </c>
      <c r="F187" s="5"/>
      <c r="G187" s="5"/>
      <c r="H187" s="5"/>
      <c r="I187" s="5"/>
      <c r="J187" s="32">
        <f>COUNTIF(TableFields[Field],Columns[[#This Row],[Column]])</f>
        <v>1</v>
      </c>
    </row>
    <row r="188" spans="1:10" x14ac:dyDescent="0.25">
      <c r="A188" s="5" t="s">
        <v>1048</v>
      </c>
      <c r="B188" s="5" t="s">
        <v>770</v>
      </c>
      <c r="C188" s="5" t="s">
        <v>1049</v>
      </c>
      <c r="D188" s="5">
        <v>5</v>
      </c>
      <c r="E188" s="5" t="s">
        <v>772</v>
      </c>
      <c r="F188" s="5"/>
      <c r="G188" s="5"/>
      <c r="H188" s="5"/>
      <c r="I188" s="5"/>
      <c r="J188" s="32">
        <f>COUNTIF(TableFields[Field],Columns[[#This Row],[Column]])</f>
        <v>1</v>
      </c>
    </row>
    <row r="189" spans="1:10" x14ac:dyDescent="0.25">
      <c r="A189" s="5" t="s">
        <v>1050</v>
      </c>
      <c r="B189" s="5" t="s">
        <v>770</v>
      </c>
      <c r="C189" s="5" t="s">
        <v>1051</v>
      </c>
      <c r="D189" s="5">
        <v>20</v>
      </c>
      <c r="E189" s="5" t="s">
        <v>772</v>
      </c>
      <c r="F189" s="5"/>
      <c r="G189" s="5"/>
      <c r="H189" s="5"/>
      <c r="I189" s="5"/>
      <c r="J189" s="32">
        <f>COUNTIF(TableFields[Field],Columns[[#This Row],[Column]])</f>
        <v>1</v>
      </c>
    </row>
    <row r="190" spans="1:10" x14ac:dyDescent="0.25">
      <c r="A190" s="5" t="s">
        <v>1058</v>
      </c>
      <c r="B190" s="5" t="s">
        <v>818</v>
      </c>
      <c r="C190" s="5" t="s">
        <v>1059</v>
      </c>
      <c r="D190" s="5" t="s">
        <v>1057</v>
      </c>
      <c r="E190" s="5" t="s">
        <v>772</v>
      </c>
      <c r="F190" s="5"/>
      <c r="G190" s="5"/>
      <c r="H190" s="5"/>
      <c r="I190" s="5"/>
      <c r="J190" s="32">
        <f>COUNTIF(TableFields[Field],Columns[[#This Row],[Column]])</f>
        <v>1</v>
      </c>
    </row>
    <row r="191" spans="1:10" x14ac:dyDescent="0.25">
      <c r="A191" s="5" t="s">
        <v>1060</v>
      </c>
      <c r="B191" s="5" t="s">
        <v>798</v>
      </c>
      <c r="C191" s="5" t="s">
        <v>1061</v>
      </c>
      <c r="D191" s="5">
        <v>60</v>
      </c>
      <c r="E191" s="5" t="s">
        <v>772</v>
      </c>
      <c r="F191" s="5"/>
      <c r="G191" s="5"/>
      <c r="H191" s="5"/>
      <c r="I191" s="5"/>
      <c r="J191" s="32">
        <f>COUNTIF(TableFields[Field],Columns[[#This Row],[Column]])</f>
        <v>1</v>
      </c>
    </row>
    <row r="192" spans="1:10" x14ac:dyDescent="0.25">
      <c r="A192" s="5" t="s">
        <v>1062</v>
      </c>
      <c r="B192" s="5" t="s">
        <v>832</v>
      </c>
      <c r="C192" s="5" t="s">
        <v>1063</v>
      </c>
      <c r="D192" s="5"/>
      <c r="E192" s="5" t="s">
        <v>772</v>
      </c>
      <c r="F192" s="5"/>
      <c r="G192" s="5"/>
      <c r="H192" s="5"/>
      <c r="I192" s="5"/>
      <c r="J192" s="32">
        <f>COUNTIF(TableFields[Field],Columns[[#This Row],[Column]])</f>
        <v>1</v>
      </c>
    </row>
    <row r="193" spans="1:10" x14ac:dyDescent="0.25">
      <c r="A193" s="5" t="s">
        <v>1064</v>
      </c>
      <c r="B193" s="5" t="s">
        <v>798</v>
      </c>
      <c r="C193" s="5" t="s">
        <v>1065</v>
      </c>
      <c r="D193" s="5">
        <v>255</v>
      </c>
      <c r="E193" s="5" t="s">
        <v>772</v>
      </c>
      <c r="F193" s="5"/>
      <c r="G193" s="5"/>
      <c r="H193" s="5"/>
      <c r="I193" s="5"/>
      <c r="J193" s="32">
        <f>COUNTIF(TableFields[Field],Columns[[#This Row],[Column]])</f>
        <v>1</v>
      </c>
    </row>
    <row r="194" spans="1:10" x14ac:dyDescent="0.25">
      <c r="A194" s="5" t="s">
        <v>1066</v>
      </c>
      <c r="B194" s="5" t="s">
        <v>798</v>
      </c>
      <c r="C194" s="5" t="s">
        <v>1067</v>
      </c>
      <c r="D194" s="5">
        <v>255</v>
      </c>
      <c r="E194" s="5" t="s">
        <v>772</v>
      </c>
      <c r="F194" s="5"/>
      <c r="G194" s="5"/>
      <c r="H194" s="5"/>
      <c r="I194" s="5"/>
      <c r="J194" s="32">
        <f>COUNTIF(TableFields[Field],Columns[[#This Row],[Column]])</f>
        <v>1</v>
      </c>
    </row>
    <row r="195" spans="1:10" x14ac:dyDescent="0.25">
      <c r="A195" s="5" t="s">
        <v>1068</v>
      </c>
      <c r="B195" s="5" t="s">
        <v>818</v>
      </c>
      <c r="C195" s="5" t="s">
        <v>1069</v>
      </c>
      <c r="D195" s="5" t="s">
        <v>1057</v>
      </c>
      <c r="E195" s="5" t="s">
        <v>772</v>
      </c>
      <c r="F195" s="5"/>
      <c r="G195" s="5"/>
      <c r="H195" s="5"/>
      <c r="I195" s="5"/>
      <c r="J195" s="32">
        <f>COUNTIF(TableFields[Field],Columns[[#This Row],[Column]])</f>
        <v>1</v>
      </c>
    </row>
    <row r="196" spans="1:10" x14ac:dyDescent="0.25">
      <c r="A196" s="5" t="s">
        <v>1008</v>
      </c>
      <c r="B196" s="5" t="s">
        <v>774</v>
      </c>
      <c r="C196" s="5" t="s">
        <v>1009</v>
      </c>
      <c r="D196" s="5" t="s">
        <v>1052</v>
      </c>
      <c r="E196" s="5" t="s">
        <v>772</v>
      </c>
      <c r="F196" s="5" t="s">
        <v>1053</v>
      </c>
      <c r="G196" s="5"/>
      <c r="H196" s="5"/>
      <c r="I196" s="5"/>
      <c r="J196" s="32">
        <f>COUNTIF(TableFields[Field],Columns[[#This Row],[Column]])</f>
        <v>1</v>
      </c>
    </row>
    <row r="197" spans="1:10" x14ac:dyDescent="0.25">
      <c r="A197" s="5" t="s">
        <v>1010</v>
      </c>
      <c r="B197" s="5" t="s">
        <v>774</v>
      </c>
      <c r="C197" s="5" t="s">
        <v>1011</v>
      </c>
      <c r="D197" s="5" t="s">
        <v>1070</v>
      </c>
      <c r="E197" s="5" t="s">
        <v>772</v>
      </c>
      <c r="F197" s="5" t="s">
        <v>1072</v>
      </c>
      <c r="G197" s="5"/>
      <c r="H197" s="5"/>
      <c r="I197" s="5"/>
      <c r="J197" s="32">
        <f>COUNTIF(TableFields[Field],Columns[[#This Row],[Column]])</f>
        <v>1</v>
      </c>
    </row>
    <row r="198" spans="1:10" x14ac:dyDescent="0.25">
      <c r="A198" s="5" t="s">
        <v>1012</v>
      </c>
      <c r="B198" s="5" t="s">
        <v>774</v>
      </c>
      <c r="C198" s="5" t="s">
        <v>1013</v>
      </c>
      <c r="D198" s="5" t="s">
        <v>1071</v>
      </c>
      <c r="E198" s="5" t="s">
        <v>772</v>
      </c>
      <c r="F198" s="5" t="s">
        <v>1073</v>
      </c>
      <c r="G198" s="5"/>
      <c r="H198" s="5"/>
      <c r="I198" s="5"/>
      <c r="J198" s="32">
        <f>COUNTIF(TableFields[Field],Columns[[#This Row],[Column]])</f>
        <v>1</v>
      </c>
    </row>
    <row r="199" spans="1:10" x14ac:dyDescent="0.25">
      <c r="A199" s="5" t="s">
        <v>1075</v>
      </c>
      <c r="B199" s="5" t="s">
        <v>770</v>
      </c>
      <c r="C199" s="5" t="s">
        <v>1076</v>
      </c>
      <c r="D199" s="5">
        <v>15</v>
      </c>
      <c r="E199" s="5" t="s">
        <v>772</v>
      </c>
      <c r="F199" s="5"/>
      <c r="G199" s="5"/>
      <c r="H199" s="5"/>
      <c r="I199" s="5"/>
      <c r="J199" s="32">
        <f>COUNTIF(TableFields[Field],Columns[[#This Row],[Column]])</f>
        <v>1</v>
      </c>
    </row>
    <row r="200" spans="1:10" x14ac:dyDescent="0.25">
      <c r="A200" s="5" t="s">
        <v>1077</v>
      </c>
      <c r="B200" s="5" t="s">
        <v>774</v>
      </c>
      <c r="C200" s="5" t="s">
        <v>1078</v>
      </c>
      <c r="D200" s="5" t="s">
        <v>1079</v>
      </c>
      <c r="E200" s="5" t="s">
        <v>772</v>
      </c>
      <c r="F200" s="5" t="s">
        <v>1023</v>
      </c>
      <c r="G200" s="5"/>
      <c r="H200" s="5"/>
      <c r="I200" s="5"/>
      <c r="J200" s="32">
        <f>COUNTIF(TableFields[Field],Columns[[#This Row],[Column]])</f>
        <v>1</v>
      </c>
    </row>
    <row r="201" spans="1:10" x14ac:dyDescent="0.25">
      <c r="A201" s="5" t="s">
        <v>1080</v>
      </c>
      <c r="B201" s="5" t="s">
        <v>818</v>
      </c>
      <c r="C201" s="5" t="s">
        <v>1081</v>
      </c>
      <c r="D201" s="5" t="s">
        <v>1019</v>
      </c>
      <c r="E201" s="5" t="s">
        <v>772</v>
      </c>
      <c r="F201" s="5" t="s">
        <v>1257</v>
      </c>
      <c r="G201" s="5"/>
      <c r="H201" s="5"/>
      <c r="I201" s="5"/>
      <c r="J201" s="32">
        <f>COUNTIF(TableFields[Field],Columns[[#This Row],[Column]])</f>
        <v>1</v>
      </c>
    </row>
    <row r="202" spans="1:10" x14ac:dyDescent="0.25">
      <c r="A202" s="5" t="s">
        <v>1082</v>
      </c>
      <c r="B202" s="5" t="s">
        <v>818</v>
      </c>
      <c r="C202" s="5" t="s">
        <v>1083</v>
      </c>
      <c r="D202" s="5" t="s">
        <v>1019</v>
      </c>
      <c r="E202" s="5" t="s">
        <v>772</v>
      </c>
      <c r="F202" s="5" t="s">
        <v>1258</v>
      </c>
      <c r="G202" s="5"/>
      <c r="H202" s="5"/>
      <c r="I202" s="5"/>
      <c r="J202" s="32">
        <f>COUNTIF(TableFields[Field],Columns[[#This Row],[Column]])</f>
        <v>1</v>
      </c>
    </row>
    <row r="203" spans="1:10" x14ac:dyDescent="0.25">
      <c r="A203" s="5" t="s">
        <v>1084</v>
      </c>
      <c r="B203" s="5" t="s">
        <v>818</v>
      </c>
      <c r="C203" s="5" t="s">
        <v>1085</v>
      </c>
      <c r="D203" s="5" t="s">
        <v>1019</v>
      </c>
      <c r="E203" s="5" t="s">
        <v>772</v>
      </c>
      <c r="F203" s="5" t="s">
        <v>1258</v>
      </c>
      <c r="G203" s="5"/>
      <c r="H203" s="5"/>
      <c r="I203" s="5"/>
      <c r="J203" s="32">
        <f>COUNTIF(TableFields[Field],Columns[[#This Row],[Column]])</f>
        <v>1</v>
      </c>
    </row>
    <row r="204" spans="1:10" x14ac:dyDescent="0.25">
      <c r="A204" s="5" t="s">
        <v>1086</v>
      </c>
      <c r="B204" s="5" t="s">
        <v>818</v>
      </c>
      <c r="C204" s="5" t="s">
        <v>1087</v>
      </c>
      <c r="D204" s="5" t="s">
        <v>1019</v>
      </c>
      <c r="E204" s="5" t="s">
        <v>772</v>
      </c>
      <c r="F204" s="5" t="s">
        <v>1259</v>
      </c>
      <c r="G204" s="5"/>
      <c r="H204" s="5"/>
      <c r="I204" s="5"/>
      <c r="J204" s="32">
        <f>COUNTIF(TableFields[Field],Columns[[#This Row],[Column]])</f>
        <v>1</v>
      </c>
    </row>
    <row r="205" spans="1:10" x14ac:dyDescent="0.25">
      <c r="A205" s="5" t="s">
        <v>1088</v>
      </c>
      <c r="B205" s="5" t="s">
        <v>774</v>
      </c>
      <c r="C205" s="5" t="s">
        <v>1089</v>
      </c>
      <c r="D205" s="5" t="s">
        <v>944</v>
      </c>
      <c r="E205" s="5" t="s">
        <v>772</v>
      </c>
      <c r="F205" s="5"/>
      <c r="G205" s="5"/>
      <c r="H205" s="5"/>
      <c r="I205" s="5"/>
      <c r="J205" s="32">
        <f>COUNTIF(TableFields[Field],Columns[[#This Row],[Column]])</f>
        <v>1</v>
      </c>
    </row>
    <row r="206" spans="1:10" x14ac:dyDescent="0.25">
      <c r="A206" s="5" t="s">
        <v>1090</v>
      </c>
      <c r="B206" s="5" t="s">
        <v>774</v>
      </c>
      <c r="C206" s="5" t="s">
        <v>1091</v>
      </c>
      <c r="D206" s="5" t="s">
        <v>944</v>
      </c>
      <c r="E206" s="5" t="s">
        <v>772</v>
      </c>
      <c r="F206" s="5"/>
      <c r="G206" s="5"/>
      <c r="H206" s="5"/>
      <c r="I206" s="5"/>
      <c r="J206" s="32">
        <f>COUNTIF(TableFields[Field],Columns[[#This Row],[Column]])</f>
        <v>1</v>
      </c>
    </row>
    <row r="207" spans="1:10" x14ac:dyDescent="0.25">
      <c r="A207" s="5" t="s">
        <v>1092</v>
      </c>
      <c r="B207" s="5" t="s">
        <v>774</v>
      </c>
      <c r="C207" s="5" t="s">
        <v>1093</v>
      </c>
      <c r="D207" s="5" t="s">
        <v>944</v>
      </c>
      <c r="E207" s="5" t="s">
        <v>772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1094</v>
      </c>
      <c r="B208" s="5" t="s">
        <v>774</v>
      </c>
      <c r="C208" s="5" t="s">
        <v>1095</v>
      </c>
      <c r="D208" s="5" t="s">
        <v>944</v>
      </c>
      <c r="E208" s="5" t="s">
        <v>772</v>
      </c>
      <c r="F208" s="5"/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1096</v>
      </c>
      <c r="B209" s="5" t="s">
        <v>798</v>
      </c>
      <c r="C209" s="5" t="s">
        <v>1097</v>
      </c>
      <c r="D209" s="5">
        <v>30</v>
      </c>
      <c r="E209" s="5" t="s">
        <v>772</v>
      </c>
      <c r="F209" s="5" t="s">
        <v>1098</v>
      </c>
      <c r="G209" s="5"/>
      <c r="H209" s="5"/>
      <c r="I209" s="5"/>
      <c r="J209" s="32">
        <f>COUNTIF(TableFields[Field],Columns[[#This Row],[Column]])</f>
        <v>1</v>
      </c>
    </row>
    <row r="210" spans="1:10" x14ac:dyDescent="0.25">
      <c r="A210" s="5" t="s">
        <v>1099</v>
      </c>
      <c r="B210" s="5" t="s">
        <v>798</v>
      </c>
      <c r="C210" s="5" t="s">
        <v>1100</v>
      </c>
      <c r="D210" s="5">
        <v>30</v>
      </c>
      <c r="E210" s="5" t="s">
        <v>772</v>
      </c>
      <c r="F210" s="5" t="s">
        <v>1098</v>
      </c>
      <c r="G210" s="5"/>
      <c r="H210" s="5"/>
      <c r="I210" s="5"/>
      <c r="J210" s="32">
        <f>COUNTIF(TableFields[Field],Columns[[#This Row],[Column]])</f>
        <v>1</v>
      </c>
    </row>
    <row r="211" spans="1:10" x14ac:dyDescent="0.25">
      <c r="A211" s="5" t="s">
        <v>1101</v>
      </c>
      <c r="B211" s="5" t="s">
        <v>798</v>
      </c>
      <c r="C211" s="5" t="s">
        <v>1102</v>
      </c>
      <c r="D211" s="5">
        <v>30</v>
      </c>
      <c r="E211" s="5" t="s">
        <v>772</v>
      </c>
      <c r="F211" s="5" t="s">
        <v>1098</v>
      </c>
      <c r="G211" s="5"/>
      <c r="H211" s="5"/>
      <c r="I211" s="5"/>
      <c r="J211" s="32">
        <f>COUNTIF(TableFields[Field],Columns[[#This Row],[Column]])</f>
        <v>1</v>
      </c>
    </row>
    <row r="212" spans="1:10" x14ac:dyDescent="0.25">
      <c r="A212" s="5" t="s">
        <v>1103</v>
      </c>
      <c r="B212" s="5" t="s">
        <v>798</v>
      </c>
      <c r="C212" s="5" t="s">
        <v>1104</v>
      </c>
      <c r="D212" s="5">
        <v>30</v>
      </c>
      <c r="E212" s="5" t="s">
        <v>772</v>
      </c>
      <c r="F212" s="5" t="s">
        <v>1098</v>
      </c>
      <c r="G212" s="5"/>
      <c r="H212" s="5"/>
      <c r="I212" s="5"/>
      <c r="J212" s="32">
        <f>COUNTIF(TableFields[Field],Columns[[#This Row],[Column]])</f>
        <v>1</v>
      </c>
    </row>
    <row r="213" spans="1:10" x14ac:dyDescent="0.25">
      <c r="A213" s="5" t="s">
        <v>1105</v>
      </c>
      <c r="B213" s="5" t="s">
        <v>798</v>
      </c>
      <c r="C213" s="5" t="s">
        <v>1106</v>
      </c>
      <c r="D213" s="5">
        <v>200</v>
      </c>
      <c r="E213" s="5" t="s">
        <v>772</v>
      </c>
      <c r="F213" s="5"/>
      <c r="G213" s="5"/>
      <c r="H213" s="5"/>
      <c r="I213" s="5"/>
      <c r="J213" s="32">
        <f>COUNTIF(TableFields[Field],Columns[[#This Row],[Column]])</f>
        <v>1</v>
      </c>
    </row>
    <row r="214" spans="1:10" x14ac:dyDescent="0.25">
      <c r="A214" s="5" t="s">
        <v>1107</v>
      </c>
      <c r="B214" s="5" t="s">
        <v>774</v>
      </c>
      <c r="C214" s="5" t="s">
        <v>1108</v>
      </c>
      <c r="D214" s="5" t="s">
        <v>944</v>
      </c>
      <c r="E214" s="5" t="s">
        <v>772</v>
      </c>
      <c r="F214" s="5" t="s">
        <v>948</v>
      </c>
      <c r="G214" s="5"/>
      <c r="H214" s="5"/>
      <c r="I214" s="5"/>
      <c r="J214" s="32">
        <f>COUNTIF(TableFields[Field],Columns[[#This Row],[Column]])</f>
        <v>1</v>
      </c>
    </row>
    <row r="215" spans="1:10" x14ac:dyDescent="0.25">
      <c r="A215" s="5" t="s">
        <v>1109</v>
      </c>
      <c r="B215" s="5" t="s">
        <v>774</v>
      </c>
      <c r="C215" s="5" t="s">
        <v>1110</v>
      </c>
      <c r="D215" s="5" t="s">
        <v>944</v>
      </c>
      <c r="E215" s="5" t="s">
        <v>772</v>
      </c>
      <c r="F215" s="5" t="s">
        <v>948</v>
      </c>
      <c r="G215" s="5"/>
      <c r="H215" s="5"/>
      <c r="I215" s="5"/>
      <c r="J215" s="32">
        <f>COUNTIF(TableFields[Field],Columns[[#This Row],[Column]])</f>
        <v>1</v>
      </c>
    </row>
    <row r="216" spans="1:10" x14ac:dyDescent="0.25">
      <c r="A216" s="5" t="s">
        <v>1111</v>
      </c>
      <c r="B216" s="5" t="s">
        <v>774</v>
      </c>
      <c r="C216" s="5" t="s">
        <v>1112</v>
      </c>
      <c r="D216" s="5" t="s">
        <v>944</v>
      </c>
      <c r="E216" s="5" t="s">
        <v>772</v>
      </c>
      <c r="F216" s="5" t="s">
        <v>948</v>
      </c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1113</v>
      </c>
      <c r="B217" s="5" t="s">
        <v>774</v>
      </c>
      <c r="C217" s="5" t="s">
        <v>1114</v>
      </c>
      <c r="D217" s="5" t="s">
        <v>944</v>
      </c>
      <c r="E217" s="5" t="s">
        <v>772</v>
      </c>
      <c r="F217" s="5" t="s">
        <v>948</v>
      </c>
      <c r="G217" s="5"/>
      <c r="H217" s="5"/>
      <c r="I217" s="5"/>
      <c r="J217" s="32">
        <f>COUNTIF(TableFields[Field],Columns[[#This Row],[Column]])</f>
        <v>1</v>
      </c>
    </row>
    <row r="218" spans="1:10" x14ac:dyDescent="0.25">
      <c r="A218" s="5" t="s">
        <v>1115</v>
      </c>
      <c r="B218" s="5" t="s">
        <v>774</v>
      </c>
      <c r="C218" s="5" t="s">
        <v>1116</v>
      </c>
      <c r="D218" s="5" t="s">
        <v>944</v>
      </c>
      <c r="E218" s="5" t="s">
        <v>772</v>
      </c>
      <c r="F218" s="5" t="s">
        <v>948</v>
      </c>
      <c r="G218" s="5"/>
      <c r="H218" s="5"/>
      <c r="I218" s="5"/>
      <c r="J218" s="32">
        <f>COUNTIF(TableFields[Field],Columns[[#This Row],[Column]])</f>
        <v>1</v>
      </c>
    </row>
    <row r="219" spans="1:10" x14ac:dyDescent="0.25">
      <c r="A219" s="5" t="s">
        <v>1117</v>
      </c>
      <c r="B219" s="5" t="s">
        <v>774</v>
      </c>
      <c r="C219" s="5" t="s">
        <v>1118</v>
      </c>
      <c r="D219" s="5" t="s">
        <v>944</v>
      </c>
      <c r="E219" s="5" t="s">
        <v>772</v>
      </c>
      <c r="F219" s="5" t="s">
        <v>948</v>
      </c>
      <c r="G219" s="5"/>
      <c r="H219" s="5"/>
      <c r="I219" s="5"/>
      <c r="J219" s="32">
        <f>COUNTIF(TableFields[Field],Columns[[#This Row],[Column]])</f>
        <v>1</v>
      </c>
    </row>
    <row r="220" spans="1:10" x14ac:dyDescent="0.25">
      <c r="A220" s="5" t="s">
        <v>1119</v>
      </c>
      <c r="B220" s="5" t="s">
        <v>774</v>
      </c>
      <c r="C220" s="5" t="s">
        <v>1120</v>
      </c>
      <c r="D220" s="5" t="s">
        <v>944</v>
      </c>
      <c r="E220" s="5" t="s">
        <v>772</v>
      </c>
      <c r="F220" s="5" t="s">
        <v>948</v>
      </c>
      <c r="G220" s="5"/>
      <c r="H220" s="5"/>
      <c r="I220" s="5"/>
      <c r="J220" s="32">
        <f>COUNTIF(TableFields[Field],Columns[[#This Row],[Column]])</f>
        <v>1</v>
      </c>
    </row>
    <row r="221" spans="1:10" x14ac:dyDescent="0.25">
      <c r="A221" s="5" t="s">
        <v>1121</v>
      </c>
      <c r="B221" s="5" t="s">
        <v>798</v>
      </c>
      <c r="C221" s="5" t="s">
        <v>1122</v>
      </c>
      <c r="D221" s="5">
        <v>60</v>
      </c>
      <c r="E221" s="5" t="s">
        <v>772</v>
      </c>
      <c r="F221" s="5"/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1123</v>
      </c>
      <c r="B222" s="5" t="s">
        <v>774</v>
      </c>
      <c r="C222" s="5" t="s">
        <v>1124</v>
      </c>
      <c r="D222" s="5" t="s">
        <v>1125</v>
      </c>
      <c r="E222" s="5" t="s">
        <v>772</v>
      </c>
      <c r="F222" s="5" t="s">
        <v>1126</v>
      </c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1127</v>
      </c>
      <c r="B223" s="5" t="s">
        <v>774</v>
      </c>
      <c r="C223" s="5" t="s">
        <v>1128</v>
      </c>
      <c r="D223" s="5" t="s">
        <v>944</v>
      </c>
      <c r="E223" s="5" t="s">
        <v>772</v>
      </c>
      <c r="F223" s="5" t="s">
        <v>948</v>
      </c>
      <c r="G223" s="5"/>
      <c r="H223" s="5"/>
      <c r="I223" s="5"/>
      <c r="J223" s="32">
        <f>COUNTIF(TableFields[Field],Columns[[#This Row],[Column]])</f>
        <v>1</v>
      </c>
    </row>
    <row r="224" spans="1:10" x14ac:dyDescent="0.25">
      <c r="A224" s="5" t="s">
        <v>1129</v>
      </c>
      <c r="B224" s="5" t="s">
        <v>774</v>
      </c>
      <c r="C224" s="5" t="s">
        <v>1130</v>
      </c>
      <c r="D224" s="5" t="s">
        <v>1131</v>
      </c>
      <c r="E224" s="5" t="s">
        <v>772</v>
      </c>
      <c r="F224" s="5" t="s">
        <v>1132</v>
      </c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1133</v>
      </c>
      <c r="B225" s="5" t="s">
        <v>798</v>
      </c>
      <c r="C225" s="5" t="s">
        <v>1134</v>
      </c>
      <c r="D225" s="5">
        <v>200</v>
      </c>
      <c r="E225" s="5" t="s">
        <v>772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1135</v>
      </c>
      <c r="B226" s="5" t="s">
        <v>798</v>
      </c>
      <c r="C226" s="5" t="s">
        <v>1136</v>
      </c>
      <c r="D226" s="5">
        <v>200</v>
      </c>
      <c r="E226" s="5" t="s">
        <v>772</v>
      </c>
      <c r="F226" s="5"/>
      <c r="G226" s="5"/>
      <c r="H226" s="5"/>
      <c r="I226" s="5"/>
      <c r="J226" s="32">
        <f>COUNTIF(TableFields[Field],Columns[[#This Row],[Column]])</f>
        <v>1</v>
      </c>
    </row>
    <row r="227" spans="1:10" x14ac:dyDescent="0.25">
      <c r="A227" s="5" t="s">
        <v>1137</v>
      </c>
      <c r="B227" s="5" t="s">
        <v>774</v>
      </c>
      <c r="C227" s="5" t="s">
        <v>1138</v>
      </c>
      <c r="D227" s="5" t="s">
        <v>1139</v>
      </c>
      <c r="E227" s="5" t="s">
        <v>772</v>
      </c>
      <c r="F227" s="5" t="s">
        <v>942</v>
      </c>
      <c r="G227" s="5"/>
      <c r="H227" s="5"/>
      <c r="I227" s="5"/>
      <c r="J227" s="32">
        <f>COUNTIF(TableFields[Field],Columns[[#This Row],[Column]])</f>
        <v>1</v>
      </c>
    </row>
    <row r="228" spans="1:10" x14ac:dyDescent="0.25">
      <c r="A228" s="5" t="s">
        <v>1140</v>
      </c>
      <c r="B228" s="5" t="s">
        <v>774</v>
      </c>
      <c r="C228" s="5" t="s">
        <v>1141</v>
      </c>
      <c r="D228" s="5" t="s">
        <v>1142</v>
      </c>
      <c r="E228" s="5" t="s">
        <v>772</v>
      </c>
      <c r="F228" s="5" t="s">
        <v>942</v>
      </c>
      <c r="G228" s="5"/>
      <c r="H228" s="5"/>
      <c r="I228" s="5"/>
      <c r="J228" s="32">
        <f>COUNTIF(TableFields[Field],Columns[[#This Row],[Column]])</f>
        <v>1</v>
      </c>
    </row>
    <row r="229" spans="1:10" x14ac:dyDescent="0.25">
      <c r="A229" s="5" t="s">
        <v>1143</v>
      </c>
      <c r="B229" s="5" t="s">
        <v>774</v>
      </c>
      <c r="C229" s="5" t="s">
        <v>1144</v>
      </c>
      <c r="D229" s="5" t="s">
        <v>1145</v>
      </c>
      <c r="E229" s="5" t="s">
        <v>772</v>
      </c>
      <c r="F229" s="5" t="s">
        <v>1146</v>
      </c>
      <c r="G229" s="5"/>
      <c r="H229" s="5"/>
      <c r="I229" s="5"/>
      <c r="J229" s="32">
        <f>COUNTIF(TableFields[Field],Columns[[#This Row],[Column]])</f>
        <v>1</v>
      </c>
    </row>
    <row r="230" spans="1:10" x14ac:dyDescent="0.25">
      <c r="A230" s="5" t="s">
        <v>1147</v>
      </c>
      <c r="B230" s="5" t="s">
        <v>770</v>
      </c>
      <c r="C230" s="5" t="s">
        <v>1148</v>
      </c>
      <c r="D230" s="5">
        <v>15</v>
      </c>
      <c r="E230" s="5" t="s">
        <v>772</v>
      </c>
      <c r="F230" s="5" t="s">
        <v>1149</v>
      </c>
      <c r="G230" s="5"/>
      <c r="H230" s="5"/>
      <c r="I230" s="5"/>
      <c r="J230" s="32">
        <f>COUNTIF(TableFields[Field],Columns[[#This Row],[Column]])</f>
        <v>1</v>
      </c>
    </row>
    <row r="231" spans="1:10" x14ac:dyDescent="0.25">
      <c r="A231" s="5" t="s">
        <v>1150</v>
      </c>
      <c r="B231" s="5" t="s">
        <v>770</v>
      </c>
      <c r="C231" s="5" t="s">
        <v>1151</v>
      </c>
      <c r="D231" s="5">
        <v>15</v>
      </c>
      <c r="E231" s="5" t="s">
        <v>772</v>
      </c>
      <c r="F231" s="5" t="s">
        <v>1152</v>
      </c>
      <c r="G231" s="5"/>
      <c r="H231" s="5"/>
      <c r="I231" s="5"/>
      <c r="J231" s="32">
        <f>COUNTIF(TableFields[Field],Columns[[#This Row],[Column]])</f>
        <v>1</v>
      </c>
    </row>
    <row r="232" spans="1:10" x14ac:dyDescent="0.25">
      <c r="A232" s="5" t="s">
        <v>1153</v>
      </c>
      <c r="B232" s="5" t="s">
        <v>774</v>
      </c>
      <c r="C232" s="5" t="s">
        <v>1154</v>
      </c>
      <c r="D232" s="5" t="s">
        <v>944</v>
      </c>
      <c r="E232" s="5" t="s">
        <v>772</v>
      </c>
      <c r="F232" s="5" t="s">
        <v>1155</v>
      </c>
      <c r="G232" s="5"/>
      <c r="H232" s="5"/>
      <c r="I232" s="5"/>
      <c r="J232" s="32">
        <f>COUNTIF(TableFields[Field],Columns[[#This Row],[Column]])</f>
        <v>1</v>
      </c>
    </row>
    <row r="233" spans="1:10" x14ac:dyDescent="0.25">
      <c r="A233" s="5" t="s">
        <v>1156</v>
      </c>
      <c r="B233" s="5" t="s">
        <v>774</v>
      </c>
      <c r="C233" s="5" t="s">
        <v>1157</v>
      </c>
      <c r="D233" s="5" t="s">
        <v>944</v>
      </c>
      <c r="E233" s="5" t="s">
        <v>772</v>
      </c>
      <c r="F233" s="5" t="s">
        <v>948</v>
      </c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1158</v>
      </c>
      <c r="B234" s="5" t="s">
        <v>774</v>
      </c>
      <c r="C234" s="5" t="s">
        <v>1159</v>
      </c>
      <c r="D234" s="5" t="s">
        <v>1160</v>
      </c>
      <c r="E234" s="5" t="s">
        <v>772</v>
      </c>
      <c r="F234" s="5" t="s">
        <v>1161</v>
      </c>
      <c r="G234" s="5"/>
      <c r="H234" s="5"/>
      <c r="I234" s="5"/>
      <c r="J234" s="32">
        <f>COUNTIF(TableFields[Field],Columns[[#This Row],[Column]])</f>
        <v>1</v>
      </c>
    </row>
    <row r="235" spans="1:10" x14ac:dyDescent="0.25">
      <c r="A235" s="5" t="s">
        <v>1162</v>
      </c>
      <c r="B235" s="5" t="s">
        <v>774</v>
      </c>
      <c r="C235" s="5" t="s">
        <v>1163</v>
      </c>
      <c r="D235" s="5" t="s">
        <v>944</v>
      </c>
      <c r="E235" s="5" t="s">
        <v>772</v>
      </c>
      <c r="F235" s="5" t="s">
        <v>948</v>
      </c>
      <c r="G235" s="5"/>
      <c r="H235" s="5"/>
      <c r="I235" s="5"/>
      <c r="J235" s="32">
        <f>COUNTIF(TableFields[Field],Columns[[#This Row],[Column]])</f>
        <v>1</v>
      </c>
    </row>
    <row r="236" spans="1:10" x14ac:dyDescent="0.25">
      <c r="A236" s="5" t="s">
        <v>1164</v>
      </c>
      <c r="B236" s="5" t="s">
        <v>798</v>
      </c>
      <c r="C236" s="5" t="s">
        <v>1165</v>
      </c>
      <c r="D236" s="5">
        <v>30</v>
      </c>
      <c r="E236" s="5" t="s">
        <v>772</v>
      </c>
      <c r="F236" s="1" t="s">
        <v>1768</v>
      </c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1166</v>
      </c>
      <c r="B237" s="5" t="s">
        <v>774</v>
      </c>
      <c r="C237" s="5" t="s">
        <v>1167</v>
      </c>
      <c r="D237" s="5" t="s">
        <v>1168</v>
      </c>
      <c r="E237" s="5" t="s">
        <v>772</v>
      </c>
      <c r="F237" s="5" t="s">
        <v>1169</v>
      </c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1170</v>
      </c>
      <c r="B238" s="5" t="s">
        <v>774</v>
      </c>
      <c r="C238" s="5" t="s">
        <v>1171</v>
      </c>
      <c r="D238" s="5" t="s">
        <v>1172</v>
      </c>
      <c r="E238" s="5" t="s">
        <v>772</v>
      </c>
      <c r="F238" s="5" t="s">
        <v>1173</v>
      </c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1174</v>
      </c>
      <c r="B239" s="5" t="s">
        <v>774</v>
      </c>
      <c r="C239" s="5" t="s">
        <v>1175</v>
      </c>
      <c r="D239" s="5" t="s">
        <v>1176</v>
      </c>
      <c r="E239" s="5" t="s">
        <v>772</v>
      </c>
      <c r="F239" s="5" t="s">
        <v>1177</v>
      </c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1178</v>
      </c>
      <c r="B240" s="5" t="s">
        <v>774</v>
      </c>
      <c r="C240" s="5" t="s">
        <v>1179</v>
      </c>
      <c r="D240" s="5" t="s">
        <v>1180</v>
      </c>
      <c r="E240" s="5" t="s">
        <v>772</v>
      </c>
      <c r="F240" s="5" t="s">
        <v>1181</v>
      </c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1182</v>
      </c>
      <c r="B241" s="5" t="s">
        <v>774</v>
      </c>
      <c r="C241" s="5" t="s">
        <v>1183</v>
      </c>
      <c r="D241" s="5" t="s">
        <v>1184</v>
      </c>
      <c r="E241" s="5" t="s">
        <v>772</v>
      </c>
      <c r="F241" s="5" t="s">
        <v>1185</v>
      </c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1255</v>
      </c>
      <c r="B242" s="5" t="s">
        <v>832</v>
      </c>
      <c r="C242" s="5" t="s">
        <v>1256</v>
      </c>
      <c r="D242" s="5"/>
      <c r="E242" s="5" t="s">
        <v>772</v>
      </c>
      <c r="F242" s="5"/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1186</v>
      </c>
      <c r="B243" s="5" t="s">
        <v>774</v>
      </c>
      <c r="C243" s="5" t="s">
        <v>1187</v>
      </c>
      <c r="D243" s="5" t="s">
        <v>1188</v>
      </c>
      <c r="E243" s="5" t="s">
        <v>772</v>
      </c>
      <c r="F243" s="5" t="s">
        <v>1189</v>
      </c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1190</v>
      </c>
      <c r="B244" s="5" t="s">
        <v>774</v>
      </c>
      <c r="C244" s="5" t="s">
        <v>1191</v>
      </c>
      <c r="D244" s="5" t="s">
        <v>1172</v>
      </c>
      <c r="E244" s="5" t="s">
        <v>772</v>
      </c>
      <c r="F244" s="5" t="s">
        <v>942</v>
      </c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1192</v>
      </c>
      <c r="B245" s="5" t="s">
        <v>774</v>
      </c>
      <c r="C245" s="5" t="s">
        <v>1193</v>
      </c>
      <c r="D245" s="5" t="s">
        <v>1172</v>
      </c>
      <c r="E245" s="5" t="s">
        <v>772</v>
      </c>
      <c r="F245" s="5" t="s">
        <v>942</v>
      </c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1194</v>
      </c>
      <c r="B246" s="5" t="s">
        <v>774</v>
      </c>
      <c r="C246" s="5" t="s">
        <v>1195</v>
      </c>
      <c r="D246" s="5" t="s">
        <v>1172</v>
      </c>
      <c r="E246" s="5" t="s">
        <v>772</v>
      </c>
      <c r="F246" s="5" t="s">
        <v>942</v>
      </c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1196</v>
      </c>
      <c r="B247" s="5" t="s">
        <v>798</v>
      </c>
      <c r="C247" s="5" t="s">
        <v>1197</v>
      </c>
      <c r="D247" s="5">
        <v>30</v>
      </c>
      <c r="E247" s="5" t="s">
        <v>772</v>
      </c>
      <c r="F247" s="5" t="s">
        <v>1198</v>
      </c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1199</v>
      </c>
      <c r="B248" s="5" t="s">
        <v>798</v>
      </c>
      <c r="C248" s="5" t="s">
        <v>1200</v>
      </c>
      <c r="D248" s="5">
        <v>30</v>
      </c>
      <c r="E248" s="5" t="s">
        <v>772</v>
      </c>
      <c r="F248" s="5" t="s">
        <v>1198</v>
      </c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1201</v>
      </c>
      <c r="B249" s="1" t="s">
        <v>1271</v>
      </c>
      <c r="C249" s="5" t="s">
        <v>1202</v>
      </c>
      <c r="D249" s="5"/>
      <c r="E249" s="5" t="s">
        <v>1258</v>
      </c>
      <c r="F249" s="1"/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1203</v>
      </c>
      <c r="B250" s="5" t="s">
        <v>774</v>
      </c>
      <c r="C250" s="5" t="s">
        <v>1204</v>
      </c>
      <c r="D250" s="5" t="s">
        <v>1205</v>
      </c>
      <c r="E250" s="5" t="s">
        <v>772</v>
      </c>
      <c r="F250" s="5" t="s">
        <v>1206</v>
      </c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1207</v>
      </c>
      <c r="B251" s="5" t="s">
        <v>774</v>
      </c>
      <c r="C251" s="5" t="s">
        <v>1208</v>
      </c>
      <c r="D251" s="5" t="s">
        <v>944</v>
      </c>
      <c r="E251" s="5" t="s">
        <v>772</v>
      </c>
      <c r="F251" s="5" t="s">
        <v>948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1209</v>
      </c>
      <c r="B252" s="5" t="s">
        <v>798</v>
      </c>
      <c r="C252" s="5" t="s">
        <v>1210</v>
      </c>
      <c r="D252" s="5">
        <v>30</v>
      </c>
      <c r="E252" s="5" t="s">
        <v>1211</v>
      </c>
      <c r="F252" s="5"/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1212</v>
      </c>
      <c r="B253" s="5" t="s">
        <v>774</v>
      </c>
      <c r="C253" s="5" t="s">
        <v>1213</v>
      </c>
      <c r="D253" s="5" t="s">
        <v>944</v>
      </c>
      <c r="E253" s="5" t="s">
        <v>772</v>
      </c>
      <c r="F253" s="5" t="s">
        <v>948</v>
      </c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1214</v>
      </c>
      <c r="B254" s="5" t="s">
        <v>798</v>
      </c>
      <c r="C254" s="5" t="s">
        <v>1215</v>
      </c>
      <c r="D254" s="5">
        <v>30</v>
      </c>
      <c r="E254" s="5" t="s">
        <v>1216</v>
      </c>
      <c r="F254" s="5"/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1217</v>
      </c>
      <c r="B255" s="5" t="s">
        <v>774</v>
      </c>
      <c r="C255" s="5" t="s">
        <v>1218</v>
      </c>
      <c r="D255" s="5" t="s">
        <v>944</v>
      </c>
      <c r="E255" s="5" t="s">
        <v>772</v>
      </c>
      <c r="F255" s="5" t="s">
        <v>948</v>
      </c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1219</v>
      </c>
      <c r="B256" s="5" t="s">
        <v>798</v>
      </c>
      <c r="C256" s="5" t="s">
        <v>1220</v>
      </c>
      <c r="D256" s="5">
        <v>30</v>
      </c>
      <c r="E256" s="5" t="s">
        <v>772</v>
      </c>
      <c r="F256" s="1" t="s">
        <v>1769</v>
      </c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1221</v>
      </c>
      <c r="B257" s="5" t="s">
        <v>774</v>
      </c>
      <c r="C257" s="5" t="s">
        <v>1222</v>
      </c>
      <c r="D257" s="5" t="s">
        <v>1223</v>
      </c>
      <c r="E257" s="5" t="s">
        <v>772</v>
      </c>
      <c r="F257" s="5" t="s">
        <v>1224</v>
      </c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1225</v>
      </c>
      <c r="B258" s="5" t="s">
        <v>770</v>
      </c>
      <c r="C258" s="5" t="s">
        <v>1226</v>
      </c>
      <c r="D258" s="5">
        <v>15</v>
      </c>
      <c r="E258" s="5" t="s">
        <v>772</v>
      </c>
      <c r="F258" s="5"/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1227</v>
      </c>
      <c r="B259" s="5" t="s">
        <v>798</v>
      </c>
      <c r="C259" s="5" t="s">
        <v>1228</v>
      </c>
      <c r="D259" s="5">
        <v>30</v>
      </c>
      <c r="E259" s="5" t="s">
        <v>772</v>
      </c>
      <c r="F259" s="5"/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1229</v>
      </c>
      <c r="B260" s="5" t="s">
        <v>774</v>
      </c>
      <c r="C260" s="5" t="s">
        <v>1230</v>
      </c>
      <c r="D260" s="1" t="s">
        <v>1272</v>
      </c>
      <c r="E260" s="5" t="s">
        <v>772</v>
      </c>
      <c r="F260" s="5" t="s">
        <v>1231</v>
      </c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1232</v>
      </c>
      <c r="B261" s="5" t="s">
        <v>774</v>
      </c>
      <c r="C261" s="5" t="s">
        <v>1233</v>
      </c>
      <c r="D261" s="1" t="s">
        <v>1272</v>
      </c>
      <c r="E261" s="5" t="s">
        <v>772</v>
      </c>
      <c r="F261" s="5" t="s">
        <v>1234</v>
      </c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1235</v>
      </c>
      <c r="B262" s="5" t="s">
        <v>774</v>
      </c>
      <c r="C262" s="5" t="s">
        <v>1236</v>
      </c>
      <c r="D262" s="5" t="s">
        <v>1237</v>
      </c>
      <c r="E262" s="5" t="s">
        <v>772</v>
      </c>
      <c r="F262" s="5" t="s">
        <v>1238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1239</v>
      </c>
      <c r="B263" s="5" t="s">
        <v>774</v>
      </c>
      <c r="C263" s="5" t="s">
        <v>1240</v>
      </c>
      <c r="D263" s="5" t="s">
        <v>1241</v>
      </c>
      <c r="E263" s="5" t="s">
        <v>772</v>
      </c>
      <c r="F263" s="5" t="s">
        <v>942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5" t="s">
        <v>1242</v>
      </c>
      <c r="B264" s="5" t="s">
        <v>774</v>
      </c>
      <c r="C264" s="5" t="s">
        <v>1243</v>
      </c>
      <c r="D264" s="5" t="s">
        <v>944</v>
      </c>
      <c r="E264" s="5" t="s">
        <v>772</v>
      </c>
      <c r="F264" s="5" t="s">
        <v>948</v>
      </c>
      <c r="G264" s="5"/>
      <c r="H264" s="5"/>
      <c r="I264" s="5"/>
      <c r="J264" s="32">
        <f>COUNTIF(TableFields[Field],Columns[[#This Row],[Column]])</f>
        <v>1</v>
      </c>
    </row>
    <row r="265" spans="1:10" x14ac:dyDescent="0.25">
      <c r="A265" s="5" t="s">
        <v>1244</v>
      </c>
      <c r="B265" s="5" t="s">
        <v>770</v>
      </c>
      <c r="C265" s="5" t="s">
        <v>1245</v>
      </c>
      <c r="D265" s="5">
        <v>15</v>
      </c>
      <c r="E265" s="5" t="s">
        <v>772</v>
      </c>
      <c r="F265" s="5"/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5" t="s">
        <v>1246</v>
      </c>
      <c r="B266" s="5" t="s">
        <v>774</v>
      </c>
      <c r="C266" s="5" t="s">
        <v>1247</v>
      </c>
      <c r="D266" s="5" t="s">
        <v>944</v>
      </c>
      <c r="E266" s="5" t="s">
        <v>772</v>
      </c>
      <c r="F266" s="5" t="s">
        <v>948</v>
      </c>
      <c r="G266" s="5"/>
      <c r="H266" s="5"/>
      <c r="I266" s="5"/>
      <c r="J266" s="32">
        <f>COUNTIF(TableFields[Field],Columns[[#This Row],[Column]])</f>
        <v>1</v>
      </c>
    </row>
    <row r="267" spans="1:10" x14ac:dyDescent="0.25">
      <c r="A267" s="5" t="s">
        <v>1248</v>
      </c>
      <c r="B267" s="5" t="s">
        <v>774</v>
      </c>
      <c r="C267" s="5" t="s">
        <v>1249</v>
      </c>
      <c r="D267" s="5" t="s">
        <v>944</v>
      </c>
      <c r="E267" s="5" t="s">
        <v>772</v>
      </c>
      <c r="F267" s="5" t="s">
        <v>1155</v>
      </c>
      <c r="G267" s="5"/>
      <c r="H267" s="5"/>
      <c r="I267" s="5"/>
      <c r="J267" s="32">
        <f>COUNTIF(TableFields[Field],Columns[[#This Row],[Column]])</f>
        <v>1</v>
      </c>
    </row>
    <row r="268" spans="1:10" x14ac:dyDescent="0.25">
      <c r="A268" s="5" t="s">
        <v>1250</v>
      </c>
      <c r="B268" s="5" t="s">
        <v>774</v>
      </c>
      <c r="C268" s="5" t="s">
        <v>1251</v>
      </c>
      <c r="D268" s="5" t="s">
        <v>944</v>
      </c>
      <c r="E268" s="5" t="s">
        <v>772</v>
      </c>
      <c r="F268" s="5" t="s">
        <v>948</v>
      </c>
      <c r="G268" s="5"/>
      <c r="H268" s="5"/>
      <c r="I268" s="5"/>
      <c r="J268" s="32">
        <f>COUNTIF(TableFields[Field],Columns[[#This Row],[Column]])</f>
        <v>1</v>
      </c>
    </row>
    <row r="269" spans="1:10" x14ac:dyDescent="0.25">
      <c r="A269" s="5" t="s">
        <v>1252</v>
      </c>
      <c r="B269" s="5" t="s">
        <v>798</v>
      </c>
      <c r="C269" s="5" t="s">
        <v>1253</v>
      </c>
      <c r="D269" s="5">
        <v>30</v>
      </c>
      <c r="E269" s="5" t="s">
        <v>772</v>
      </c>
      <c r="F269" s="5" t="s">
        <v>1254</v>
      </c>
      <c r="G269" s="5"/>
      <c r="H269" s="5"/>
      <c r="I269" s="5"/>
      <c r="J269" s="32">
        <f>COUNTIF(TableFields[Field],Columns[[#This Row],[Column]])</f>
        <v>1</v>
      </c>
    </row>
    <row r="270" spans="1:10" x14ac:dyDescent="0.25">
      <c r="A270" s="4" t="s">
        <v>1275</v>
      </c>
      <c r="B270" s="4" t="s">
        <v>782</v>
      </c>
      <c r="C270" s="4" t="s">
        <v>1276</v>
      </c>
      <c r="D270" s="4" t="s">
        <v>1273</v>
      </c>
      <c r="E270" s="4"/>
      <c r="F270" s="4"/>
      <c r="G270" s="4"/>
      <c r="H270" s="4"/>
      <c r="I270" s="4"/>
      <c r="J270" s="58">
        <f>COUNTIF(TableFields[Field],Columns[[#This Row],[Column]])</f>
        <v>1</v>
      </c>
    </row>
    <row r="271" spans="1:10" x14ac:dyDescent="0.25">
      <c r="A271" s="5" t="s">
        <v>1774</v>
      </c>
      <c r="B271" s="5" t="s">
        <v>770</v>
      </c>
      <c r="C271" s="5" t="s">
        <v>1775</v>
      </c>
      <c r="D271" s="5">
        <v>30</v>
      </c>
      <c r="E271" s="5" t="s">
        <v>772</v>
      </c>
      <c r="F271" s="5"/>
      <c r="G271" s="5"/>
      <c r="H271" s="5"/>
      <c r="I271" s="5"/>
      <c r="J271" s="32">
        <f>COUNTIF(TableFields[Field],Columns[[#This Row],[Column]])</f>
        <v>0</v>
      </c>
    </row>
    <row r="272" spans="1:10" x14ac:dyDescent="0.25">
      <c r="A272" s="5" t="s">
        <v>1776</v>
      </c>
      <c r="B272" s="5" t="s">
        <v>770</v>
      </c>
      <c r="C272" s="5" t="s">
        <v>1777</v>
      </c>
      <c r="D272" s="5">
        <v>15</v>
      </c>
      <c r="E272" s="5" t="s">
        <v>772</v>
      </c>
      <c r="F272" s="5"/>
      <c r="G272" s="5"/>
      <c r="H272" s="5"/>
      <c r="I272" s="5"/>
      <c r="J272" s="32">
        <f>COUNTIF(TableFields[Field],Columns[[#This Row],[Column]])</f>
        <v>0</v>
      </c>
    </row>
    <row r="273" spans="1:10" x14ac:dyDescent="0.25">
      <c r="A273" s="5" t="s">
        <v>1781</v>
      </c>
      <c r="B273" s="5" t="s">
        <v>770</v>
      </c>
      <c r="C273" s="5" t="s">
        <v>1208</v>
      </c>
      <c r="D273" s="5">
        <v>30</v>
      </c>
      <c r="E273" s="5" t="s">
        <v>772</v>
      </c>
      <c r="F273" s="5"/>
      <c r="G273" s="5"/>
      <c r="H273" s="5"/>
      <c r="I273" s="5"/>
      <c r="J273" s="32">
        <f>COUNTIF(TableFields[Field],Columns[[#This Row],[Column]])</f>
        <v>0</v>
      </c>
    </row>
    <row r="274" spans="1:10" x14ac:dyDescent="0.25">
      <c r="A274" s="5" t="s">
        <v>1778</v>
      </c>
      <c r="B274" s="5" t="s">
        <v>818</v>
      </c>
      <c r="C274" s="5" t="s">
        <v>1779</v>
      </c>
      <c r="D274" s="5" t="s">
        <v>819</v>
      </c>
      <c r="E274" s="5" t="s">
        <v>1780</v>
      </c>
      <c r="F274" s="5"/>
      <c r="G274" s="5"/>
      <c r="H274" s="5"/>
      <c r="I274" s="5"/>
      <c r="J274" s="32">
        <f>COUNTIF(TableFields[Field],Columns[[#This Row],[Column]])</f>
        <v>0</v>
      </c>
    </row>
    <row r="275" spans="1:10" x14ac:dyDescent="0.25">
      <c r="A275" s="5" t="s">
        <v>1782</v>
      </c>
      <c r="B275" s="5" t="s">
        <v>818</v>
      </c>
      <c r="C275" s="5" t="s">
        <v>1783</v>
      </c>
      <c r="D275" s="5" t="s">
        <v>819</v>
      </c>
      <c r="E275" s="5" t="s">
        <v>1257</v>
      </c>
      <c r="F275" s="5"/>
      <c r="G275" s="5"/>
      <c r="H275" s="5"/>
      <c r="I275" s="5"/>
      <c r="J275" s="32">
        <f>COUNTIF(TableFields[Field],Columns[[#This Row],[Column]])</f>
        <v>0</v>
      </c>
    </row>
    <row r="276" spans="1:10" x14ac:dyDescent="0.25">
      <c r="A276" s="5" t="s">
        <v>1784</v>
      </c>
      <c r="B276" s="5" t="s">
        <v>818</v>
      </c>
      <c r="C276" s="5" t="s">
        <v>1785</v>
      </c>
      <c r="D276" s="5" t="s">
        <v>819</v>
      </c>
      <c r="E276" s="5" t="s">
        <v>1257</v>
      </c>
      <c r="F276" s="5"/>
      <c r="G276" s="5"/>
      <c r="H276" s="5"/>
      <c r="I276" s="5"/>
      <c r="J276" s="32">
        <f>COUNTIF(TableFields[Field],Columns[[#This Row],[Column]])</f>
        <v>0</v>
      </c>
    </row>
  </sheetData>
  <conditionalFormatting sqref="A73">
    <cfRule type="duplicateValues" dxfId="9" priority="5"/>
  </conditionalFormatting>
  <conditionalFormatting sqref="A81:A82">
    <cfRule type="duplicateValues" dxfId="8" priority="4"/>
  </conditionalFormatting>
  <conditionalFormatting sqref="C145:C148">
    <cfRule type="duplicateValues" dxfId="7" priority="186"/>
  </conditionalFormatting>
  <conditionalFormatting sqref="A132:A155">
    <cfRule type="duplicateValues" dxfId="6" priority="187"/>
  </conditionalFormatting>
  <conditionalFormatting sqref="A2:A276">
    <cfRule type="duplicateValues" dxfId="5" priority="208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abSelected="1" workbookViewId="0">
      <selection activeCell="K225" sqref="K225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hidden="1" x14ac:dyDescent="0.25">
      <c r="A2" s="1" t="s">
        <v>1074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hidden="1" x14ac:dyDescent="0.25">
      <c r="A3" s="1" t="s">
        <v>1074</v>
      </c>
      <c r="B3" s="1" t="s">
        <v>1075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hidden="1" x14ac:dyDescent="0.25">
      <c r="A4" s="1" t="s">
        <v>1074</v>
      </c>
      <c r="B4" s="1" t="s">
        <v>1077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hidden="1" x14ac:dyDescent="0.25">
      <c r="A5" s="1" t="s">
        <v>1074</v>
      </c>
      <c r="B5" s="1" t="s">
        <v>1080</v>
      </c>
      <c r="C5" s="1" t="str">
        <f>VLOOKUP(TableFields[Field],Columns[],2,0)&amp;"("</f>
        <v>decimal(</v>
      </c>
      <c r="D5" s="1" t="str">
        <f>IF(VLOOKUP(TableFields[Field],Columns[],3,0)&lt;&gt;"","'"&amp;VLOOKUP(TableFields[Field],Columns[],3,0)&amp;"'","")</f>
        <v>'QUANTITY_DECIMAL'</v>
      </c>
      <c r="E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5" s="1" t="str">
        <f>IF(VLOOKUP(TableFields[Field],Columns[],5,0)=0,"","-&gt;"&amp;VLOOKUP(TableFields[Field],Columns[],5,0))</f>
        <v>-&gt;nullable()</v>
      </c>
      <c r="G5" s="1" t="str">
        <f>IF(VLOOKUP(TableFields[Field],Columns[],6,0)=0,"","-&gt;"&amp;VLOOKUP(TableFields[Field],Columns[],6,0))</f>
        <v>-&gt;default('0')</v>
      </c>
      <c r="H5" s="1" t="str">
        <f>IF(VLOOKUP(TableFields[Field],Columns[],7,0)=0,"","-&gt;"&amp;VLOOKUP(TableFields[Field],Columns[],7,0))</f>
        <v/>
      </c>
      <c r="I5" s="1" t="str">
        <f>IF(VLOOKUP(TableFields[Field],Columns[],8,0)=0,"","-&gt;"&amp;VLOOKUP(TableFields[Field],Columns[],8,0))</f>
        <v/>
      </c>
      <c r="J5" s="1" t="str">
        <f>IF(VLOOKUP(TableFields[Field],Columns[],9,0)=0,"","-&gt;"&amp;VLOOKUP(TableFields[Field],Columns[],9,0))</f>
        <v/>
      </c>
      <c r="K5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6" spans="1:11" hidden="1" x14ac:dyDescent="0.25">
      <c r="A6" s="1" t="s">
        <v>1074</v>
      </c>
      <c r="B6" s="1" t="s">
        <v>1082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'RATE_DECIMAL'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-&gt;default('2')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7" spans="1:11" hidden="1" x14ac:dyDescent="0.25">
      <c r="A7" s="1" t="s">
        <v>1074</v>
      </c>
      <c r="B7" s="1" t="s">
        <v>1084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'AMOUNT_DECIMAL'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8" spans="1:11" hidden="1" x14ac:dyDescent="0.25">
      <c r="A8" s="1" t="s">
        <v>1074</v>
      </c>
      <c r="B8" s="1" t="s">
        <v>1086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'CURRENCY_DECIMAL'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-&gt;default('6')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9" spans="1:11" hidden="1" x14ac:dyDescent="0.25">
      <c r="A9" s="1" t="s">
        <v>1074</v>
      </c>
      <c r="B9" s="1" t="s">
        <v>1088</v>
      </c>
      <c r="C9" s="1" t="str">
        <f>VLOOKUP(TableFields[Field],Columns[],2,0)&amp;"("</f>
        <v>enum(</v>
      </c>
      <c r="D9" s="1" t="str">
        <f>IF(VLOOKUP(TableFields[Field],Columns[],3,0)&lt;&gt;"","'"&amp;VLOOKUP(TableFields[Field],Columns[],3,0)&amp;"'","")</f>
        <v>'QUANTITY_SEPARATOR'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/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0" spans="1:11" hidden="1" x14ac:dyDescent="0.25">
      <c r="A10" s="1" t="s">
        <v>1074</v>
      </c>
      <c r="B10" s="1" t="s">
        <v>1090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'RATE_SEPARATOR'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1" spans="1:11" hidden="1" x14ac:dyDescent="0.25">
      <c r="A11" s="1" t="s">
        <v>1074</v>
      </c>
      <c r="B11" s="1" t="s">
        <v>1092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'AMOUNT_SEPARATOR'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2" spans="1:11" hidden="1" x14ac:dyDescent="0.25">
      <c r="A12" s="1" t="s">
        <v>1074</v>
      </c>
      <c r="B12" s="1" t="s">
        <v>1094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'CURRENCY_SEPARATOR'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3" spans="1:11" hidden="1" x14ac:dyDescent="0.25">
      <c r="A13" s="1" t="s">
        <v>1074</v>
      </c>
      <c r="B13" s="1" t="s">
        <v>1096</v>
      </c>
      <c r="C13" s="1" t="str">
        <f>VLOOKUP(TableFields[Field],Columns[],2,0)&amp;"("</f>
        <v>string(</v>
      </c>
      <c r="D13" s="1" t="str">
        <f>IF(VLOOKUP(TableFields[Field],Columns[],3,0)&lt;&gt;"","'"&amp;VLOOKUP(TableFields[Field],Columns[],3,0)&amp;"'","")</f>
        <v>'DOCDATE_FORMAT'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>-&gt;default('dd-MM-yyyy')</v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4" spans="1:11" hidden="1" x14ac:dyDescent="0.25">
      <c r="A14" s="1" t="s">
        <v>1074</v>
      </c>
      <c r="B14" s="1" t="s">
        <v>1099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'REFDATE_FORMAT'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5" spans="1:11" hidden="1" x14ac:dyDescent="0.25">
      <c r="A15" s="1" t="s">
        <v>1074</v>
      </c>
      <c r="B15" s="1" t="s">
        <v>1101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'CHQDATE_FORMAT'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6" spans="1:11" hidden="1" x14ac:dyDescent="0.25">
      <c r="A16" s="1" t="s">
        <v>1074</v>
      </c>
      <c r="B16" s="1" t="s">
        <v>1103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'OTHDATE_FORMAT'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7" spans="1:11" hidden="1" x14ac:dyDescent="0.25">
      <c r="A17" s="1" t="s">
        <v>1074</v>
      </c>
      <c r="B17" s="1" t="s">
        <v>1105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'CURRENCYDENOMINATION'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/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8" spans="1:11" hidden="1" x14ac:dyDescent="0.25">
      <c r="A18" s="1" t="s">
        <v>1074</v>
      </c>
      <c r="B18" s="1" t="s">
        <v>1107</v>
      </c>
      <c r="C18" s="1" t="str">
        <f>VLOOKUP(TableFields[Field],Columns[],2,0)&amp;"("</f>
        <v>enum(</v>
      </c>
      <c r="D18" s="1" t="str">
        <f>IF(VLOOKUP(TableFields[Field],Columns[],3,0)&lt;&gt;"","'"&amp;VLOOKUP(TableFields[Field],Columns[],3,0)&amp;"'","")</f>
        <v>'MULTICOMPANY'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>-&gt;default('No')</v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19" spans="1:11" hidden="1" x14ac:dyDescent="0.25">
      <c r="A19" s="1" t="s">
        <v>1074</v>
      </c>
      <c r="B19" s="1" t="s">
        <v>1109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'MULTIBRANCH'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0" spans="1:11" hidden="1" x14ac:dyDescent="0.25">
      <c r="A20" s="1" t="s">
        <v>1074</v>
      </c>
      <c r="B20" s="1" t="s">
        <v>1111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'MULTICURRENCY'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1" spans="1:11" hidden="1" x14ac:dyDescent="0.25">
      <c r="A21" s="1" t="s">
        <v>1074</v>
      </c>
      <c r="B21" s="1" t="s">
        <v>1113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'MULTIPRINT'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2" spans="1:11" hidden="1" x14ac:dyDescent="0.25">
      <c r="A22" s="1" t="s">
        <v>1074</v>
      </c>
      <c r="B22" s="1" t="s">
        <v>1115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'MULTISTORE'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3" spans="1:11" hidden="1" x14ac:dyDescent="0.25">
      <c r="A23" s="1" t="s">
        <v>1074</v>
      </c>
      <c r="B23" s="1" t="s">
        <v>1117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'MULTIUNIT'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4" spans="1:11" hidden="1" x14ac:dyDescent="0.25">
      <c r="A24" s="1" t="s">
        <v>1074</v>
      </c>
      <c r="B24" s="1" t="s">
        <v>1119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'SHIFTMANAGEMENT'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5" spans="1:11" hidden="1" x14ac:dyDescent="0.25">
      <c r="A25" s="1" t="s">
        <v>1074</v>
      </c>
      <c r="B25" s="1" t="s">
        <v>1121</v>
      </c>
      <c r="C25" s="1" t="str">
        <f>VLOOKUP(TableFields[Field],Columns[],2,0)&amp;"("</f>
        <v>string(</v>
      </c>
      <c r="D25" s="1" t="str">
        <f>IF(VLOOKUP(TableFields[Field],Columns[],3,0)&lt;&gt;"","'"&amp;VLOOKUP(TableFields[Field],Columns[],3,0)&amp;"'","")</f>
        <v>'BUSINESSKEY'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/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6" spans="1:11" hidden="1" x14ac:dyDescent="0.25">
      <c r="A26" s="1" t="s">
        <v>1074</v>
      </c>
      <c r="B26" s="1" t="s">
        <v>1123</v>
      </c>
      <c r="C26" s="1" t="str">
        <f>VLOOKUP(TableFields[Field],Columns[],2,0)&amp;"("</f>
        <v>enum(</v>
      </c>
      <c r="D26" s="1" t="str">
        <f>IF(VLOOKUP(TableFields[Field],Columns[],3,0)&lt;&gt;"","'"&amp;VLOOKUP(TableFields[Field],Columns[],3,0)&amp;"'","")</f>
        <v>'INVACCPOSTING'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>-&gt;default('ExactValue')</v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7" spans="1:11" hidden="1" x14ac:dyDescent="0.25">
      <c r="A27" s="1" t="s">
        <v>1074</v>
      </c>
      <c r="B27" s="1" t="s">
        <v>1127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'ITEMCACHE'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-&gt;default('No')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8" spans="1:11" hidden="1" x14ac:dyDescent="0.25">
      <c r="A28" s="1" t="s">
        <v>1074</v>
      </c>
      <c r="B28" s="1" t="s">
        <v>1129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'NEGATIVESTOCK'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-&gt;default('Allow')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29" spans="1:11" hidden="1" x14ac:dyDescent="0.25">
      <c r="A29" s="1" t="s">
        <v>1074</v>
      </c>
      <c r="B29" s="1" t="s">
        <v>1133</v>
      </c>
      <c r="C29" s="1" t="str">
        <f>VLOOKUP(TableFields[Field],Columns[],2,0)&amp;"("</f>
        <v>string(</v>
      </c>
      <c r="D29" s="1" t="str">
        <f>IF(VLOOKUP(TableFields[Field],Columns[],3,0)&lt;&gt;"","'"&amp;VLOOKUP(TableFields[Field],Columns[],3,0)&amp;"'","")</f>
        <v>'POQTYUDATE'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/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0" spans="1:11" hidden="1" x14ac:dyDescent="0.25">
      <c r="A30" s="1" t="s">
        <v>1074</v>
      </c>
      <c r="B30" s="1" t="s">
        <v>1135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'SOQTYUDATE'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1" spans="1:11" hidden="1" x14ac:dyDescent="0.25">
      <c r="A31" s="1" t="s">
        <v>1074</v>
      </c>
      <c r="B31" s="1" t="s">
        <v>1137</v>
      </c>
      <c r="C31" s="1" t="str">
        <f>VLOOKUP(TableFields[Field],Columns[],2,0)&amp;"("</f>
        <v>enum(</v>
      </c>
      <c r="D31" s="1" t="str">
        <f>IF(VLOOKUP(TableFields[Field],Columns[],3,0)&lt;&gt;"","'"&amp;VLOOKUP(TableFields[Field],Columns[],3,0)&amp;"'","")</f>
        <v>'PRODUCTION'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>-&gt;default('None')</v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2" spans="1:11" hidden="1" x14ac:dyDescent="0.25">
      <c r="A32" s="1" t="s">
        <v>1074</v>
      </c>
      <c r="B32" s="1" t="s">
        <v>1140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'PRODUCTIONCOSTUPDATION'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3" spans="1:11" hidden="1" x14ac:dyDescent="0.25">
      <c r="A33" s="1" t="s">
        <v>1074</v>
      </c>
      <c r="B33" s="1" t="s">
        <v>1143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'PRODUCTIONNARRATION'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-&gt;default('Protected')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4" spans="1:11" hidden="1" x14ac:dyDescent="0.25">
      <c r="A34" s="1" t="s">
        <v>1074</v>
      </c>
      <c r="B34" s="1" t="s">
        <v>1147</v>
      </c>
      <c r="C34" s="1" t="str">
        <f>VLOOKUP(TableFields[Field],Columns[],2,0)&amp;"("</f>
        <v>char(</v>
      </c>
      <c r="D34" s="1" t="str">
        <f>IF(VLOOKUP(TableFields[Field],Columns[],3,0)&lt;&gt;"","'"&amp;VLOOKUP(TableFields[Field],Columns[],3,0)&amp;"'","")</f>
        <v>'DEFAULTBRANCH'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-&gt;default('HO')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5" spans="1:11" hidden="1" x14ac:dyDescent="0.25">
      <c r="A35" s="1" t="s">
        <v>1074</v>
      </c>
      <c r="B35" s="1" t="s">
        <v>1150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'DEFAULTUNIT'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-&gt;default('PCS')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6" spans="1:11" hidden="1" x14ac:dyDescent="0.25">
      <c r="A36" s="1" t="s">
        <v>1074</v>
      </c>
      <c r="B36" s="1" t="s">
        <v>1153</v>
      </c>
      <c r="C36" s="1" t="str">
        <f>VLOOKUP(TableFields[Field],Columns[],2,0)&amp;"("</f>
        <v>enum(</v>
      </c>
      <c r="D36" s="1" t="str">
        <f>IF(VLOOKUP(TableFields[Field],Columns[],3,0)&lt;&gt;"","'"&amp;VLOOKUP(TableFields[Field],Columns[],3,0)&amp;"'","")</f>
        <v>'TAX'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-&gt;default('Yes')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7" spans="1:11" hidden="1" x14ac:dyDescent="0.25">
      <c r="A37" s="1" t="s">
        <v>1074</v>
      </c>
      <c r="B37" s="1" t="s">
        <v>1156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'TAX02'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-&gt;default('No')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8" spans="1:11" hidden="1" x14ac:dyDescent="0.25">
      <c r="A38" s="1" t="s">
        <v>1074</v>
      </c>
      <c r="B38" s="1" t="s">
        <v>1158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'TAXREF'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-&gt;default('Item')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39" spans="1:11" hidden="1" x14ac:dyDescent="0.25">
      <c r="A39" s="1" t="s">
        <v>1074</v>
      </c>
      <c r="B39" s="1" t="s">
        <v>1162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'ITEMSERIAL'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-&gt;default('No')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0" spans="1:11" hidden="1" x14ac:dyDescent="0.25">
      <c r="A40" s="1" t="s">
        <v>1074</v>
      </c>
      <c r="B40" s="1" t="s">
        <v>1164</v>
      </c>
      <c r="C40" s="1" t="str">
        <f>VLOOKUP(TableFields[Field],Columns[],2,0)&amp;"("</f>
        <v>string(</v>
      </c>
      <c r="D40" s="1" t="str">
        <f>IF(VLOOKUP(TableFields[Field],Columns[],3,0)&lt;&gt;"","'"&amp;VLOOKUP(TableFields[Field],Columns[],3,0)&amp;"'","")</f>
        <v>'ITEMSERIALTEXT'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 ('Item Serial')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1" spans="1:11" hidden="1" x14ac:dyDescent="0.25">
      <c r="A41" s="1" t="s">
        <v>1074</v>
      </c>
      <c r="B41" s="1" t="s">
        <v>1166</v>
      </c>
      <c r="C41" s="1" t="str">
        <f>VLOOKUP(TableFields[Field],Columns[],2,0)&amp;"("</f>
        <v>enum(</v>
      </c>
      <c r="D41" s="1" t="str">
        <f>IF(VLOOKUP(TableFields[Field],Columns[],3,0)&lt;&gt;"","'"&amp;VLOOKUP(TableFields[Field],Columns[],3,0)&amp;"'","")</f>
        <v>'PAYMENTMODEACTION'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-&gt;default('Direct')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2" spans="1:11" hidden="1" x14ac:dyDescent="0.25">
      <c r="A42" s="1" t="s">
        <v>1074</v>
      </c>
      <c r="B42" s="1" t="s">
        <v>1170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'BILLPOSTING'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-&gt;default('Manual')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3" spans="1:11" hidden="1" x14ac:dyDescent="0.25">
      <c r="A43" s="1" t="s">
        <v>1074</v>
      </c>
      <c r="B43" s="1" t="s">
        <v>1174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'AUTOBILLPOSTING'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-&gt;default('UptoDate')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4" spans="1:11" hidden="1" x14ac:dyDescent="0.25">
      <c r="A44" s="1" t="s">
        <v>1074</v>
      </c>
      <c r="B44" s="1" t="s">
        <v>1178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'PROFIT'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-&gt;default('Profit')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5" spans="1:11" hidden="1" x14ac:dyDescent="0.25">
      <c r="A45" s="1" t="s">
        <v>1074</v>
      </c>
      <c r="B45" s="1" t="s">
        <v>1182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'PROFITCALCULATION'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-&gt;default('Online')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6" spans="1:11" hidden="1" x14ac:dyDescent="0.25">
      <c r="A46" s="1" t="s">
        <v>1074</v>
      </c>
      <c r="B46" s="1" t="s">
        <v>1255</v>
      </c>
      <c r="C46" s="1" t="str">
        <f>VLOOKUP(TableFields[Field],Columns[],2,0)&amp;"("</f>
        <v>datetime(</v>
      </c>
      <c r="D46" s="1" t="str">
        <f>IF(VLOOKUP(TableFields[Field],Columns[],3,0)&lt;&gt;"","'"&amp;VLOOKUP(TableFields[Field],Columns[],3,0)&amp;"'","")</f>
        <v>'CLOSEDUPTO'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/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7" spans="1:11" hidden="1" x14ac:dyDescent="0.25">
      <c r="A47" s="1" t="s">
        <v>1074</v>
      </c>
      <c r="B47" s="1" t="s">
        <v>1186</v>
      </c>
      <c r="C47" s="1" t="str">
        <f>VLOOKUP(TableFields[Field],Columns[],2,0)&amp;"("</f>
        <v>enum(</v>
      </c>
      <c r="D47" s="1" t="str">
        <f>IF(VLOOKUP(TableFields[Field],Columns[],3,0)&lt;&gt;"","'"&amp;VLOOKUP(TableFields[Field],Columns[],3,0)&amp;"'","")</f>
        <v>'COSTING'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>-&gt;default('FIFO')</v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8" spans="1:11" hidden="1" x14ac:dyDescent="0.25">
      <c r="A48" s="1" t="s">
        <v>1074</v>
      </c>
      <c r="B48" s="1" t="s">
        <v>1190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'BATCHNO'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-&gt;default('None')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49" spans="1:11" hidden="1" x14ac:dyDescent="0.25">
      <c r="A49" s="1" t="s">
        <v>1074</v>
      </c>
      <c r="B49" s="1" t="s">
        <v>1192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'MFGDATE'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0" spans="1:11" hidden="1" x14ac:dyDescent="0.25">
      <c r="A50" s="1" t="s">
        <v>1074</v>
      </c>
      <c r="B50" s="1" t="s">
        <v>1194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'EXPDATE'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1" spans="1:11" hidden="1" x14ac:dyDescent="0.25">
      <c r="A51" s="1" t="s">
        <v>1074</v>
      </c>
      <c r="B51" s="1" t="s">
        <v>1196</v>
      </c>
      <c r="C51" s="1" t="str">
        <f>VLOOKUP(TableFields[Field],Columns[],2,0)&amp;"("</f>
        <v>string(</v>
      </c>
      <c r="D51" s="1" t="str">
        <f>IF(VLOOKUP(TableFields[Field],Columns[],3,0)&lt;&gt;"","'"&amp;VLOOKUP(TableFields[Field],Columns[],3,0)&amp;"'","")</f>
        <v>'MFGDATE_FORMAT'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-&gt;default('MMM-yyyy')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2" spans="1:11" hidden="1" x14ac:dyDescent="0.25">
      <c r="A52" s="1" t="s">
        <v>1074</v>
      </c>
      <c r="B52" s="1" t="s">
        <v>1199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'EXPDATE_FORMAT'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3" spans="1:11" hidden="1" x14ac:dyDescent="0.25">
      <c r="A53" s="1" t="s">
        <v>1074</v>
      </c>
      <c r="B53" s="1" t="s">
        <v>1201</v>
      </c>
      <c r="C53" s="1" t="str">
        <f>VLOOKUP(TableFields[Field],Columns[],2,0)&amp;"("</f>
        <v>mediumInteger(</v>
      </c>
      <c r="D53" s="1" t="str">
        <f>IF(VLOOKUP(TableFields[Field],Columns[],3,0)&lt;&gt;"","'"&amp;VLOOKUP(TableFields[Field],Columns[],3,0)&amp;"'","")</f>
        <v>'LIFETIME'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3" s="1" t="str">
        <f>IF(VLOOKUP(TableFields[Field],Columns[],5,0)=0,"","-&gt;"&amp;VLOOKUP(TableFields[Field],Columns[],5,0))</f>
        <v>-&gt;default('2')</v>
      </c>
      <c r="G53" s="1" t="str">
        <f>IF(VLOOKUP(TableFields[Field],Columns[],6,0)=0,"","-&gt;"&amp;VLOOKUP(TableFields[Field],Columns[],6,0))</f>
        <v/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4" spans="1:11" hidden="1" x14ac:dyDescent="0.25">
      <c r="A54" s="1" t="s">
        <v>1074</v>
      </c>
      <c r="B54" s="1" t="s">
        <v>1203</v>
      </c>
      <c r="C54" s="1" t="str">
        <f>VLOOKUP(TableFields[Field],Columns[],2,0)&amp;"("</f>
        <v>enum(</v>
      </c>
      <c r="D54" s="1" t="str">
        <f>IF(VLOOKUP(TableFields[Field],Columns[],3,0)&lt;&gt;"","'"&amp;VLOOKUP(TableFields[Field],Columns[],3,0)&amp;"'","")</f>
        <v>'LIFETIMEINTERVAL'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4" s="1" t="str">
        <f>IF(VLOOKUP(TableFields[Field],Columns[],5,0)=0,"","-&gt;"&amp;VLOOKUP(TableFields[Field],Columns[],5,0))</f>
        <v>-&gt;nullable()</v>
      </c>
      <c r="G54" s="1" t="str">
        <f>IF(VLOOKUP(TableFields[Field],Columns[],6,0)=0,"","-&gt;"&amp;VLOOKUP(TableFields[Field],Columns[],6,0))</f>
        <v>-&gt;default('Year')</v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5" spans="1:11" hidden="1" x14ac:dyDescent="0.25">
      <c r="A55" s="1" t="s">
        <v>1074</v>
      </c>
      <c r="B55" s="1" t="s">
        <v>1207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'PARTCODE'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-&gt;default('No')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6" spans="1:11" hidden="1" x14ac:dyDescent="0.25">
      <c r="A56" s="1" t="s">
        <v>1074</v>
      </c>
      <c r="B56" s="1" t="s">
        <v>1209</v>
      </c>
      <c r="C56" s="1" t="str">
        <f>VLOOKUP(TableFields[Field],Columns[],2,0)&amp;"("</f>
        <v>string(</v>
      </c>
      <c r="D56" s="1" t="str">
        <f>IF(VLOOKUP(TableFields[Field],Columns[],3,0)&lt;&gt;"","'"&amp;VLOOKUP(TableFields[Field],Columns[],3,0)&amp;"'","")</f>
        <v>'PARTCODETEXT'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6" s="1" t="str">
        <f>IF(VLOOKUP(TableFields[Field],Columns[],5,0)=0,"","-&gt;"&amp;VLOOKUP(TableFields[Field],Columns[],5,0))</f>
        <v>-&gt;default('PARTCODE')</v>
      </c>
      <c r="G56" s="1" t="str">
        <f>IF(VLOOKUP(TableFields[Field],Columns[],6,0)=0,"","-&gt;"&amp;VLOOKUP(TableFields[Field],Columns[],6,0))</f>
        <v/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7" spans="1:11" hidden="1" x14ac:dyDescent="0.25">
      <c r="A57" s="1" t="s">
        <v>1074</v>
      </c>
      <c r="B57" s="1" t="s">
        <v>1212</v>
      </c>
      <c r="C57" s="1" t="str">
        <f>VLOOKUP(TableFields[Field],Columns[],2,0)&amp;"("</f>
        <v>enum(</v>
      </c>
      <c r="D57" s="1" t="str">
        <f>IF(VLOOKUP(TableFields[Field],Columns[],3,0)&lt;&gt;"","'"&amp;VLOOKUP(TableFields[Field],Columns[],3,0)&amp;"'","")</f>
        <v>'AREA'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7" s="1" t="str">
        <f>IF(VLOOKUP(TableFields[Field],Columns[],5,0)=0,"","-&gt;"&amp;VLOOKUP(TableFields[Field],Columns[],5,0))</f>
        <v>-&gt;nullable()</v>
      </c>
      <c r="G57" s="1" t="str">
        <f>IF(VLOOKUP(TableFields[Field],Columns[],6,0)=0,"","-&gt;"&amp;VLOOKUP(TableFields[Field],Columns[],6,0))</f>
        <v>-&gt;default('No')</v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8" spans="1:11" hidden="1" x14ac:dyDescent="0.25">
      <c r="A58" s="1" t="s">
        <v>1074</v>
      </c>
      <c r="B58" s="1" t="s">
        <v>1214</v>
      </c>
      <c r="C58" s="1" t="str">
        <f>VLOOKUP(TableFields[Field],Columns[],2,0)&amp;"("</f>
        <v>string(</v>
      </c>
      <c r="D58" s="1" t="str">
        <f>IF(VLOOKUP(TableFields[Field],Columns[],3,0)&lt;&gt;"","'"&amp;VLOOKUP(TableFields[Field],Columns[],3,0)&amp;"'","")</f>
        <v>'AREATEXT'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8" s="1" t="str">
        <f>IF(VLOOKUP(TableFields[Field],Columns[],5,0)=0,"","-&gt;"&amp;VLOOKUP(TableFields[Field],Columns[],5,0))</f>
        <v>-&gt;default('Area')</v>
      </c>
      <c r="G58" s="1" t="str">
        <f>IF(VLOOKUP(TableFields[Field],Columns[],6,0)=0,"","-&gt;"&amp;VLOOKUP(TableFields[Field],Columns[],6,0))</f>
        <v/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59" spans="1:11" hidden="1" x14ac:dyDescent="0.25">
      <c r="A59" s="1" t="s">
        <v>1074</v>
      </c>
      <c r="B59" s="1" t="s">
        <v>1217</v>
      </c>
      <c r="C59" s="1" t="str">
        <f>VLOOKUP(TableFields[Field],Columns[],2,0)&amp;"("</f>
        <v>enum(</v>
      </c>
      <c r="D59" s="1" t="str">
        <f>IF(VLOOKUP(TableFields[Field],Columns[],3,0)&lt;&gt;"","'"&amp;VLOOKUP(TableFields[Field],Columns[],3,0)&amp;"'","")</f>
        <v>'STORAGEBIN'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9" s="1" t="str">
        <f>IF(VLOOKUP(TableFields[Field],Columns[],5,0)=0,"","-&gt;"&amp;VLOOKUP(TableFields[Field],Columns[],5,0))</f>
        <v>-&gt;nullable()</v>
      </c>
      <c r="G59" s="1" t="str">
        <f>IF(VLOOKUP(TableFields[Field],Columns[],6,0)=0,"","-&gt;"&amp;VLOOKUP(TableFields[Field],Columns[],6,0))</f>
        <v>-&gt;default('No')</v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0" spans="1:11" hidden="1" x14ac:dyDescent="0.25">
      <c r="A60" s="1" t="s">
        <v>1074</v>
      </c>
      <c r="B60" s="1" t="s">
        <v>1219</v>
      </c>
      <c r="C60" s="1" t="str">
        <f>VLOOKUP(TableFields[Field],Columns[],2,0)&amp;"("</f>
        <v>string(</v>
      </c>
      <c r="D60" s="1" t="str">
        <f>IF(VLOOKUP(TableFields[Field],Columns[],3,0)&lt;&gt;"","'"&amp;VLOOKUP(TableFields[Field],Columns[],3,0)&amp;"'","")</f>
        <v>'STORAGEBINTEXT'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-&gt;default('Storage Bin')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1" spans="1:11" s="20" customFormat="1" hidden="1" x14ac:dyDescent="0.25">
      <c r="A61" s="1" t="s">
        <v>1074</v>
      </c>
      <c r="B61" s="1" t="s">
        <v>1221</v>
      </c>
      <c r="C61" s="1" t="str">
        <f>VLOOKUP(TableFields[Field],Columns[],2,0)&amp;"("</f>
        <v>enum(</v>
      </c>
      <c r="D61" s="1" t="str">
        <f>IF(VLOOKUP(TableFields[Field],Columns[],3,0)&lt;&gt;"","'"&amp;VLOOKUP(TableFields[Field],Columns[],3,0)&amp;"'","")</f>
        <v>'WORKFLOW'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-&gt;default('Disabled')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2" spans="1:11" hidden="1" x14ac:dyDescent="0.25">
      <c r="A62" s="1" t="s">
        <v>1074</v>
      </c>
      <c r="B62" s="1" t="s">
        <v>1225</v>
      </c>
      <c r="C62" s="1" t="str">
        <f>VLOOKUP(TableFields[Field],Columns[],2,0)&amp;"("</f>
        <v>char(</v>
      </c>
      <c r="D62" s="1" t="str">
        <f>IF(VLOOKUP(TableFields[Field],Columns[],3,0)&lt;&gt;"","'"&amp;VLOOKUP(TableFields[Field],Columns[],3,0)&amp;"'","")</f>
        <v>'LANGUAGE'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/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3" spans="1:11" hidden="1" x14ac:dyDescent="0.25">
      <c r="A63" s="1" t="s">
        <v>1074</v>
      </c>
      <c r="B63" s="1" t="s">
        <v>1227</v>
      </c>
      <c r="C63" s="1" t="str">
        <f>VLOOKUP(TableFields[Field],Columns[],2,0)&amp;"("</f>
        <v>string(</v>
      </c>
      <c r="D63" s="1" t="str">
        <f>IF(VLOOKUP(TableFields[Field],Columns[],3,0)&lt;&gt;"","'"&amp;VLOOKUP(TableFields[Field],Columns[],3,0)&amp;"'","")</f>
        <v>'CULTURE'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4" spans="1:11" hidden="1" x14ac:dyDescent="0.25">
      <c r="A64" s="1" t="s">
        <v>1074</v>
      </c>
      <c r="B64" s="1" t="s">
        <v>1229</v>
      </c>
      <c r="C64" s="1" t="str">
        <f>VLOOKUP(TableFields[Field],Columns[],2,0)&amp;"("</f>
        <v>enum(</v>
      </c>
      <c r="D64" s="1" t="str">
        <f>IF(VLOOKUP(TableFields[Field],Columns[],3,0)&lt;&gt;"","'"&amp;VLOOKUP(TableFields[Field],Columns[],3,0)&amp;"'","")</f>
        <v>'STOCKJVPOSTING'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>-&gt;default('Monthly')</v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5" spans="1:11" hidden="1" x14ac:dyDescent="0.25">
      <c r="A65" s="1" t="s">
        <v>1074</v>
      </c>
      <c r="B65" s="1" t="s">
        <v>1232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'PROFITJVPOSTING'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-&gt;default('Annually')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6" spans="1:11" hidden="1" x14ac:dyDescent="0.25">
      <c r="A66" s="1" t="s">
        <v>1074</v>
      </c>
      <c r="B66" s="1" t="s">
        <v>1235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'REPORTTITLE'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-&gt;default('CompanyName')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7" spans="1:11" hidden="1" x14ac:dyDescent="0.25">
      <c r="A67" s="1" t="s">
        <v>1074</v>
      </c>
      <c r="B67" s="1" t="s">
        <v>1239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'PRINTLOG'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-&gt;default('None')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8" spans="1:11" hidden="1" x14ac:dyDescent="0.25">
      <c r="A68" s="1" t="s">
        <v>1074</v>
      </c>
      <c r="B68" s="1" t="s">
        <v>1242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'LOADIMAGEONSTARTUP'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69" spans="1:11" hidden="1" x14ac:dyDescent="0.25">
      <c r="A69" s="1" t="s">
        <v>1074</v>
      </c>
      <c r="B69" s="1" t="s">
        <v>1244</v>
      </c>
      <c r="C69" s="1" t="str">
        <f>VLOOKUP(TableFields[Field],Columns[],2,0)&amp;"("</f>
        <v>char(</v>
      </c>
      <c r="D69" s="1" t="str">
        <f>IF(VLOOKUP(TableFields[Field],Columns[],3,0)&lt;&gt;"","'"&amp;VLOOKUP(TableFields[Field],Columns[],3,0)&amp;"'","")</f>
        <v>'THEME'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/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0" spans="1:11" hidden="1" x14ac:dyDescent="0.25">
      <c r="A70" s="1" t="s">
        <v>1074</v>
      </c>
      <c r="B70" s="1" t="s">
        <v>1246</v>
      </c>
      <c r="C70" s="1" t="str">
        <f>VLOOKUP(TableFields[Field],Columns[],2,0)&amp;"("</f>
        <v>enum(</v>
      </c>
      <c r="D70" s="1" t="str">
        <f>IF(VLOOKUP(TableFields[Field],Columns[],3,0)&lt;&gt;"","'"&amp;VLOOKUP(TableFields[Field],Columns[],3,0)&amp;"'","")</f>
        <v>'SERACHFROMBEGINNING'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>-&gt;default('No')</v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1" spans="1:11" hidden="1" x14ac:dyDescent="0.25">
      <c r="A71" s="1" t="s">
        <v>1074</v>
      </c>
      <c r="B71" s="1" t="s">
        <v>1248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'SEACHAUTOLOCK'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-&gt;default('Yes')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2" spans="1:11" hidden="1" x14ac:dyDescent="0.25">
      <c r="A72" s="1" t="s">
        <v>1074</v>
      </c>
      <c r="B72" s="1" t="s">
        <v>1250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'REMEMBERLASTSEARCH'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-&gt;default('No')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3" spans="1:11" hidden="1" x14ac:dyDescent="0.25">
      <c r="A73" s="1" t="s">
        <v>1074</v>
      </c>
      <c r="B73" s="1" t="s">
        <v>1252</v>
      </c>
      <c r="C73" s="1" t="str">
        <f>VLOOKUP(TableFields[Field],Columns[],2,0)&amp;"("</f>
        <v>string(</v>
      </c>
      <c r="D73" s="1" t="str">
        <f>IF(VLOOKUP(TableFields[Field],Columns[],3,0)&lt;&gt;"","'"&amp;VLOOKUP(TableFields[Field],Columns[],3,0)&amp;"'","")</f>
        <v>'DIGITALWALLETTEXT'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-&gt;default('eWallet')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4" spans="1:11" hidden="1" x14ac:dyDescent="0.25">
      <c r="A74" s="1" t="s">
        <v>1074</v>
      </c>
      <c r="B74" s="1" t="s">
        <v>288</v>
      </c>
      <c r="C74" s="1" t="str">
        <f>VLOOKUP(TableFields[Field],Columns[],2,0)&amp;"("</f>
        <v>audit(</v>
      </c>
      <c r="D74" s="1" t="str">
        <f>IF(VLOOKUP(TableFields[Field],Columns[],3,0)&lt;&gt;"","'"&amp;VLOOKUP(TableFields[Field],Columns[],3,0)&amp;"'","")</f>
        <v/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4" s="1" t="str">
        <f>IF(VLOOKUP(TableFields[Field],Columns[],5,0)=0,"","-&gt;"&amp;VLOOKUP(TableFields[Field],Columns[],5,0))</f>
        <v/>
      </c>
      <c r="G74" s="1" t="str">
        <f>IF(VLOOKUP(TableFields[Field],Columns[],6,0)=0,"","-&gt;"&amp;VLOOKUP(TableFields[Field],Columns[],6,0))</f>
        <v/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5" spans="1:11" hidden="1" x14ac:dyDescent="0.25">
      <c r="A75" s="1" t="s">
        <v>758</v>
      </c>
      <c r="B75" s="1" t="s">
        <v>21</v>
      </c>
      <c r="C75" s="1" t="str">
        <f>VLOOKUP(TableFields[Field],Columns[],2,0)&amp;"("</f>
        <v>bigIncrements(</v>
      </c>
      <c r="D75" s="1" t="str">
        <f>IF(VLOOKUP(TableFields[Field],Columns[],3,0)&lt;&gt;"","'"&amp;VLOOKUP(TableFields[Field],Columns[],3,0)&amp;"'","")</f>
        <v>'id'</v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6" spans="1:11" hidden="1" x14ac:dyDescent="0.25">
      <c r="A76" s="1" t="s">
        <v>758</v>
      </c>
      <c r="B76" s="4" t="s">
        <v>769</v>
      </c>
      <c r="C76" s="4" t="str">
        <f>VLOOKUP(TableFields[Field],Columns[],2,0)&amp;"("</f>
        <v>char(</v>
      </c>
      <c r="D76" s="4" t="str">
        <f>IF(VLOOKUP(TableFields[Field],Columns[],3,0)&lt;&gt;"","'"&amp;VLOOKUP(TableFields[Field],Columns[],3,0)&amp;"'","")</f>
        <v>'code'</v>
      </c>
      <c r="E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76" s="4" t="str">
        <f>IF(VLOOKUP(TableFields[Field],Columns[],5,0)=0,"","-&gt;"&amp;VLOOKUP(TableFields[Field],Columns[],5,0))</f>
        <v>-&gt;nullable()</v>
      </c>
      <c r="G76" s="4" t="str">
        <f>IF(VLOOKUP(TableFields[Field],Columns[],6,0)=0,"","-&gt;"&amp;VLOOKUP(TableFields[Field],Columns[],6,0))</f>
        <v>-&gt;index()</v>
      </c>
      <c r="H76" s="4" t="str">
        <f>IF(VLOOKUP(TableFields[Field],Columns[],7,0)=0,"","-&gt;"&amp;VLOOKUP(TableFields[Field],Columns[],7,0))</f>
        <v/>
      </c>
      <c r="I76" s="4" t="str">
        <f>IF(VLOOKUP(TableFields[Field],Columns[],8,0)=0,"","-&gt;"&amp;VLOOKUP(TableFields[Field],Columns[],8,0))</f>
        <v/>
      </c>
      <c r="J76" s="4" t="str">
        <f>IF(VLOOKUP(TableFields[Field],Columns[],9,0)=0,"","-&gt;"&amp;VLOOKUP(TableFields[Field],Columns[],9,0))</f>
        <v/>
      </c>
      <c r="K76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77" spans="1:11" hidden="1" x14ac:dyDescent="0.25">
      <c r="A77" s="2" t="s">
        <v>758</v>
      </c>
      <c r="B77" s="4" t="s">
        <v>23</v>
      </c>
      <c r="C77" s="4" t="str">
        <f>VLOOKUP(TableFields[Field],Columns[],2,0)&amp;"("</f>
        <v>string(</v>
      </c>
      <c r="D77" s="4" t="str">
        <f>IF(VLOOKUP(TableFields[Field],Columns[],3,0)&lt;&gt;"","'"&amp;VLOOKUP(TableFields[Field],Columns[],3,0)&amp;"'","")</f>
        <v>'name'</v>
      </c>
      <c r="E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7" s="4" t="str">
        <f>IF(VLOOKUP(TableFields[Field],Columns[],5,0)=0,"","-&gt;"&amp;VLOOKUP(TableFields[Field],Columns[],5,0))</f>
        <v>-&gt;nullable()</v>
      </c>
      <c r="G77" s="4" t="str">
        <f>IF(VLOOKUP(TableFields[Field],Columns[],6,0)=0,"","-&gt;"&amp;VLOOKUP(TableFields[Field],Columns[],6,0))</f>
        <v>-&gt;index()</v>
      </c>
      <c r="H77" s="4" t="str">
        <f>IF(VLOOKUP(TableFields[Field],Columns[],7,0)=0,"","-&gt;"&amp;VLOOKUP(TableFields[Field],Columns[],7,0))</f>
        <v/>
      </c>
      <c r="I77" s="4" t="str">
        <f>IF(VLOOKUP(TableFields[Field],Columns[],8,0)=0,"","-&gt;"&amp;VLOOKUP(TableFields[Field],Columns[],8,0))</f>
        <v/>
      </c>
      <c r="J77" s="4" t="str">
        <f>IF(VLOOKUP(TableFields[Field],Columns[],9,0)=0,"","-&gt;"&amp;VLOOKUP(TableFields[Field],Columns[],9,0))</f>
        <v/>
      </c>
      <c r="K7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8" spans="1:11" hidden="1" x14ac:dyDescent="0.25">
      <c r="A78" s="2" t="s">
        <v>758</v>
      </c>
      <c r="B78" s="4" t="s">
        <v>773</v>
      </c>
      <c r="C78" s="4" t="str">
        <f>VLOOKUP(TableFields[Field],Columns[],2,0)&amp;"("</f>
        <v>enum(</v>
      </c>
      <c r="D78" s="4" t="str">
        <f>IF(VLOOKUP(TableFields[Field],Columns[],3,0)&lt;&gt;"","'"&amp;VLOOKUP(TableFields[Field],Columns[],3,0)&amp;"'","")</f>
        <v>'type'</v>
      </c>
      <c r="E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78" s="4" t="str">
        <f>IF(VLOOKUP(TableFields[Field],Columns[],5,0)=0,"","-&gt;"&amp;VLOOKUP(TableFields[Field],Columns[],5,0))</f>
        <v>-&gt;nullable()</v>
      </c>
      <c r="G78" s="4" t="str">
        <f>IF(VLOOKUP(TableFields[Field],Columns[],6,0)=0,"","-&gt;"&amp;VLOOKUP(TableFields[Field],Columns[],6,0))</f>
        <v>-&gt;default('Public')</v>
      </c>
      <c r="H78" s="4" t="str">
        <f>IF(VLOOKUP(TableFields[Field],Columns[],7,0)=0,"","-&gt;"&amp;VLOOKUP(TableFields[Field],Columns[],7,0))</f>
        <v/>
      </c>
      <c r="I78" s="4" t="str">
        <f>IF(VLOOKUP(TableFields[Field],Columns[],8,0)=0,"","-&gt;"&amp;VLOOKUP(TableFields[Field],Columns[],8,0))</f>
        <v/>
      </c>
      <c r="J78" s="4" t="str">
        <f>IF(VLOOKUP(TableFields[Field],Columns[],9,0)=0,"","-&gt;"&amp;VLOOKUP(TableFields[Field],Columns[],9,0))</f>
        <v/>
      </c>
      <c r="K78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79" spans="1:11" hidden="1" x14ac:dyDescent="0.25">
      <c r="A79" s="2" t="s">
        <v>758</v>
      </c>
      <c r="B79" s="4" t="s">
        <v>776</v>
      </c>
      <c r="C79" s="4" t="str">
        <f>VLOOKUP(TableFields[Field],Columns[],2,0)&amp;"("</f>
        <v>enum(</v>
      </c>
      <c r="D79" s="4" t="str">
        <f>IF(VLOOKUP(TableFields[Field],Columns[],3,0)&lt;&gt;"","'"&amp;VLOOKUP(TableFields[Field],Columns[],3,0)&amp;"'","")</f>
        <v>'status'</v>
      </c>
      <c r="E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79" s="4" t="str">
        <f>IF(VLOOKUP(TableFields[Field],Columns[],5,0)=0,"","-&gt;"&amp;VLOOKUP(TableFields[Field],Columns[],5,0))</f>
        <v>-&gt;nullable()</v>
      </c>
      <c r="G79" s="4" t="str">
        <f>IF(VLOOKUP(TableFields[Field],Columns[],6,0)=0,"","-&gt;"&amp;VLOOKUP(TableFields[Field],Columns[],6,0))</f>
        <v>-&gt;default('Active')</v>
      </c>
      <c r="H79" s="4" t="str">
        <f>IF(VLOOKUP(TableFields[Field],Columns[],7,0)=0,"","-&gt;"&amp;VLOOKUP(TableFields[Field],Columns[],7,0))</f>
        <v/>
      </c>
      <c r="I79" s="4" t="str">
        <f>IF(VLOOKUP(TableFields[Field],Columns[],8,0)=0,"","-&gt;"&amp;VLOOKUP(TableFields[Field],Columns[],8,0))</f>
        <v/>
      </c>
      <c r="J79" s="4" t="str">
        <f>IF(VLOOKUP(TableFields[Field],Columns[],9,0)=0,"","-&gt;"&amp;VLOOKUP(TableFields[Field],Columns[],9,0))</f>
        <v/>
      </c>
      <c r="K7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0" spans="1:11" hidden="1" x14ac:dyDescent="0.25">
      <c r="A80" s="2" t="s">
        <v>758</v>
      </c>
      <c r="B80" s="4" t="s">
        <v>288</v>
      </c>
      <c r="C80" s="4" t="str">
        <f>VLOOKUP(TableFields[Field],Columns[],2,0)&amp;"("</f>
        <v>audit(</v>
      </c>
      <c r="D80" s="4" t="str">
        <f>IF(VLOOKUP(TableFields[Field],Columns[],3,0)&lt;&gt;"","'"&amp;VLOOKUP(TableFields[Field],Columns[],3,0)&amp;"'","")</f>
        <v/>
      </c>
      <c r="E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4" t="str">
        <f>IF(VLOOKUP(TableFields[Field],Columns[],5,0)=0,"","-&gt;"&amp;VLOOKUP(TableFields[Field],Columns[],5,0))</f>
        <v/>
      </c>
      <c r="G80" s="4" t="str">
        <f>IF(VLOOKUP(TableFields[Field],Columns[],6,0)=0,"","-&gt;"&amp;VLOOKUP(TableFields[Field],Columns[],6,0))</f>
        <v/>
      </c>
      <c r="H80" s="4" t="str">
        <f>IF(VLOOKUP(TableFields[Field],Columns[],7,0)=0,"","-&gt;"&amp;VLOOKUP(TableFields[Field],Columns[],7,0))</f>
        <v/>
      </c>
      <c r="I80" s="4" t="str">
        <f>IF(VLOOKUP(TableFields[Field],Columns[],8,0)=0,"","-&gt;"&amp;VLOOKUP(TableFields[Field],Columns[],8,0))</f>
        <v/>
      </c>
      <c r="J80" s="4" t="str">
        <f>IF(VLOOKUP(TableFields[Field],Columns[],9,0)=0,"","-&gt;"&amp;VLOOKUP(TableFields[Field],Columns[],9,0))</f>
        <v/>
      </c>
      <c r="K8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1" spans="1:11" hidden="1" x14ac:dyDescent="0.25">
      <c r="A81" s="2" t="s">
        <v>755</v>
      </c>
      <c r="B81" s="4" t="s">
        <v>21</v>
      </c>
      <c r="C81" s="4" t="str">
        <f>VLOOKUP(TableFields[Field],Columns[],2,0)&amp;"("</f>
        <v>bigIncrements(</v>
      </c>
      <c r="D81" s="4" t="str">
        <f>IF(VLOOKUP(TableFields[Field],Columns[],3,0)&lt;&gt;"","'"&amp;VLOOKUP(TableFields[Field],Columns[],3,0)&amp;"'","")</f>
        <v>'id'</v>
      </c>
      <c r="E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4" t="str">
        <f>IF(VLOOKUP(TableFields[Field],Columns[],5,0)=0,"","-&gt;"&amp;VLOOKUP(TableFields[Field],Columns[],5,0))</f>
        <v/>
      </c>
      <c r="G81" s="4" t="str">
        <f>IF(VLOOKUP(TableFields[Field],Columns[],6,0)=0,"","-&gt;"&amp;VLOOKUP(TableFields[Field],Columns[],6,0))</f>
        <v/>
      </c>
      <c r="H81" s="4" t="str">
        <f>IF(VLOOKUP(TableFields[Field],Columns[],7,0)=0,"","-&gt;"&amp;VLOOKUP(TableFields[Field],Columns[],7,0))</f>
        <v/>
      </c>
      <c r="I81" s="4" t="str">
        <f>IF(VLOOKUP(TableFields[Field],Columns[],8,0)=0,"","-&gt;"&amp;VLOOKUP(TableFields[Field],Columns[],8,0))</f>
        <v/>
      </c>
      <c r="J81" s="4" t="str">
        <f>IF(VLOOKUP(TableFields[Field],Columns[],9,0)=0,"","-&gt;"&amp;VLOOKUP(TableFields[Field],Columns[],9,0))</f>
        <v/>
      </c>
      <c r="K8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2" spans="1:11" hidden="1" x14ac:dyDescent="0.25">
      <c r="A82" s="2" t="s">
        <v>755</v>
      </c>
      <c r="B82" s="4" t="s">
        <v>781</v>
      </c>
      <c r="C82" s="4" t="str">
        <f>VLOOKUP(TableFields[Field],Columns[],2,0)&amp;"("</f>
        <v>foreignCascade(</v>
      </c>
      <c r="D82" s="4" t="str">
        <f>IF(VLOOKUP(TableFields[Field],Columns[],3,0)&lt;&gt;"","'"&amp;VLOOKUP(TableFields[Field],Columns[],3,0)&amp;"'","")</f>
        <v>'area'</v>
      </c>
      <c r="E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82" s="4" t="str">
        <f>IF(VLOOKUP(TableFields[Field],Columns[],5,0)=0,"","-&gt;"&amp;VLOOKUP(TableFields[Field],Columns[],5,0))</f>
        <v/>
      </c>
      <c r="G82" s="4" t="str">
        <f>IF(VLOOKUP(TableFields[Field],Columns[],6,0)=0,"","-&gt;"&amp;VLOOKUP(TableFields[Field],Columns[],6,0))</f>
        <v/>
      </c>
      <c r="H82" s="4" t="str">
        <f>IF(VLOOKUP(TableFields[Field],Columns[],7,0)=0,"","-&gt;"&amp;VLOOKUP(TableFields[Field],Columns[],7,0))</f>
        <v/>
      </c>
      <c r="I82" s="4" t="str">
        <f>IF(VLOOKUP(TableFields[Field],Columns[],8,0)=0,"","-&gt;"&amp;VLOOKUP(TableFields[Field],Columns[],8,0))</f>
        <v/>
      </c>
      <c r="J82" s="4" t="str">
        <f>IF(VLOOKUP(TableFields[Field],Columns[],9,0)=0,"","-&gt;"&amp;VLOOKUP(TableFields[Field],Columns[],9,0))</f>
        <v/>
      </c>
      <c r="K8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83" spans="1:11" hidden="1" x14ac:dyDescent="0.25">
      <c r="A83" s="2" t="s">
        <v>755</v>
      </c>
      <c r="B83" s="4" t="s">
        <v>784</v>
      </c>
      <c r="C83" s="4" t="str">
        <f>VLOOKUP(TableFields[Field],Columns[],2,0)&amp;"("</f>
        <v>unsignedBigInteger(</v>
      </c>
      <c r="D83" s="4" t="str">
        <f>IF(VLOOKUP(TableFields[Field],Columns[],3,0)&lt;&gt;"","'"&amp;VLOOKUP(TableFields[Field],Columns[],3,0)&amp;"'","")</f>
        <v>'user'</v>
      </c>
      <c r="E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3" s="4" t="str">
        <f>IF(VLOOKUP(TableFields[Field],Columns[],5,0)=0,"","-&gt;"&amp;VLOOKUP(TableFields[Field],Columns[],5,0))</f>
        <v/>
      </c>
      <c r="G83" s="4" t="str">
        <f>IF(VLOOKUP(TableFields[Field],Columns[],6,0)=0,"","-&gt;"&amp;VLOOKUP(TableFields[Field],Columns[],6,0))</f>
        <v/>
      </c>
      <c r="H83" s="4" t="str">
        <f>IF(VLOOKUP(TableFields[Field],Columns[],7,0)=0,"","-&gt;"&amp;VLOOKUP(TableFields[Field],Columns[],7,0))</f>
        <v/>
      </c>
      <c r="I83" s="4" t="str">
        <f>IF(VLOOKUP(TableFields[Field],Columns[],8,0)=0,"","-&gt;"&amp;VLOOKUP(TableFields[Field],Columns[],8,0))</f>
        <v/>
      </c>
      <c r="J83" s="4" t="str">
        <f>IF(VLOOKUP(TableFields[Field],Columns[],9,0)=0,"","-&gt;"&amp;VLOOKUP(TableFields[Field],Columns[],9,0))</f>
        <v/>
      </c>
      <c r="K83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84" spans="1:11" hidden="1" x14ac:dyDescent="0.25">
      <c r="A84" s="2" t="s">
        <v>755</v>
      </c>
      <c r="B84" s="4" t="s">
        <v>288</v>
      </c>
      <c r="C84" s="4" t="str">
        <f>VLOOKUP(TableFields[Field],Columns[],2,0)&amp;"("</f>
        <v>audit(</v>
      </c>
      <c r="D84" s="4" t="str">
        <f>IF(VLOOKUP(TableFields[Field],Columns[],3,0)&lt;&gt;"","'"&amp;VLOOKUP(TableFields[Field],Columns[],3,0)&amp;"'","")</f>
        <v/>
      </c>
      <c r="E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4" s="4" t="str">
        <f>IF(VLOOKUP(TableFields[Field],Columns[],5,0)=0,"","-&gt;"&amp;VLOOKUP(TableFields[Field],Columns[],5,0))</f>
        <v/>
      </c>
      <c r="G84" s="4" t="str">
        <f>IF(VLOOKUP(TableFields[Field],Columns[],6,0)=0,"","-&gt;"&amp;VLOOKUP(TableFields[Field],Columns[],6,0))</f>
        <v/>
      </c>
      <c r="H84" s="4" t="str">
        <f>IF(VLOOKUP(TableFields[Field],Columns[],7,0)=0,"","-&gt;"&amp;VLOOKUP(TableFields[Field],Columns[],7,0))</f>
        <v/>
      </c>
      <c r="I84" s="4" t="str">
        <f>IF(VLOOKUP(TableFields[Field],Columns[],8,0)=0,"","-&gt;"&amp;VLOOKUP(TableFields[Field],Columns[],8,0))</f>
        <v/>
      </c>
      <c r="J84" s="4" t="str">
        <f>IF(VLOOKUP(TableFields[Field],Columns[],9,0)=0,"","-&gt;"&amp;VLOOKUP(TableFields[Field],Columns[],9,0))</f>
        <v/>
      </c>
      <c r="K8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5" spans="1:11" hidden="1" x14ac:dyDescent="0.25">
      <c r="A85" s="2" t="s">
        <v>755</v>
      </c>
      <c r="B85" s="4" t="s">
        <v>793</v>
      </c>
      <c r="C85" s="4" t="str">
        <f>VLOOKUP(TableFields[Field],Columns[],2,0)&amp;"("</f>
        <v>foreign(</v>
      </c>
      <c r="D85" s="4" t="str">
        <f>IF(VLOOKUP(TableFields[Field],Columns[],3,0)&lt;&gt;"","'"&amp;VLOOKUP(TableFields[Field],Columns[],3,0)&amp;"'","")</f>
        <v>'user'</v>
      </c>
      <c r="E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5" s="4" t="str">
        <f>IF(VLOOKUP(TableFields[Field],Columns[],5,0)=0,"","-&gt;"&amp;VLOOKUP(TableFields[Field],Columns[],5,0))</f>
        <v>-&gt;references('id')</v>
      </c>
      <c r="G85" s="4" t="str">
        <f>IF(VLOOKUP(TableFields[Field],Columns[],6,0)=0,"","-&gt;"&amp;VLOOKUP(TableFields[Field],Columns[],6,0))</f>
        <v>-&gt;on('users')</v>
      </c>
      <c r="H85" s="4" t="str">
        <f>IF(VLOOKUP(TableFields[Field],Columns[],7,0)=0,"","-&gt;"&amp;VLOOKUP(TableFields[Field],Columns[],7,0))</f>
        <v>-&gt;onUpdate('cascade')</v>
      </c>
      <c r="I85" s="4" t="str">
        <f>IF(VLOOKUP(TableFields[Field],Columns[],8,0)=0,"","-&gt;"&amp;VLOOKUP(TableFields[Field],Columns[],8,0))</f>
        <v>-&gt;onDelete('cascade')</v>
      </c>
      <c r="J85" s="4" t="str">
        <f>IF(VLOOKUP(TableFields[Field],Columns[],9,0)=0,"","-&gt;"&amp;VLOOKUP(TableFields[Field],Columns[],9,0))</f>
        <v/>
      </c>
      <c r="K85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86" spans="1:11" hidden="1" x14ac:dyDescent="0.25">
      <c r="A86" s="2" t="s">
        <v>757</v>
      </c>
      <c r="B86" s="4" t="s">
        <v>21</v>
      </c>
      <c r="C86" s="4" t="str">
        <f>VLOOKUP(TableFields[Field],Columns[],2,0)&amp;"("</f>
        <v>bigIncrements(</v>
      </c>
      <c r="D86" s="4" t="str">
        <f>IF(VLOOKUP(TableFields[Field],Columns[],3,0)&lt;&gt;"","'"&amp;VLOOKUP(TableFields[Field],Columns[],3,0)&amp;"'","")</f>
        <v>'id'</v>
      </c>
      <c r="E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6" s="4" t="str">
        <f>IF(VLOOKUP(TableFields[Field],Columns[],5,0)=0,"","-&gt;"&amp;VLOOKUP(TableFields[Field],Columns[],5,0))</f>
        <v/>
      </c>
      <c r="G86" s="4" t="str">
        <f>IF(VLOOKUP(TableFields[Field],Columns[],6,0)=0,"","-&gt;"&amp;VLOOKUP(TableFields[Field],Columns[],6,0))</f>
        <v/>
      </c>
      <c r="H86" s="4" t="str">
        <f>IF(VLOOKUP(TableFields[Field],Columns[],7,0)=0,"","-&gt;"&amp;VLOOKUP(TableFields[Field],Columns[],7,0))</f>
        <v/>
      </c>
      <c r="I86" s="4" t="str">
        <f>IF(VLOOKUP(TableFields[Field],Columns[],8,0)=0,"","-&gt;"&amp;VLOOKUP(TableFields[Field],Columns[],8,0))</f>
        <v/>
      </c>
      <c r="J86" s="4" t="str">
        <f>IF(VLOOKUP(TableFields[Field],Columns[],9,0)=0,"","-&gt;"&amp;VLOOKUP(TableFields[Field],Columns[],9,0))</f>
        <v/>
      </c>
      <c r="K8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7" spans="1:11" hidden="1" x14ac:dyDescent="0.25">
      <c r="A87" s="2" t="s">
        <v>757</v>
      </c>
      <c r="B87" s="4" t="s">
        <v>791</v>
      </c>
      <c r="C87" s="4" t="str">
        <f>VLOOKUP(TableFields[Field],Columns[],2,0)&amp;"("</f>
        <v>char(</v>
      </c>
      <c r="D87" s="4" t="str">
        <f>IF(VLOOKUP(TableFields[Field],Columns[],3,0)&lt;&gt;"","'"&amp;VLOOKUP(TableFields[Field],Columns[],3,0)&amp;"'","")</f>
        <v>'catcode'</v>
      </c>
      <c r="E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7" s="4" t="str">
        <f>IF(VLOOKUP(TableFields[Field],Columns[],5,0)=0,"","-&gt;"&amp;VLOOKUP(TableFields[Field],Columns[],5,0))</f>
        <v>-&gt;nullable()</v>
      </c>
      <c r="G87" s="4" t="str">
        <f>IF(VLOOKUP(TableFields[Field],Columns[],6,0)=0,"","-&gt;"&amp;VLOOKUP(TableFields[Field],Columns[],6,0))</f>
        <v>-&gt;index()</v>
      </c>
      <c r="H87" s="4" t="str">
        <f>IF(VLOOKUP(TableFields[Field],Columns[],7,0)=0,"","-&gt;"&amp;VLOOKUP(TableFields[Field],Columns[],7,0))</f>
        <v/>
      </c>
      <c r="I87" s="4" t="str">
        <f>IF(VLOOKUP(TableFields[Field],Columns[],8,0)=0,"","-&gt;"&amp;VLOOKUP(TableFields[Field],Columns[],8,0))</f>
        <v/>
      </c>
      <c r="J87" s="4" t="str">
        <f>IF(VLOOKUP(TableFields[Field],Columns[],9,0)=0,"","-&gt;"&amp;VLOOKUP(TableFields[Field],Columns[],9,0))</f>
        <v/>
      </c>
      <c r="K87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88" spans="1:11" hidden="1" x14ac:dyDescent="0.25">
      <c r="A88" s="2" t="s">
        <v>757</v>
      </c>
      <c r="B88" s="4" t="s">
        <v>769</v>
      </c>
      <c r="C88" s="4" t="str">
        <f>VLOOKUP(TableFields[Field],Columns[],2,0)&amp;"("</f>
        <v>char(</v>
      </c>
      <c r="D88" s="4" t="str">
        <f>IF(VLOOKUP(TableFields[Field],Columns[],3,0)&lt;&gt;"","'"&amp;VLOOKUP(TableFields[Field],Columns[],3,0)&amp;"'","")</f>
        <v>'code'</v>
      </c>
      <c r="E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8" s="4" t="str">
        <f>IF(VLOOKUP(TableFields[Field],Columns[],5,0)=0,"","-&gt;"&amp;VLOOKUP(TableFields[Field],Columns[],5,0))</f>
        <v>-&gt;nullable()</v>
      </c>
      <c r="G88" s="4" t="str">
        <f>IF(VLOOKUP(TableFields[Field],Columns[],6,0)=0,"","-&gt;"&amp;VLOOKUP(TableFields[Field],Columns[],6,0))</f>
        <v>-&gt;index()</v>
      </c>
      <c r="H88" s="4" t="str">
        <f>IF(VLOOKUP(TableFields[Field],Columns[],7,0)=0,"","-&gt;"&amp;VLOOKUP(TableFields[Field],Columns[],7,0))</f>
        <v/>
      </c>
      <c r="I88" s="4" t="str">
        <f>IF(VLOOKUP(TableFields[Field],Columns[],8,0)=0,"","-&gt;"&amp;VLOOKUP(TableFields[Field],Columns[],8,0))</f>
        <v/>
      </c>
      <c r="J88" s="4" t="str">
        <f>IF(VLOOKUP(TableFields[Field],Columns[],9,0)=0,"","-&gt;"&amp;VLOOKUP(TableFields[Field],Columns[],9,0))</f>
        <v/>
      </c>
      <c r="K8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89" spans="1:11" hidden="1" x14ac:dyDescent="0.25">
      <c r="A89" s="2" t="s">
        <v>757</v>
      </c>
      <c r="B89" s="4" t="s">
        <v>23</v>
      </c>
      <c r="C89" s="4" t="str">
        <f>VLOOKUP(TableFields[Field],Columns[],2,0)&amp;"("</f>
        <v>string(</v>
      </c>
      <c r="D89" s="4" t="str">
        <f>IF(VLOOKUP(TableFields[Field],Columns[],3,0)&lt;&gt;"","'"&amp;VLOOKUP(TableFields[Field],Columns[],3,0)&amp;"'","")</f>
        <v>'name'</v>
      </c>
      <c r="E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9" s="4" t="str">
        <f>IF(VLOOKUP(TableFields[Field],Columns[],5,0)=0,"","-&gt;"&amp;VLOOKUP(TableFields[Field],Columns[],5,0))</f>
        <v>-&gt;nullable()</v>
      </c>
      <c r="G89" s="4" t="str">
        <f>IF(VLOOKUP(TableFields[Field],Columns[],6,0)=0,"","-&gt;"&amp;VLOOKUP(TableFields[Field],Columns[],6,0))</f>
        <v>-&gt;index()</v>
      </c>
      <c r="H89" s="4" t="str">
        <f>IF(VLOOKUP(TableFields[Field],Columns[],7,0)=0,"","-&gt;"&amp;VLOOKUP(TableFields[Field],Columns[],7,0))</f>
        <v/>
      </c>
      <c r="I89" s="4" t="str">
        <f>IF(VLOOKUP(TableFields[Field],Columns[],8,0)=0,"","-&gt;"&amp;VLOOKUP(TableFields[Field],Columns[],8,0))</f>
        <v/>
      </c>
      <c r="J89" s="4" t="str">
        <f>IF(VLOOKUP(TableFields[Field],Columns[],9,0)=0,"","-&gt;"&amp;VLOOKUP(TableFields[Field],Columns[],9,0))</f>
        <v/>
      </c>
      <c r="K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0" spans="1:11" hidden="1" x14ac:dyDescent="0.25">
      <c r="A90" s="2" t="s">
        <v>757</v>
      </c>
      <c r="B90" s="4" t="s">
        <v>876</v>
      </c>
      <c r="C90" s="4" t="str">
        <f>VLOOKUP(TableFields[Field],Columns[],2,0)&amp;"("</f>
        <v>char(</v>
      </c>
      <c r="D90" s="4" t="str">
        <f>IF(VLOOKUP(TableFields[Field],Columns[],3,0)&lt;&gt;"","'"&amp;VLOOKUP(TableFields[Field],Columns[],3,0)&amp;"'","")</f>
        <v>'cocode'</v>
      </c>
      <c r="E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90" s="4" t="str">
        <f>IF(VLOOKUP(TableFields[Field],Columns[],5,0)=0,"","-&gt;"&amp;VLOOKUP(TableFields[Field],Columns[],5,0))</f>
        <v>-&gt;nullable()</v>
      </c>
      <c r="G90" s="4" t="str">
        <f>IF(VLOOKUP(TableFields[Field],Columns[],6,0)=0,"","-&gt;"&amp;VLOOKUP(TableFields[Field],Columns[],6,0))</f>
        <v>-&gt;index()</v>
      </c>
      <c r="H90" s="4" t="str">
        <f>IF(VLOOKUP(TableFields[Field],Columns[],7,0)=0,"","-&gt;"&amp;VLOOKUP(TableFields[Field],Columns[],7,0))</f>
        <v/>
      </c>
      <c r="I90" s="4" t="str">
        <f>IF(VLOOKUP(TableFields[Field],Columns[],8,0)=0,"","-&gt;"&amp;VLOOKUP(TableFields[Field],Columns[],8,0))</f>
        <v/>
      </c>
      <c r="J90" s="4" t="str">
        <f>IF(VLOOKUP(TableFields[Field],Columns[],9,0)=0,"","-&gt;"&amp;VLOOKUP(TableFields[Field],Columns[],9,0))</f>
        <v/>
      </c>
      <c r="K9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91" spans="1:11" hidden="1" x14ac:dyDescent="0.25">
      <c r="A91" s="2" t="s">
        <v>757</v>
      </c>
      <c r="B91" s="4" t="s">
        <v>1743</v>
      </c>
      <c r="C91" s="4" t="str">
        <f>VLOOKUP(TableFields[Field],Columns[],2,0)&amp;"("</f>
        <v>string(</v>
      </c>
      <c r="D91" s="4" t="str">
        <f>IF(VLOOKUP(TableFields[Field],Columns[],3,0)&lt;&gt;"","'"&amp;VLOOKUP(TableFields[Field],Columns[],3,0)&amp;"'","")</f>
        <v>'co_abr'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/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92" spans="1:11" hidden="1" x14ac:dyDescent="0.25">
      <c r="A92" s="2" t="s">
        <v>757</v>
      </c>
      <c r="B92" s="4" t="s">
        <v>877</v>
      </c>
      <c r="C92" s="4" t="str">
        <f>VLOOKUP(TableFields[Field],Columns[],2,0)&amp;"("</f>
        <v>char(</v>
      </c>
      <c r="D92" s="4" t="str">
        <f>IF(VLOOKUP(TableFields[Field],Columns[],3,0)&lt;&gt;"","'"&amp;VLOOKUP(TableFields[Field],Columns[],3,0)&amp;"'","")</f>
        <v>'brcode'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-&gt;index()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93" spans="1:11" hidden="1" x14ac:dyDescent="0.25">
      <c r="A93" s="2" t="s">
        <v>757</v>
      </c>
      <c r="B93" s="4" t="s">
        <v>1744</v>
      </c>
      <c r="C93" s="4" t="str">
        <f>VLOOKUP(TableFields[Field],Columns[],2,0)&amp;"("</f>
        <v>string(</v>
      </c>
      <c r="D93" s="4" t="str">
        <f>IF(VLOOKUP(TableFields[Field],Columns[],3,0)&lt;&gt;"","'"&amp;VLOOKUP(TableFields[Field],Columns[],3,0)&amp;"'","")</f>
        <v>'br_abr'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/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94" spans="1:11" hidden="1" x14ac:dyDescent="0.25">
      <c r="A94" s="2" t="s">
        <v>757</v>
      </c>
      <c r="B94" s="4" t="s">
        <v>1801</v>
      </c>
      <c r="C94" s="4" t="str">
        <f>VLOOKUP(TableFields[Field],Columns[],2,0)&amp;"("</f>
        <v>string(</v>
      </c>
      <c r="D94" s="4" t="str">
        <f>IF(VLOOKUP(TableFields[Field],Columns[],3,0)&lt;&gt;"","'"&amp;VLOOKUP(TableFields[Field],Columns[],3,0)&amp;"'","")</f>
        <v>'currency'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4" s="4" t="str">
        <f>IF(VLOOKUP(TableFields[Field],Columns[],5,0)=0,"","-&gt;"&amp;VLOOKUP(TableFields[Field],Columns[],5,0))</f>
        <v>-&gt;nullable()</v>
      </c>
      <c r="G94" s="4" t="str">
        <f>IF(VLOOKUP(TableFields[Field],Columns[],6,0)=0,"","-&gt;"&amp;VLOOKUP(TableFields[Field],Columns[],6,0))</f>
        <v/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95" spans="1:11" hidden="1" x14ac:dyDescent="0.25">
      <c r="A95" s="2" t="s">
        <v>757</v>
      </c>
      <c r="B95" s="4" t="s">
        <v>773</v>
      </c>
      <c r="C95" s="4" t="str">
        <f>VLOOKUP(TableFields[Field],Columns[],2,0)&amp;"("</f>
        <v>enum(</v>
      </c>
      <c r="D95" s="4" t="str">
        <f>IF(VLOOKUP(TableFields[Field],Columns[],3,0)&lt;&gt;"","'"&amp;VLOOKUP(TableFields[Field],Columns[],3,0)&amp;"'","")</f>
        <v>'type'</v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5" s="4" t="str">
        <f>IF(VLOOKUP(TableFields[Field],Columns[],5,0)=0,"","-&gt;"&amp;VLOOKUP(TableFields[Field],Columns[],5,0))</f>
        <v>-&gt;nullable()</v>
      </c>
      <c r="G95" s="4" t="str">
        <f>IF(VLOOKUP(TableFields[Field],Columns[],6,0)=0,"","-&gt;"&amp;VLOOKUP(TableFields[Field],Columns[],6,0))</f>
        <v>-&gt;default('Public')</v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6" spans="1:11" hidden="1" x14ac:dyDescent="0.25">
      <c r="A96" s="2" t="s">
        <v>757</v>
      </c>
      <c r="B96" s="4" t="s">
        <v>776</v>
      </c>
      <c r="C96" s="4" t="str">
        <f>VLOOKUP(TableFields[Field],Columns[],2,0)&amp;"("</f>
        <v>enum(</v>
      </c>
      <c r="D96" s="4" t="str">
        <f>IF(VLOOKUP(TableFields[Field],Columns[],3,0)&lt;&gt;"","'"&amp;VLOOKUP(TableFields[Field],Columns[],3,0)&amp;"'","")</f>
        <v>'status'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6" s="4" t="str">
        <f>IF(VLOOKUP(TableFields[Field],Columns[],5,0)=0,"","-&gt;"&amp;VLOOKUP(TableFields[Field],Columns[],5,0))</f>
        <v>-&gt;nullable()</v>
      </c>
      <c r="G96" s="4" t="str">
        <f>IF(VLOOKUP(TableFields[Field],Columns[],6,0)=0,"","-&gt;"&amp;VLOOKUP(TableFields[Field],Columns[],6,0))</f>
        <v>-&gt;default('Active')</v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7" spans="1:11" hidden="1" x14ac:dyDescent="0.25">
      <c r="A97" s="2" t="s">
        <v>757</v>
      </c>
      <c r="B97" s="4" t="s">
        <v>288</v>
      </c>
      <c r="C97" s="4" t="str">
        <f>VLOOKUP(TableFields[Field],Columns[],2,0)&amp;"("</f>
        <v>audit(</v>
      </c>
      <c r="D97" s="4" t="str">
        <f>IF(VLOOKUP(TableFields[Field],Columns[],3,0)&lt;&gt;"","'"&amp;VLOOKUP(TableFields[Field],Columns[],3,0)&amp;"'","")</f>
        <v/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8" spans="1:11" hidden="1" x14ac:dyDescent="0.25">
      <c r="A98" s="4" t="s">
        <v>851</v>
      </c>
      <c r="B98" s="4" t="s">
        <v>21</v>
      </c>
      <c r="C98" s="4" t="str">
        <f>VLOOKUP(TableFields[Field],Columns[],2,0)&amp;"("</f>
        <v>bigIncrements(</v>
      </c>
      <c r="D98" s="4" t="str">
        <f>IF(VLOOKUP(TableFields[Field],Columns[],3,0)&lt;&gt;"","'"&amp;VLOOKUP(TableFields[Field],Columns[],3,0)&amp;"'","")</f>
        <v>'id'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9" spans="1:11" hidden="1" x14ac:dyDescent="0.25">
      <c r="A99" s="4" t="s">
        <v>851</v>
      </c>
      <c r="B99" s="4" t="s">
        <v>769</v>
      </c>
      <c r="C99" s="4" t="str">
        <f>VLOOKUP(TableFields[Field],Columns[],2,0)&amp;"("</f>
        <v>char(</v>
      </c>
      <c r="D99" s="4" t="str">
        <f>IF(VLOOKUP(TableFields[Field],Columns[],3,0)&lt;&gt;"","'"&amp;VLOOKUP(TableFields[Field],Columns[],3,0)&amp;"'","")</f>
        <v>'code'</v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9" s="4" t="str">
        <f>IF(VLOOKUP(TableFields[Field],Columns[],5,0)=0,"","-&gt;"&amp;VLOOKUP(TableFields[Field],Columns[],5,0))</f>
        <v>-&gt;nullable()</v>
      </c>
      <c r="G99" s="4" t="str">
        <f>IF(VLOOKUP(TableFields[Field],Columns[],6,0)=0,"","-&gt;"&amp;VLOOKUP(TableFields[Field],Columns[],6,0))</f>
        <v>-&gt;index()</v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0" spans="1:11" hidden="1" x14ac:dyDescent="0.25">
      <c r="A100" s="4" t="s">
        <v>851</v>
      </c>
      <c r="B100" s="4" t="s">
        <v>1742</v>
      </c>
      <c r="C100" s="4" t="str">
        <f>VLOOKUP(TableFields[Field],Columns[],2,0)&amp;"("</f>
        <v>string(</v>
      </c>
      <c r="D100" s="4" t="str">
        <f>IF(VLOOKUP(TableFields[Field],Columns[],3,0)&lt;&gt;"","'"&amp;VLOOKUP(TableFields[Field],Columns[],3,0)&amp;"'","")</f>
        <v>'abr'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0" s="4" t="str">
        <f>IF(VLOOKUP(TableFields[Field],Columns[],5,0)=0,"","-&gt;"&amp;VLOOKUP(TableFields[Field],Columns[],5,0))</f>
        <v>-&gt;nullable()</v>
      </c>
      <c r="G100" s="4" t="str">
        <f>IF(VLOOKUP(TableFields[Field],Columns[],6,0)=0,"","-&gt;"&amp;VLOOKUP(TableFields[Field],Columns[],6,0))</f>
        <v/>
      </c>
      <c r="H100" s="4" t="str">
        <f>IF(VLOOKUP(TableFields[Field],Columns[],7,0)=0,"","-&gt;"&amp;VLOOKUP(TableFields[Field],Columns[],7,0))</f>
        <v/>
      </c>
      <c r="I100" s="4" t="str">
        <f>IF(VLOOKUP(TableFields[Field],Columns[],8,0)=0,"","-&gt;"&amp;VLOOKUP(TableFields[Field],Columns[],8,0))</f>
        <v/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01" spans="1:11" hidden="1" x14ac:dyDescent="0.25">
      <c r="A101" s="4" t="s">
        <v>851</v>
      </c>
      <c r="B101" s="4" t="s">
        <v>1771</v>
      </c>
      <c r="C101" s="4" t="str">
        <f>VLOOKUP(TableFields[Field],Columns[],2,0)&amp;"("</f>
        <v>char(</v>
      </c>
      <c r="D101" s="4" t="str">
        <f>IF(VLOOKUP(TableFields[Field],Columns[],3,0)&lt;&gt;"","'"&amp;VLOOKUP(TableFields[Field],Columns[],3,0)&amp;"'","")</f>
        <v>'category'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1" s="4" t="str">
        <f>IF(VLOOKUP(TableFields[Field],Columns[],5,0)=0,"","-&gt;"&amp;VLOOKUP(TableFields[Field],Columns[],5,0))</f>
        <v>-&gt;nullable()</v>
      </c>
      <c r="G101" s="4" t="str">
        <f>IF(VLOOKUP(TableFields[Field],Columns[],6,0)=0,"","-&gt;"&amp;VLOOKUP(TableFields[Field],Columns[],6,0))</f>
        <v>-&gt;index()</v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02" spans="1:11" hidden="1" x14ac:dyDescent="0.25">
      <c r="A102" s="4" t="s">
        <v>851</v>
      </c>
      <c r="B102" s="4" t="s">
        <v>1772</v>
      </c>
      <c r="C102" s="4" t="str">
        <f>VLOOKUP(TableFields[Field],Columns[],2,0)&amp;"("</f>
        <v>string(</v>
      </c>
      <c r="D102" s="4" t="str">
        <f>IF(VLOOKUP(TableFields[Field],Columns[],3,0)&lt;&gt;"","'"&amp;VLOOKUP(TableFields[Field],Columns[],3,0)&amp;"'","")</f>
        <v>'wtype'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03" spans="1:11" hidden="1" x14ac:dyDescent="0.25">
      <c r="A103" s="4" t="s">
        <v>851</v>
      </c>
      <c r="B103" s="4" t="s">
        <v>852</v>
      </c>
      <c r="C103" s="4" t="str">
        <f>VLOOKUP(TableFields[Field],Columns[],2,0)&amp;"("</f>
        <v>string(</v>
      </c>
      <c r="D103" s="4" t="str">
        <f>IF(VLOOKUP(TableFields[Field],Columns[],3,0)&lt;&gt;"","'"&amp;VLOOKUP(TableFields[Field],Columns[],3,0)&amp;"'","")</f>
        <v>'format'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-&gt;default('[BR][FN]-[FY]-[AI]')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04" spans="1:11" hidden="1" x14ac:dyDescent="0.25">
      <c r="A104" s="4" t="s">
        <v>851</v>
      </c>
      <c r="B104" s="4" t="s">
        <v>855</v>
      </c>
      <c r="C104" s="4" t="str">
        <f>VLOOKUP(TableFields[Field],Columns[],2,0)&amp;"("</f>
        <v>decimal(</v>
      </c>
      <c r="D104" s="4" t="str">
        <f>IF(VLOOKUP(TableFields[Field],Columns[],3,0)&lt;&gt;"","'"&amp;VLOOKUP(TableFields[Field],Columns[],3,0)&amp;"'","")</f>
        <v>'digit_length'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04" s="4" t="str">
        <f>IF(VLOOKUP(TableFields[Field],Columns[],5,0)=0,"","-&gt;"&amp;VLOOKUP(TableFields[Field],Columns[],5,0))</f>
        <v>-&gt;default(4)</v>
      </c>
      <c r="G104" s="4" t="str">
        <f>IF(VLOOKUP(TableFields[Field],Columns[],6,0)=0,"","-&gt;"&amp;VLOOKUP(TableFields[Field],Columns[],6,0))</f>
        <v/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05" spans="1:11" hidden="1" x14ac:dyDescent="0.25">
      <c r="A105" s="4" t="s">
        <v>851</v>
      </c>
      <c r="B105" s="4" t="s">
        <v>823</v>
      </c>
      <c r="C105" s="4" t="str">
        <f>VLOOKUP(TableFields[Field],Columns[],2,0)&amp;"("</f>
        <v>enum(</v>
      </c>
      <c r="D105" s="4" t="str">
        <f>IF(VLOOKUP(TableFields[Field],Columns[],3,0)&lt;&gt;"","'"&amp;VLOOKUP(TableFields[Field],Columns[],3,0)&amp;"'","")</f>
        <v>'direction'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05" s="4" t="str">
        <f>IF(VLOOKUP(TableFields[Field],Columns[],5,0)=0,"","-&gt;"&amp;VLOOKUP(TableFields[Field],Columns[],5,0))</f>
        <v>-&gt;default('Out')</v>
      </c>
      <c r="G105" s="4" t="str">
        <f>IF(VLOOKUP(TableFields[Field],Columns[],6,0)=0,"","-&gt;"&amp;VLOOKUP(TableFields[Field],Columns[],6,0))</f>
        <v/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06" spans="1:11" hidden="1" x14ac:dyDescent="0.25">
      <c r="A106" s="4" t="s">
        <v>851</v>
      </c>
      <c r="B106" s="4" t="s">
        <v>919</v>
      </c>
      <c r="C106" s="4" t="str">
        <f>VLOOKUP(TableFields[Field],Columns[],2,0)&amp;"("</f>
        <v>char(</v>
      </c>
      <c r="D106" s="4" t="str">
        <f>IF(VLOOKUP(TableFields[Field],Columns[],3,0)&lt;&gt;"","'"&amp;VLOOKUP(TableFields[Field],Columns[],3,0)&amp;"'","")</f>
        <v>'default_account'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/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07" spans="1:11" hidden="1" x14ac:dyDescent="0.25">
      <c r="A107" s="4" t="s">
        <v>851</v>
      </c>
      <c r="B107" s="4" t="s">
        <v>921</v>
      </c>
      <c r="C107" s="4" t="str">
        <f>VLOOKUP(TableFields[Field],Columns[],2,0)&amp;"("</f>
        <v>enum(</v>
      </c>
      <c r="D107" s="4" t="str">
        <f>IF(VLOOKUP(TableFields[Field],Columns[],3,0)&lt;&gt;"","'"&amp;VLOOKUP(TableFields[Field],Columns[],3,0)&amp;"'","")</f>
        <v>'tax'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>-&gt;default('No')</v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08" spans="1:11" hidden="1" x14ac:dyDescent="0.25">
      <c r="A108" s="4" t="s">
        <v>851</v>
      </c>
      <c r="B108" s="4" t="s">
        <v>922</v>
      </c>
      <c r="C108" s="4" t="str">
        <f>VLOOKUP(TableFields[Field],Columns[],2,0)&amp;"("</f>
        <v>enum(</v>
      </c>
      <c r="D108" s="4" t="str">
        <f>IF(VLOOKUP(TableFields[Field],Columns[],3,0)&lt;&gt;"","'"&amp;VLOOKUP(TableFields[Field],Columns[],3,0)&amp;"'","")</f>
        <v>'taxselection'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>-&gt;default('Tax01')</v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09" spans="1:11" hidden="1" x14ac:dyDescent="0.25">
      <c r="A109" s="4" t="s">
        <v>851</v>
      </c>
      <c r="B109" s="4" t="s">
        <v>924</v>
      </c>
      <c r="C109" s="4" t="str">
        <f>VLOOKUP(TableFields[Field],Columns[],2,0)&amp;"("</f>
        <v>enum(</v>
      </c>
      <c r="D109" s="4" t="str">
        <f>IF(VLOOKUP(TableFields[Field],Columns[],3,0)&lt;&gt;"","'"&amp;VLOOKUP(TableFields[Field],Columns[],3,0)&amp;"'","")</f>
        <v>'taxunique'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>-&gt;default('No')</v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10" spans="1:11" hidden="1" x14ac:dyDescent="0.25">
      <c r="A110" s="4" t="s">
        <v>851</v>
      </c>
      <c r="B110" s="4" t="s">
        <v>926</v>
      </c>
      <c r="C110" s="4" t="str">
        <f>VLOOKUP(TableFields[Field],Columns[],2,0)&amp;"("</f>
        <v>enum(</v>
      </c>
      <c r="D110" s="4" t="str">
        <f>IF(VLOOKUP(TableFields[Field],Columns[],3,0)&lt;&gt;"","'"&amp;VLOOKUP(TableFields[Field],Columns[],3,0)&amp;"'","")</f>
        <v>'ratewithtax'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>-&gt;default('No')</v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11" spans="1:11" hidden="1" x14ac:dyDescent="0.25">
      <c r="A111" s="4" t="s">
        <v>851</v>
      </c>
      <c r="B111" s="4" t="s">
        <v>927</v>
      </c>
      <c r="C111" s="4" t="str">
        <f>VLOOKUP(TableFields[Field],Columns[],2,0)&amp;"("</f>
        <v>enum(</v>
      </c>
      <c r="D111" s="4" t="str">
        <f>IF(VLOOKUP(TableFields[Field],Columns[],3,0)&lt;&gt;"","'"&amp;VLOOKUP(TableFields[Field],Columns[],3,0)&amp;"'","")</f>
        <v>'discount01'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>-&gt;default('NotRequired')</v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12" spans="1:11" hidden="1" x14ac:dyDescent="0.25">
      <c r="A112" s="4" t="s">
        <v>851</v>
      </c>
      <c r="B112" s="4" t="s">
        <v>928</v>
      </c>
      <c r="C112" s="4" t="str">
        <f>VLOOKUP(TableFields[Field],Columns[],2,0)&amp;"("</f>
        <v>enum(</v>
      </c>
      <c r="D112" s="4" t="str">
        <f>IF(VLOOKUP(TableFields[Field],Columns[],3,0)&lt;&gt;"","'"&amp;VLOOKUP(TableFields[Field],Columns[],3,0)&amp;"'","")</f>
        <v>'discount02'</v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2" s="4" t="str">
        <f>IF(VLOOKUP(TableFields[Field],Columns[],5,0)=0,"","-&gt;"&amp;VLOOKUP(TableFields[Field],Columns[],5,0))</f>
        <v>-&gt;nullable()</v>
      </c>
      <c r="G112" s="4" t="str">
        <f>IF(VLOOKUP(TableFields[Field],Columns[],6,0)=0,"","-&gt;"&amp;VLOOKUP(TableFields[Field],Columns[],6,0))</f>
        <v>-&gt;default('NotRequired')</v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13" spans="1:11" hidden="1" x14ac:dyDescent="0.25">
      <c r="A113" s="4" t="s">
        <v>851</v>
      </c>
      <c r="B113" s="4" t="s">
        <v>929</v>
      </c>
      <c r="C113" s="4" t="str">
        <f>VLOOKUP(TableFields[Field],Columns[],2,0)&amp;"("</f>
        <v>enum(</v>
      </c>
      <c r="D113" s="4" t="str">
        <f>IF(VLOOKUP(TableFields[Field],Columns[],3,0)&lt;&gt;"","'"&amp;VLOOKUP(TableFields[Field],Columns[],3,0)&amp;"'","")</f>
        <v>'discount02base'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13" s="4" t="str">
        <f>IF(VLOOKUP(TableFields[Field],Columns[],5,0)=0,"","-&gt;"&amp;VLOOKUP(TableFields[Field],Columns[],5,0))</f>
        <v>-&gt;nullable()</v>
      </c>
      <c r="G113" s="4" t="str">
        <f>IF(VLOOKUP(TableFields[Field],Columns[],6,0)=0,"","-&gt;"&amp;VLOOKUP(TableFields[Field],Columns[],6,0))</f>
        <v>-&gt;default('Net')</v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14" spans="1:11" hidden="1" x14ac:dyDescent="0.25">
      <c r="A114" s="4" t="s">
        <v>851</v>
      </c>
      <c r="B114" s="4" t="s">
        <v>930</v>
      </c>
      <c r="C114" s="4" t="str">
        <f>VLOOKUP(TableFields[Field],Columns[],2,0)&amp;"("</f>
        <v>enum(</v>
      </c>
      <c r="D114" s="4" t="str">
        <f>IF(VLOOKUP(TableFields[Field],Columns[],3,0)&lt;&gt;"","'"&amp;VLOOKUP(TableFields[Field],Columns[],3,0)&amp;"'","")</f>
        <v>'discount03'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>-&gt;default('NotRequired')</v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15" spans="1:11" hidden="1" x14ac:dyDescent="0.25">
      <c r="A115" s="4" t="s">
        <v>851</v>
      </c>
      <c r="B115" s="4" t="s">
        <v>931</v>
      </c>
      <c r="C115" s="4" t="str">
        <f>VLOOKUP(TableFields[Field],Columns[],2,0)&amp;"("</f>
        <v>enum(</v>
      </c>
      <c r="D115" s="4" t="str">
        <f>IF(VLOOKUP(TableFields[Field],Columns[],3,0)&lt;&gt;"","'"&amp;VLOOKUP(TableFields[Field],Columns[],3,0)&amp;"'","")</f>
        <v>'discountmode'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>-&gt;default('None')</v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16" spans="1:11" hidden="1" x14ac:dyDescent="0.25">
      <c r="A116" s="4" t="s">
        <v>851</v>
      </c>
      <c r="B116" s="4" t="s">
        <v>932</v>
      </c>
      <c r="C116" s="4" t="str">
        <f>VLOOKUP(TableFields[Field],Columns[],2,0)&amp;"("</f>
        <v>char(</v>
      </c>
      <c r="D116" s="4" t="str">
        <f>IF(VLOOKUP(TableFields[Field],Columns[],3,0)&lt;&gt;"","'"&amp;VLOOKUP(TableFields[Field],Columns[],3,0)&amp;"'","")</f>
        <v>'discount'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17" spans="1:11" hidden="1" x14ac:dyDescent="0.25">
      <c r="A117" s="4" t="s">
        <v>851</v>
      </c>
      <c r="B117" s="4" t="s">
        <v>1818</v>
      </c>
      <c r="C117" s="4" t="str">
        <f>VLOOKUP(TableFields[Field],Columns[],2,0)&amp;"("</f>
        <v>char(</v>
      </c>
      <c r="D117" s="4" t="str">
        <f>IF(VLOOKUP(TableFields[Field],Columns[],3,0)&lt;&gt;"","'"&amp;VLOOKUP(TableFields[Field],Columns[],3,0)&amp;"'","")</f>
        <v>'list'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>-&gt;default('01')</v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'15')-&gt;nullable()-&gt;default('01');</v>
      </c>
    </row>
    <row r="118" spans="1:11" hidden="1" x14ac:dyDescent="0.25">
      <c r="A118" s="4" t="s">
        <v>851</v>
      </c>
      <c r="B118" s="4" t="s">
        <v>288</v>
      </c>
      <c r="C118" s="4" t="str">
        <f>VLOOKUP(TableFields[Field],Columns[],2,0)&amp;"("</f>
        <v>audit(</v>
      </c>
      <c r="D118" s="4" t="str">
        <f>IF(VLOOKUP(TableFields[Field],Columns[],3,0)&lt;&gt;"","'"&amp;VLOOKUP(TableFields[Field],Columns[],3,0)&amp;"'","")</f>
        <v/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8" s="4" t="str">
        <f>IF(VLOOKUP(TableFields[Field],Columns[],5,0)=0,"","-&gt;"&amp;VLOOKUP(TableFields[Field],Columns[],5,0))</f>
        <v/>
      </c>
      <c r="G118" s="4" t="str">
        <f>IF(VLOOKUP(TableFields[Field],Columns[],6,0)=0,"","-&gt;"&amp;VLOOKUP(TableFields[Field],Columns[],6,0))</f>
        <v/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9" spans="1:11" hidden="1" x14ac:dyDescent="0.25">
      <c r="A119" s="4" t="s">
        <v>891</v>
      </c>
      <c r="B119" s="4" t="s">
        <v>21</v>
      </c>
      <c r="C119" s="4" t="str">
        <f>VLOOKUP(TableFields[Field],Columns[],2,0)&amp;"("</f>
        <v>bigIncrements(</v>
      </c>
      <c r="D119" s="4" t="str">
        <f>IF(VLOOKUP(TableFields[Field],Columns[],3,0)&lt;&gt;"","'"&amp;VLOOKUP(TableFields[Field],Columns[],3,0)&amp;"'","")</f>
        <v>'id'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9" s="4" t="str">
        <f>IF(VLOOKUP(TableFields[Field],Columns[],5,0)=0,"","-&gt;"&amp;VLOOKUP(TableFields[Field],Columns[],5,0))</f>
        <v/>
      </c>
      <c r="G119" s="4" t="str">
        <f>IF(VLOOKUP(TableFields[Field],Columns[],6,0)=0,"","-&gt;"&amp;VLOOKUP(TableFields[Field],Columns[],6,0))</f>
        <v/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20" spans="1:11" hidden="1" x14ac:dyDescent="0.25">
      <c r="A120" s="4" t="s">
        <v>891</v>
      </c>
      <c r="B120" s="4" t="s">
        <v>769</v>
      </c>
      <c r="C120" s="4" t="str">
        <f>VLOOKUP(TableFields[Field],Columns[],2,0)&amp;"("</f>
        <v>char(</v>
      </c>
      <c r="D120" s="4" t="str">
        <f>IF(VLOOKUP(TableFields[Field],Columns[],3,0)&lt;&gt;"","'"&amp;VLOOKUP(TableFields[Field],Columns[],3,0)&amp;"'","")</f>
        <v>'code'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0" s="4" t="str">
        <f>IF(VLOOKUP(TableFields[Field],Columns[],5,0)=0,"","-&gt;"&amp;VLOOKUP(TableFields[Field],Columns[],5,0))</f>
        <v>-&gt;nullable()</v>
      </c>
      <c r="G120" s="4" t="str">
        <f>IF(VLOOKUP(TableFields[Field],Columns[],6,0)=0,"","-&gt;"&amp;VLOOKUP(TableFields[Field],Columns[],6,0))</f>
        <v>-&gt;index()</v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21" spans="1:11" hidden="1" x14ac:dyDescent="0.25">
      <c r="A121" s="4" t="s">
        <v>891</v>
      </c>
      <c r="B121" s="4" t="s">
        <v>876</v>
      </c>
      <c r="C121" s="4" t="str">
        <f>VLOOKUP(TableFields[Field],Columns[],2,0)&amp;"("</f>
        <v>char(</v>
      </c>
      <c r="D121" s="4" t="str">
        <f>IF(VLOOKUP(TableFields[Field],Columns[],3,0)&lt;&gt;"","'"&amp;VLOOKUP(TableFields[Field],Columns[],3,0)&amp;"'","")</f>
        <v>'cocode'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21" s="4" t="str">
        <f>IF(VLOOKUP(TableFields[Field],Columns[],5,0)=0,"","-&gt;"&amp;VLOOKUP(TableFields[Field],Columns[],5,0))</f>
        <v>-&gt;nullable()</v>
      </c>
      <c r="G121" s="4" t="str">
        <f>IF(VLOOKUP(TableFields[Field],Columns[],6,0)=0,"","-&gt;"&amp;VLOOKUP(TableFields[Field],Columns[],6,0))</f>
        <v>-&gt;index()</v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22" spans="1:11" hidden="1" x14ac:dyDescent="0.25">
      <c r="A122" s="4" t="s">
        <v>891</v>
      </c>
      <c r="B122" s="4" t="s">
        <v>23</v>
      </c>
      <c r="C122" s="4" t="str">
        <f>VLOOKUP(TableFields[Field],Columns[],2,0)&amp;"("</f>
        <v>string(</v>
      </c>
      <c r="D122" s="4" t="str">
        <f>IF(VLOOKUP(TableFields[Field],Columns[],3,0)&lt;&gt;"","'"&amp;VLOOKUP(TableFields[Field],Columns[],3,0)&amp;"'","")</f>
        <v>'name'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>-&gt;index()</v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23" spans="1:11" hidden="1" x14ac:dyDescent="0.25">
      <c r="A123" s="4" t="s">
        <v>891</v>
      </c>
      <c r="B123" s="4" t="s">
        <v>1742</v>
      </c>
      <c r="C123" s="4" t="str">
        <f>VLOOKUP(TableFields[Field],Columns[],2,0)&amp;"("</f>
        <v>string(</v>
      </c>
      <c r="D123" s="4" t="str">
        <f>IF(VLOOKUP(TableFields[Field],Columns[],3,0)&lt;&gt;"","'"&amp;VLOOKUP(TableFields[Field],Columns[],3,0)&amp;"'","")</f>
        <v>'abr'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3" s="4" t="str">
        <f>IF(VLOOKUP(TableFields[Field],Columns[],5,0)=0,"","-&gt;"&amp;VLOOKUP(TableFields[Field],Columns[],5,0))</f>
        <v>-&gt;nullable()</v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24" spans="1:11" hidden="1" x14ac:dyDescent="0.25">
      <c r="A124" s="4" t="s">
        <v>891</v>
      </c>
      <c r="B124" s="4" t="s">
        <v>892</v>
      </c>
      <c r="C124" s="4" t="str">
        <f>VLOOKUP(TableFields[Field],Columns[],2,0)&amp;"("</f>
        <v>datetime(</v>
      </c>
      <c r="D124" s="4" t="str">
        <f>IF(VLOOKUP(TableFields[Field],Columns[],3,0)&lt;&gt;"","'"&amp;VLOOKUP(TableFields[Field],Columns[],3,0)&amp;"'","")</f>
        <v>'start_date'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/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25" spans="1:11" hidden="1" x14ac:dyDescent="0.25">
      <c r="A125" s="4" t="s">
        <v>891</v>
      </c>
      <c r="B125" s="4" t="s">
        <v>894</v>
      </c>
      <c r="C125" s="4" t="str">
        <f>VLOOKUP(TableFields[Field],Columns[],2,0)&amp;"("</f>
        <v>datetime(</v>
      </c>
      <c r="D125" s="4" t="str">
        <f>IF(VLOOKUP(TableFields[Field],Columns[],3,0)&lt;&gt;"","'"&amp;VLOOKUP(TableFields[Field],Columns[],3,0)&amp;"'","")</f>
        <v>'end_date'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/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26" spans="1:11" hidden="1" x14ac:dyDescent="0.25">
      <c r="A126" s="4" t="s">
        <v>891</v>
      </c>
      <c r="B126" s="4" t="s">
        <v>896</v>
      </c>
      <c r="C126" s="4" t="str">
        <f>VLOOKUP(TableFields[Field],Columns[],2,0)&amp;"("</f>
        <v>enum(</v>
      </c>
      <c r="D126" s="4" t="str">
        <f>IF(VLOOKUP(TableFields[Field],Columns[],3,0)&lt;&gt;"","'"&amp;VLOOKUP(TableFields[Field],Columns[],3,0)&amp;"'","")</f>
        <v>'status'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26" s="4" t="str">
        <f>IF(VLOOKUP(TableFields[Field],Columns[],5,0)=0,"","-&gt;"&amp;VLOOKUP(TableFields[Field],Columns[],5,0))</f>
        <v>-&gt;default('ReadWrite')</v>
      </c>
      <c r="G126" s="4" t="str">
        <f>IF(VLOOKUP(TableFields[Field],Columns[],6,0)=0,"","-&gt;"&amp;VLOOKUP(TableFields[Field],Columns[],6,0))</f>
        <v>-&gt;nullable()</v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27" spans="1:11" hidden="1" x14ac:dyDescent="0.25">
      <c r="A127" s="4" t="s">
        <v>891</v>
      </c>
      <c r="B127" s="4" t="s">
        <v>288</v>
      </c>
      <c r="C127" s="4" t="str">
        <f>VLOOKUP(TableFields[Field],Columns[],2,0)&amp;"("</f>
        <v>audit(</v>
      </c>
      <c r="D127" s="4" t="str">
        <f>IF(VLOOKUP(TableFields[Field],Columns[],3,0)&lt;&gt;"","'"&amp;VLOOKUP(TableFields[Field],Columns[],3,0)&amp;"'","")</f>
        <v/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7" s="4" t="str">
        <f>IF(VLOOKUP(TableFields[Field],Columns[],5,0)=0,"","-&gt;"&amp;VLOOKUP(TableFields[Field],Columns[],5,0))</f>
        <v/>
      </c>
      <c r="G127" s="4" t="str">
        <f>IF(VLOOKUP(TableFields[Field],Columns[],6,0)=0,"","-&gt;"&amp;VLOOKUP(TableFields[Field],Columns[],6,0))</f>
        <v/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28" spans="1:11" hidden="1" x14ac:dyDescent="0.25">
      <c r="A128" s="2" t="s">
        <v>759</v>
      </c>
      <c r="B128" s="4" t="s">
        <v>21</v>
      </c>
      <c r="C128" s="4" t="str">
        <f>VLOOKUP(TableFields[Field],Columns[],2,0)&amp;"("</f>
        <v>bigIncrements(</v>
      </c>
      <c r="D128" s="4" t="str">
        <f>IF(VLOOKUP(TableFields[Field],Columns[],3,0)&lt;&gt;"","'"&amp;VLOOKUP(TableFields[Field],Columns[],3,0)&amp;"'","")</f>
        <v>'id'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8" s="4" t="str">
        <f>IF(VLOOKUP(TableFields[Field],Columns[],5,0)=0,"","-&gt;"&amp;VLOOKUP(TableFields[Field],Columns[],5,0))</f>
        <v/>
      </c>
      <c r="G128" s="4" t="str">
        <f>IF(VLOOKUP(TableFields[Field],Columns[],6,0)=0,"","-&gt;"&amp;VLOOKUP(TableFields[Field],Columns[],6,0))</f>
        <v/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29" spans="1:11" hidden="1" x14ac:dyDescent="0.25">
      <c r="A129" s="2" t="s">
        <v>759</v>
      </c>
      <c r="B129" s="4" t="s">
        <v>890</v>
      </c>
      <c r="C129" s="4" t="str">
        <f>VLOOKUP(TableFields[Field],Columns[],2,0)&amp;"("</f>
        <v>foreignCascade(</v>
      </c>
      <c r="D129" s="4" t="str">
        <f>IF(VLOOKUP(TableFields[Field],Columns[],3,0)&lt;&gt;"","'"&amp;VLOOKUP(TableFields[Field],Columns[],3,0)&amp;"'","")</f>
        <v>'user'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29" s="4" t="str">
        <f>IF(VLOOKUP(TableFields[Field],Columns[],5,0)=0,"","-&gt;"&amp;VLOOKUP(TableFields[Field],Columns[],5,0))</f>
        <v/>
      </c>
      <c r="G129" s="4" t="str">
        <f>IF(VLOOKUP(TableFields[Field],Columns[],6,0)=0,"","-&gt;"&amp;VLOOKUP(TableFields[Field],Columns[],6,0))</f>
        <v/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30" spans="1:11" hidden="1" x14ac:dyDescent="0.25">
      <c r="A130" s="2" t="s">
        <v>759</v>
      </c>
      <c r="B130" s="4" t="s">
        <v>792</v>
      </c>
      <c r="C130" s="4" t="str">
        <f>VLOOKUP(TableFields[Field],Columns[],2,0)&amp;"("</f>
        <v>foreignCascade(</v>
      </c>
      <c r="D130" s="4" t="str">
        <f>IF(VLOOKUP(TableFields[Field],Columns[],3,0)&lt;&gt;"","'"&amp;VLOOKUP(TableFields[Field],Columns[],3,0)&amp;"'","")</f>
        <v>'store'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30" s="4" t="str">
        <f>IF(VLOOKUP(TableFields[Field],Columns[],5,0)=0,"","-&gt;"&amp;VLOOKUP(TableFields[Field],Columns[],5,0))</f>
        <v/>
      </c>
      <c r="G130" s="4" t="str">
        <f>IF(VLOOKUP(TableFields[Field],Columns[],6,0)=0,"","-&gt;"&amp;VLOOKUP(TableFields[Field],Columns[],6,0))</f>
        <v/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31" spans="1:11" hidden="1" x14ac:dyDescent="0.25">
      <c r="A131" s="2" t="s">
        <v>759</v>
      </c>
      <c r="B131" s="4" t="s">
        <v>781</v>
      </c>
      <c r="C131" s="4" t="str">
        <f>VLOOKUP(TableFields[Field],Columns[],2,0)&amp;"("</f>
        <v>foreignCascade(</v>
      </c>
      <c r="D131" s="4" t="str">
        <f>IF(VLOOKUP(TableFields[Field],Columns[],3,0)&lt;&gt;"","'"&amp;VLOOKUP(TableFields[Field],Columns[],3,0)&amp;"'","")</f>
        <v>'area'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31" s="4" t="str">
        <f>IF(VLOOKUP(TableFields[Field],Columns[],5,0)=0,"","-&gt;"&amp;VLOOKUP(TableFields[Field],Columns[],5,0))</f>
        <v/>
      </c>
      <c r="G131" s="4" t="str">
        <f>IF(VLOOKUP(TableFields[Field],Columns[],6,0)=0,"","-&gt;"&amp;VLOOKUP(TableFields[Field],Columns[],6,0))</f>
        <v/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32" spans="1:11" hidden="1" x14ac:dyDescent="0.25">
      <c r="A132" s="2" t="s">
        <v>759</v>
      </c>
      <c r="B132" s="4" t="s">
        <v>776</v>
      </c>
      <c r="C132" s="4" t="str">
        <f>VLOOKUP(TableFields[Field],Columns[],2,0)&amp;"("</f>
        <v>enum(</v>
      </c>
      <c r="D132" s="4" t="str">
        <f>IF(VLOOKUP(TableFields[Field],Columns[],3,0)&lt;&gt;"","'"&amp;VLOOKUP(TableFields[Field],Columns[],3,0)&amp;"'","")</f>
        <v>'status'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>-&gt;default('Active')</v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3" spans="1:11" hidden="1" x14ac:dyDescent="0.25">
      <c r="A133" s="2" t="s">
        <v>759</v>
      </c>
      <c r="B133" s="4" t="s">
        <v>288</v>
      </c>
      <c r="C133" s="4" t="str">
        <f>VLOOKUP(TableFields[Field],Columns[],2,0)&amp;"("</f>
        <v>audit(</v>
      </c>
      <c r="D133" s="4" t="str">
        <f>IF(VLOOKUP(TableFields[Field],Columns[],3,0)&lt;&gt;"","'"&amp;VLOOKUP(TableFields[Field],Columns[],3,0)&amp;"'","")</f>
        <v/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3" s="4" t="str">
        <f>IF(VLOOKUP(TableFields[Field],Columns[],5,0)=0,"","-&gt;"&amp;VLOOKUP(TableFields[Field],Columns[],5,0))</f>
        <v/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4" spans="1:11" hidden="1" x14ac:dyDescent="0.25">
      <c r="A134" s="4" t="s">
        <v>1806</v>
      </c>
      <c r="B134" s="4" t="s">
        <v>21</v>
      </c>
      <c r="C134" s="4" t="str">
        <f>VLOOKUP(TableFields[Field],Columns[],2,0)&amp;"("</f>
        <v>bigIncrements(</v>
      </c>
      <c r="D134" s="4" t="str">
        <f>IF(VLOOKUP(TableFields[Field],Columns[],3,0)&lt;&gt;"","'"&amp;VLOOKUP(TableFields[Field],Columns[],3,0)&amp;"'","")</f>
        <v>'id'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4" s="4" t="str">
        <f>IF(VLOOKUP(TableFields[Field],Columns[],5,0)=0,"","-&gt;"&amp;VLOOKUP(TableFields[Field],Columns[],5,0))</f>
        <v/>
      </c>
      <c r="G134" s="4" t="str">
        <f>IF(VLOOKUP(TableFields[Field],Columns[],6,0)=0,"","-&gt;"&amp;VLOOKUP(TableFields[Field],Columns[],6,0))</f>
        <v/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5" spans="1:11" hidden="1" x14ac:dyDescent="0.25">
      <c r="A135" s="4" t="s">
        <v>1806</v>
      </c>
      <c r="B135" s="4" t="s">
        <v>23</v>
      </c>
      <c r="C135" s="4" t="str">
        <f>VLOOKUP(TableFields[Field],Columns[],2,0)&amp;"("</f>
        <v>string(</v>
      </c>
      <c r="D135" s="4" t="str">
        <f>IF(VLOOKUP(TableFields[Field],Columns[],3,0)&lt;&gt;"","'"&amp;VLOOKUP(TableFields[Field],Columns[],3,0)&amp;"'","")</f>
        <v>'name'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>-&gt;index()</v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36" spans="1:11" hidden="1" x14ac:dyDescent="0.25">
      <c r="A136" s="4" t="s">
        <v>1806</v>
      </c>
      <c r="B136" s="4" t="s">
        <v>769</v>
      </c>
      <c r="C136" s="4" t="str">
        <f>VLOOKUP(TableFields[Field],Columns[],2,0)&amp;"("</f>
        <v>char(</v>
      </c>
      <c r="D136" s="4" t="str">
        <f>IF(VLOOKUP(TableFields[Field],Columns[],3,0)&lt;&gt;"","'"&amp;VLOOKUP(TableFields[Field],Columns[],3,0)&amp;"'","")</f>
        <v>'code'</v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6" s="4" t="str">
        <f>IF(VLOOKUP(TableFields[Field],Columns[],5,0)=0,"","-&gt;"&amp;VLOOKUP(TableFields[Field],Columns[],5,0))</f>
        <v>-&gt;nullable()</v>
      </c>
      <c r="G136" s="4" t="str">
        <f>IF(VLOOKUP(TableFields[Field],Columns[],6,0)=0,"","-&gt;"&amp;VLOOKUP(TableFields[Field],Columns[],6,0))</f>
        <v>-&gt;index()</v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37" spans="1:11" hidden="1" x14ac:dyDescent="0.25">
      <c r="A137" s="4" t="s">
        <v>1806</v>
      </c>
      <c r="B137" s="4" t="s">
        <v>1807</v>
      </c>
      <c r="C137" s="4" t="str">
        <f>VLOOKUP(TableFields[Field],Columns[],2,0)&amp;"("</f>
        <v>char(</v>
      </c>
      <c r="D137" s="4" t="str">
        <f>IF(VLOOKUP(TableFields[Field],Columns[],3,0)&lt;&gt;"","'"&amp;VLOOKUP(TableFields[Field],Columns[],3,0)&amp;"'","")</f>
        <v>'list'</v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7" s="4" t="str">
        <f>IF(VLOOKUP(TableFields[Field],Columns[],5,0)=0,"","-&gt;"&amp;VLOOKUP(TableFields[Field],Columns[],5,0))</f>
        <v>-&gt;nullable()</v>
      </c>
      <c r="G137" s="4" t="str">
        <f>IF(VLOOKUP(TableFields[Field],Columns[],6,0)=0,"","-&gt;"&amp;VLOOKUP(TableFields[Field],Columns[],6,0))</f>
        <v>-&gt;index()</v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'15')-&gt;nullable()-&gt;index();</v>
      </c>
    </row>
    <row r="138" spans="1:11" hidden="1" x14ac:dyDescent="0.25">
      <c r="A138" s="4" t="s">
        <v>1806</v>
      </c>
      <c r="B138" s="4" t="s">
        <v>288</v>
      </c>
      <c r="C138" s="4" t="str">
        <f>VLOOKUP(TableFields[Field],Columns[],2,0)&amp;"("</f>
        <v>audit(</v>
      </c>
      <c r="D138" s="4" t="str">
        <f>IF(VLOOKUP(TableFields[Field],Columns[],3,0)&lt;&gt;"","'"&amp;VLOOKUP(TableFields[Field],Columns[],3,0)&amp;"'","")</f>
        <v/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8" s="4" t="str">
        <f>IF(VLOOKUP(TableFields[Field],Columns[],5,0)=0,"","-&gt;"&amp;VLOOKUP(TableFields[Field],Columns[],5,0))</f>
        <v/>
      </c>
      <c r="G138" s="4" t="str">
        <f>IF(VLOOKUP(TableFields[Field],Columns[],6,0)=0,"","-&gt;"&amp;VLOOKUP(TableFields[Field],Columns[],6,0))</f>
        <v/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9" spans="1:11" hidden="1" x14ac:dyDescent="0.25">
      <c r="A139" s="4" t="s">
        <v>760</v>
      </c>
      <c r="B139" s="4" t="s">
        <v>21</v>
      </c>
      <c r="C139" s="4" t="str">
        <f>VLOOKUP(TableFields[Field],Columns[],2,0)&amp;"("</f>
        <v>bigIncrements(</v>
      </c>
      <c r="D139" s="4" t="str">
        <f>IF(VLOOKUP(TableFields[Field],Columns[],3,0)&lt;&gt;"","'"&amp;VLOOKUP(TableFields[Field],Columns[],3,0)&amp;"'","")</f>
        <v>'id'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9" s="4" t="str">
        <f>IF(VLOOKUP(TableFields[Field],Columns[],5,0)=0,"","-&gt;"&amp;VLOOKUP(TableFields[Field],Columns[],5,0))</f>
        <v/>
      </c>
      <c r="G139" s="4" t="str">
        <f>IF(VLOOKUP(TableFields[Field],Columns[],6,0)=0,"","-&gt;"&amp;VLOOKUP(TableFields[Field],Columns[],6,0))</f>
        <v/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0" spans="1:11" hidden="1" x14ac:dyDescent="0.25">
      <c r="A140" s="4" t="s">
        <v>760</v>
      </c>
      <c r="B140" s="4" t="s">
        <v>811</v>
      </c>
      <c r="C140" s="4" t="str">
        <f>VLOOKUP(TableFields[Field],Columns[],2,0)&amp;"("</f>
        <v>char(</v>
      </c>
      <c r="D140" s="4" t="str">
        <f>IF(VLOOKUP(TableFields[Field],Columns[],3,0)&lt;&gt;"","'"&amp;VLOOKUP(TableFields[Field],Columns[],3,0)&amp;"'","")</f>
        <v>'code'</v>
      </c>
      <c r="E1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0" s="4" t="str">
        <f>IF(VLOOKUP(TableFields[Field],Columns[],5,0)=0,"","-&gt;"&amp;VLOOKUP(TableFields[Field],Columns[],5,0))</f>
        <v>-&gt;nullable()</v>
      </c>
      <c r="G140" s="4" t="str">
        <f>IF(VLOOKUP(TableFields[Field],Columns[],6,0)=0,"","-&gt;"&amp;VLOOKUP(TableFields[Field],Columns[],6,0))</f>
        <v>-&gt;index()</v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41" spans="1:11" hidden="1" x14ac:dyDescent="0.25">
      <c r="A141" s="4" t="s">
        <v>760</v>
      </c>
      <c r="B141" s="4" t="s">
        <v>23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'name'</v>
      </c>
      <c r="E1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>-&gt;index()</v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42" spans="1:11" hidden="1" x14ac:dyDescent="0.25">
      <c r="A142" s="4" t="s">
        <v>760</v>
      </c>
      <c r="B142" s="4" t="s">
        <v>808</v>
      </c>
      <c r="C142" s="4" t="str">
        <f>VLOOKUP(TableFields[Field],Columns[],2,0)&amp;"("</f>
        <v>char(</v>
      </c>
      <c r="D142" s="4" t="str">
        <f>IF(VLOOKUP(TableFields[Field],Columns[],3,0)&lt;&gt;"","'"&amp;VLOOKUP(TableFields[Field],Columns[],3,0)&amp;"'","")</f>
        <v>'uom'</v>
      </c>
      <c r="E1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43" spans="1:11" hidden="1" x14ac:dyDescent="0.25">
      <c r="A143" s="4" t="s">
        <v>760</v>
      </c>
      <c r="B143" s="4" t="s">
        <v>809</v>
      </c>
      <c r="C143" s="4" t="str">
        <f>VLOOKUP(TableFields[Field],Columns[],2,0)&amp;"("</f>
        <v>char(</v>
      </c>
      <c r="D143" s="4" t="str">
        <f>IF(VLOOKUP(TableFields[Field],Columns[],3,0)&lt;&gt;"","'"&amp;VLOOKUP(TableFields[Field],Columns[],3,0)&amp;"'","")</f>
        <v>'partcode'</v>
      </c>
      <c r="E1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44" spans="1:11" hidden="1" x14ac:dyDescent="0.25">
      <c r="A144" s="4" t="s">
        <v>760</v>
      </c>
      <c r="B144" s="4" t="s">
        <v>810</v>
      </c>
      <c r="C144" s="4" t="str">
        <f>VLOOKUP(TableFields[Field],Columns[],2,0)&amp;"("</f>
        <v>string(</v>
      </c>
      <c r="D144" s="4" t="str">
        <f>IF(VLOOKUP(TableFields[Field],Columns[],3,0)&lt;&gt;"","'"&amp;VLOOKUP(TableFields[Field],Columns[],3,0)&amp;"'","")</f>
        <v>'barcode'</v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44" s="4" t="str">
        <f>IF(VLOOKUP(TableFields[Field],Columns[],5,0)=0,"","-&gt;"&amp;VLOOKUP(TableFields[Field],Columns[],5,0))</f>
        <v>-&gt;nullable()</v>
      </c>
      <c r="G144" s="4" t="str">
        <f>IF(VLOOKUP(TableFields[Field],Columns[],6,0)=0,"","-&gt;"&amp;VLOOKUP(TableFields[Field],Columns[],6,0))</f>
        <v/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45" spans="1:11" hidden="1" x14ac:dyDescent="0.25">
      <c r="A145" s="4" t="s">
        <v>760</v>
      </c>
      <c r="B145" s="4" t="s">
        <v>797</v>
      </c>
      <c r="C145" s="5" t="str">
        <f>VLOOKUP(TableFields[Field],Columns[],2,0)&amp;"("</f>
        <v>string(</v>
      </c>
      <c r="D145" s="5" t="str">
        <f>IF(VLOOKUP(TableFields[Field],Columns[],3,0)&lt;&gt;"","'"&amp;VLOOKUP(TableFields[Field],Columns[],3,0)&amp;"'","")</f>
        <v>'narration'</v>
      </c>
      <c r="E14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45" s="5" t="str">
        <f>IF(VLOOKUP(TableFields[Field],Columns[],5,0)=0,"","-&gt;"&amp;VLOOKUP(TableFields[Field],Columns[],5,0))</f>
        <v>-&gt;nullable()</v>
      </c>
      <c r="G145" s="5" t="str">
        <f>IF(VLOOKUP(TableFields[Field],Columns[],6,0)=0,"","-&gt;"&amp;VLOOKUP(TableFields[Field],Columns[],6,0))</f>
        <v/>
      </c>
      <c r="H145" s="5" t="str">
        <f>IF(VLOOKUP(TableFields[Field],Columns[],7,0)=0,"","-&gt;"&amp;VLOOKUP(TableFields[Field],Columns[],7,0))</f>
        <v/>
      </c>
      <c r="I145" s="5" t="str">
        <f>IF(VLOOKUP(TableFields[Field],Columns[],8,0)=0,"","-&gt;"&amp;VLOOKUP(TableFields[Field],Columns[],8,0))</f>
        <v/>
      </c>
      <c r="J145" s="5" t="str">
        <f>IF(VLOOKUP(TableFields[Field],Columns[],9,0)=0,"","-&gt;"&amp;VLOOKUP(TableFields[Field],Columns[],9,0))</f>
        <v/>
      </c>
      <c r="K145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46" spans="1:11" hidden="1" x14ac:dyDescent="0.25">
      <c r="A146" s="4" t="s">
        <v>760</v>
      </c>
      <c r="B146" s="4" t="s">
        <v>799</v>
      </c>
      <c r="C146" s="5" t="str">
        <f>VLOOKUP(TableFields[Field],Columns[],2,0)&amp;"("</f>
        <v>string(</v>
      </c>
      <c r="D146" s="5" t="str">
        <f>IF(VLOOKUP(TableFields[Field],Columns[],3,0)&lt;&gt;"","'"&amp;VLOOKUP(TableFields[Field],Columns[],3,0)&amp;"'","")</f>
        <v>'narration2'</v>
      </c>
      <c r="E14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46" s="5" t="str">
        <f>IF(VLOOKUP(TableFields[Field],Columns[],5,0)=0,"","-&gt;"&amp;VLOOKUP(TableFields[Field],Columns[],5,0))</f>
        <v>-&gt;nullable()</v>
      </c>
      <c r="G146" s="5" t="str">
        <f>IF(VLOOKUP(TableFields[Field],Columns[],6,0)=0,"","-&gt;"&amp;VLOOKUP(TableFields[Field],Columns[],6,0))</f>
        <v/>
      </c>
      <c r="H146" s="5" t="str">
        <f>IF(VLOOKUP(TableFields[Field],Columns[],7,0)=0,"","-&gt;"&amp;VLOOKUP(TableFields[Field],Columns[],7,0))</f>
        <v/>
      </c>
      <c r="I146" s="5" t="str">
        <f>IF(VLOOKUP(TableFields[Field],Columns[],8,0)=0,"","-&gt;"&amp;VLOOKUP(TableFields[Field],Columns[],8,0))</f>
        <v/>
      </c>
      <c r="J146" s="5" t="str">
        <f>IF(VLOOKUP(TableFields[Field],Columns[],9,0)=0,"","-&gt;"&amp;VLOOKUP(TableFields[Field],Columns[],9,0))</f>
        <v/>
      </c>
      <c r="K146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47" spans="1:11" hidden="1" x14ac:dyDescent="0.25">
      <c r="A147" s="4" t="s">
        <v>760</v>
      </c>
      <c r="B147" s="4" t="s">
        <v>1852</v>
      </c>
      <c r="C147" s="5" t="str">
        <f>VLOOKUP(TableFields[Field],Columns[],2,0)&amp;"("</f>
        <v>char(</v>
      </c>
      <c r="D147" s="5" t="str">
        <f>IF(VLOOKUP(TableFields[Field],Columns[],3,0)&lt;&gt;"","'"&amp;VLOOKUP(TableFields[Field],Columns[],3,0)&amp;"'","")</f>
        <v>'taxcode01'</v>
      </c>
      <c r="E14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7" s="5" t="str">
        <f>IF(VLOOKUP(TableFields[Field],Columns[],5,0)=0,"","-&gt;"&amp;VLOOKUP(TableFields[Field],Columns[],5,0))</f>
        <v>-&gt;nullable()</v>
      </c>
      <c r="G147" s="5" t="str">
        <f>IF(VLOOKUP(TableFields[Field],Columns[],6,0)=0,"","-&gt;"&amp;VLOOKUP(TableFields[Field],Columns[],6,0))</f>
        <v>-&gt;index()</v>
      </c>
      <c r="H147" s="5" t="str">
        <f>IF(VLOOKUP(TableFields[Field],Columns[],7,0)=0,"","-&gt;"&amp;VLOOKUP(TableFields[Field],Columns[],7,0))</f>
        <v/>
      </c>
      <c r="I147" s="5" t="str">
        <f>IF(VLOOKUP(TableFields[Field],Columns[],8,0)=0,"","-&gt;"&amp;VLOOKUP(TableFields[Field],Columns[],8,0))</f>
        <v/>
      </c>
      <c r="J147" s="5" t="str">
        <f>IF(VLOOKUP(TableFields[Field],Columns[],9,0)=0,"","-&gt;"&amp;VLOOKUP(TableFields[Field],Columns[],9,0))</f>
        <v/>
      </c>
      <c r="K147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$table-&gt;char('taxcode01', '15')-&gt;nullable()-&gt;index();</v>
      </c>
    </row>
    <row r="148" spans="1:11" hidden="1" x14ac:dyDescent="0.25">
      <c r="A148" s="4" t="s">
        <v>760</v>
      </c>
      <c r="B148" s="4" t="s">
        <v>1850</v>
      </c>
      <c r="C148" s="5" t="str">
        <f>VLOOKUP(TableFields[Field],Columns[],2,0)&amp;"("</f>
        <v>decimal(</v>
      </c>
      <c r="D148" s="5" t="str">
        <f>IF(VLOOKUP(TableFields[Field],Columns[],3,0)&lt;&gt;"","'"&amp;VLOOKUP(TableFields[Field],Columns[],3,0)&amp;"'","")</f>
        <v>'taxfactor01'</v>
      </c>
      <c r="E14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48" s="5" t="str">
        <f>IF(VLOOKUP(TableFields[Field],Columns[],5,0)=0,"","-&gt;"&amp;VLOOKUP(TableFields[Field],Columns[],5,0))</f>
        <v>-&gt;default('0')</v>
      </c>
      <c r="G148" s="5" t="str">
        <f>IF(VLOOKUP(TableFields[Field],Columns[],6,0)=0,"","-&gt;"&amp;VLOOKUP(TableFields[Field],Columns[],6,0))</f>
        <v/>
      </c>
      <c r="H148" s="5" t="str">
        <f>IF(VLOOKUP(TableFields[Field],Columns[],7,0)=0,"","-&gt;"&amp;VLOOKUP(TableFields[Field],Columns[],7,0))</f>
        <v/>
      </c>
      <c r="I148" s="5" t="str">
        <f>IF(VLOOKUP(TableFields[Field],Columns[],8,0)=0,"","-&gt;"&amp;VLOOKUP(TableFields[Field],Columns[],8,0))</f>
        <v/>
      </c>
      <c r="J148" s="5" t="str">
        <f>IF(VLOOKUP(TableFields[Field],Columns[],9,0)=0,"","-&gt;"&amp;VLOOKUP(TableFields[Field],Columns[],9,0))</f>
        <v/>
      </c>
      <c r="K148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$table-&gt;decimal('taxfactor01', 30,10)-&gt;default('0');</v>
      </c>
    </row>
    <row r="149" spans="1:11" hidden="1" x14ac:dyDescent="0.25">
      <c r="A149" s="4" t="s">
        <v>760</v>
      </c>
      <c r="B149" s="4" t="s">
        <v>1851</v>
      </c>
      <c r="C149" s="5" t="str">
        <f>VLOOKUP(TableFields[Field],Columns[],2,0)&amp;"("</f>
        <v>decimal(</v>
      </c>
      <c r="D149" s="5" t="str">
        <f>IF(VLOOKUP(TableFields[Field],Columns[],3,0)&lt;&gt;"","'"&amp;VLOOKUP(TableFields[Field],Columns[],3,0)&amp;"'","")</f>
        <v>'subtaxfactor01'</v>
      </c>
      <c r="E14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49" s="5" t="str">
        <f>IF(VLOOKUP(TableFields[Field],Columns[],5,0)=0,"","-&gt;"&amp;VLOOKUP(TableFields[Field],Columns[],5,0))</f>
        <v>-&gt;default('0')</v>
      </c>
      <c r="G149" s="5" t="str">
        <f>IF(VLOOKUP(TableFields[Field],Columns[],6,0)=0,"","-&gt;"&amp;VLOOKUP(TableFields[Field],Columns[],6,0))</f>
        <v/>
      </c>
      <c r="H149" s="5" t="str">
        <f>IF(VLOOKUP(TableFields[Field],Columns[],7,0)=0,"","-&gt;"&amp;VLOOKUP(TableFields[Field],Columns[],7,0))</f>
        <v/>
      </c>
      <c r="I149" s="5" t="str">
        <f>IF(VLOOKUP(TableFields[Field],Columns[],8,0)=0,"","-&gt;"&amp;VLOOKUP(TableFields[Field],Columns[],8,0))</f>
        <v/>
      </c>
      <c r="J149" s="5" t="str">
        <f>IF(VLOOKUP(TableFields[Field],Columns[],9,0)=0,"","-&gt;"&amp;VLOOKUP(TableFields[Field],Columns[],9,0))</f>
        <v/>
      </c>
      <c r="K149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$table-&gt;decimal('subtaxfactor01', 30,10)-&gt;default('0');</v>
      </c>
    </row>
    <row r="150" spans="1:11" hidden="1" x14ac:dyDescent="0.25">
      <c r="A150" s="4" t="s">
        <v>760</v>
      </c>
      <c r="B150" s="4" t="s">
        <v>1849</v>
      </c>
      <c r="C150" s="5" t="str">
        <f>VLOOKUP(TableFields[Field],Columns[],2,0)&amp;"("</f>
        <v>char(</v>
      </c>
      <c r="D150" s="5" t="str">
        <f>IF(VLOOKUP(TableFields[Field],Columns[],3,0)&lt;&gt;"","'"&amp;VLOOKUP(TableFields[Field],Columns[],3,0)&amp;"'","")</f>
        <v>'taxcode02'</v>
      </c>
      <c r="E15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0" s="5" t="str">
        <f>IF(VLOOKUP(TableFields[Field],Columns[],5,0)=0,"","-&gt;"&amp;VLOOKUP(TableFields[Field],Columns[],5,0))</f>
        <v>-&gt;nullable()</v>
      </c>
      <c r="G150" s="5" t="str">
        <f>IF(VLOOKUP(TableFields[Field],Columns[],6,0)=0,"","-&gt;"&amp;VLOOKUP(TableFields[Field],Columns[],6,0))</f>
        <v>-&gt;index()</v>
      </c>
      <c r="H150" s="5" t="str">
        <f>IF(VLOOKUP(TableFields[Field],Columns[],7,0)=0,"","-&gt;"&amp;VLOOKUP(TableFields[Field],Columns[],7,0))</f>
        <v/>
      </c>
      <c r="I150" s="5" t="str">
        <f>IF(VLOOKUP(TableFields[Field],Columns[],8,0)=0,"","-&gt;"&amp;VLOOKUP(TableFields[Field],Columns[],8,0))</f>
        <v/>
      </c>
      <c r="J150" s="5" t="str">
        <f>IF(VLOOKUP(TableFields[Field],Columns[],9,0)=0,"","-&gt;"&amp;VLOOKUP(TableFields[Field],Columns[],9,0))</f>
        <v/>
      </c>
      <c r="K150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$table-&gt;char('taxcode02', '15')-&gt;nullable()-&gt;index();</v>
      </c>
    </row>
    <row r="151" spans="1:11" hidden="1" x14ac:dyDescent="0.25">
      <c r="A151" s="4" t="s">
        <v>760</v>
      </c>
      <c r="B151" s="4" t="s">
        <v>1802</v>
      </c>
      <c r="C151" s="5" t="str">
        <f>VLOOKUP(TableFields[Field],Columns[],2,0)&amp;"("</f>
        <v>decimal(</v>
      </c>
      <c r="D151" s="5" t="str">
        <f>IF(VLOOKUP(TableFields[Field],Columns[],3,0)&lt;&gt;"","'"&amp;VLOOKUP(TableFields[Field],Columns[],3,0)&amp;"'","")</f>
        <v>'taxfactor02'</v>
      </c>
      <c r="E15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51" s="5" t="str">
        <f>IF(VLOOKUP(TableFields[Field],Columns[],5,0)=0,"","-&gt;"&amp;VLOOKUP(TableFields[Field],Columns[],5,0))</f>
        <v>-&gt;default('0')</v>
      </c>
      <c r="G151" s="5" t="str">
        <f>IF(VLOOKUP(TableFields[Field],Columns[],6,0)=0,"","-&gt;"&amp;VLOOKUP(TableFields[Field],Columns[],6,0))</f>
        <v/>
      </c>
      <c r="H151" s="5" t="str">
        <f>IF(VLOOKUP(TableFields[Field],Columns[],7,0)=0,"","-&gt;"&amp;VLOOKUP(TableFields[Field],Columns[],7,0))</f>
        <v/>
      </c>
      <c r="I151" s="5" t="str">
        <f>IF(VLOOKUP(TableFields[Field],Columns[],8,0)=0,"","-&gt;"&amp;VLOOKUP(TableFields[Field],Columns[],8,0))</f>
        <v/>
      </c>
      <c r="J151" s="5" t="str">
        <f>IF(VLOOKUP(TableFields[Field],Columns[],9,0)=0,"","-&gt;"&amp;VLOOKUP(TableFields[Field],Columns[],9,0))</f>
        <v/>
      </c>
      <c r="K151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52" spans="1:11" hidden="1" x14ac:dyDescent="0.25">
      <c r="A152" s="4" t="s">
        <v>760</v>
      </c>
      <c r="B152" s="4" t="s">
        <v>1803</v>
      </c>
      <c r="C152" s="5" t="str">
        <f>VLOOKUP(TableFields[Field],Columns[],2,0)&amp;"("</f>
        <v>decimal(</v>
      </c>
      <c r="D152" s="5" t="str">
        <f>IF(VLOOKUP(TableFields[Field],Columns[],3,0)&lt;&gt;"","'"&amp;VLOOKUP(TableFields[Field],Columns[],3,0)&amp;"'","")</f>
        <v>'subtaxfactor02'</v>
      </c>
      <c r="E15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52" s="5" t="str">
        <f>IF(VLOOKUP(TableFields[Field],Columns[],5,0)=0,"","-&gt;"&amp;VLOOKUP(TableFields[Field],Columns[],5,0))</f>
        <v>-&gt;default('0')</v>
      </c>
      <c r="G152" s="5" t="str">
        <f>IF(VLOOKUP(TableFields[Field],Columns[],6,0)=0,"","-&gt;"&amp;VLOOKUP(TableFields[Field],Columns[],6,0))</f>
        <v/>
      </c>
      <c r="H152" s="5" t="str">
        <f>IF(VLOOKUP(TableFields[Field],Columns[],7,0)=0,"","-&gt;"&amp;VLOOKUP(TableFields[Field],Columns[],7,0))</f>
        <v/>
      </c>
      <c r="I152" s="5" t="str">
        <f>IF(VLOOKUP(TableFields[Field],Columns[],8,0)=0,"","-&gt;"&amp;VLOOKUP(TableFields[Field],Columns[],8,0))</f>
        <v/>
      </c>
      <c r="J152" s="5" t="str">
        <f>IF(VLOOKUP(TableFields[Field],Columns[],9,0)=0,"","-&gt;"&amp;VLOOKUP(TableFields[Field],Columns[],9,0))</f>
        <v/>
      </c>
      <c r="K152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$table-&gt;decimal('subtaxfactor02', 30,10)-&gt;default('0');</v>
      </c>
    </row>
    <row r="153" spans="1:11" hidden="1" x14ac:dyDescent="0.25">
      <c r="A153" s="4" t="s">
        <v>760</v>
      </c>
      <c r="B153" s="4" t="s">
        <v>773</v>
      </c>
      <c r="C153" s="4" t="str">
        <f>VLOOKUP(TableFields[Field],Columns[],2,0)&amp;"("</f>
        <v>enum(</v>
      </c>
      <c r="D153" s="4" t="str">
        <f>IF(VLOOKUP(TableFields[Field],Columns[],3,0)&lt;&gt;"","'"&amp;VLOOKUP(TableFields[Field],Columns[],3,0)&amp;"'","")</f>
        <v>'type'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53" s="4" t="str">
        <f>IF(VLOOKUP(TableFields[Field],Columns[],5,0)=0,"","-&gt;"&amp;VLOOKUP(TableFields[Field],Columns[],5,0))</f>
        <v>-&gt;nullable()</v>
      </c>
      <c r="G153" s="4" t="str">
        <f>IF(VLOOKUP(TableFields[Field],Columns[],6,0)=0,"","-&gt;"&amp;VLOOKUP(TableFields[Field],Columns[],6,0))</f>
        <v>-&gt;default('Public')</v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54" spans="1:11" hidden="1" x14ac:dyDescent="0.25">
      <c r="A154" s="4" t="s">
        <v>760</v>
      </c>
      <c r="B154" s="4" t="s">
        <v>776</v>
      </c>
      <c r="C154" s="4" t="str">
        <f>VLOOKUP(TableFields[Field],Columns[],2,0)&amp;"("</f>
        <v>enum(</v>
      </c>
      <c r="D154" s="4" t="str">
        <f>IF(VLOOKUP(TableFields[Field],Columns[],3,0)&lt;&gt;"","'"&amp;VLOOKUP(TableFields[Field],Columns[],3,0)&amp;"'","")</f>
        <v>'status'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4" s="4" t="str">
        <f>IF(VLOOKUP(TableFields[Field],Columns[],5,0)=0,"","-&gt;"&amp;VLOOKUP(TableFields[Field],Columns[],5,0))</f>
        <v>-&gt;nullable()</v>
      </c>
      <c r="G154" s="4" t="str">
        <f>IF(VLOOKUP(TableFields[Field],Columns[],6,0)=0,"","-&gt;"&amp;VLOOKUP(TableFields[Field],Columns[],6,0))</f>
        <v>-&gt;default('Active')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5" spans="1:11" hidden="1" x14ac:dyDescent="0.25">
      <c r="A155" s="4" t="s">
        <v>760</v>
      </c>
      <c r="B155" s="4" t="s">
        <v>288</v>
      </c>
      <c r="C155" s="4" t="str">
        <f>VLOOKUP(TableFields[Field],Columns[],2,0)&amp;"("</f>
        <v>audit(</v>
      </c>
      <c r="D155" s="4" t="str">
        <f>IF(VLOOKUP(TableFields[Field],Columns[],3,0)&lt;&gt;"","'"&amp;VLOOKUP(TableFields[Field],Columns[],3,0)&amp;"'","")</f>
        <v/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5" s="4" t="str">
        <f>IF(VLOOKUP(TableFields[Field],Columns[],5,0)=0,"","-&gt;"&amp;VLOOKUP(TableFields[Field],Columns[],5,0))</f>
        <v/>
      </c>
      <c r="G155" s="4" t="str">
        <f>IF(VLOOKUP(TableFields[Field],Columns[],6,0)=0,"","-&gt;"&amp;VLOOKUP(TableFields[Field],Columns[],6,0))</f>
        <v/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6" spans="1:11" hidden="1" x14ac:dyDescent="0.25">
      <c r="A156" s="4" t="s">
        <v>1820</v>
      </c>
      <c r="B156" s="4" t="s">
        <v>21</v>
      </c>
      <c r="C156" s="4" t="str">
        <f>VLOOKUP(TableFields[Field],Columns[],2,0)&amp;"("</f>
        <v>bigIncrements(</v>
      </c>
      <c r="D156" s="4" t="str">
        <f>IF(VLOOKUP(TableFields[Field],Columns[],3,0)&lt;&gt;"","'"&amp;VLOOKUP(TableFields[Field],Columns[],3,0)&amp;"'","")</f>
        <v>'id'</v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6" s="4" t="str">
        <f>IF(VLOOKUP(TableFields[Field],Columns[],5,0)=0,"","-&gt;"&amp;VLOOKUP(TableFields[Field],Columns[],5,0))</f>
        <v/>
      </c>
      <c r="G156" s="4" t="str">
        <f>IF(VLOOKUP(TableFields[Field],Columns[],6,0)=0,"","-&gt;"&amp;VLOOKUP(TableFields[Field],Columns[],6,0))</f>
        <v/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7" spans="1:11" hidden="1" x14ac:dyDescent="0.25">
      <c r="A157" s="4" t="s">
        <v>1820</v>
      </c>
      <c r="B157" s="4" t="s">
        <v>813</v>
      </c>
      <c r="C157" s="4" t="str">
        <f>VLOOKUP(TableFields[Field],Columns[],2,0)&amp;"("</f>
        <v>foreignCascade(</v>
      </c>
      <c r="D157" s="4" t="str">
        <f>IF(VLOOKUP(TableFields[Field],Columns[],3,0)&lt;&gt;"","'"&amp;VLOOKUP(TableFields[Field],Columns[],3,0)&amp;"'","")</f>
        <v>'product'</v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57" s="4" t="str">
        <f>IF(VLOOKUP(TableFields[Field],Columns[],5,0)=0,"","-&gt;"&amp;VLOOKUP(TableFields[Field],Columns[],5,0))</f>
        <v/>
      </c>
      <c r="G157" s="4" t="str">
        <f>IF(VLOOKUP(TableFields[Field],Columns[],6,0)=0,"","-&gt;"&amp;VLOOKUP(TableFields[Field],Columns[],6,0))</f>
        <v/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58" spans="1:11" hidden="1" x14ac:dyDescent="0.25">
      <c r="A158" s="4" t="s">
        <v>1820</v>
      </c>
      <c r="B158" s="4" t="s">
        <v>1808</v>
      </c>
      <c r="C158" s="4" t="str">
        <f>VLOOKUP(TableFields[Field],Columns[],2,0)&amp;"("</f>
        <v>foreignNullable(</v>
      </c>
      <c r="D158" s="4" t="str">
        <f>IF(VLOOKUP(TableFields[Field],Columns[],3,0)&lt;&gt;"","'"&amp;VLOOKUP(TableFields[Field],Columns[],3,0)&amp;"'","")</f>
        <v>'g01'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58" s="4" t="str">
        <f>IF(VLOOKUP(TableFields[Field],Columns[],5,0)=0,"","-&gt;"&amp;VLOOKUP(TableFields[Field],Columns[],5,0))</f>
        <v/>
      </c>
      <c r="G158" s="4" t="str">
        <f>IF(VLOOKUP(TableFields[Field],Columns[],6,0)=0,"","-&gt;"&amp;VLOOKUP(TableFields[Field],Columns[],6,0))</f>
        <v/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$table-&gt;foreignNullable('g01', 'product_group_master');</v>
      </c>
    </row>
    <row r="159" spans="1:11" hidden="1" x14ac:dyDescent="0.25">
      <c r="A159" s="4" t="s">
        <v>1820</v>
      </c>
      <c r="B159" s="4" t="s">
        <v>1809</v>
      </c>
      <c r="C159" s="4" t="str">
        <f>VLOOKUP(TableFields[Field],Columns[],2,0)&amp;"("</f>
        <v>foreignNullable(</v>
      </c>
      <c r="D159" s="4" t="str">
        <f>IF(VLOOKUP(TableFields[Field],Columns[],3,0)&lt;&gt;"","'"&amp;VLOOKUP(TableFields[Field],Columns[],3,0)&amp;"'","")</f>
        <v>'g02'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59" s="4" t="str">
        <f>IF(VLOOKUP(TableFields[Field],Columns[],5,0)=0,"","-&gt;"&amp;VLOOKUP(TableFields[Field],Columns[],5,0))</f>
        <v/>
      </c>
      <c r="G159" s="4" t="str">
        <f>IF(VLOOKUP(TableFields[Field],Columns[],6,0)=0,"","-&gt;"&amp;VLOOKUP(TableFields[Field],Columns[],6,0))</f>
        <v/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$table-&gt;foreignNullable('g02', 'product_group_master');</v>
      </c>
    </row>
    <row r="160" spans="1:11" hidden="1" x14ac:dyDescent="0.25">
      <c r="A160" s="4" t="s">
        <v>1820</v>
      </c>
      <c r="B160" s="4" t="s">
        <v>1810</v>
      </c>
      <c r="C160" s="4" t="str">
        <f>VLOOKUP(TableFields[Field],Columns[],2,0)&amp;"("</f>
        <v>foreignNullable(</v>
      </c>
      <c r="D160" s="4" t="str">
        <f>IF(VLOOKUP(TableFields[Field],Columns[],3,0)&lt;&gt;"","'"&amp;VLOOKUP(TableFields[Field],Columns[],3,0)&amp;"'","")</f>
        <v>'g03'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60" s="4" t="str">
        <f>IF(VLOOKUP(TableFields[Field],Columns[],5,0)=0,"","-&gt;"&amp;VLOOKUP(TableFields[Field],Columns[],5,0))</f>
        <v/>
      </c>
      <c r="G160" s="4" t="str">
        <f>IF(VLOOKUP(TableFields[Field],Columns[],6,0)=0,"","-&gt;"&amp;VLOOKUP(TableFields[Field],Columns[],6,0))</f>
        <v/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$table-&gt;foreignNullable('g03', 'product_group_master');</v>
      </c>
    </row>
    <row r="161" spans="1:11" hidden="1" x14ac:dyDescent="0.25">
      <c r="A161" s="4" t="s">
        <v>1820</v>
      </c>
      <c r="B161" s="4" t="s">
        <v>1811</v>
      </c>
      <c r="C161" s="4" t="str">
        <f>VLOOKUP(TableFields[Field],Columns[],2,0)&amp;"("</f>
        <v>foreignNullable(</v>
      </c>
      <c r="D161" s="4" t="str">
        <f>IF(VLOOKUP(TableFields[Field],Columns[],3,0)&lt;&gt;"","'"&amp;VLOOKUP(TableFields[Field],Columns[],3,0)&amp;"'","")</f>
        <v>'g04'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61" s="4" t="str">
        <f>IF(VLOOKUP(TableFields[Field],Columns[],5,0)=0,"","-&gt;"&amp;VLOOKUP(TableFields[Field],Columns[],5,0))</f>
        <v/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$table-&gt;foreignNullable('g04', 'product_group_master');</v>
      </c>
    </row>
    <row r="162" spans="1:11" hidden="1" x14ac:dyDescent="0.25">
      <c r="A162" s="4" t="s">
        <v>1820</v>
      </c>
      <c r="B162" s="4" t="s">
        <v>1812</v>
      </c>
      <c r="C162" s="4" t="str">
        <f>VLOOKUP(TableFields[Field],Columns[],2,0)&amp;"("</f>
        <v>foreignNullable(</v>
      </c>
      <c r="D162" s="4" t="str">
        <f>IF(VLOOKUP(TableFields[Field],Columns[],3,0)&lt;&gt;"","'"&amp;VLOOKUP(TableFields[Field],Columns[],3,0)&amp;"'","")</f>
        <v>'g05'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62" s="4" t="str">
        <f>IF(VLOOKUP(TableFields[Field],Columns[],5,0)=0,"","-&gt;"&amp;VLOOKUP(TableFields[Field],Columns[],5,0))</f>
        <v/>
      </c>
      <c r="G162" s="4" t="str">
        <f>IF(VLOOKUP(TableFields[Field],Columns[],6,0)=0,"","-&gt;"&amp;VLOOKUP(TableFields[Field],Columns[],6,0))</f>
        <v/>
      </c>
      <c r="H162" s="4" t="str">
        <f>IF(VLOOKUP(TableFields[Field],Columns[],7,0)=0,"","-&gt;"&amp;VLOOKUP(TableFields[Field],Columns[],7,0))</f>
        <v/>
      </c>
      <c r="I162" s="4" t="str">
        <f>IF(VLOOKUP(TableFields[Field],Columns[],8,0)=0,"","-&gt;"&amp;VLOOKUP(TableFields[Field],Columns[],8,0))</f>
        <v/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$table-&gt;foreignNullable('g05', 'product_group_master');</v>
      </c>
    </row>
    <row r="163" spans="1:11" hidden="1" x14ac:dyDescent="0.25">
      <c r="A163" s="4" t="s">
        <v>1820</v>
      </c>
      <c r="B163" s="4" t="s">
        <v>1813</v>
      </c>
      <c r="C163" s="4" t="str">
        <f>VLOOKUP(TableFields[Field],Columns[],2,0)&amp;"("</f>
        <v>foreignNullable(</v>
      </c>
      <c r="D163" s="4" t="str">
        <f>IF(VLOOKUP(TableFields[Field],Columns[],3,0)&lt;&gt;"","'"&amp;VLOOKUP(TableFields[Field],Columns[],3,0)&amp;"'","")</f>
        <v>'g06'</v>
      </c>
      <c r="E1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63" s="4" t="str">
        <f>IF(VLOOKUP(TableFields[Field],Columns[],5,0)=0,"","-&gt;"&amp;VLOOKUP(TableFields[Field],Columns[],5,0))</f>
        <v/>
      </c>
      <c r="G163" s="4" t="str">
        <f>IF(VLOOKUP(TableFields[Field],Columns[],6,0)=0,"","-&gt;"&amp;VLOOKUP(TableFields[Field],Columns[],6,0))</f>
        <v/>
      </c>
      <c r="H163" s="4" t="str">
        <f>IF(VLOOKUP(TableFields[Field],Columns[],7,0)=0,"","-&gt;"&amp;VLOOKUP(TableFields[Field],Columns[],7,0))</f>
        <v/>
      </c>
      <c r="I163" s="4" t="str">
        <f>IF(VLOOKUP(TableFields[Field],Columns[],8,0)=0,"","-&gt;"&amp;VLOOKUP(TableFields[Field],Columns[],8,0))</f>
        <v/>
      </c>
      <c r="J163" s="4" t="str">
        <f>IF(VLOOKUP(TableFields[Field],Columns[],9,0)=0,"","-&gt;"&amp;VLOOKUP(TableFields[Field],Columns[],9,0))</f>
        <v/>
      </c>
      <c r="K16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$table-&gt;foreignNullable('g06', 'product_group_master');</v>
      </c>
    </row>
    <row r="164" spans="1:11" hidden="1" x14ac:dyDescent="0.25">
      <c r="A164" s="4" t="s">
        <v>1820</v>
      </c>
      <c r="B164" s="4" t="s">
        <v>1814</v>
      </c>
      <c r="C164" s="4" t="str">
        <f>VLOOKUP(TableFields[Field],Columns[],2,0)&amp;"("</f>
        <v>foreignNullable(</v>
      </c>
      <c r="D164" s="4" t="str">
        <f>IF(VLOOKUP(TableFields[Field],Columns[],3,0)&lt;&gt;"","'"&amp;VLOOKUP(TableFields[Field],Columns[],3,0)&amp;"'","")</f>
        <v>'g07'</v>
      </c>
      <c r="E1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64" s="4" t="str">
        <f>IF(VLOOKUP(TableFields[Field],Columns[],5,0)=0,"","-&gt;"&amp;VLOOKUP(TableFields[Field],Columns[],5,0))</f>
        <v/>
      </c>
      <c r="G164" s="4" t="str">
        <f>IF(VLOOKUP(TableFields[Field],Columns[],6,0)=0,"","-&gt;"&amp;VLOOKUP(TableFields[Field],Columns[],6,0))</f>
        <v/>
      </c>
      <c r="H164" s="4" t="str">
        <f>IF(VLOOKUP(TableFields[Field],Columns[],7,0)=0,"","-&gt;"&amp;VLOOKUP(TableFields[Field],Columns[],7,0))</f>
        <v/>
      </c>
      <c r="I164" s="4" t="str">
        <f>IF(VLOOKUP(TableFields[Field],Columns[],8,0)=0,"","-&gt;"&amp;VLOOKUP(TableFields[Field],Columns[],8,0))</f>
        <v/>
      </c>
      <c r="J164" s="4" t="str">
        <f>IF(VLOOKUP(TableFields[Field],Columns[],9,0)=0,"","-&gt;"&amp;VLOOKUP(TableFields[Field],Columns[],9,0))</f>
        <v/>
      </c>
      <c r="K16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$table-&gt;foreignNullable('g07', 'product_group_master');</v>
      </c>
    </row>
    <row r="165" spans="1:11" hidden="1" x14ac:dyDescent="0.25">
      <c r="A165" s="4" t="s">
        <v>1820</v>
      </c>
      <c r="B165" s="4" t="s">
        <v>1815</v>
      </c>
      <c r="C165" s="4" t="str">
        <f>VLOOKUP(TableFields[Field],Columns[],2,0)&amp;"("</f>
        <v>foreignNullable(</v>
      </c>
      <c r="D165" s="4" t="str">
        <f>IF(VLOOKUP(TableFields[Field],Columns[],3,0)&lt;&gt;"","'"&amp;VLOOKUP(TableFields[Field],Columns[],3,0)&amp;"'","")</f>
        <v>'g08'</v>
      </c>
      <c r="E1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65" s="4" t="str">
        <f>IF(VLOOKUP(TableFields[Field],Columns[],5,0)=0,"","-&gt;"&amp;VLOOKUP(TableFields[Field],Columns[],5,0))</f>
        <v/>
      </c>
      <c r="G165" s="4" t="str">
        <f>IF(VLOOKUP(TableFields[Field],Columns[],6,0)=0,"","-&gt;"&amp;VLOOKUP(TableFields[Field],Columns[],6,0))</f>
        <v/>
      </c>
      <c r="H165" s="4" t="str">
        <f>IF(VLOOKUP(TableFields[Field],Columns[],7,0)=0,"","-&gt;"&amp;VLOOKUP(TableFields[Field],Columns[],7,0))</f>
        <v/>
      </c>
      <c r="I165" s="4" t="str">
        <f>IF(VLOOKUP(TableFields[Field],Columns[],8,0)=0,"","-&gt;"&amp;VLOOKUP(TableFields[Field],Columns[],8,0))</f>
        <v/>
      </c>
      <c r="J165" s="4" t="str">
        <f>IF(VLOOKUP(TableFields[Field],Columns[],9,0)=0,"","-&gt;"&amp;VLOOKUP(TableFields[Field],Columns[],9,0))</f>
        <v/>
      </c>
      <c r="K16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$table-&gt;foreignNullable('g08', 'product_group_master');</v>
      </c>
    </row>
    <row r="166" spans="1:11" hidden="1" x14ac:dyDescent="0.25">
      <c r="A166" s="4" t="s">
        <v>1820</v>
      </c>
      <c r="B166" s="4" t="s">
        <v>1816</v>
      </c>
      <c r="C166" s="4" t="str">
        <f>VLOOKUP(TableFields[Field],Columns[],2,0)&amp;"("</f>
        <v>foreignNullable(</v>
      </c>
      <c r="D166" s="4" t="str">
        <f>IF(VLOOKUP(TableFields[Field],Columns[],3,0)&lt;&gt;"","'"&amp;VLOOKUP(TableFields[Field],Columns[],3,0)&amp;"'","")</f>
        <v>'g09'</v>
      </c>
      <c r="E1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66" s="4" t="str">
        <f>IF(VLOOKUP(TableFields[Field],Columns[],5,0)=0,"","-&gt;"&amp;VLOOKUP(TableFields[Field],Columns[],5,0))</f>
        <v/>
      </c>
      <c r="G166" s="4" t="str">
        <f>IF(VLOOKUP(TableFields[Field],Columns[],6,0)=0,"","-&gt;"&amp;VLOOKUP(TableFields[Field],Columns[],6,0))</f>
        <v/>
      </c>
      <c r="H166" s="4" t="str">
        <f>IF(VLOOKUP(TableFields[Field],Columns[],7,0)=0,"","-&gt;"&amp;VLOOKUP(TableFields[Field],Columns[],7,0))</f>
        <v/>
      </c>
      <c r="I166" s="4" t="str">
        <f>IF(VLOOKUP(TableFields[Field],Columns[],8,0)=0,"","-&gt;"&amp;VLOOKUP(TableFields[Field],Columns[],8,0))</f>
        <v/>
      </c>
      <c r="J166" s="4" t="str">
        <f>IF(VLOOKUP(TableFields[Field],Columns[],9,0)=0,"","-&gt;"&amp;VLOOKUP(TableFields[Field],Columns[],9,0))</f>
        <v/>
      </c>
      <c r="K16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$table-&gt;foreignNullable('g09', 'product_group_master');</v>
      </c>
    </row>
    <row r="167" spans="1:11" hidden="1" x14ac:dyDescent="0.25">
      <c r="A167" s="4" t="s">
        <v>1820</v>
      </c>
      <c r="B167" s="4" t="s">
        <v>1817</v>
      </c>
      <c r="C167" s="4" t="str">
        <f>VLOOKUP(TableFields[Field],Columns[],2,0)&amp;"("</f>
        <v>foreignNullable(</v>
      </c>
      <c r="D167" s="4" t="str">
        <f>IF(VLOOKUP(TableFields[Field],Columns[],3,0)&lt;&gt;"","'"&amp;VLOOKUP(TableFields[Field],Columns[],3,0)&amp;"'","")</f>
        <v>'g10'</v>
      </c>
      <c r="E1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67" s="4" t="str">
        <f>IF(VLOOKUP(TableFields[Field],Columns[],5,0)=0,"","-&gt;"&amp;VLOOKUP(TableFields[Field],Columns[],5,0))</f>
        <v/>
      </c>
      <c r="G167" s="4" t="str">
        <f>IF(VLOOKUP(TableFields[Field],Columns[],6,0)=0,"","-&gt;"&amp;VLOOKUP(TableFields[Field],Columns[],6,0))</f>
        <v/>
      </c>
      <c r="H167" s="4" t="str">
        <f>IF(VLOOKUP(TableFields[Field],Columns[],7,0)=0,"","-&gt;"&amp;VLOOKUP(TableFields[Field],Columns[],7,0))</f>
        <v/>
      </c>
      <c r="I167" s="4" t="str">
        <f>IF(VLOOKUP(TableFields[Field],Columns[],8,0)=0,"","-&gt;"&amp;VLOOKUP(TableFields[Field],Columns[],8,0))</f>
        <v/>
      </c>
      <c r="J167" s="4" t="str">
        <f>IF(VLOOKUP(TableFields[Field],Columns[],9,0)=0,"","-&gt;"&amp;VLOOKUP(TableFields[Field],Columns[],9,0))</f>
        <v/>
      </c>
      <c r="K16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$table-&gt;foreignNullable('g10', 'product_group_master');</v>
      </c>
    </row>
    <row r="168" spans="1:11" hidden="1" x14ac:dyDescent="0.25">
      <c r="A168" s="4" t="s">
        <v>1820</v>
      </c>
      <c r="B168" s="4" t="s">
        <v>288</v>
      </c>
      <c r="C168" s="4" t="str">
        <f>VLOOKUP(TableFields[Field],Columns[],2,0)&amp;"("</f>
        <v>audit(</v>
      </c>
      <c r="D168" s="4" t="str">
        <f>IF(VLOOKUP(TableFields[Field],Columns[],3,0)&lt;&gt;"","'"&amp;VLOOKUP(TableFields[Field],Columns[],3,0)&amp;"'","")</f>
        <v/>
      </c>
      <c r="E1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8" s="4" t="str">
        <f>IF(VLOOKUP(TableFields[Field],Columns[],5,0)=0,"","-&gt;"&amp;VLOOKUP(TableFields[Field],Columns[],5,0))</f>
        <v/>
      </c>
      <c r="G168" s="4" t="str">
        <f>IF(VLOOKUP(TableFields[Field],Columns[],6,0)=0,"","-&gt;"&amp;VLOOKUP(TableFields[Field],Columns[],6,0))</f>
        <v/>
      </c>
      <c r="H168" s="4" t="str">
        <f>IF(VLOOKUP(TableFields[Field],Columns[],7,0)=0,"","-&gt;"&amp;VLOOKUP(TableFields[Field],Columns[],7,0))</f>
        <v/>
      </c>
      <c r="I168" s="4" t="str">
        <f>IF(VLOOKUP(TableFields[Field],Columns[],8,0)=0,"","-&gt;"&amp;VLOOKUP(TableFields[Field],Columns[],8,0))</f>
        <v/>
      </c>
      <c r="J168" s="4" t="str">
        <f>IF(VLOOKUP(TableFields[Field],Columns[],9,0)=0,"","-&gt;"&amp;VLOOKUP(TableFields[Field],Columns[],9,0))</f>
        <v/>
      </c>
      <c r="K16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69" spans="1:11" hidden="1" x14ac:dyDescent="0.25">
      <c r="A169" s="4" t="s">
        <v>762</v>
      </c>
      <c r="B169" s="4" t="s">
        <v>21</v>
      </c>
      <c r="C169" s="4" t="str">
        <f>VLOOKUP(TableFields[Field],Columns[],2,0)&amp;"("</f>
        <v>bigIncrements(</v>
      </c>
      <c r="D169" s="4" t="str">
        <f>IF(VLOOKUP(TableFields[Field],Columns[],3,0)&lt;&gt;"","'"&amp;VLOOKUP(TableFields[Field],Columns[],3,0)&amp;"'","")</f>
        <v>'id'</v>
      </c>
      <c r="E1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9" s="4" t="str">
        <f>IF(VLOOKUP(TableFields[Field],Columns[],5,0)=0,"","-&gt;"&amp;VLOOKUP(TableFields[Field],Columns[],5,0))</f>
        <v/>
      </c>
      <c r="G169" s="4" t="str">
        <f>IF(VLOOKUP(TableFields[Field],Columns[],6,0)=0,"","-&gt;"&amp;VLOOKUP(TableFields[Field],Columns[],6,0))</f>
        <v/>
      </c>
      <c r="H169" s="4" t="str">
        <f>IF(VLOOKUP(TableFields[Field],Columns[],7,0)=0,"","-&gt;"&amp;VLOOKUP(TableFields[Field],Columns[],7,0))</f>
        <v/>
      </c>
      <c r="I169" s="4" t="str">
        <f>IF(VLOOKUP(TableFields[Field],Columns[],8,0)=0,"","-&gt;"&amp;VLOOKUP(TableFields[Field],Columns[],8,0))</f>
        <v/>
      </c>
      <c r="J169" s="4" t="str">
        <f>IF(VLOOKUP(TableFields[Field],Columns[],9,0)=0,"","-&gt;"&amp;VLOOKUP(TableFields[Field],Columns[],9,0))</f>
        <v/>
      </c>
      <c r="K16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0" spans="1:11" hidden="1" x14ac:dyDescent="0.25">
      <c r="A170" s="4" t="s">
        <v>762</v>
      </c>
      <c r="B170" s="4" t="s">
        <v>792</v>
      </c>
      <c r="C170" s="4" t="str">
        <f>VLOOKUP(TableFields[Field],Columns[],2,0)&amp;"("</f>
        <v>foreignCascade(</v>
      </c>
      <c r="D170" s="4" t="str">
        <f>IF(VLOOKUP(TableFields[Field],Columns[],3,0)&lt;&gt;"","'"&amp;VLOOKUP(TableFields[Field],Columns[],3,0)&amp;"'","")</f>
        <v>'store'</v>
      </c>
      <c r="E1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70" s="4" t="str">
        <f>IF(VLOOKUP(TableFields[Field],Columns[],5,0)=0,"","-&gt;"&amp;VLOOKUP(TableFields[Field],Columns[],5,0))</f>
        <v/>
      </c>
      <c r="G170" s="4" t="str">
        <f>IF(VLOOKUP(TableFields[Field],Columns[],6,0)=0,"","-&gt;"&amp;VLOOKUP(TableFields[Field],Columns[],6,0))</f>
        <v/>
      </c>
      <c r="H170" s="4" t="str">
        <f>IF(VLOOKUP(TableFields[Field],Columns[],7,0)=0,"","-&gt;"&amp;VLOOKUP(TableFields[Field],Columns[],7,0))</f>
        <v/>
      </c>
      <c r="I170" s="4" t="str">
        <f>IF(VLOOKUP(TableFields[Field],Columns[],8,0)=0,"","-&gt;"&amp;VLOOKUP(TableFields[Field],Columns[],8,0))</f>
        <v/>
      </c>
      <c r="J170" s="4" t="str">
        <f>IF(VLOOKUP(TableFields[Field],Columns[],9,0)=0,"","-&gt;"&amp;VLOOKUP(TableFields[Field],Columns[],9,0))</f>
        <v/>
      </c>
      <c r="K17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71" spans="1:11" hidden="1" x14ac:dyDescent="0.25">
      <c r="A171" s="4" t="s">
        <v>762</v>
      </c>
      <c r="B171" s="4" t="s">
        <v>813</v>
      </c>
      <c r="C171" s="4" t="str">
        <f>VLOOKUP(TableFields[Field],Columns[],2,0)&amp;"("</f>
        <v>foreignCascade(</v>
      </c>
      <c r="D171" s="4" t="str">
        <f>IF(VLOOKUP(TableFields[Field],Columns[],3,0)&lt;&gt;"","'"&amp;VLOOKUP(TableFields[Field],Columns[],3,0)&amp;"'","")</f>
        <v>'product'</v>
      </c>
      <c r="E1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1" s="4" t="str">
        <f>IF(VLOOKUP(TableFields[Field],Columns[],5,0)=0,"","-&gt;"&amp;VLOOKUP(TableFields[Field],Columns[],5,0))</f>
        <v/>
      </c>
      <c r="G171" s="4" t="str">
        <f>IF(VLOOKUP(TableFields[Field],Columns[],6,0)=0,"","-&gt;"&amp;VLOOKUP(TableFields[Field],Columns[],6,0))</f>
        <v/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72" spans="1:11" hidden="1" x14ac:dyDescent="0.25">
      <c r="A172" s="4" t="s">
        <v>762</v>
      </c>
      <c r="B172" s="4" t="s">
        <v>288</v>
      </c>
      <c r="C172" s="4" t="str">
        <f>VLOOKUP(TableFields[Field],Columns[],2,0)&amp;"("</f>
        <v>audit(</v>
      </c>
      <c r="D172" s="4" t="str">
        <f>IF(VLOOKUP(TableFields[Field],Columns[],3,0)&lt;&gt;"","'"&amp;VLOOKUP(TableFields[Field],Columns[],3,0)&amp;"'","")</f>
        <v/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2" s="4" t="str">
        <f>IF(VLOOKUP(TableFields[Field],Columns[],5,0)=0,"","-&gt;"&amp;VLOOKUP(TableFields[Field],Columns[],5,0))</f>
        <v/>
      </c>
      <c r="G172" s="4" t="str">
        <f>IF(VLOOKUP(TableFields[Field],Columns[],6,0)=0,"","-&gt;"&amp;VLOOKUP(TableFields[Field],Columns[],6,0))</f>
        <v/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3" spans="1:11" hidden="1" x14ac:dyDescent="0.25">
      <c r="A173" s="4" t="s">
        <v>763</v>
      </c>
      <c r="B173" s="4" t="s">
        <v>21</v>
      </c>
      <c r="C173" s="4" t="str">
        <f>VLOOKUP(TableFields[Field],Columns[],2,0)&amp;"("</f>
        <v>bigIncrements(</v>
      </c>
      <c r="D173" s="4" t="str">
        <f>IF(VLOOKUP(TableFields[Field],Columns[],3,0)&lt;&gt;"","'"&amp;VLOOKUP(TableFields[Field],Columns[],3,0)&amp;"'","")</f>
        <v>'id'</v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3" s="4" t="str">
        <f>IF(VLOOKUP(TableFields[Field],Columns[],5,0)=0,"","-&gt;"&amp;VLOOKUP(TableFields[Field],Columns[],5,0))</f>
        <v/>
      </c>
      <c r="G173" s="4" t="str">
        <f>IF(VLOOKUP(TableFields[Field],Columns[],6,0)=0,"","-&gt;"&amp;VLOOKUP(TableFields[Field],Columns[],6,0))</f>
        <v/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4" spans="1:11" hidden="1" x14ac:dyDescent="0.25">
      <c r="A174" s="4" t="s">
        <v>763</v>
      </c>
      <c r="B174" s="4" t="s">
        <v>769</v>
      </c>
      <c r="C174" s="4" t="str">
        <f>VLOOKUP(TableFields[Field],Columns[],2,0)&amp;"("</f>
        <v>char(</v>
      </c>
      <c r="D174" s="4" t="str">
        <f>IF(VLOOKUP(TableFields[Field],Columns[],3,0)&lt;&gt;"","'"&amp;VLOOKUP(TableFields[Field],Columns[],3,0)&amp;"'","")</f>
        <v>'code'</v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74" s="4" t="str">
        <f>IF(VLOOKUP(TableFields[Field],Columns[],5,0)=0,"","-&gt;"&amp;VLOOKUP(TableFields[Field],Columns[],5,0))</f>
        <v>-&gt;nullable()</v>
      </c>
      <c r="G174" s="4" t="str">
        <f>IF(VLOOKUP(TableFields[Field],Columns[],6,0)=0,"","-&gt;"&amp;VLOOKUP(TableFields[Field],Columns[],6,0))</f>
        <v>-&gt;index()</v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75" spans="1:11" hidden="1" x14ac:dyDescent="0.25">
      <c r="A175" s="4" t="s">
        <v>763</v>
      </c>
      <c r="B175" s="4" t="s">
        <v>23</v>
      </c>
      <c r="C175" s="4" t="str">
        <f>VLOOKUP(TableFields[Field],Columns[],2,0)&amp;"("</f>
        <v>string(</v>
      </c>
      <c r="D175" s="4" t="str">
        <f>IF(VLOOKUP(TableFields[Field],Columns[],3,0)&lt;&gt;"","'"&amp;VLOOKUP(TableFields[Field],Columns[],3,0)&amp;"'","")</f>
        <v>'name'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75" s="4" t="str">
        <f>IF(VLOOKUP(TableFields[Field],Columns[],5,0)=0,"","-&gt;"&amp;VLOOKUP(TableFields[Field],Columns[],5,0))</f>
        <v>-&gt;nullable()</v>
      </c>
      <c r="G175" s="4" t="str">
        <f>IF(VLOOKUP(TableFields[Field],Columns[],6,0)=0,"","-&gt;"&amp;VLOOKUP(TableFields[Field],Columns[],6,0))</f>
        <v>-&gt;index()</v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76" spans="1:11" hidden="1" x14ac:dyDescent="0.25">
      <c r="A176" s="4" t="s">
        <v>763</v>
      </c>
      <c r="B176" s="4" t="s">
        <v>776</v>
      </c>
      <c r="C176" s="4" t="str">
        <f>VLOOKUP(TableFields[Field],Columns[],2,0)&amp;"("</f>
        <v>enum(</v>
      </c>
      <c r="D176" s="4" t="str">
        <f>IF(VLOOKUP(TableFields[Field],Columns[],3,0)&lt;&gt;"","'"&amp;VLOOKUP(TableFields[Field],Columns[],3,0)&amp;"'","")</f>
        <v>'status'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6" s="4" t="str">
        <f>IF(VLOOKUP(TableFields[Field],Columns[],5,0)=0,"","-&gt;"&amp;VLOOKUP(TableFields[Field],Columns[],5,0))</f>
        <v>-&gt;nullable()</v>
      </c>
      <c r="G176" s="4" t="str">
        <f>IF(VLOOKUP(TableFields[Field],Columns[],6,0)=0,"","-&gt;"&amp;VLOOKUP(TableFields[Field],Columns[],6,0))</f>
        <v>-&gt;default('Active')</v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7" spans="1:11" hidden="1" x14ac:dyDescent="0.25">
      <c r="A177" s="4" t="s">
        <v>763</v>
      </c>
      <c r="B177" s="4" t="s">
        <v>288</v>
      </c>
      <c r="C177" s="4" t="str">
        <f>VLOOKUP(TableFields[Field],Columns[],2,0)&amp;"("</f>
        <v>audit(</v>
      </c>
      <c r="D177" s="4" t="str">
        <f>IF(VLOOKUP(TableFields[Field],Columns[],3,0)&lt;&gt;"","'"&amp;VLOOKUP(TableFields[Field],Columns[],3,0)&amp;"'","")</f>
        <v/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7" s="4" t="str">
        <f>IF(VLOOKUP(TableFields[Field],Columns[],5,0)=0,"","-&gt;"&amp;VLOOKUP(TableFields[Field],Columns[],5,0))</f>
        <v/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8" spans="1:11" hidden="1" x14ac:dyDescent="0.25">
      <c r="A178" s="4" t="s">
        <v>764</v>
      </c>
      <c r="B178" s="4" t="s">
        <v>21</v>
      </c>
      <c r="C178" s="4" t="str">
        <f>VLOOKUP(TableFields[Field],Columns[],2,0)&amp;"("</f>
        <v>bigIncrements(</v>
      </c>
      <c r="D178" s="4" t="str">
        <f>IF(VLOOKUP(TableFields[Field],Columns[],3,0)&lt;&gt;"","'"&amp;VLOOKUP(TableFields[Field],Columns[],3,0)&amp;"'","")</f>
        <v>'id'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9" spans="1:11" hidden="1" x14ac:dyDescent="0.25">
      <c r="A179" s="4" t="s">
        <v>764</v>
      </c>
      <c r="B179" s="4" t="s">
        <v>812</v>
      </c>
      <c r="C179" s="4" t="str">
        <f>VLOOKUP(TableFields[Field],Columns[],2,0)&amp;"("</f>
        <v>foreignCascade(</v>
      </c>
      <c r="D179" s="4" t="str">
        <f>IF(VLOOKUP(TableFields[Field],Columns[],3,0)&lt;&gt;"","'"&amp;VLOOKUP(TableFields[Field],Columns[],3,0)&amp;"'","")</f>
        <v>'pricelist'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180" spans="1:11" hidden="1" x14ac:dyDescent="0.25">
      <c r="A180" s="4" t="s">
        <v>764</v>
      </c>
      <c r="B180" s="4" t="s">
        <v>813</v>
      </c>
      <c r="C180" s="4" t="str">
        <f>VLOOKUP(TableFields[Field],Columns[],2,0)&amp;"("</f>
        <v>foreignCascade(</v>
      </c>
      <c r="D180" s="4" t="str">
        <f>IF(VLOOKUP(TableFields[Field],Columns[],3,0)&lt;&gt;"","'"&amp;VLOOKUP(TableFields[Field],Columns[],3,0)&amp;"'","")</f>
        <v>'product'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80" s="4" t="str">
        <f>IF(VLOOKUP(TableFields[Field],Columns[],5,0)=0,"","-&gt;"&amp;VLOOKUP(TableFields[Field],Columns[],5,0))</f>
        <v/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81" spans="1:11" hidden="1" x14ac:dyDescent="0.25">
      <c r="A181" s="4" t="s">
        <v>764</v>
      </c>
      <c r="B181" s="4" t="s">
        <v>815</v>
      </c>
      <c r="C181" s="4" t="str">
        <f>VLOOKUP(TableFields[Field],Columns[],2,0)&amp;"("</f>
        <v>decimal(</v>
      </c>
      <c r="D181" s="4" t="str">
        <f>IF(VLOOKUP(TableFields[Field],Columns[],3,0)&lt;&gt;"","'"&amp;VLOOKUP(TableFields[Field],Columns[],3,0)&amp;"'","")</f>
        <v>'price'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81" s="4" t="str">
        <f>IF(VLOOKUP(TableFields[Field],Columns[],5,0)=0,"","-&gt;"&amp;VLOOKUP(TableFields[Field],Columns[],5,0))</f>
        <v>-&gt;default(0)</v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182" spans="1:11" hidden="1" x14ac:dyDescent="0.25">
      <c r="A182" s="4" t="s">
        <v>764</v>
      </c>
      <c r="B182" s="4" t="s">
        <v>816</v>
      </c>
      <c r="C182" s="4" t="str">
        <f>VLOOKUP(TableFields[Field],Columns[],2,0)&amp;"("</f>
        <v>decimal(</v>
      </c>
      <c r="D182" s="4" t="str">
        <f>IF(VLOOKUP(TableFields[Field],Columns[],3,0)&lt;&gt;"","'"&amp;VLOOKUP(TableFields[Field],Columns[],3,0)&amp;"'","")</f>
        <v>'price_min'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82" s="4" t="str">
        <f>IF(VLOOKUP(TableFields[Field],Columns[],5,0)=0,"","-&gt;"&amp;VLOOKUP(TableFields[Field],Columns[],5,0))</f>
        <v>-&gt;default(0)</v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183" spans="1:11" hidden="1" x14ac:dyDescent="0.25">
      <c r="A183" s="4" t="s">
        <v>764</v>
      </c>
      <c r="B183" s="4" t="s">
        <v>817</v>
      </c>
      <c r="C183" s="4" t="str">
        <f>VLOOKUP(TableFields[Field],Columns[],2,0)&amp;"("</f>
        <v>decimal(</v>
      </c>
      <c r="D183" s="4" t="str">
        <f>IF(VLOOKUP(TableFields[Field],Columns[],3,0)&lt;&gt;"","'"&amp;VLOOKUP(TableFields[Field],Columns[],3,0)&amp;"'","")</f>
        <v>'price_max'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83" s="4" t="str">
        <f>IF(VLOOKUP(TableFields[Field],Columns[],5,0)=0,"","-&gt;"&amp;VLOOKUP(TableFields[Field],Columns[],5,0))</f>
        <v>-&gt;default(0)</v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184" spans="1:11" hidden="1" x14ac:dyDescent="0.25">
      <c r="A184" s="4" t="s">
        <v>764</v>
      </c>
      <c r="B184" s="4" t="s">
        <v>869</v>
      </c>
      <c r="C184" s="4" t="str">
        <f>VLOOKUP(TableFields[Field],Columns[],2,0)&amp;"("</f>
        <v>enum(</v>
      </c>
      <c r="D184" s="4" t="str">
        <f>IF(VLOOKUP(TableFields[Field],Columns[],3,0)&lt;&gt;"","'"&amp;VLOOKUP(TableFields[Field],Columns[],3,0)&amp;"'","")</f>
        <v>'discount1_type'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184" s="4" t="str">
        <f>IF(VLOOKUP(TableFields[Field],Columns[],5,0)=0,"","-&gt;"&amp;VLOOKUP(TableFields[Field],Columns[],5,0))</f>
        <v>-&gt;default('Amount')</v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185" spans="1:11" hidden="1" x14ac:dyDescent="0.25">
      <c r="A185" s="4" t="s">
        <v>764</v>
      </c>
      <c r="B185" s="4" t="s">
        <v>874</v>
      </c>
      <c r="C185" s="4" t="str">
        <f>VLOOKUP(TableFields[Field],Columns[],2,0)&amp;"("</f>
        <v>decimal(</v>
      </c>
      <c r="D185" s="4" t="str">
        <f>IF(VLOOKUP(TableFields[Field],Columns[],3,0)&lt;&gt;"","'"&amp;VLOOKUP(TableFields[Field],Columns[],3,0)&amp;"'","")</f>
        <v>'discount1_quantity'</v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185" s="4" t="str">
        <f>IF(VLOOKUP(TableFields[Field],Columns[],5,0)=0,"","-&gt;"&amp;VLOOKUP(TableFields[Field],Columns[],5,0))</f>
        <v>-&gt;default(0)</v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186" spans="1:11" hidden="1" x14ac:dyDescent="0.25">
      <c r="A186" s="4" t="s">
        <v>764</v>
      </c>
      <c r="B186" s="4" t="s">
        <v>870</v>
      </c>
      <c r="C186" s="4" t="str">
        <f>VLOOKUP(TableFields[Field],Columns[],2,0)&amp;"("</f>
        <v>enum(</v>
      </c>
      <c r="D186" s="4" t="str">
        <f>IF(VLOOKUP(TableFields[Field],Columns[],3,0)&lt;&gt;"","'"&amp;VLOOKUP(TableFields[Field],Columns[],3,0)&amp;"'","")</f>
        <v>'discount2_type'</v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186" s="4" t="str">
        <f>IF(VLOOKUP(TableFields[Field],Columns[],5,0)=0,"","-&gt;"&amp;VLOOKUP(TableFields[Field],Columns[],5,0))</f>
        <v>-&gt;default('Amount')</v>
      </c>
      <c r="G186" s="4" t="str">
        <f>IF(VLOOKUP(TableFields[Field],Columns[],6,0)=0,"","-&gt;"&amp;VLOOKUP(TableFields[Field],Columns[],6,0))</f>
        <v/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187" spans="1:11" hidden="1" x14ac:dyDescent="0.25">
      <c r="A187" s="4" t="s">
        <v>764</v>
      </c>
      <c r="B187" s="4" t="s">
        <v>875</v>
      </c>
      <c r="C187" s="4" t="str">
        <f>VLOOKUP(TableFields[Field],Columns[],2,0)&amp;"("</f>
        <v>decimal(</v>
      </c>
      <c r="D187" s="4" t="str">
        <f>IF(VLOOKUP(TableFields[Field],Columns[],3,0)&lt;&gt;"","'"&amp;VLOOKUP(TableFields[Field],Columns[],3,0)&amp;"'","")</f>
        <v>'discount2_quantity'</v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187" s="4" t="str">
        <f>IF(VLOOKUP(TableFields[Field],Columns[],5,0)=0,"","-&gt;"&amp;VLOOKUP(TableFields[Field],Columns[],5,0))</f>
        <v>-&gt;default(0)</v>
      </c>
      <c r="G187" s="4" t="str">
        <f>IF(VLOOKUP(TableFields[Field],Columns[],6,0)=0,"","-&gt;"&amp;VLOOKUP(TableFields[Field],Columns[],6,0))</f>
        <v/>
      </c>
      <c r="H187" s="4" t="str">
        <f>IF(VLOOKUP(TableFields[Field],Columns[],7,0)=0,"","-&gt;"&amp;VLOOKUP(TableFields[Field],Columns[],7,0))</f>
        <v/>
      </c>
      <c r="I187" s="4" t="str">
        <f>IF(VLOOKUP(TableFields[Field],Columns[],8,0)=0,"","-&gt;"&amp;VLOOKUP(TableFields[Field],Columns[],8,0))</f>
        <v/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188" spans="1:11" hidden="1" x14ac:dyDescent="0.25">
      <c r="A188" s="4" t="s">
        <v>764</v>
      </c>
      <c r="B188" s="4" t="s">
        <v>288</v>
      </c>
      <c r="C188" s="4" t="str">
        <f>VLOOKUP(TableFields[Field],Columns[],2,0)&amp;"("</f>
        <v>audit(</v>
      </c>
      <c r="D188" s="4" t="str">
        <f>IF(VLOOKUP(TableFields[Field],Columns[],3,0)&lt;&gt;"","'"&amp;VLOOKUP(TableFields[Field],Columns[],3,0)&amp;"'","")</f>
        <v/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9" spans="1:11" hidden="1" x14ac:dyDescent="0.25">
      <c r="A189" s="4" t="s">
        <v>829</v>
      </c>
      <c r="B189" s="4" t="s">
        <v>21</v>
      </c>
      <c r="C189" s="4" t="str">
        <f>VLOOKUP(TableFields[Field],Columns[],2,0)&amp;"("</f>
        <v>bigIncrements(</v>
      </c>
      <c r="D189" s="4" t="str">
        <f>IF(VLOOKUP(TableFields[Field],Columns[],3,0)&lt;&gt;"","'"&amp;VLOOKUP(TableFields[Field],Columns[],3,0)&amp;"'","")</f>
        <v>'id'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9" s="4" t="str">
        <f>IF(VLOOKUP(TableFields[Field],Columns[],5,0)=0,"","-&gt;"&amp;VLOOKUP(TableFields[Field],Columns[],5,0))</f>
        <v/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0" spans="1:11" hidden="1" x14ac:dyDescent="0.25">
      <c r="A190" s="4" t="s">
        <v>829</v>
      </c>
      <c r="B190" s="4" t="s">
        <v>23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'name'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>-&gt;index()</v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91" spans="1:11" hidden="1" x14ac:dyDescent="0.25">
      <c r="A191" s="4" t="s">
        <v>829</v>
      </c>
      <c r="B191" s="4" t="s">
        <v>776</v>
      </c>
      <c r="C191" s="4" t="str">
        <f>VLOOKUP(TableFields[Field],Columns[],2,0)&amp;"("</f>
        <v>enum(</v>
      </c>
      <c r="D191" s="4" t="str">
        <f>IF(VLOOKUP(TableFields[Field],Columns[],3,0)&lt;&gt;"","'"&amp;VLOOKUP(TableFields[Field],Columns[],3,0)&amp;"'","")</f>
        <v>'status'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>-&gt;default('Active')</v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92" spans="1:11" hidden="1" x14ac:dyDescent="0.25">
      <c r="A192" s="4" t="s">
        <v>829</v>
      </c>
      <c r="B192" s="4" t="s">
        <v>288</v>
      </c>
      <c r="C192" s="4" t="str">
        <f>VLOOKUP(TableFields[Field],Columns[],2,0)&amp;"("</f>
        <v>audit(</v>
      </c>
      <c r="D192" s="4" t="str">
        <f>IF(VLOOKUP(TableFields[Field],Columns[],3,0)&lt;&gt;"","'"&amp;VLOOKUP(TableFields[Field],Columns[],3,0)&amp;"'","")</f>
        <v/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2" s="4" t="str">
        <f>IF(VLOOKUP(TableFields[Field],Columns[],5,0)=0,"","-&gt;"&amp;VLOOKUP(TableFields[Field],Columns[],5,0))</f>
        <v/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3" spans="1:11" hidden="1" x14ac:dyDescent="0.25">
      <c r="A193" s="4" t="s">
        <v>836</v>
      </c>
      <c r="B193" s="4" t="s">
        <v>21</v>
      </c>
      <c r="C193" s="4" t="str">
        <f>VLOOKUP(TableFields[Field],Columns[],2,0)&amp;"("</f>
        <v>bigIncrements(</v>
      </c>
      <c r="D193" s="4" t="str">
        <f>IF(VLOOKUP(TableFields[Field],Columns[],3,0)&lt;&gt;"","'"&amp;VLOOKUP(TableFields[Field],Columns[],3,0)&amp;"'","")</f>
        <v>'id'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3" s="4" t="str">
        <f>IF(VLOOKUP(TableFields[Field],Columns[],5,0)=0,"","-&gt;"&amp;VLOOKUP(TableFields[Field],Columns[],5,0))</f>
        <v/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4" spans="1:11" hidden="1" x14ac:dyDescent="0.25">
      <c r="A194" s="4" t="s">
        <v>836</v>
      </c>
      <c r="B194" s="4" t="s">
        <v>23</v>
      </c>
      <c r="C194" s="4" t="str">
        <f>VLOOKUP(TableFields[Field],Columns[],2,0)&amp;"("</f>
        <v>string(</v>
      </c>
      <c r="D194" s="4" t="str">
        <f>IF(VLOOKUP(TableFields[Field],Columns[],3,0)&lt;&gt;"","'"&amp;VLOOKUP(TableFields[Field],Columns[],3,0)&amp;"'","")</f>
        <v>'name'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94" s="4" t="str">
        <f>IF(VLOOKUP(TableFields[Field],Columns[],5,0)=0,"","-&gt;"&amp;VLOOKUP(TableFields[Field],Columns[],5,0))</f>
        <v>-&gt;nullable()</v>
      </c>
      <c r="G194" s="4" t="str">
        <f>IF(VLOOKUP(TableFields[Field],Columns[],6,0)=0,"","-&gt;"&amp;VLOOKUP(TableFields[Field],Columns[],6,0))</f>
        <v>-&gt;index()</v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95" spans="1:11" hidden="1" x14ac:dyDescent="0.25">
      <c r="A195" s="4" t="s">
        <v>836</v>
      </c>
      <c r="B195" s="4" t="s">
        <v>776</v>
      </c>
      <c r="C195" s="4" t="str">
        <f>VLOOKUP(TableFields[Field],Columns[],2,0)&amp;"("</f>
        <v>enum(</v>
      </c>
      <c r="D195" s="4" t="str">
        <f>IF(VLOOKUP(TableFields[Field],Columns[],3,0)&lt;&gt;"","'"&amp;VLOOKUP(TableFields[Field],Columns[],3,0)&amp;"'","")</f>
        <v>'status'</v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95" s="4" t="str">
        <f>IF(VLOOKUP(TableFields[Field],Columns[],5,0)=0,"","-&gt;"&amp;VLOOKUP(TableFields[Field],Columns[],5,0))</f>
        <v>-&gt;nullable()</v>
      </c>
      <c r="G195" s="4" t="str">
        <f>IF(VLOOKUP(TableFields[Field],Columns[],6,0)=0,"","-&gt;"&amp;VLOOKUP(TableFields[Field],Columns[],6,0))</f>
        <v>-&gt;default('Active')</v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96" spans="1:11" hidden="1" x14ac:dyDescent="0.25">
      <c r="A196" s="4" t="s">
        <v>836</v>
      </c>
      <c r="B196" s="4" t="s">
        <v>288</v>
      </c>
      <c r="C196" s="4" t="str">
        <f>VLOOKUP(TableFields[Field],Columns[],2,0)&amp;"("</f>
        <v>audit(</v>
      </c>
      <c r="D196" s="4" t="str">
        <f>IF(VLOOKUP(TableFields[Field],Columns[],3,0)&lt;&gt;"","'"&amp;VLOOKUP(TableFields[Field],Columns[],3,0)&amp;"'","")</f>
        <v/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7" spans="1:11" hidden="1" x14ac:dyDescent="0.25">
      <c r="A197" s="4" t="s">
        <v>765</v>
      </c>
      <c r="B197" s="4" t="s">
        <v>21</v>
      </c>
      <c r="C197" s="4" t="str">
        <f>VLOOKUP(TableFields[Field],Columns[],2,0)&amp;"("</f>
        <v>bigIncrements(</v>
      </c>
      <c r="D197" s="4" t="str">
        <f>IF(VLOOKUP(TableFields[Field],Columns[],3,0)&lt;&gt;"","'"&amp;VLOOKUP(TableFields[Field],Columns[],3,0)&amp;"'","")</f>
        <v>'id'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7" s="4" t="str">
        <f>IF(VLOOKUP(TableFields[Field],Columns[],5,0)=0,"","-&gt;"&amp;VLOOKUP(TableFields[Field],Columns[],5,0))</f>
        <v/>
      </c>
      <c r="G197" s="4" t="str">
        <f>IF(VLOOKUP(TableFields[Field],Columns[],6,0)=0,"","-&gt;"&amp;VLOOKUP(TableFields[Field],Columns[],6,0))</f>
        <v/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8" spans="1:11" hidden="1" x14ac:dyDescent="0.25">
      <c r="A198" s="4" t="s">
        <v>765</v>
      </c>
      <c r="B198" s="4" t="s">
        <v>1689</v>
      </c>
      <c r="C198" s="4" t="str">
        <f>VLOOKUP(TableFields[Field],Columns[],2,0)&amp;"("</f>
        <v>char(</v>
      </c>
      <c r="D198" s="4" t="str">
        <f>IF(VLOOKUP(TableFields[Field],Columns[],3,0)&lt;&gt;"","'"&amp;VLOOKUP(TableFields[Field],Columns[],3,0)&amp;"'","")</f>
        <v>'_ref'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98" s="4" t="str">
        <f>IF(VLOOKUP(TableFields[Field],Columns[],5,0)=0,"","-&gt;"&amp;VLOOKUP(TableFields[Field],Columns[],5,0))</f>
        <v>-&gt;nullable()</v>
      </c>
      <c r="G198" s="4" t="str">
        <f>IF(VLOOKUP(TableFields[Field],Columns[],6,0)=0,"","-&gt;"&amp;VLOOKUP(TableFields[Field],Columns[],6,0))</f>
        <v>-&gt;index()</v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199" spans="1:11" hidden="1" x14ac:dyDescent="0.25">
      <c r="A199" s="4" t="s">
        <v>765</v>
      </c>
      <c r="B199" s="4" t="s">
        <v>821</v>
      </c>
      <c r="C199" s="4" t="str">
        <f>VLOOKUP(TableFields[Field],Columns[],2,0)&amp;"("</f>
        <v>foreignNullable(</v>
      </c>
      <c r="D199" s="4" t="str">
        <f>IF(VLOOKUP(TableFields[Field],Columns[],3,0)&lt;&gt;"","'"&amp;VLOOKUP(TableFields[Field],Columns[],3,0)&amp;"'","")</f>
        <v>'store'</v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99" s="4" t="str">
        <f>IF(VLOOKUP(TableFields[Field],Columns[],5,0)=0,"","-&gt;"&amp;VLOOKUP(TableFields[Field],Columns[],5,0))</f>
        <v/>
      </c>
      <c r="G199" s="4" t="str">
        <f>IF(VLOOKUP(TableFields[Field],Columns[],6,0)=0,"","-&gt;"&amp;VLOOKUP(TableFields[Field],Columns[],6,0))</f>
        <v/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00" spans="1:11" hidden="1" x14ac:dyDescent="0.25">
      <c r="A200" s="4" t="s">
        <v>765</v>
      </c>
      <c r="B200" s="4" t="s">
        <v>822</v>
      </c>
      <c r="C200" s="4" t="str">
        <f>VLOOKUP(TableFields[Field],Columns[],2,0)&amp;"("</f>
        <v>foreignNullable(</v>
      </c>
      <c r="D200" s="4" t="str">
        <f>IF(VLOOKUP(TableFields[Field],Columns[],3,0)&lt;&gt;"","'"&amp;VLOOKUP(TableFields[Field],Columns[],3,0)&amp;"'","")</f>
        <v>'product'</v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00" s="4" t="str">
        <f>IF(VLOOKUP(TableFields[Field],Columns[],5,0)=0,"","-&gt;"&amp;VLOOKUP(TableFields[Field],Columns[],5,0))</f>
        <v/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01" spans="1:11" hidden="1" x14ac:dyDescent="0.25">
      <c r="A201" s="4" t="s">
        <v>765</v>
      </c>
      <c r="B201" s="4" t="s">
        <v>823</v>
      </c>
      <c r="C201" s="4" t="str">
        <f>VLOOKUP(TableFields[Field],Columns[],2,0)&amp;"("</f>
        <v>enum(</v>
      </c>
      <c r="D201" s="4" t="str">
        <f>IF(VLOOKUP(TableFields[Field],Columns[],3,0)&lt;&gt;"","'"&amp;VLOOKUP(TableFields[Field],Columns[],3,0)&amp;"'","")</f>
        <v>'direction'</v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201" s="4" t="str">
        <f>IF(VLOOKUP(TableFields[Field],Columns[],5,0)=0,"","-&gt;"&amp;VLOOKUP(TableFields[Field],Columns[],5,0))</f>
        <v>-&gt;default('Out')</v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202" spans="1:11" hidden="1" x14ac:dyDescent="0.25">
      <c r="A202" s="4" t="s">
        <v>765</v>
      </c>
      <c r="B202" s="4" t="s">
        <v>827</v>
      </c>
      <c r="C202" s="4" t="str">
        <f>VLOOKUP(TableFields[Field],Columns[],2,0)&amp;"("</f>
        <v>decimal(</v>
      </c>
      <c r="D202" s="4" t="str">
        <f>IF(VLOOKUP(TableFields[Field],Columns[],3,0)&lt;&gt;"","'"&amp;VLOOKUP(TableFields[Field],Columns[],3,0)&amp;"'","")</f>
        <v>'quantity'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2" s="4" t="str">
        <f>IF(VLOOKUP(TableFields[Field],Columns[],5,0)=0,"","-&gt;"&amp;VLOOKUP(TableFields[Field],Columns[],5,0))</f>
        <v>-&gt;default(1)</v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03" spans="1:11" hidden="1" x14ac:dyDescent="0.25">
      <c r="A203" s="4" t="s">
        <v>765</v>
      </c>
      <c r="B203" s="4" t="s">
        <v>866</v>
      </c>
      <c r="C203" s="4" t="str">
        <f>VLOOKUP(TableFields[Field],Columns[],2,0)&amp;"("</f>
        <v>unsignedBigInteger(</v>
      </c>
      <c r="D203" s="4" t="str">
        <f>IF(VLOOKUP(TableFields[Field],Columns[],3,0)&lt;&gt;"","'"&amp;VLOOKUP(TableFields[Field],Columns[],3,0)&amp;"'","")</f>
        <v>'user'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3" s="4" t="str">
        <f>IF(VLOOKUP(TableFields[Field],Columns[],5,0)=0,"","-&gt;"&amp;VLOOKUP(TableFields[Field],Columns[],5,0))</f>
        <v>-&gt;nullable()</v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$table-&gt;unsignedBigInteger('user')-&gt;nullable();</v>
      </c>
    </row>
    <row r="204" spans="1:11" hidden="1" x14ac:dyDescent="0.25">
      <c r="A204" s="4" t="s">
        <v>765</v>
      </c>
      <c r="B204" s="4" t="s">
        <v>830</v>
      </c>
      <c r="C204" s="4" t="str">
        <f>VLOOKUP(TableFields[Field],Columns[],2,0)&amp;"("</f>
        <v>foreignNullable(</v>
      </c>
      <c r="D204" s="4" t="str">
        <f>IF(VLOOKUP(TableFields[Field],Columns[],3,0)&lt;&gt;"","'"&amp;VLOOKUP(TableFields[Field],Columns[],3,0)&amp;"'","")</f>
        <v>'nature'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'product_transaction_natures')</v>
      </c>
      <c r="F204" s="4" t="str">
        <f>IF(VLOOKUP(TableFields[Field],Columns[],5,0)=0,"","-&gt;"&amp;VLOOKUP(TableFields[Field],Columns[],5,0))</f>
        <v/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$table-&gt;foreignNullable('nature', 'product_transaction_natures');</v>
      </c>
    </row>
    <row r="205" spans="1:11" hidden="1" x14ac:dyDescent="0.25">
      <c r="A205" s="4" t="s">
        <v>765</v>
      </c>
      <c r="B205" s="4" t="s">
        <v>832</v>
      </c>
      <c r="C205" s="4" t="str">
        <f>VLOOKUP(TableFields[Field],Columns[],2,0)&amp;"("</f>
        <v>timestamp(</v>
      </c>
      <c r="D205" s="4" t="str">
        <f>IF(VLOOKUP(TableFields[Field],Columns[],3,0)&lt;&gt;"","'"&amp;VLOOKUP(TableFields[Field],Columns[],3,0)&amp;"'","")</f>
        <v>'date'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5" s="4" t="str">
        <f>IF(VLOOKUP(TableFields[Field],Columns[],5,0)=0,"","-&gt;"&amp;VLOOKUP(TableFields[Field],Columns[],5,0))</f>
        <v>-&gt;default(DB::raw('CURRENT_TIMESTAMP'))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06" spans="1:11" hidden="1" x14ac:dyDescent="0.25">
      <c r="A206" s="4" t="s">
        <v>765</v>
      </c>
      <c r="B206" s="4" t="s">
        <v>837</v>
      </c>
      <c r="C206" s="4" t="str">
        <f>VLOOKUP(TableFields[Field],Columns[],2,0)&amp;"("</f>
        <v>foreignNullable(</v>
      </c>
      <c r="D206" s="4" t="str">
        <f>IF(VLOOKUP(TableFields[Field],Columns[],3,0)&lt;&gt;"","'"&amp;VLOOKUP(TableFields[Field],Columns[],3,0)&amp;"'","")</f>
        <v>'type'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'product_transaction_types')</v>
      </c>
      <c r="F206" s="4" t="str">
        <f>IF(VLOOKUP(TableFields[Field],Columns[],5,0)=0,"","-&gt;"&amp;VLOOKUP(TableFields[Field],Columns[],5,0))</f>
        <v/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$table-&gt;foreignNullable('type', 'product_transaction_types');</v>
      </c>
    </row>
    <row r="207" spans="1:11" hidden="1" x14ac:dyDescent="0.25">
      <c r="A207" s="4" t="s">
        <v>765</v>
      </c>
      <c r="B207" s="4" t="s">
        <v>776</v>
      </c>
      <c r="C207" s="4" t="str">
        <f>VLOOKUP(TableFields[Field],Columns[],2,0)&amp;"("</f>
        <v>enum(</v>
      </c>
      <c r="D207" s="4" t="str">
        <f>IF(VLOOKUP(TableFields[Field],Columns[],3,0)&lt;&gt;"","'"&amp;VLOOKUP(TableFields[Field],Columns[],3,0)&amp;"'","")</f>
        <v>'status'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07" s="4" t="str">
        <f>IF(VLOOKUP(TableFields[Field],Columns[],5,0)=0,"","-&gt;"&amp;VLOOKUP(TableFields[Field],Columns[],5,0))</f>
        <v>-&gt;nullable()</v>
      </c>
      <c r="G207" s="4" t="str">
        <f>IF(VLOOKUP(TableFields[Field],Columns[],6,0)=0,"","-&gt;"&amp;VLOOKUP(TableFields[Field],Columns[],6,0))</f>
        <v>-&gt;default('Active')</v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08" spans="1:11" hidden="1" x14ac:dyDescent="0.25">
      <c r="A208" s="4" t="s">
        <v>765</v>
      </c>
      <c r="B208" s="4" t="s">
        <v>288</v>
      </c>
      <c r="C208" s="4" t="str">
        <f>VLOOKUP(TableFields[Field],Columns[],2,0)&amp;"("</f>
        <v>audit(</v>
      </c>
      <c r="D208" s="4" t="str">
        <f>IF(VLOOKUP(TableFields[Field],Columns[],3,0)&lt;&gt;"","'"&amp;VLOOKUP(TableFields[Field],Columns[],3,0)&amp;"'","")</f>
        <v/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8" s="4" t="str">
        <f>IF(VLOOKUP(TableFields[Field],Columns[],5,0)=0,"","-&gt;"&amp;VLOOKUP(TableFields[Field],Columns[],5,0))</f>
        <v/>
      </c>
      <c r="G208" s="4" t="str">
        <f>IF(VLOOKUP(TableFields[Field],Columns[],6,0)=0,"","-&gt;"&amp;VLOOKUP(TableFields[Field],Columns[],6,0))</f>
        <v/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9" spans="1:11" hidden="1" x14ac:dyDescent="0.25">
      <c r="A209" s="4" t="s">
        <v>765</v>
      </c>
      <c r="B209" s="4" t="s">
        <v>867</v>
      </c>
      <c r="C209" s="4" t="str">
        <f>VLOOKUP(TableFields[Field],Columns[],2,0)&amp;"("</f>
        <v>foreign(</v>
      </c>
      <c r="D209" s="4" t="str">
        <f>IF(VLOOKUP(TableFields[Field],Columns[],3,0)&lt;&gt;"","'"&amp;VLOOKUP(TableFields[Field],Columns[],3,0)&amp;"'","")</f>
        <v>'user'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9" s="4" t="str">
        <f>IF(VLOOKUP(TableFields[Field],Columns[],5,0)=0,"","-&gt;"&amp;VLOOKUP(TableFields[Field],Columns[],5,0))</f>
        <v>-&gt;references('id')</v>
      </c>
      <c r="G209" s="4" t="str">
        <f>IF(VLOOKUP(TableFields[Field],Columns[],6,0)=0,"","-&gt;"&amp;VLOOKUP(TableFields[Field],Columns[],6,0))</f>
        <v>-&gt;on('users')</v>
      </c>
      <c r="H209" s="4" t="str">
        <f>IF(VLOOKUP(TableFields[Field],Columns[],7,0)=0,"","-&gt;"&amp;VLOOKUP(TableFields[Field],Columns[],7,0))</f>
        <v>-&gt;onUpdate('cascade')</v>
      </c>
      <c r="I209" s="4" t="str">
        <f>IF(VLOOKUP(TableFields[Field],Columns[],8,0)=0,"","-&gt;"&amp;VLOOKUP(TableFields[Field],Columns[],8,0))</f>
        <v>-&gt;onDelete('set null')</v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$table-&gt;foreign('user')-&gt;references('id')-&gt;on('users')-&gt;onUpdate('cascade')-&gt;onDelete('set null');</v>
      </c>
    </row>
    <row r="210" spans="1:11" hidden="1" x14ac:dyDescent="0.25">
      <c r="A210" s="4" t="s">
        <v>899</v>
      </c>
      <c r="B210" s="4" t="s">
        <v>21</v>
      </c>
      <c r="C210" s="4" t="str">
        <f>VLOOKUP(TableFields[Field],Columns[],2,0)&amp;"("</f>
        <v>bigIncrements(</v>
      </c>
      <c r="D210" s="4" t="str">
        <f>IF(VLOOKUP(TableFields[Field],Columns[],3,0)&lt;&gt;"","'"&amp;VLOOKUP(TableFields[Field],Columns[],3,0)&amp;"'","")</f>
        <v>'id'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0" s="4" t="str">
        <f>IF(VLOOKUP(TableFields[Field],Columns[],5,0)=0,"","-&gt;"&amp;VLOOKUP(TableFields[Field],Columns[],5,0))</f>
        <v/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1" spans="1:11" hidden="1" x14ac:dyDescent="0.25">
      <c r="A211" s="4" t="s">
        <v>899</v>
      </c>
      <c r="B211" s="4" t="s">
        <v>1689</v>
      </c>
      <c r="C211" s="4" t="str">
        <f>VLOOKUP(TableFields[Field],Columns[],2,0)&amp;"("</f>
        <v>char(</v>
      </c>
      <c r="D211" s="4" t="str">
        <f>IF(VLOOKUP(TableFields[Field],Columns[],3,0)&lt;&gt;"","'"&amp;VLOOKUP(TableFields[Field],Columns[],3,0)&amp;"'","")</f>
        <v>'_ref'</v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11" s="4" t="str">
        <f>IF(VLOOKUP(TableFields[Field],Columns[],5,0)=0,"","-&gt;"&amp;VLOOKUP(TableFields[Field],Columns[],5,0))</f>
        <v>-&gt;nullable()</v>
      </c>
      <c r="G211" s="4" t="str">
        <f>IF(VLOOKUP(TableFields[Field],Columns[],6,0)=0,"","-&gt;"&amp;VLOOKUP(TableFields[Field],Columns[],6,0))</f>
        <v>-&gt;index()</v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12" spans="1:11" hidden="1" x14ac:dyDescent="0.25">
      <c r="A212" s="4" t="s">
        <v>899</v>
      </c>
      <c r="B212" s="4" t="s">
        <v>901</v>
      </c>
      <c r="C212" s="4" t="str">
        <f>VLOOKUP(TableFields[Field],Columns[],2,0)&amp;"("</f>
        <v>foreignNullable(</v>
      </c>
      <c r="D212" s="4" t="str">
        <f>IF(VLOOKUP(TableFields[Field],Columns[],3,0)&lt;&gt;"","'"&amp;VLOOKUP(TableFields[Field],Columns[],3,0)&amp;"'","")</f>
        <v>'user'</v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2" s="4" t="str">
        <f>IF(VLOOKUP(TableFields[Field],Columns[],5,0)=0,"","-&gt;"&amp;VLOOKUP(TableFields[Field],Columns[],5,0))</f>
        <v/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13" spans="1:11" hidden="1" x14ac:dyDescent="0.25">
      <c r="A213" s="4" t="s">
        <v>899</v>
      </c>
      <c r="B213" s="4" t="s">
        <v>838</v>
      </c>
      <c r="C213" s="4" t="str">
        <f>VLOOKUP(TableFields[Field],Columns[],2,0)&amp;"("</f>
        <v>char(</v>
      </c>
      <c r="D213" s="4" t="str">
        <f>IF(VLOOKUP(TableFields[Field],Columns[],3,0)&lt;&gt;"","'"&amp;VLOOKUP(TableFields[Field],Columns[],3,0)&amp;"'","")</f>
        <v>'docno'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>-&gt;index()</v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14" spans="1:11" hidden="1" x14ac:dyDescent="0.25">
      <c r="A214" s="4" t="s">
        <v>899</v>
      </c>
      <c r="B214" s="4" t="s">
        <v>832</v>
      </c>
      <c r="C214" s="4" t="str">
        <f>VLOOKUP(TableFields[Field],Columns[],2,0)&amp;"("</f>
        <v>timestamp(</v>
      </c>
      <c r="D214" s="4" t="str">
        <f>IF(VLOOKUP(TableFields[Field],Columns[],3,0)&lt;&gt;"","'"&amp;VLOOKUP(TableFields[Field],Columns[],3,0)&amp;"'","")</f>
        <v>'date'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4" s="4" t="str">
        <f>IF(VLOOKUP(TableFields[Field],Columns[],5,0)=0,"","-&gt;"&amp;VLOOKUP(TableFields[Field],Columns[],5,0))</f>
        <v>-&gt;default(DB::raw('CURRENT_TIMESTAMP'))</v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15" spans="1:11" hidden="1" x14ac:dyDescent="0.25">
      <c r="A215" s="4" t="s">
        <v>899</v>
      </c>
      <c r="B215" s="4" t="s">
        <v>952</v>
      </c>
      <c r="C215" s="4" t="str">
        <f>VLOOKUP(TableFields[Field],Columns[],2,0)&amp;"("</f>
        <v>foreignNullable(</v>
      </c>
      <c r="D215" s="4" t="str">
        <f>IF(VLOOKUP(TableFields[Field],Columns[],3,0)&lt;&gt;"","'"&amp;VLOOKUP(TableFields[Field],Columns[],3,0)&amp;"'","")</f>
        <v>'customer'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5" s="4" t="str">
        <f>IF(VLOOKUP(TableFields[Field],Columns[],5,0)=0,"","-&gt;"&amp;VLOOKUP(TableFields[Field],Columns[],5,0))</f>
        <v/>
      </c>
      <c r="G215" s="4" t="str">
        <f>IF(VLOOKUP(TableFields[Field],Columns[],6,0)=0,"","-&gt;"&amp;VLOOKUP(TableFields[Field],Columns[],6,0))</f>
        <v/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16" spans="1:11" hidden="1" x14ac:dyDescent="0.25">
      <c r="A216" s="4" t="s">
        <v>899</v>
      </c>
      <c r="B216" s="4" t="s">
        <v>906</v>
      </c>
      <c r="C216" s="4" t="str">
        <f>VLOOKUP(TableFields[Field],Columns[],2,0)&amp;"("</f>
        <v>char(</v>
      </c>
      <c r="D216" s="4" t="str">
        <f>IF(VLOOKUP(TableFields[Field],Columns[],3,0)&lt;&gt;"","'"&amp;VLOOKUP(TableFields[Field],Columns[],3,0)&amp;"'","")</f>
        <v>'fycode'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6" s="4" t="str">
        <f>IF(VLOOKUP(TableFields[Field],Columns[],5,0)=0,"","-&gt;"&amp;VLOOKUP(TableFields[Field],Columns[],5,0))</f>
        <v>-&gt;nullable()</v>
      </c>
      <c r="G216" s="4" t="str">
        <f>IF(VLOOKUP(TableFields[Field],Columns[],6,0)=0,"","-&gt;"&amp;VLOOKUP(TableFields[Field],Columns[],6,0))</f>
        <v>-&gt;index()</v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17" spans="1:11" hidden="1" x14ac:dyDescent="0.25">
      <c r="A217" s="4" t="s">
        <v>899</v>
      </c>
      <c r="B217" s="4" t="s">
        <v>859</v>
      </c>
      <c r="C217" s="4" t="str">
        <f>VLOOKUP(TableFields[Field],Columns[],2,0)&amp;"("</f>
        <v>char(</v>
      </c>
      <c r="D217" s="4" t="str">
        <f>IF(VLOOKUP(TableFields[Field],Columns[],3,0)&lt;&gt;"","'"&amp;VLOOKUP(TableFields[Field],Columns[],3,0)&amp;"'","")</f>
        <v>'fncode'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7" s="4" t="str">
        <f>IF(VLOOKUP(TableFields[Field],Columns[],5,0)=0,"","-&gt;"&amp;VLOOKUP(TableFields[Field],Columns[],5,0))</f>
        <v>-&gt;nullable()</v>
      </c>
      <c r="G217" s="4" t="str">
        <f>IF(VLOOKUP(TableFields[Field],Columns[],6,0)=0,"","-&gt;"&amp;VLOOKUP(TableFields[Field],Columns[],6,0))</f>
        <v>-&gt;index()</v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18" spans="1:11" hidden="1" x14ac:dyDescent="0.25">
      <c r="A218" s="4" t="s">
        <v>899</v>
      </c>
      <c r="B218" s="4" t="s">
        <v>1745</v>
      </c>
      <c r="C218" s="4" t="str">
        <f>VLOOKUP(TableFields[Field],Columns[],2,0)&amp;"("</f>
        <v>enum(</v>
      </c>
      <c r="D218" s="4" t="str">
        <f>IF(VLOOKUP(TableFields[Field],Columns[],3,0)&lt;&gt;"","'"&amp;VLOOKUP(TableFields[Field],Columns[],3,0)&amp;"'","")</f>
        <v>'payment_type'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18" s="4" t="str">
        <f>IF(VLOOKUP(TableFields[Field],Columns[],5,0)=0,"","-&gt;"&amp;VLOOKUP(TableFields[Field],Columns[],5,0))</f>
        <v>-&gt;nullable()</v>
      </c>
      <c r="G218" s="4" t="str">
        <f>IF(VLOOKUP(TableFields[Field],Columns[],6,0)=0,"","-&gt;"&amp;VLOOKUP(TableFields[Field],Columns[],6,0))</f>
        <v>-&gt;default('Cash')</v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19" spans="1:11" hidden="1" x14ac:dyDescent="0.25">
      <c r="A219" s="4" t="s">
        <v>899</v>
      </c>
      <c r="B219" s="4" t="s">
        <v>776</v>
      </c>
      <c r="C219" s="4" t="str">
        <f>VLOOKUP(TableFields[Field],Columns[],2,0)&amp;"("</f>
        <v>enum(</v>
      </c>
      <c r="D219" s="4" t="str">
        <f>IF(VLOOKUP(TableFields[Field],Columns[],3,0)&lt;&gt;"","'"&amp;VLOOKUP(TableFields[Field],Columns[],3,0)&amp;"'","")</f>
        <v>'status'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>-&gt;default('Active')</v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20" spans="1:11" hidden="1" x14ac:dyDescent="0.25">
      <c r="A220" s="4" t="s">
        <v>899</v>
      </c>
      <c r="B220" s="4" t="s">
        <v>288</v>
      </c>
      <c r="C220" s="4" t="str">
        <f>VLOOKUP(TableFields[Field],Columns[],2,0)&amp;"("</f>
        <v>audit(</v>
      </c>
      <c r="D220" s="4" t="str">
        <f>IF(VLOOKUP(TableFields[Field],Columns[],3,0)&lt;&gt;"","'"&amp;VLOOKUP(TableFields[Field],Columns[],3,0)&amp;"'","")</f>
        <v/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0" s="4" t="str">
        <f>IF(VLOOKUP(TableFields[Field],Columns[],5,0)=0,"","-&gt;"&amp;VLOOKUP(TableFields[Field],Columns[],5,0))</f>
        <v/>
      </c>
      <c r="G220" s="4" t="str">
        <f>IF(VLOOKUP(TableFields[Field],Columns[],6,0)=0,"","-&gt;"&amp;VLOOKUP(TableFields[Field],Columns[],6,0))</f>
        <v/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21" spans="1:11" x14ac:dyDescent="0.25">
      <c r="A221" s="4" t="s">
        <v>900</v>
      </c>
      <c r="B221" s="4" t="s">
        <v>21</v>
      </c>
      <c r="C221" s="4" t="str">
        <f>VLOOKUP(TableFields[Field],Columns[],2,0)&amp;"("</f>
        <v>bigIncrements(</v>
      </c>
      <c r="D221" s="4" t="str">
        <f>IF(VLOOKUP(TableFields[Field],Columns[],3,0)&lt;&gt;"","'"&amp;VLOOKUP(TableFields[Field],Columns[],3,0)&amp;"'","")</f>
        <v>'id'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1" s="4" t="str">
        <f>IF(VLOOKUP(TableFields[Field],Columns[],5,0)=0,"","-&gt;"&amp;VLOOKUP(TableFields[Field],Columns[],5,0))</f>
        <v/>
      </c>
      <c r="G221" s="4" t="str">
        <f>IF(VLOOKUP(TableFields[Field],Columns[],6,0)=0,"","-&gt;"&amp;VLOOKUP(TableFields[Field],Columns[],6,0))</f>
        <v/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22" spans="1:11" x14ac:dyDescent="0.25">
      <c r="A222" s="4" t="s">
        <v>900</v>
      </c>
      <c r="B222" s="4" t="s">
        <v>902</v>
      </c>
      <c r="C222" s="4" t="str">
        <f>VLOOKUP(TableFields[Field],Columns[],2,0)&amp;"("</f>
        <v>foreignCascade(</v>
      </c>
      <c r="D222" s="4" t="str">
        <f>IF(VLOOKUP(TableFields[Field],Columns[],3,0)&lt;&gt;"","'"&amp;VLOOKUP(TableFields[Field],Columns[],3,0)&amp;"'","")</f>
        <v>'transaction'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22" s="4" t="str">
        <f>IF(VLOOKUP(TableFields[Field],Columns[],5,0)=0,"","-&gt;"&amp;VLOOKUP(TableFields[Field],Columns[],5,0))</f>
        <v/>
      </c>
      <c r="G222" s="4" t="str">
        <f>IF(VLOOKUP(TableFields[Field],Columns[],6,0)=0,"","-&gt;"&amp;VLOOKUP(TableFields[Field],Columns[],6,0))</f>
        <v/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23" spans="1:11" x14ac:dyDescent="0.25">
      <c r="A223" s="4" t="s">
        <v>900</v>
      </c>
      <c r="B223" s="4" t="s">
        <v>842</v>
      </c>
      <c r="C223" s="4" t="str">
        <f>VLOOKUP(TableFields[Field],Columns[],2,0)&amp;"("</f>
        <v>foreignCascade(</v>
      </c>
      <c r="D223" s="4" t="str">
        <f>IF(VLOOKUP(TableFields[Field],Columns[],3,0)&lt;&gt;"","'"&amp;VLOOKUP(TableFields[Field],Columns[],3,0)&amp;"'","")</f>
        <v>'spt'</v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'store_product_transactions')</v>
      </c>
      <c r="F223" s="4" t="str">
        <f>IF(VLOOKUP(TableFields[Field],Columns[],5,0)=0,"","-&gt;"&amp;VLOOKUP(TableFields[Field],Columns[],5,0))</f>
        <v/>
      </c>
      <c r="G223" s="4" t="str">
        <f>IF(VLOOKUP(TableFields[Field],Columns[],6,0)=0,"","-&gt;"&amp;VLOOKUP(TableFields[Field],Columns[],6,0))</f>
        <v/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$table-&gt;foreignCascade('spt', 'store_product_transactions');</v>
      </c>
    </row>
    <row r="224" spans="1:11" x14ac:dyDescent="0.25">
      <c r="A224" s="4" t="s">
        <v>900</v>
      </c>
      <c r="B224" s="4" t="s">
        <v>968</v>
      </c>
      <c r="C224" s="4" t="str">
        <f>VLOOKUP(TableFields[Field],Columns[],2,0)&amp;"("</f>
        <v>decimal(</v>
      </c>
      <c r="D224" s="4" t="str">
        <f>IF(VLOOKUP(TableFields[Field],Columns[],3,0)&lt;&gt;"","'"&amp;VLOOKUP(TableFields[Field],Columns[],3,0)&amp;"'","")</f>
        <v>'amount'</v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4" s="4" t="str">
        <f>IF(VLOOKUP(TableFields[Field],Columns[],5,0)=0,"","-&gt;"&amp;VLOOKUP(TableFields[Field],Columns[],5,0))</f>
        <v>-&gt;default(0)</v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225" spans="1:11" s="20" customFormat="1" x14ac:dyDescent="0.25">
      <c r="A225" s="4" t="s">
        <v>900</v>
      </c>
      <c r="B225" s="4" t="s">
        <v>917</v>
      </c>
      <c r="C225" s="4" t="str">
        <f>VLOOKUP(TableFields[Field],Columns[],2,0)&amp;"("</f>
        <v>char(</v>
      </c>
      <c r="D225" s="4" t="str">
        <f>IF(VLOOKUP(TableFields[Field],Columns[],3,0)&lt;&gt;"","'"&amp;VLOOKUP(TableFields[Field],Columns[],3,0)&amp;"'","")</f>
        <v>'taxrule'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25" s="4" t="str">
        <f>IF(VLOOKUP(TableFields[Field],Columns[],5,0)=0,"","-&gt;"&amp;VLOOKUP(TableFields[Field],Columns[],5,0))</f>
        <v>-&gt;nullable()</v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26" spans="1:11" x14ac:dyDescent="0.25">
      <c r="A226" s="4" t="s">
        <v>900</v>
      </c>
      <c r="B226" s="4" t="s">
        <v>904</v>
      </c>
      <c r="C226" s="4" t="str">
        <f>VLOOKUP(TableFields[Field],Columns[],2,0)&amp;"("</f>
        <v>decimal(</v>
      </c>
      <c r="D226" s="4" t="str">
        <f>IF(VLOOKUP(TableFields[Field],Columns[],3,0)&lt;&gt;"","'"&amp;VLOOKUP(TableFields[Field],Columns[],3,0)&amp;"'","")</f>
        <v>'tax'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6" s="4" t="str">
        <f>IF(VLOOKUP(TableFields[Field],Columns[],5,0)=0,"","-&gt;"&amp;VLOOKUP(TableFields[Field],Columns[],5,0))</f>
        <v>-&gt;default(0)</v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27" spans="1:11" x14ac:dyDescent="0.25">
      <c r="A227" s="4" t="s">
        <v>900</v>
      </c>
      <c r="B227" s="4" t="s">
        <v>916</v>
      </c>
      <c r="C227" s="4" t="str">
        <f>VLOOKUP(TableFields[Field],Columns[],2,0)&amp;"("</f>
        <v>decimal(</v>
      </c>
      <c r="D227" s="4" t="str">
        <f>IF(VLOOKUP(TableFields[Field],Columns[],3,0)&lt;&gt;"","'"&amp;VLOOKUP(TableFields[Field],Columns[],3,0)&amp;"'","")</f>
        <v>'discount'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7" s="4" t="str">
        <f>IF(VLOOKUP(TableFields[Field],Columns[],5,0)=0,"","-&gt;"&amp;VLOOKUP(TableFields[Field],Columns[],5,0))</f>
        <v>-&gt;default(0)</v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$table-&gt;decimal('discount', 30,10)-&gt;default(0);</v>
      </c>
    </row>
    <row r="228" spans="1:11" x14ac:dyDescent="0.25">
      <c r="A228" s="4" t="s">
        <v>900</v>
      </c>
      <c r="B228" s="4" t="s">
        <v>905</v>
      </c>
      <c r="C228" s="4" t="str">
        <f>VLOOKUP(TableFields[Field],Columns[],2,0)&amp;"("</f>
        <v>decimal(</v>
      </c>
      <c r="D228" s="4" t="str">
        <f>IF(VLOOKUP(TableFields[Field],Columns[],3,0)&lt;&gt;"","'"&amp;VLOOKUP(TableFields[Field],Columns[],3,0)&amp;"'","")</f>
        <v>'total'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8" s="4" t="str">
        <f>IF(VLOOKUP(TableFields[Field],Columns[],5,0)=0,"","-&gt;"&amp;VLOOKUP(TableFields[Field],Columns[],5,0))</f>
        <v>-&gt;default(0)</v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$table-&gt;decimal('total', 30,10)-&gt;default(0);</v>
      </c>
    </row>
    <row r="229" spans="1:11" x14ac:dyDescent="0.25">
      <c r="A229" s="4" t="s">
        <v>900</v>
      </c>
      <c r="B229" s="4" t="s">
        <v>1722</v>
      </c>
      <c r="C229" s="4" t="str">
        <f>VLOOKUP(TableFields[Field],Columns[],2,0)&amp;"("</f>
        <v>char(</v>
      </c>
      <c r="D229" s="4" t="str">
        <f>IF(VLOOKUP(TableFields[Field],Columns[],3,0)&lt;&gt;"","'"&amp;VLOOKUP(TableFields[Field],Columns[],3,0)&amp;"'","")</f>
        <v>'_ref_trans'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29" s="4" t="str">
        <f>IF(VLOOKUP(TableFields[Field],Columns[],5,0)=0,"","-&gt;"&amp;VLOOKUP(TableFields[Field],Columns[],5,0))</f>
        <v>-&gt;nullable()</v>
      </c>
      <c r="G229" s="4" t="str">
        <f>IF(VLOOKUP(TableFields[Field],Columns[],6,0)=0,"","-&gt;"&amp;VLOOKUP(TableFields[Field],Columns[],6,0))</f>
        <v>-&gt;index()</v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$table-&gt;char('_ref_trans', '30')-&gt;nullable()-&gt;index();</v>
      </c>
    </row>
    <row r="230" spans="1:11" x14ac:dyDescent="0.25">
      <c r="A230" s="4" t="s">
        <v>900</v>
      </c>
      <c r="B230" s="4" t="s">
        <v>1723</v>
      </c>
      <c r="C230" s="4" t="str">
        <f>VLOOKUP(TableFields[Field],Columns[],2,0)&amp;"("</f>
        <v>char(</v>
      </c>
      <c r="D230" s="4" t="str">
        <f>IF(VLOOKUP(TableFields[Field],Columns[],3,0)&lt;&gt;"","'"&amp;VLOOKUP(TableFields[Field],Columns[],3,0)&amp;"'","")</f>
        <v>'_ref_spt'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30" s="4" t="str">
        <f>IF(VLOOKUP(TableFields[Field],Columns[],5,0)=0,"","-&gt;"&amp;VLOOKUP(TableFields[Field],Columns[],5,0))</f>
        <v>-&gt;nullable()</v>
      </c>
      <c r="G230" s="4" t="str">
        <f>IF(VLOOKUP(TableFields[Field],Columns[],6,0)=0,"","-&gt;"&amp;VLOOKUP(TableFields[Field],Columns[],6,0))</f>
        <v>-&gt;index()</v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$table-&gt;char('_ref_spt', '30')-&gt;nullable()-&gt;index();</v>
      </c>
    </row>
    <row r="231" spans="1:11" x14ac:dyDescent="0.25">
      <c r="A231" s="4" t="s">
        <v>900</v>
      </c>
      <c r="B231" s="4" t="s">
        <v>288</v>
      </c>
      <c r="C231" s="4" t="str">
        <f>VLOOKUP(TableFields[Field],Columns[],2,0)&amp;"("</f>
        <v>audit(</v>
      </c>
      <c r="D231" s="4" t="str">
        <f>IF(VLOOKUP(TableFields[Field],Columns[],3,0)&lt;&gt;"","'"&amp;VLOOKUP(TableFields[Field],Columns[],3,0)&amp;"'","")</f>
        <v/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1" s="4" t="str">
        <f>IF(VLOOKUP(TableFields[Field],Columns[],5,0)=0,"","-&gt;"&amp;VLOOKUP(TableFields[Field],Columns[],5,0))</f>
        <v/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32" spans="1:11" hidden="1" x14ac:dyDescent="0.25">
      <c r="A232" s="4" t="s">
        <v>1055</v>
      </c>
      <c r="B232" s="4" t="s">
        <v>21</v>
      </c>
      <c r="C232" s="4" t="str">
        <f>VLOOKUP(TableFields[Field],Columns[],2,0)&amp;"("</f>
        <v>bigIncrements(</v>
      </c>
      <c r="D232" s="4" t="str">
        <f>IF(VLOOKUP(TableFields[Field],Columns[],3,0)&lt;&gt;"","'"&amp;VLOOKUP(TableFields[Field],Columns[],3,0)&amp;"'","")</f>
        <v>'id'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2" s="4" t="str">
        <f>IF(VLOOKUP(TableFields[Field],Columns[],5,0)=0,"","-&gt;"&amp;VLOOKUP(TableFields[Field],Columns[],5,0))</f>
        <v/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33" spans="1:11" hidden="1" x14ac:dyDescent="0.25">
      <c r="A233" s="4" t="s">
        <v>1055</v>
      </c>
      <c r="B233" s="4" t="s">
        <v>973</v>
      </c>
      <c r="C233" s="4" t="str">
        <f>VLOOKUP(TableFields[Field],Columns[],2,0)&amp;"("</f>
        <v>char(</v>
      </c>
      <c r="D233" s="4" t="str">
        <f>IF(VLOOKUP(TableFields[Field],Columns[],3,0)&lt;&gt;"","'"&amp;VLOOKUP(TableFields[Field],Columns[],3,0)&amp;"'","")</f>
        <v>'COCODE'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3" s="4" t="str">
        <f>IF(VLOOKUP(TableFields[Field],Columns[],5,0)=0,"","-&gt;"&amp;VLOOKUP(TableFields[Field],Columns[],5,0))</f>
        <v>-&gt;nullable()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34" spans="1:11" hidden="1" x14ac:dyDescent="0.25">
      <c r="A234" s="4" t="s">
        <v>1055</v>
      </c>
      <c r="B234" s="4" t="s">
        <v>975</v>
      </c>
      <c r="C234" s="4" t="str">
        <f>VLOOKUP(TableFields[Field],Columns[],2,0)&amp;"("</f>
        <v>char(</v>
      </c>
      <c r="D234" s="4" t="str">
        <f>IF(VLOOKUP(TableFields[Field],Columns[],3,0)&lt;&gt;"","'"&amp;VLOOKUP(TableFields[Field],Columns[],3,0)&amp;"'","")</f>
        <v>'BRCODE'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4" s="4" t="str">
        <f>IF(VLOOKUP(TableFields[Field],Columns[],5,0)=0,"","-&gt;"&amp;VLOOKUP(TableFields[Field],Columns[],5,0))</f>
        <v>-&gt;nullable()</v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35" spans="1:11" hidden="1" x14ac:dyDescent="0.25">
      <c r="A235" s="4" t="s">
        <v>1055</v>
      </c>
      <c r="B235" s="4" t="s">
        <v>977</v>
      </c>
      <c r="C235" s="4" t="str">
        <f>VLOOKUP(TableFields[Field],Columns[],2,0)&amp;"("</f>
        <v>char(</v>
      </c>
      <c r="D235" s="4" t="str">
        <f>IF(VLOOKUP(TableFields[Field],Columns[],3,0)&lt;&gt;"","'"&amp;VLOOKUP(TableFields[Field],Columns[],3,0)&amp;"'","")</f>
        <v>'FYCODE'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5" s="4" t="str">
        <f>IF(VLOOKUP(TableFields[Field],Columns[],5,0)=0,"","-&gt;"&amp;VLOOKUP(TableFields[Field],Columns[],5,0))</f>
        <v>-&gt;nullable()</v>
      </c>
      <c r="G235" s="4" t="str">
        <f>IF(VLOOKUP(TableFields[Field],Columns[],6,0)=0,"","-&gt;"&amp;VLOOKUP(TableFields[Field],Columns[],6,0))</f>
        <v/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36" spans="1:11" hidden="1" x14ac:dyDescent="0.25">
      <c r="A236" s="4" t="s">
        <v>1055</v>
      </c>
      <c r="B236" s="4" t="s">
        <v>979</v>
      </c>
      <c r="C236" s="4" t="str">
        <f>VLOOKUP(TableFields[Field],Columns[],2,0)&amp;"("</f>
        <v>char(</v>
      </c>
      <c r="D236" s="4" t="str">
        <f>IF(VLOOKUP(TableFields[Field],Columns[],3,0)&lt;&gt;"","'"&amp;VLOOKUP(TableFields[Field],Columns[],3,0)&amp;"'","")</f>
        <v>'FNCODE'</v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6" s="4" t="str">
        <f>IF(VLOOKUP(TableFields[Field],Columns[],5,0)=0,"","-&gt;"&amp;VLOOKUP(TableFields[Field],Columns[],5,0))</f>
        <v>-&gt;nullable()</v>
      </c>
      <c r="G236" s="4" t="str">
        <f>IF(VLOOKUP(TableFields[Field],Columns[],6,0)=0,"","-&gt;"&amp;VLOOKUP(TableFields[Field],Columns[],6,0))</f>
        <v/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37" spans="1:11" hidden="1" x14ac:dyDescent="0.25">
      <c r="A237" s="4" t="s">
        <v>1055</v>
      </c>
      <c r="B237" s="4" t="s">
        <v>981</v>
      </c>
      <c r="C237" s="4" t="str">
        <f>VLOOKUP(TableFields[Field],Columns[],2,0)&amp;"("</f>
        <v>char(</v>
      </c>
      <c r="D237" s="4" t="str">
        <f>IF(VLOOKUP(TableFields[Field],Columns[],3,0)&lt;&gt;"","'"&amp;VLOOKUP(TableFields[Field],Columns[],3,0)&amp;"'","")</f>
        <v>'DOCNO'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37" s="4" t="str">
        <f>IF(VLOOKUP(TableFields[Field],Columns[],5,0)=0,"","-&gt;"&amp;VLOOKUP(TableFields[Field],Columns[],5,0))</f>
        <v>-&gt;nullable()</v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38" spans="1:11" hidden="1" x14ac:dyDescent="0.25">
      <c r="A238" s="4" t="s">
        <v>1055</v>
      </c>
      <c r="B238" s="4" t="s">
        <v>983</v>
      </c>
      <c r="C238" s="4" t="str">
        <f>VLOOKUP(TableFields[Field],Columns[],2,0)&amp;"("</f>
        <v>decimal(</v>
      </c>
      <c r="D238" s="4" t="str">
        <f>IF(VLOOKUP(TableFields[Field],Columns[],3,0)&lt;&gt;"","'"&amp;VLOOKUP(TableFields[Field],Columns[],3,0)&amp;"'","")</f>
        <v>'SRNO'</v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38" s="4" t="str">
        <f>IF(VLOOKUP(TableFields[Field],Columns[],5,0)=0,"","-&gt;"&amp;VLOOKUP(TableFields[Field],Columns[],5,0))</f>
        <v>-&gt;nullable()</v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39" spans="1:11" hidden="1" x14ac:dyDescent="0.25">
      <c r="A239" s="4" t="s">
        <v>1055</v>
      </c>
      <c r="B239" s="4" t="s">
        <v>1058</v>
      </c>
      <c r="C239" s="4" t="str">
        <f>VLOOKUP(TableFields[Field],Columns[],2,0)&amp;"("</f>
        <v>decimal(</v>
      </c>
      <c r="D239" s="4" t="str">
        <f>IF(VLOOKUP(TableFields[Field],Columns[],3,0)&lt;&gt;"","'"&amp;VLOOKUP(TableFields[Field],Columns[],3,0)&amp;"'","")</f>
        <v>'SLNO'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39" s="4" t="str">
        <f>IF(VLOOKUP(TableFields[Field],Columns[],5,0)=0,"","-&gt;"&amp;VLOOKUP(TableFields[Field],Columns[],5,0))</f>
        <v>-&gt;nullable()</v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40" spans="1:11" hidden="1" x14ac:dyDescent="0.25">
      <c r="A240" s="4" t="s">
        <v>1055</v>
      </c>
      <c r="B240" s="4" t="s">
        <v>987</v>
      </c>
      <c r="C240" s="4" t="str">
        <f>VLOOKUP(TableFields[Field],Columns[],2,0)&amp;"("</f>
        <v>datetime(</v>
      </c>
      <c r="D240" s="4" t="str">
        <f>IF(VLOOKUP(TableFields[Field],Columns[],3,0)&lt;&gt;"","'"&amp;VLOOKUP(TableFields[Field],Columns[],3,0)&amp;"'","")</f>
        <v>'DOCDATE'</v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0" s="4" t="str">
        <f>IF(VLOOKUP(TableFields[Field],Columns[],5,0)=0,"","-&gt;"&amp;VLOOKUP(TableFields[Field],Columns[],5,0))</f>
        <v>-&gt;nullable()</v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41" spans="1:11" hidden="1" x14ac:dyDescent="0.25">
      <c r="A241" s="4" t="s">
        <v>1055</v>
      </c>
      <c r="B241" s="4" t="s">
        <v>989</v>
      </c>
      <c r="C241" s="4" t="str">
        <f>VLOOKUP(TableFields[Field],Columns[],2,0)&amp;"("</f>
        <v>char(</v>
      </c>
      <c r="D241" s="4" t="str">
        <f>IF(VLOOKUP(TableFields[Field],Columns[],3,0)&lt;&gt;"","'"&amp;VLOOKUP(TableFields[Field],Columns[],3,0)&amp;"'","")</f>
        <v>'CO'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1" s="4" t="str">
        <f>IF(VLOOKUP(TableFields[Field],Columns[],5,0)=0,"","-&gt;"&amp;VLOOKUP(TableFields[Field],Columns[],5,0))</f>
        <v>-&gt;nullable()</v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42" spans="1:11" hidden="1" x14ac:dyDescent="0.25">
      <c r="A242" s="4" t="s">
        <v>1055</v>
      </c>
      <c r="B242" s="4" t="s">
        <v>991</v>
      </c>
      <c r="C242" s="4" t="str">
        <f>VLOOKUP(TableFields[Field],Columns[],2,0)&amp;"("</f>
        <v>char(</v>
      </c>
      <c r="D242" s="4" t="str">
        <f>IF(VLOOKUP(TableFields[Field],Columns[],3,0)&lt;&gt;"","'"&amp;VLOOKUP(TableFields[Field],Columns[],3,0)&amp;"'","")</f>
        <v>'BR'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43" spans="1:11" hidden="1" x14ac:dyDescent="0.25">
      <c r="A243" s="4" t="s">
        <v>1055</v>
      </c>
      <c r="B243" s="4" t="s">
        <v>993</v>
      </c>
      <c r="C243" s="4" t="str">
        <f>VLOOKUP(TableFields[Field],Columns[],2,0)&amp;"("</f>
        <v>char(</v>
      </c>
      <c r="D243" s="4" t="str">
        <f>IF(VLOOKUP(TableFields[Field],Columns[],3,0)&lt;&gt;"","'"&amp;VLOOKUP(TableFields[Field],Columns[],3,0)&amp;"'","")</f>
        <v>'ACCCODE'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43" s="4" t="str">
        <f>IF(VLOOKUP(TableFields[Field],Columns[],5,0)=0,"","-&gt;"&amp;VLOOKUP(TableFields[Field],Columns[],5,0))</f>
        <v>-&gt;nullable()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44" spans="1:11" hidden="1" x14ac:dyDescent="0.25">
      <c r="A244" s="4" t="s">
        <v>1055</v>
      </c>
      <c r="B244" s="4" t="s">
        <v>1060</v>
      </c>
      <c r="C244" s="4" t="str">
        <f>VLOOKUP(TableFields[Field],Columns[],2,0)&amp;"("</f>
        <v>string(</v>
      </c>
      <c r="D244" s="4" t="str">
        <f>IF(VLOOKUP(TableFields[Field],Columns[],3,0)&lt;&gt;"","'"&amp;VLOOKUP(TableFields[Field],Columns[],3,0)&amp;"'","")</f>
        <v>'REFNO'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44" s="4" t="str">
        <f>IF(VLOOKUP(TableFields[Field],Columns[],5,0)=0,"","-&gt;"&amp;VLOOKUP(TableFields[Field],Columns[],5,0))</f>
        <v>-&gt;nullable()</v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45" spans="1:11" hidden="1" x14ac:dyDescent="0.25">
      <c r="A245" s="4" t="s">
        <v>1055</v>
      </c>
      <c r="B245" s="4" t="s">
        <v>1062</v>
      </c>
      <c r="C245" s="4" t="str">
        <f>VLOOKUP(TableFields[Field],Columns[],2,0)&amp;"("</f>
        <v>datetime(</v>
      </c>
      <c r="D245" s="4" t="str">
        <f>IF(VLOOKUP(TableFields[Field],Columns[],3,0)&lt;&gt;"","'"&amp;VLOOKUP(TableFields[Field],Columns[],3,0)&amp;"'","")</f>
        <v>'REFDATE'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5" s="4" t="str">
        <f>IF(VLOOKUP(TableFields[Field],Columns[],5,0)=0,"","-&gt;"&amp;VLOOKUP(TableFields[Field],Columns[],5,0))</f>
        <v>-&gt;nullable()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46" spans="1:11" hidden="1" x14ac:dyDescent="0.25">
      <c r="A246" s="4" t="s">
        <v>1055</v>
      </c>
      <c r="B246" s="4" t="s">
        <v>1000</v>
      </c>
      <c r="C246" s="4" t="str">
        <f>VLOOKUP(TableFields[Field],Columns[],2,0)&amp;"("</f>
        <v>decimal(</v>
      </c>
      <c r="D246" s="4" t="str">
        <f>IF(VLOOKUP(TableFields[Field],Columns[],3,0)&lt;&gt;"","'"&amp;VLOOKUP(TableFields[Field],Columns[],3,0)&amp;"'","")</f>
        <v>'AMT'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46" s="4" t="str">
        <f>IF(VLOOKUP(TableFields[Field],Columns[],5,0)=0,"","-&gt;"&amp;VLOOKUP(TableFields[Field],Columns[],5,0))</f>
        <v>-&gt;default(0)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47" spans="1:11" hidden="1" x14ac:dyDescent="0.25">
      <c r="A247" s="4" t="s">
        <v>1055</v>
      </c>
      <c r="B247" s="4" t="s">
        <v>1002</v>
      </c>
      <c r="C247" s="4" t="str">
        <f>VLOOKUP(TableFields[Field],Columns[],2,0)&amp;"("</f>
        <v>decimal(</v>
      </c>
      <c r="D247" s="4" t="str">
        <f>IF(VLOOKUP(TableFields[Field],Columns[],3,0)&lt;&gt;"","'"&amp;VLOOKUP(TableFields[Field],Columns[],3,0)&amp;"'","")</f>
        <v>'SIGN'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47" s="4" t="str">
        <f>IF(VLOOKUP(TableFields[Field],Columns[],5,0)=0,"","-&gt;"&amp;VLOOKUP(TableFields[Field],Columns[],5,0))</f>
        <v>-&gt;default(1)</v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48" spans="1:11" hidden="1" x14ac:dyDescent="0.25">
      <c r="A248" s="4" t="s">
        <v>1055</v>
      </c>
      <c r="B248" s="4" t="s">
        <v>1064</v>
      </c>
      <c r="C248" s="4" t="str">
        <f>VLOOKUP(TableFields[Field],Columns[],2,0)&amp;"("</f>
        <v>string(</v>
      </c>
      <c r="D248" s="4" t="str">
        <f>IF(VLOOKUP(TableFields[Field],Columns[],3,0)&lt;&gt;"","'"&amp;VLOOKUP(TableFields[Field],Columns[],3,0)&amp;"'","")</f>
        <v>'NARRATION'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/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49" spans="1:11" hidden="1" x14ac:dyDescent="0.25">
      <c r="A249" s="4" t="s">
        <v>1055</v>
      </c>
      <c r="B249" s="4" t="s">
        <v>1066</v>
      </c>
      <c r="C249" s="4" t="str">
        <f>VLOOKUP(TableFields[Field],Columns[],2,0)&amp;"("</f>
        <v>string(</v>
      </c>
      <c r="D249" s="4" t="str">
        <f>IF(VLOOKUP(TableFields[Field],Columns[],3,0)&lt;&gt;"","'"&amp;VLOOKUP(TableFields[Field],Columns[],3,0)&amp;"'","")</f>
        <v>'NARRATION2'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/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50" spans="1:11" hidden="1" x14ac:dyDescent="0.25">
      <c r="A250" s="4" t="s">
        <v>1055</v>
      </c>
      <c r="B250" s="4" t="s">
        <v>1042</v>
      </c>
      <c r="C250" s="4" t="str">
        <f>VLOOKUP(TableFields[Field],Columns[],2,0)&amp;"("</f>
        <v>char(</v>
      </c>
      <c r="D250" s="4" t="str">
        <f>IF(VLOOKUP(TableFields[Field],Columns[],3,0)&lt;&gt;"","'"&amp;VLOOKUP(TableFields[Field],Columns[],3,0)&amp;"'","")</f>
        <v>'REFCOCODE'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0" s="4" t="str">
        <f>IF(VLOOKUP(TableFields[Field],Columns[],5,0)=0,"","-&gt;"&amp;VLOOKUP(TableFields[Field],Columns[],5,0))</f>
        <v>-&gt;nullable()</v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51" spans="1:11" hidden="1" x14ac:dyDescent="0.25">
      <c r="A251" s="4" t="s">
        <v>1055</v>
      </c>
      <c r="B251" s="4" t="s">
        <v>1044</v>
      </c>
      <c r="C251" s="4" t="str">
        <f>VLOOKUP(TableFields[Field],Columns[],2,0)&amp;"("</f>
        <v>char(</v>
      </c>
      <c r="D251" s="4" t="str">
        <f>IF(VLOOKUP(TableFields[Field],Columns[],3,0)&lt;&gt;"","'"&amp;VLOOKUP(TableFields[Field],Columns[],3,0)&amp;"'","")</f>
        <v>'REFBRCODE'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1" s="4" t="str">
        <f>IF(VLOOKUP(TableFields[Field],Columns[],5,0)=0,"","-&gt;"&amp;VLOOKUP(TableFields[Field],Columns[],5,0))</f>
        <v>-&gt;nullable()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52" spans="1:11" hidden="1" x14ac:dyDescent="0.25">
      <c r="A252" s="4" t="s">
        <v>1055</v>
      </c>
      <c r="B252" s="4" t="s">
        <v>1048</v>
      </c>
      <c r="C252" s="4" t="str">
        <f>VLOOKUP(TableFields[Field],Columns[],2,0)&amp;"("</f>
        <v>char(</v>
      </c>
      <c r="D252" s="4" t="str">
        <f>IF(VLOOKUP(TableFields[Field],Columns[],3,0)&lt;&gt;"","'"&amp;VLOOKUP(TableFields[Field],Columns[],3,0)&amp;"'","")</f>
        <v>'REFFYCODE'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2" s="4" t="str">
        <f>IF(VLOOKUP(TableFields[Field],Columns[],5,0)=0,"","-&gt;"&amp;VLOOKUP(TableFields[Field],Columns[],5,0))</f>
        <v>-&gt;nullable()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53" spans="1:11" hidden="1" x14ac:dyDescent="0.25">
      <c r="A253" s="4" t="s">
        <v>1055</v>
      </c>
      <c r="B253" s="4" t="s">
        <v>1046</v>
      </c>
      <c r="C253" s="4" t="str">
        <f>VLOOKUP(TableFields[Field],Columns[],2,0)&amp;"("</f>
        <v>char(</v>
      </c>
      <c r="D253" s="4" t="str">
        <f>IF(VLOOKUP(TableFields[Field],Columns[],3,0)&lt;&gt;"","'"&amp;VLOOKUP(TableFields[Field],Columns[],3,0)&amp;"'","")</f>
        <v>'REFFNCODE'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3" s="4" t="str">
        <f>IF(VLOOKUP(TableFields[Field],Columns[],5,0)=0,"","-&gt;"&amp;VLOOKUP(TableFields[Field],Columns[],5,0))</f>
        <v>-&gt;nullable()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54" spans="1:11" hidden="1" x14ac:dyDescent="0.25">
      <c r="A254" s="4" t="s">
        <v>1055</v>
      </c>
      <c r="B254" s="4" t="s">
        <v>1050</v>
      </c>
      <c r="C254" s="4" t="str">
        <f>VLOOKUP(TableFields[Field],Columns[],2,0)&amp;"("</f>
        <v>char(</v>
      </c>
      <c r="D254" s="4" t="str">
        <f>IF(VLOOKUP(TableFields[Field],Columns[],3,0)&lt;&gt;"","'"&amp;VLOOKUP(TableFields[Field],Columns[],3,0)&amp;"'","")</f>
        <v>'REFDOCNO'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54" s="4" t="str">
        <f>IF(VLOOKUP(TableFields[Field],Columns[],5,0)=0,"","-&gt;"&amp;VLOOKUP(TableFields[Field],Columns[],5,0))</f>
        <v>-&gt;nullable()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55" spans="1:11" hidden="1" x14ac:dyDescent="0.25">
      <c r="A255" s="4" t="s">
        <v>1055</v>
      </c>
      <c r="B255" s="4" t="s">
        <v>1068</v>
      </c>
      <c r="C255" s="4" t="str">
        <f>VLOOKUP(TableFields[Field],Columns[],2,0)&amp;"("</f>
        <v>decimal(</v>
      </c>
      <c r="D255" s="4" t="str">
        <f>IF(VLOOKUP(TableFields[Field],Columns[],3,0)&lt;&gt;"","'"&amp;VLOOKUP(TableFields[Field],Columns[],3,0)&amp;"'","")</f>
        <v>'REFSRNO'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56" spans="1:11" hidden="1" x14ac:dyDescent="0.25">
      <c r="A256" s="4" t="s">
        <v>1055</v>
      </c>
      <c r="B256" s="4" t="s">
        <v>1006</v>
      </c>
      <c r="C256" s="4" t="str">
        <f>VLOOKUP(TableFields[Field],Columns[],2,0)&amp;"("</f>
        <v>enum(</v>
      </c>
      <c r="D256" s="4" t="str">
        <f>IF(VLOOKUP(TableFields[Field],Columns[],3,0)&lt;&gt;"","'"&amp;VLOOKUP(TableFields[Field],Columns[],3,0)&amp;"'","")</f>
        <v>'TYPE'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56" s="4" t="str">
        <f>IF(VLOOKUP(TableFields[Field],Columns[],5,0)=0,"","-&gt;"&amp;VLOOKUP(TableFields[Field],Columns[],5,0))</f>
        <v>-&gt;default('Normal')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57" spans="1:11" hidden="1" x14ac:dyDescent="0.25">
      <c r="A257" s="4" t="s">
        <v>1055</v>
      </c>
      <c r="B257" s="4" t="s">
        <v>1008</v>
      </c>
      <c r="C257" s="4" t="str">
        <f>VLOOKUP(TableFields[Field],Columns[],2,0)&amp;"("</f>
        <v>enum(</v>
      </c>
      <c r="D257" s="4" t="str">
        <f>IF(VLOOKUP(TableFields[Field],Columns[],3,0)&lt;&gt;"","'"&amp;VLOOKUP(TableFields[Field],Columns[],3,0)&amp;"'","")</f>
        <v>'APPROVAL_STATUS'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57" s="4" t="str">
        <f>IF(VLOOKUP(TableFields[Field],Columns[],5,0)=0,"","-&gt;"&amp;VLOOKUP(TableFields[Field],Columns[],5,0))</f>
        <v>-&gt;nullable()</v>
      </c>
      <c r="G257" s="4" t="str">
        <f>IF(VLOOKUP(TableFields[Field],Columns[],6,0)=0,"","-&gt;"&amp;VLOOKUP(TableFields[Field],Columns[],6,0))</f>
        <v>-&gt;default('Pending')</v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58" spans="1:11" hidden="1" x14ac:dyDescent="0.25">
      <c r="A258" s="4" t="s">
        <v>1055</v>
      </c>
      <c r="B258" s="4" t="s">
        <v>1010</v>
      </c>
      <c r="C258" s="4" t="str">
        <f>VLOOKUP(TableFields[Field],Columns[],2,0)&amp;"("</f>
        <v>enum(</v>
      </c>
      <c r="D258" s="4" t="str">
        <f>IF(VLOOKUP(TableFields[Field],Columns[],3,0)&lt;&gt;"","'"&amp;VLOOKUP(TableFields[Field],Columns[],3,0)&amp;"'","")</f>
        <v>'APPROVAL_MODE'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58" s="4" t="str">
        <f>IF(VLOOKUP(TableFields[Field],Columns[],5,0)=0,"","-&gt;"&amp;VLOOKUP(TableFields[Field],Columns[],5,0))</f>
        <v>-&gt;nullable()</v>
      </c>
      <c r="G258" s="4" t="str">
        <f>IF(VLOOKUP(TableFields[Field],Columns[],6,0)=0,"","-&gt;"&amp;VLOOKUP(TableFields[Field],Columns[],6,0))</f>
        <v>-&gt;default('Insert')</v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59" spans="1:11" hidden="1" x14ac:dyDescent="0.25">
      <c r="A259" s="4" t="s">
        <v>1055</v>
      </c>
      <c r="B259" s="4" t="s">
        <v>1012</v>
      </c>
      <c r="C259" s="4" t="str">
        <f>VLOOKUP(TableFields[Field],Columns[],2,0)&amp;"("</f>
        <v>enum(</v>
      </c>
      <c r="D259" s="4" t="str">
        <f>IF(VLOOKUP(TableFields[Field],Columns[],3,0)&lt;&gt;"","'"&amp;VLOOKUP(TableFields[Field],Columns[],3,0)&amp;"'","")</f>
        <v>'APPROVAL_TYPE'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59" s="4" t="str">
        <f>IF(VLOOKUP(TableFields[Field],Columns[],5,0)=0,"","-&gt;"&amp;VLOOKUP(TableFields[Field],Columns[],5,0))</f>
        <v>-&gt;nullable()</v>
      </c>
      <c r="G259" s="4" t="str">
        <f>IF(VLOOKUP(TableFields[Field],Columns[],6,0)=0,"","-&gt;"&amp;VLOOKUP(TableFields[Field],Columns[],6,0))</f>
        <v>-&gt;default('Default')</v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60" spans="1:11" hidden="1" x14ac:dyDescent="0.25">
      <c r="A260" s="4" t="s">
        <v>1055</v>
      </c>
      <c r="B260" s="4" t="s">
        <v>1014</v>
      </c>
      <c r="C260" s="4" t="str">
        <f>VLOOKUP(TableFields[Field],Columns[],2,0)&amp;"("</f>
        <v>enum(</v>
      </c>
      <c r="D260" s="4" t="str">
        <f>IF(VLOOKUP(TableFields[Field],Columns[],3,0)&lt;&gt;"","'"&amp;VLOOKUP(TableFields[Field],Columns[],3,0)&amp;"'","")</f>
        <v>'CANCEL'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60" s="4" t="str">
        <f>IF(VLOOKUP(TableFields[Field],Columns[],5,0)=0,"","-&gt;"&amp;VLOOKUP(TableFields[Field],Columns[],5,0))</f>
        <v>-&gt;default('No')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61" spans="1:11" hidden="1" x14ac:dyDescent="0.25">
      <c r="A261" s="4" t="s">
        <v>1055</v>
      </c>
      <c r="B261" s="4" t="s">
        <v>1016</v>
      </c>
      <c r="C261" s="4" t="str">
        <f>VLOOKUP(TableFields[Field],Columns[],2,0)&amp;"("</f>
        <v>decimal(</v>
      </c>
      <c r="D261" s="4" t="str">
        <f>IF(VLOOKUP(TableFields[Field],Columns[],3,0)&lt;&gt;"","'"&amp;VLOOKUP(TableFields[Field],Columns[],3,0)&amp;"'","")</f>
        <v>'VERSION'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61" s="4" t="str">
        <f>IF(VLOOKUP(TableFields[Field],Columns[],5,0)=0,"","-&gt;"&amp;VLOOKUP(TableFields[Field],Columns[],5,0))</f>
        <v>-&gt;default(1)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62" spans="1:11" hidden="1" x14ac:dyDescent="0.25">
      <c r="A262" s="4" t="s">
        <v>1055</v>
      </c>
      <c r="B262" s="4" t="s">
        <v>288</v>
      </c>
      <c r="C262" s="4" t="str">
        <f>VLOOKUP(TableFields[Field],Columns[],2,0)&amp;"("</f>
        <v>audit(</v>
      </c>
      <c r="D262" s="4" t="str">
        <f>IF(VLOOKUP(TableFields[Field],Columns[],3,0)&lt;&gt;"","'"&amp;VLOOKUP(TableFields[Field],Columns[],3,0)&amp;"'","")</f>
        <v/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2" s="4" t="str">
        <f>IF(VLOOKUP(TableFields[Field],Columns[],5,0)=0,"","-&gt;"&amp;VLOOKUP(TableFields[Field],Columns[],5,0))</f>
        <v/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3" spans="1:11" hidden="1" x14ac:dyDescent="0.25">
      <c r="A263" s="4" t="s">
        <v>950</v>
      </c>
      <c r="B263" s="4" t="s">
        <v>21</v>
      </c>
      <c r="C263" s="4" t="str">
        <f>VLOOKUP(TableFields[Field],Columns[],2,0)&amp;"("</f>
        <v>bigIncrements(</v>
      </c>
      <c r="D263" s="4" t="str">
        <f>IF(VLOOKUP(TableFields[Field],Columns[],3,0)&lt;&gt;"","'"&amp;VLOOKUP(TableFields[Field],Columns[],3,0)&amp;"'","")</f>
        <v>'id'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3" s="4" t="str">
        <f>IF(VLOOKUP(TableFields[Field],Columns[],5,0)=0,"","-&gt;"&amp;VLOOKUP(TableFields[Field],Columns[],5,0))</f>
        <v/>
      </c>
      <c r="G263" s="4" t="str">
        <f>IF(VLOOKUP(TableFields[Field],Columns[],6,0)=0,"","-&gt;"&amp;VLOOKUP(TableFields[Field],Columns[],6,0))</f>
        <v/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64" spans="1:11" hidden="1" x14ac:dyDescent="0.25">
      <c r="A264" s="4" t="s">
        <v>950</v>
      </c>
      <c r="B264" s="4" t="s">
        <v>838</v>
      </c>
      <c r="C264" s="4" t="str">
        <f>VLOOKUP(TableFields[Field],Columns[],2,0)&amp;"("</f>
        <v>char(</v>
      </c>
      <c r="D264" s="4" t="str">
        <f>IF(VLOOKUP(TableFields[Field],Columns[],3,0)&lt;&gt;"","'"&amp;VLOOKUP(TableFields[Field],Columns[],3,0)&amp;"'","")</f>
        <v>'docno'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64" s="4" t="str">
        <f>IF(VLOOKUP(TableFields[Field],Columns[],5,0)=0,"","-&gt;"&amp;VLOOKUP(TableFields[Field],Columns[],5,0))</f>
        <v>-&gt;nullable()</v>
      </c>
      <c r="G264" s="4" t="str">
        <f>IF(VLOOKUP(TableFields[Field],Columns[],6,0)=0,"","-&gt;"&amp;VLOOKUP(TableFields[Field],Columns[],6,0))</f>
        <v>-&gt;index()</v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65" spans="1:11" hidden="1" x14ac:dyDescent="0.25">
      <c r="A265" s="4" t="s">
        <v>950</v>
      </c>
      <c r="B265" s="4" t="s">
        <v>832</v>
      </c>
      <c r="C265" s="4" t="str">
        <f>VLOOKUP(TableFields[Field],Columns[],2,0)&amp;"("</f>
        <v>timestamp(</v>
      </c>
      <c r="D265" s="4" t="str">
        <f>IF(VLOOKUP(TableFields[Field],Columns[],3,0)&lt;&gt;"","'"&amp;VLOOKUP(TableFields[Field],Columns[],3,0)&amp;"'","")</f>
        <v>'date'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5" s="4" t="str">
        <f>IF(VLOOKUP(TableFields[Field],Columns[],5,0)=0,"","-&gt;"&amp;VLOOKUP(TableFields[Field],Columns[],5,0))</f>
        <v>-&gt;default(DB::raw('CURRENT_TIMESTAMP'))</v>
      </c>
      <c r="G265" s="4" t="str">
        <f>IF(VLOOKUP(TableFields[Field],Columns[],6,0)=0,"","-&gt;"&amp;VLOOKUP(TableFields[Field],Columns[],6,0))</f>
        <v/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66" spans="1:11" hidden="1" x14ac:dyDescent="0.25">
      <c r="A266" s="4" t="s">
        <v>950</v>
      </c>
      <c r="B266" s="4" t="s">
        <v>901</v>
      </c>
      <c r="C266" s="4" t="str">
        <f>VLOOKUP(TableFields[Field],Columns[],2,0)&amp;"("</f>
        <v>foreignNullable(</v>
      </c>
      <c r="D266" s="4" t="str">
        <f>IF(VLOOKUP(TableFields[Field],Columns[],3,0)&lt;&gt;"","'"&amp;VLOOKUP(TableFields[Field],Columns[],3,0)&amp;"'","")</f>
        <v>'user'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66" s="4" t="str">
        <f>IF(VLOOKUP(TableFields[Field],Columns[],5,0)=0,"","-&gt;"&amp;VLOOKUP(TableFields[Field],Columns[],5,0))</f>
        <v/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67" spans="1:11" hidden="1" x14ac:dyDescent="0.25">
      <c r="A267" s="4" t="s">
        <v>950</v>
      </c>
      <c r="B267" s="4" t="s">
        <v>952</v>
      </c>
      <c r="C267" s="4" t="str">
        <f>VLOOKUP(TableFields[Field],Columns[],2,0)&amp;"("</f>
        <v>foreignNullable(</v>
      </c>
      <c r="D267" s="4" t="str">
        <f>IF(VLOOKUP(TableFields[Field],Columns[],3,0)&lt;&gt;"","'"&amp;VLOOKUP(TableFields[Field],Columns[],3,0)&amp;"'","")</f>
        <v>'customer'</v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67" s="4" t="str">
        <f>IF(VLOOKUP(TableFields[Field],Columns[],5,0)=0,"","-&gt;"&amp;VLOOKUP(TableFields[Field],Columns[],5,0))</f>
        <v/>
      </c>
      <c r="G267" s="4" t="str">
        <f>IF(VLOOKUP(TableFields[Field],Columns[],6,0)=0,"","-&gt;"&amp;VLOOKUP(TableFields[Field],Columns[],6,0))</f>
        <v/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68" spans="1:11" hidden="1" x14ac:dyDescent="0.25">
      <c r="A268" s="4" t="s">
        <v>950</v>
      </c>
      <c r="B268" s="4" t="s">
        <v>906</v>
      </c>
      <c r="C268" s="4" t="str">
        <f>VLOOKUP(TableFields[Field],Columns[],2,0)&amp;"("</f>
        <v>char(</v>
      </c>
      <c r="D268" s="4" t="str">
        <f>IF(VLOOKUP(TableFields[Field],Columns[],3,0)&lt;&gt;"","'"&amp;VLOOKUP(TableFields[Field],Columns[],3,0)&amp;"'","")</f>
        <v>'fycode'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68" s="4" t="str">
        <f>IF(VLOOKUP(TableFields[Field],Columns[],5,0)=0,"","-&gt;"&amp;VLOOKUP(TableFields[Field],Columns[],5,0))</f>
        <v>-&gt;nullable()</v>
      </c>
      <c r="G268" s="4" t="str">
        <f>IF(VLOOKUP(TableFields[Field],Columns[],6,0)=0,"","-&gt;"&amp;VLOOKUP(TableFields[Field],Columns[],6,0))</f>
        <v>-&gt;index()</v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69" spans="1:11" hidden="1" x14ac:dyDescent="0.25">
      <c r="A269" s="4" t="s">
        <v>950</v>
      </c>
      <c r="B269" s="4" t="s">
        <v>859</v>
      </c>
      <c r="C269" s="4" t="str">
        <f>VLOOKUP(TableFields[Field],Columns[],2,0)&amp;"("</f>
        <v>char(</v>
      </c>
      <c r="D269" s="4" t="str">
        <f>IF(VLOOKUP(TableFields[Field],Columns[],3,0)&lt;&gt;"","'"&amp;VLOOKUP(TableFields[Field],Columns[],3,0)&amp;"'","")</f>
        <v>'fncode'</v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69" s="4" t="str">
        <f>IF(VLOOKUP(TableFields[Field],Columns[],5,0)=0,"","-&gt;"&amp;VLOOKUP(TableFields[Field],Columns[],5,0))</f>
        <v>-&gt;nullable()</v>
      </c>
      <c r="G269" s="4" t="str">
        <f>IF(VLOOKUP(TableFields[Field],Columns[],6,0)=0,"","-&gt;"&amp;VLOOKUP(TableFields[Field],Columns[],6,0))</f>
        <v>-&gt;index()</v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70" spans="1:11" hidden="1" x14ac:dyDescent="0.25">
      <c r="A270" s="4" t="s">
        <v>950</v>
      </c>
      <c r="B270" s="4" t="s">
        <v>1745</v>
      </c>
      <c r="C270" s="4" t="str">
        <f>VLOOKUP(TableFields[Field],Columns[],2,0)&amp;"("</f>
        <v>enum(</v>
      </c>
      <c r="D270" s="4" t="str">
        <f>IF(VLOOKUP(TableFields[Field],Columns[],3,0)&lt;&gt;"","'"&amp;VLOOKUP(TableFields[Field],Columns[],3,0)&amp;"'","")</f>
        <v>'payment_type'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70" s="4" t="str">
        <f>IF(VLOOKUP(TableFields[Field],Columns[],5,0)=0,"","-&gt;"&amp;VLOOKUP(TableFields[Field],Columns[],5,0))</f>
        <v>-&gt;nullable()</v>
      </c>
      <c r="G270" s="4" t="str">
        <f>IF(VLOOKUP(TableFields[Field],Columns[],6,0)=0,"","-&gt;"&amp;VLOOKUP(TableFields[Field],Columns[],6,0))</f>
        <v>-&gt;default('Cash')</v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71" spans="1:11" hidden="1" x14ac:dyDescent="0.25">
      <c r="A271" s="4" t="s">
        <v>950</v>
      </c>
      <c r="B271" s="4" t="s">
        <v>954</v>
      </c>
      <c r="C271" s="4" t="str">
        <f>VLOOKUP(TableFields[Field],Columns[],2,0)&amp;"("</f>
        <v>enum(</v>
      </c>
      <c r="D271" s="4" t="str">
        <f>IF(VLOOKUP(TableFields[Field],Columns[],3,0)&lt;&gt;"","'"&amp;VLOOKUP(TableFields[Field],Columns[],3,0)&amp;"'","")</f>
        <v>'progress'</v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71" s="4" t="str">
        <f>IF(VLOOKUP(TableFields[Field],Columns[],5,0)=0,"","-&gt;"&amp;VLOOKUP(TableFields[Field],Columns[],5,0))</f>
        <v>-&gt;nullable()</v>
      </c>
      <c r="G271" s="4" t="str">
        <f>IF(VLOOKUP(TableFields[Field],Columns[],6,0)=0,"","-&gt;"&amp;VLOOKUP(TableFields[Field],Columns[],6,0))</f>
        <v>-&gt;default('Incomplete')</v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272" spans="1:11" hidden="1" x14ac:dyDescent="0.25">
      <c r="A272" s="4" t="s">
        <v>950</v>
      </c>
      <c r="B272" s="4" t="s">
        <v>1689</v>
      </c>
      <c r="C272" s="4" t="str">
        <f>VLOOKUP(TableFields[Field],Columns[],2,0)&amp;"("</f>
        <v>char(</v>
      </c>
      <c r="D272" s="4" t="str">
        <f>IF(VLOOKUP(TableFields[Field],Columns[],3,0)&lt;&gt;"","'"&amp;VLOOKUP(TableFields[Field],Columns[],3,0)&amp;"'","")</f>
        <v>'_ref'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72" s="4" t="str">
        <f>IF(VLOOKUP(TableFields[Field],Columns[],5,0)=0,"","-&gt;"&amp;VLOOKUP(TableFields[Field],Columns[],5,0))</f>
        <v>-&gt;nullable()</v>
      </c>
      <c r="G272" s="4" t="str">
        <f>IF(VLOOKUP(TableFields[Field],Columns[],6,0)=0,"","-&gt;"&amp;VLOOKUP(TableFields[Field],Columns[],6,0))</f>
        <v>-&gt;index()</v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73" spans="1:11" hidden="1" x14ac:dyDescent="0.25">
      <c r="A273" s="4" t="s">
        <v>950</v>
      </c>
      <c r="B273" s="4" t="s">
        <v>776</v>
      </c>
      <c r="C273" s="4" t="str">
        <f>VLOOKUP(TableFields[Field],Columns[],2,0)&amp;"("</f>
        <v>enum(</v>
      </c>
      <c r="D273" s="4" t="str">
        <f>IF(VLOOKUP(TableFields[Field],Columns[],3,0)&lt;&gt;"","'"&amp;VLOOKUP(TableFields[Field],Columns[],3,0)&amp;"'","")</f>
        <v>'status'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73" s="4" t="str">
        <f>IF(VLOOKUP(TableFields[Field],Columns[],5,0)=0,"","-&gt;"&amp;VLOOKUP(TableFields[Field],Columns[],5,0))</f>
        <v>-&gt;nullable()</v>
      </c>
      <c r="G273" s="4" t="str">
        <f>IF(VLOOKUP(TableFields[Field],Columns[],6,0)=0,"","-&gt;"&amp;VLOOKUP(TableFields[Field],Columns[],6,0))</f>
        <v>-&gt;default('Active')</v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74" spans="1:11" hidden="1" x14ac:dyDescent="0.25">
      <c r="A274" s="4" t="s">
        <v>950</v>
      </c>
      <c r="B274" s="4" t="s">
        <v>288</v>
      </c>
      <c r="C274" s="4" t="str">
        <f>VLOOKUP(TableFields[Field],Columns[],2,0)&amp;"("</f>
        <v>audit(</v>
      </c>
      <c r="D274" s="4" t="str">
        <f>IF(VLOOKUP(TableFields[Field],Columns[],3,0)&lt;&gt;"","'"&amp;VLOOKUP(TableFields[Field],Columns[],3,0)&amp;"'","")</f>
        <v/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4" s="4" t="str">
        <f>IF(VLOOKUP(TableFields[Field],Columns[],5,0)=0,"","-&gt;"&amp;VLOOKUP(TableFields[Field],Columns[],5,0))</f>
        <v/>
      </c>
      <c r="G274" s="4" t="str">
        <f>IF(VLOOKUP(TableFields[Field],Columns[],6,0)=0,"","-&gt;"&amp;VLOOKUP(TableFields[Field],Columns[],6,0))</f>
        <v/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5" spans="1:11" hidden="1" x14ac:dyDescent="0.25">
      <c r="A275" s="4" t="s">
        <v>951</v>
      </c>
      <c r="B275" s="4" t="s">
        <v>21</v>
      </c>
      <c r="C275" s="4" t="str">
        <f>VLOOKUP(TableFields[Field],Columns[],2,0)&amp;"("</f>
        <v>bigIncrements(</v>
      </c>
      <c r="D275" s="4" t="str">
        <f>IF(VLOOKUP(TableFields[Field],Columns[],3,0)&lt;&gt;"","'"&amp;VLOOKUP(TableFields[Field],Columns[],3,0)&amp;"'","")</f>
        <v>'id'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5" s="4" t="str">
        <f>IF(VLOOKUP(TableFields[Field],Columns[],5,0)=0,"","-&gt;"&amp;VLOOKUP(TableFields[Field],Columns[],5,0))</f>
        <v/>
      </c>
      <c r="G275" s="4" t="str">
        <f>IF(VLOOKUP(TableFields[Field],Columns[],6,0)=0,"","-&gt;"&amp;VLOOKUP(TableFields[Field],Columns[],6,0))</f>
        <v/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76" spans="1:11" hidden="1" x14ac:dyDescent="0.25">
      <c r="A276" s="4" t="s">
        <v>951</v>
      </c>
      <c r="B276" s="4" t="s">
        <v>957</v>
      </c>
      <c r="C276" s="4" t="str">
        <f>VLOOKUP(TableFields[Field],Columns[],2,0)&amp;"("</f>
        <v>foreignNullable(</v>
      </c>
      <c r="D276" s="4" t="str">
        <f>IF(VLOOKUP(TableFields[Field],Columns[],3,0)&lt;&gt;"","'"&amp;VLOOKUP(TableFields[Field],Columns[],3,0)&amp;"'","")</f>
        <v>'so'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276" s="4" t="str">
        <f>IF(VLOOKUP(TableFields[Field],Columns[],5,0)=0,"","-&gt;"&amp;VLOOKUP(TableFields[Field],Columns[],5,0))</f>
        <v/>
      </c>
      <c r="G276" s="4" t="str">
        <f>IF(VLOOKUP(TableFields[Field],Columns[],6,0)=0,"","-&gt;"&amp;VLOOKUP(TableFields[Field],Columns[],6,0))</f>
        <v/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277" spans="1:11" hidden="1" x14ac:dyDescent="0.25">
      <c r="A277" s="4" t="s">
        <v>951</v>
      </c>
      <c r="B277" s="4" t="s">
        <v>822</v>
      </c>
      <c r="C277" s="4" t="str">
        <f>VLOOKUP(TableFields[Field],Columns[],2,0)&amp;"("</f>
        <v>foreignNullable(</v>
      </c>
      <c r="D277" s="4" t="str">
        <f>IF(VLOOKUP(TableFields[Field],Columns[],3,0)&lt;&gt;"","'"&amp;VLOOKUP(TableFields[Field],Columns[],3,0)&amp;"'","")</f>
        <v>'product'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77" s="4" t="str">
        <f>IF(VLOOKUP(TableFields[Field],Columns[],5,0)=0,"","-&gt;"&amp;VLOOKUP(TableFields[Field],Columns[],5,0))</f>
        <v/>
      </c>
      <c r="G277" s="4" t="str">
        <f>IF(VLOOKUP(TableFields[Field],Columns[],6,0)=0,"","-&gt;"&amp;VLOOKUP(TableFields[Field],Columns[],6,0))</f>
        <v/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78" spans="1:11" hidden="1" x14ac:dyDescent="0.25">
      <c r="A278" s="4" t="s">
        <v>951</v>
      </c>
      <c r="B278" s="4" t="s">
        <v>959</v>
      </c>
      <c r="C278" s="4" t="str">
        <f>VLOOKUP(TableFields[Field],Columns[],2,0)&amp;"("</f>
        <v>decimal(</v>
      </c>
      <c r="D278" s="4" t="str">
        <f>IF(VLOOKUP(TableFields[Field],Columns[],3,0)&lt;&gt;"","'"&amp;VLOOKUP(TableFields[Field],Columns[],3,0)&amp;"'","")</f>
        <v>'rate'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78" s="4" t="str">
        <f>IF(VLOOKUP(TableFields[Field],Columns[],5,0)=0,"","-&gt;"&amp;VLOOKUP(TableFields[Field],Columns[],5,0))</f>
        <v>-&gt;default(0)</v>
      </c>
      <c r="G278" s="4" t="str">
        <f>IF(VLOOKUP(TableFields[Field],Columns[],6,0)=0,"","-&gt;"&amp;VLOOKUP(TableFields[Field],Columns[],6,0))</f>
        <v/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79" spans="1:11" hidden="1" x14ac:dyDescent="0.25">
      <c r="A279" s="4" t="s">
        <v>951</v>
      </c>
      <c r="B279" s="4" t="s">
        <v>827</v>
      </c>
      <c r="C279" s="4" t="str">
        <f>VLOOKUP(TableFields[Field],Columns[],2,0)&amp;"("</f>
        <v>decimal(</v>
      </c>
      <c r="D279" s="4" t="str">
        <f>IF(VLOOKUP(TableFields[Field],Columns[],3,0)&lt;&gt;"","'"&amp;VLOOKUP(TableFields[Field],Columns[],3,0)&amp;"'","")</f>
        <v>'quantity'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79" s="4" t="str">
        <f>IF(VLOOKUP(TableFields[Field],Columns[],5,0)=0,"","-&gt;"&amp;VLOOKUP(TableFields[Field],Columns[],5,0))</f>
        <v>-&gt;default(1)</v>
      </c>
      <c r="G279" s="4" t="str">
        <f>IF(VLOOKUP(TableFields[Field],Columns[],6,0)=0,"","-&gt;"&amp;VLOOKUP(TableFields[Field],Columns[],6,0))</f>
        <v/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80" spans="1:11" s="20" customFormat="1" hidden="1" x14ac:dyDescent="0.25">
      <c r="A280" s="4" t="s">
        <v>951</v>
      </c>
      <c r="B280" s="4" t="s">
        <v>917</v>
      </c>
      <c r="C280" s="4" t="str">
        <f>VLOOKUP(TableFields[Field],Columns[],2,0)&amp;"("</f>
        <v>char(</v>
      </c>
      <c r="D280" s="4" t="str">
        <f>IF(VLOOKUP(TableFields[Field],Columns[],3,0)&lt;&gt;"","'"&amp;VLOOKUP(TableFields[Field],Columns[],3,0)&amp;"'","")</f>
        <v>'taxrule'</v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80" s="4" t="str">
        <f>IF(VLOOKUP(TableFields[Field],Columns[],5,0)=0,"","-&gt;"&amp;VLOOKUP(TableFields[Field],Columns[],5,0))</f>
        <v>-&gt;nullable()</v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81" spans="1:11" hidden="1" x14ac:dyDescent="0.25">
      <c r="A281" s="4" t="s">
        <v>951</v>
      </c>
      <c r="B281" s="4" t="s">
        <v>904</v>
      </c>
      <c r="C281" s="4" t="str">
        <f>VLOOKUP(TableFields[Field],Columns[],2,0)&amp;"("</f>
        <v>decimal(</v>
      </c>
      <c r="D281" s="4" t="str">
        <f>IF(VLOOKUP(TableFields[Field],Columns[],3,0)&lt;&gt;"","'"&amp;VLOOKUP(TableFields[Field],Columns[],3,0)&amp;"'","")</f>
        <v>'tax'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1" s="4" t="str">
        <f>IF(VLOOKUP(TableFields[Field],Columns[],5,0)=0,"","-&gt;"&amp;VLOOKUP(TableFields[Field],Columns[],5,0))</f>
        <v>-&gt;default(0)</v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82" spans="1:11" hidden="1" x14ac:dyDescent="0.25">
      <c r="A282" s="4" t="s">
        <v>951</v>
      </c>
      <c r="B282" s="4" t="s">
        <v>916</v>
      </c>
      <c r="C282" s="4" t="str">
        <f>VLOOKUP(TableFields[Field],Columns[],2,0)&amp;"("</f>
        <v>decimal(</v>
      </c>
      <c r="D282" s="4" t="str">
        <f>IF(VLOOKUP(TableFields[Field],Columns[],3,0)&lt;&gt;"","'"&amp;VLOOKUP(TableFields[Field],Columns[],3,0)&amp;"'","")</f>
        <v>'discount'</v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2" s="4" t="str">
        <f>IF(VLOOKUP(TableFields[Field],Columns[],5,0)=0,"","-&gt;"&amp;VLOOKUP(TableFields[Field],Columns[],5,0))</f>
        <v>-&gt;default(0)</v>
      </c>
      <c r="G282" s="4" t="str">
        <f>IF(VLOOKUP(TableFields[Field],Columns[],6,0)=0,"","-&gt;"&amp;VLOOKUP(TableFields[Field],Columns[],6,0))</f>
        <v/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$table-&gt;decimal('discount', 30,10)-&gt;default(0);</v>
      </c>
    </row>
    <row r="283" spans="1:11" hidden="1" x14ac:dyDescent="0.25">
      <c r="A283" s="4" t="s">
        <v>951</v>
      </c>
      <c r="B283" s="4" t="s">
        <v>905</v>
      </c>
      <c r="C283" s="4" t="str">
        <f>VLOOKUP(TableFields[Field],Columns[],2,0)&amp;"("</f>
        <v>decimal(</v>
      </c>
      <c r="D283" s="4" t="str">
        <f>IF(VLOOKUP(TableFields[Field],Columns[],3,0)&lt;&gt;"","'"&amp;VLOOKUP(TableFields[Field],Columns[],3,0)&amp;"'","")</f>
        <v>'total'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3" s="4" t="str">
        <f>IF(VLOOKUP(TableFields[Field],Columns[],5,0)=0,"","-&gt;"&amp;VLOOKUP(TableFields[Field],Columns[],5,0))</f>
        <v>-&gt;default(0)</v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$table-&gt;decimal('total', 30,10)-&gt;default(0);</v>
      </c>
    </row>
    <row r="284" spans="1:11" hidden="1" x14ac:dyDescent="0.25">
      <c r="A284" s="4" t="s">
        <v>951</v>
      </c>
      <c r="B284" s="4" t="s">
        <v>1689</v>
      </c>
      <c r="C284" s="4" t="str">
        <f>VLOOKUP(TableFields[Field],Columns[],2,0)&amp;"("</f>
        <v>char(</v>
      </c>
      <c r="D284" s="4" t="str">
        <f>IF(VLOOKUP(TableFields[Field],Columns[],3,0)&lt;&gt;"","'"&amp;VLOOKUP(TableFields[Field],Columns[],3,0)&amp;"'","")</f>
        <v>'_ref'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84" s="4" t="str">
        <f>IF(VLOOKUP(TableFields[Field],Columns[],5,0)=0,"","-&gt;"&amp;VLOOKUP(TableFields[Field],Columns[],5,0))</f>
        <v>-&gt;nullable()</v>
      </c>
      <c r="G284" s="4" t="str">
        <f>IF(VLOOKUP(TableFields[Field],Columns[],6,0)=0,"","-&gt;"&amp;VLOOKUP(TableFields[Field],Columns[],6,0))</f>
        <v>-&gt;index()</v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85" spans="1:11" hidden="1" x14ac:dyDescent="0.25">
      <c r="A285" s="4" t="s">
        <v>951</v>
      </c>
      <c r="B285" s="4" t="s">
        <v>288</v>
      </c>
      <c r="C285" s="4" t="str">
        <f>VLOOKUP(TableFields[Field],Columns[],2,0)&amp;"("</f>
        <v>audit(</v>
      </c>
      <c r="D285" s="4" t="str">
        <f>IF(VLOOKUP(TableFields[Field],Columns[],3,0)&lt;&gt;"","'"&amp;VLOOKUP(TableFields[Field],Columns[],3,0)&amp;"'","")</f>
        <v/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5" s="4" t="str">
        <f>IF(VLOOKUP(TableFields[Field],Columns[],5,0)=0,"","-&gt;"&amp;VLOOKUP(TableFields[Field],Columns[],5,0))</f>
        <v/>
      </c>
      <c r="G285" s="4" t="str">
        <f>IF(VLOOKUP(TableFields[Field],Columns[],6,0)=0,"","-&gt;"&amp;VLOOKUP(TableFields[Field],Columns[],6,0))</f>
        <v/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86" spans="1:11" hidden="1" x14ac:dyDescent="0.25">
      <c r="A286" s="4" t="s">
        <v>907</v>
      </c>
      <c r="B286" s="4" t="s">
        <v>21</v>
      </c>
      <c r="C286" s="4" t="str">
        <f>VLOOKUP(TableFields[Field],Columns[],2,0)&amp;"("</f>
        <v>bigIncrements(</v>
      </c>
      <c r="D286" s="4" t="str">
        <f>IF(VLOOKUP(TableFields[Field],Columns[],3,0)&lt;&gt;"","'"&amp;VLOOKUP(TableFields[Field],Columns[],3,0)&amp;"'","")</f>
        <v>'id'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6" s="4" t="str">
        <f>IF(VLOOKUP(TableFields[Field],Columns[],5,0)=0,"","-&gt;"&amp;VLOOKUP(TableFields[Field],Columns[],5,0))</f>
        <v/>
      </c>
      <c r="G286" s="4" t="str">
        <f>IF(VLOOKUP(TableFields[Field],Columns[],6,0)=0,"","-&gt;"&amp;VLOOKUP(TableFields[Field],Columns[],6,0))</f>
        <v/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7" spans="1:11" hidden="1" x14ac:dyDescent="0.25">
      <c r="A287" s="4" t="s">
        <v>907</v>
      </c>
      <c r="B287" s="4" t="s">
        <v>910</v>
      </c>
      <c r="C287" s="4" t="str">
        <f>VLOOKUP(TableFields[Field],Columns[],2,0)&amp;"("</f>
        <v>foreignNullable(</v>
      </c>
      <c r="D287" s="4" t="str">
        <f>IF(VLOOKUP(TableFields[Field],Columns[],3,0)&lt;&gt;"","'"&amp;VLOOKUP(TableFields[Field],Columns[],3,0)&amp;"'","")</f>
        <v>'out'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87" s="4" t="str">
        <f>IF(VLOOKUP(TableFields[Field],Columns[],5,0)=0,"","-&gt;"&amp;VLOOKUP(TableFields[Field],Columns[],5,0))</f>
        <v/>
      </c>
      <c r="G287" s="4" t="str">
        <f>IF(VLOOKUP(TableFields[Field],Columns[],6,0)=0,"","-&gt;"&amp;VLOOKUP(TableFields[Field],Columns[],6,0))</f>
        <v/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288" spans="1:11" hidden="1" x14ac:dyDescent="0.25">
      <c r="A288" s="4" t="s">
        <v>907</v>
      </c>
      <c r="B288" s="4" t="s">
        <v>908</v>
      </c>
      <c r="C288" s="4" t="str">
        <f>VLOOKUP(TableFields[Field],Columns[],2,0)&amp;"("</f>
        <v>foreignNullable(</v>
      </c>
      <c r="D288" s="4" t="str">
        <f>IF(VLOOKUP(TableFields[Field],Columns[],3,0)&lt;&gt;"","'"&amp;VLOOKUP(TableFields[Field],Columns[],3,0)&amp;"'","")</f>
        <v>'in'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88" s="4" t="str">
        <f>IF(VLOOKUP(TableFields[Field],Columns[],5,0)=0,"","-&gt;"&amp;VLOOKUP(TableFields[Field],Columns[],5,0))</f>
        <v/>
      </c>
      <c r="G288" s="4" t="str">
        <f>IF(VLOOKUP(TableFields[Field],Columns[],6,0)=0,"","-&gt;"&amp;VLOOKUP(TableFields[Field],Columns[],6,0))</f>
        <v/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289" spans="1:11" hidden="1" x14ac:dyDescent="0.25">
      <c r="A289" s="4" t="s">
        <v>907</v>
      </c>
      <c r="B289" s="4" t="s">
        <v>912</v>
      </c>
      <c r="C289" s="4" t="str">
        <f>VLOOKUP(TableFields[Field],Columns[],2,0)&amp;"("</f>
        <v>foreignNullable(</v>
      </c>
      <c r="D289" s="4" t="str">
        <f>IF(VLOOKUP(TableFields[Field],Columns[],3,0)&lt;&gt;"","'"&amp;VLOOKUP(TableFields[Field],Columns[],3,0)&amp;"'","")</f>
        <v>'verified_by'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89" s="4" t="str">
        <f>IF(VLOOKUP(TableFields[Field],Columns[],5,0)=0,"","-&gt;"&amp;VLOOKUP(TableFields[Field],Columns[],5,0))</f>
        <v/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290" spans="1:11" hidden="1" x14ac:dyDescent="0.25">
      <c r="A290" s="4" t="s">
        <v>907</v>
      </c>
      <c r="B290" s="4" t="s">
        <v>913</v>
      </c>
      <c r="C290" s="4" t="str">
        <f>VLOOKUP(TableFields[Field],Columns[],2,0)&amp;"("</f>
        <v>timestamp(</v>
      </c>
      <c r="D290" s="4" t="str">
        <f>IF(VLOOKUP(TableFields[Field],Columns[],3,0)&lt;&gt;"","'"&amp;VLOOKUP(TableFields[Field],Columns[],3,0)&amp;"'","")</f>
        <v>'verified_at'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0" s="4" t="str">
        <f>IF(VLOOKUP(TableFields[Field],Columns[],5,0)=0,"","-&gt;"&amp;VLOOKUP(TableFields[Field],Columns[],5,0))</f>
        <v>-&gt;nullable()</v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291" spans="1:11" hidden="1" x14ac:dyDescent="0.25">
      <c r="A291" s="4" t="s">
        <v>907</v>
      </c>
      <c r="B291" s="4" t="s">
        <v>288</v>
      </c>
      <c r="C291" s="4" t="str">
        <f>VLOOKUP(TableFields[Field],Columns[],2,0)&amp;"("</f>
        <v>audit(</v>
      </c>
      <c r="D291" s="4" t="str">
        <f>IF(VLOOKUP(TableFields[Field],Columns[],3,0)&lt;&gt;"","'"&amp;VLOOKUP(TableFields[Field],Columns[],3,0)&amp;"'","")</f>
        <v/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1" s="4" t="str">
        <f>IF(VLOOKUP(TableFields[Field],Columns[],5,0)=0,"","-&gt;"&amp;VLOOKUP(TableFields[Field],Columns[],5,0))</f>
        <v/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2" spans="1:11" hidden="1" x14ac:dyDescent="0.25">
      <c r="A292" s="4" t="s">
        <v>883</v>
      </c>
      <c r="B292" s="4" t="s">
        <v>21</v>
      </c>
      <c r="C292" s="4" t="str">
        <f>VLOOKUP(TableFields[Field],Columns[],2,0)&amp;"("</f>
        <v>bigIncrements(</v>
      </c>
      <c r="D292" s="4" t="str">
        <f>IF(VLOOKUP(TableFields[Field],Columns[],3,0)&lt;&gt;"","'"&amp;VLOOKUP(TableFields[Field],Columns[],3,0)&amp;"'","")</f>
        <v>'id'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2" s="4" t="str">
        <f>IF(VLOOKUP(TableFields[Field],Columns[],5,0)=0,"","-&gt;"&amp;VLOOKUP(TableFields[Field],Columns[],5,0))</f>
        <v/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3" spans="1:11" hidden="1" x14ac:dyDescent="0.25">
      <c r="A293" s="4" t="s">
        <v>883</v>
      </c>
      <c r="B293" s="4" t="s">
        <v>884</v>
      </c>
      <c r="C293" s="4" t="str">
        <f>VLOOKUP(TableFields[Field],Columns[],2,0)&amp;"("</f>
        <v>unsignedTinyInteger(</v>
      </c>
      <c r="D293" s="4" t="str">
        <f>IF(VLOOKUP(TableFields[Field],Columns[],3,0)&lt;&gt;"","'"&amp;VLOOKUP(TableFields[Field],Columns[],3,0)&amp;"'","")</f>
        <v>'bin'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3" s="4" t="str">
        <f>IF(VLOOKUP(TableFields[Field],Columns[],5,0)=0,"","-&gt;"&amp;VLOOKUP(TableFields[Field],Columns[],5,0))</f>
        <v>-&gt;default(1)</v>
      </c>
      <c r="G293" s="4" t="str">
        <f>IF(VLOOKUP(TableFields[Field],Columns[],6,0)=0,"","-&gt;"&amp;VLOOKUP(TableFields[Field],Columns[],6,0))</f>
        <v/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294" spans="1:11" hidden="1" x14ac:dyDescent="0.25">
      <c r="A294" s="4" t="s">
        <v>883</v>
      </c>
      <c r="B294" s="4" t="s">
        <v>288</v>
      </c>
      <c r="C294" s="4" t="str">
        <f>VLOOKUP(TableFields[Field],Columns[],2,0)&amp;"("</f>
        <v>audit(</v>
      </c>
      <c r="D294" s="4" t="str">
        <f>IF(VLOOKUP(TableFields[Field],Columns[],3,0)&lt;&gt;"","'"&amp;VLOOKUP(TableFields[Field],Columns[],3,0)&amp;"'","")</f>
        <v/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4" s="4" t="str">
        <f>IF(VLOOKUP(TableFields[Field],Columns[],5,0)=0,"","-&gt;"&amp;VLOOKUP(TableFields[Field],Columns[],5,0))</f>
        <v/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5" spans="1:11" hidden="1" x14ac:dyDescent="0.25">
      <c r="A295" s="4" t="s">
        <v>1273</v>
      </c>
      <c r="B295" s="4" t="s">
        <v>21</v>
      </c>
      <c r="C295" s="4" t="str">
        <f>VLOOKUP(TableFields[Field],Columns[],2,0)&amp;"("</f>
        <v>bigIncrements(</v>
      </c>
      <c r="D295" s="4" t="str">
        <f>IF(VLOOKUP(TableFields[Field],Columns[],3,0)&lt;&gt;"","'"&amp;VLOOKUP(TableFields[Field],Columns[],3,0)&amp;"'","")</f>
        <v>'id'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5" s="4" t="str">
        <f>IF(VLOOKUP(TableFields[Field],Columns[],5,0)=0,"","-&gt;"&amp;VLOOKUP(TableFields[Field],Columns[],5,0))</f>
        <v/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6" spans="1:11" hidden="1" x14ac:dyDescent="0.25">
      <c r="A296" s="4" t="s">
        <v>1273</v>
      </c>
      <c r="B296" s="4" t="s">
        <v>23</v>
      </c>
      <c r="C296" s="4" t="str">
        <f>VLOOKUP(TableFields[Field],Columns[],2,0)&amp;"("</f>
        <v>string(</v>
      </c>
      <c r="D296" s="4" t="str">
        <f>IF(VLOOKUP(TableFields[Field],Columns[],3,0)&lt;&gt;"","'"&amp;VLOOKUP(TableFields[Field],Columns[],3,0)&amp;"'","")</f>
        <v>'name'</v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296" s="4" t="str">
        <f>IF(VLOOKUP(TableFields[Field],Columns[],5,0)=0,"","-&gt;"&amp;VLOOKUP(TableFields[Field],Columns[],5,0))</f>
        <v>-&gt;nullable()</v>
      </c>
      <c r="G296" s="4" t="str">
        <f>IF(VLOOKUP(TableFields[Field],Columns[],6,0)=0,"","-&gt;"&amp;VLOOKUP(TableFields[Field],Columns[],6,0))</f>
        <v>-&gt;index()</v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297" spans="1:11" hidden="1" x14ac:dyDescent="0.25">
      <c r="A297" s="4" t="s">
        <v>1273</v>
      </c>
      <c r="B297" s="4" t="s">
        <v>24</v>
      </c>
      <c r="C297" s="4" t="str">
        <f>VLOOKUP(TableFields[Field],Columns[],2,0)&amp;"("</f>
        <v>string(</v>
      </c>
      <c r="D297" s="4" t="str">
        <f>IF(VLOOKUP(TableFields[Field],Columns[],3,0)&lt;&gt;"","'"&amp;VLOOKUP(TableFields[Field],Columns[],3,0)&amp;"'","")</f>
        <v>'description'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297" s="4" t="str">
        <f>IF(VLOOKUP(TableFields[Field],Columns[],5,0)=0,"","-&gt;"&amp;VLOOKUP(TableFields[Field],Columns[],5,0))</f>
        <v>-&gt;nullable()</v>
      </c>
      <c r="G297" s="4" t="str">
        <f>IF(VLOOKUP(TableFields[Field],Columns[],6,0)=0,"","-&gt;"&amp;VLOOKUP(TableFields[Field],Columns[],6,0))</f>
        <v/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298" spans="1:11" hidden="1" x14ac:dyDescent="0.25">
      <c r="A298" s="4" t="s">
        <v>1273</v>
      </c>
      <c r="B298" s="4" t="s">
        <v>44</v>
      </c>
      <c r="C298" s="4" t="str">
        <f>VLOOKUP(TableFields[Field],Columns[],2,0)&amp;"("</f>
        <v>string(</v>
      </c>
      <c r="D298" s="4" t="str">
        <f>IF(VLOOKUP(TableFields[Field],Columns[],3,0)&lt;&gt;"","'"&amp;VLOOKUP(TableFields[Field],Columns[],3,0)&amp;"'","")</f>
        <v>'value'</v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298" s="4" t="str">
        <f>IF(VLOOKUP(TableFields[Field],Columns[],5,0)=0,"","-&gt;"&amp;VLOOKUP(TableFields[Field],Columns[],5,0))</f>
        <v>-&gt;nullable()</v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299" spans="1:11" hidden="1" x14ac:dyDescent="0.25">
      <c r="A299" s="4" t="s">
        <v>1273</v>
      </c>
      <c r="B299" s="4" t="s">
        <v>776</v>
      </c>
      <c r="C299" s="4" t="str">
        <f>VLOOKUP(TableFields[Field],Columns[],2,0)&amp;"("</f>
        <v>enum(</v>
      </c>
      <c r="D299" s="4" t="str">
        <f>IF(VLOOKUP(TableFields[Field],Columns[],3,0)&lt;&gt;"","'"&amp;VLOOKUP(TableFields[Field],Columns[],3,0)&amp;"'","")</f>
        <v>'status'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99" s="4" t="str">
        <f>IF(VLOOKUP(TableFields[Field],Columns[],5,0)=0,"","-&gt;"&amp;VLOOKUP(TableFields[Field],Columns[],5,0))</f>
        <v>-&gt;nullable()</v>
      </c>
      <c r="G299" s="4" t="str">
        <f>IF(VLOOKUP(TableFields[Field],Columns[],6,0)=0,"","-&gt;"&amp;VLOOKUP(TableFields[Field],Columns[],6,0))</f>
        <v>-&gt;default('Active')</v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00" spans="1:11" hidden="1" x14ac:dyDescent="0.25">
      <c r="A300" s="4" t="s">
        <v>1273</v>
      </c>
      <c r="B300" s="4" t="s">
        <v>288</v>
      </c>
      <c r="C300" s="4" t="str">
        <f>VLOOKUP(TableFields[Field],Columns[],2,0)&amp;"("</f>
        <v>audit(</v>
      </c>
      <c r="D300" s="4" t="str">
        <f>IF(VLOOKUP(TableFields[Field],Columns[],3,0)&lt;&gt;"","'"&amp;VLOOKUP(TableFields[Field],Columns[],3,0)&amp;"'","")</f>
        <v/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0" s="4" t="str">
        <f>IF(VLOOKUP(TableFields[Field],Columns[],5,0)=0,"","-&gt;"&amp;VLOOKUP(TableFields[Field],Columns[],5,0))</f>
        <v/>
      </c>
      <c r="G300" s="4" t="str">
        <f>IF(VLOOKUP(TableFields[Field],Columns[],6,0)=0,"","-&gt;"&amp;VLOOKUP(TableFields[Field],Columns[],6,0))</f>
        <v/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1" spans="1:11" hidden="1" x14ac:dyDescent="0.25">
      <c r="A301" s="4" t="s">
        <v>1274</v>
      </c>
      <c r="B301" s="4" t="s">
        <v>21</v>
      </c>
      <c r="C301" s="4" t="str">
        <f>VLOOKUP(TableFields[Field],Columns[],2,0)&amp;"("</f>
        <v>bigIncrements(</v>
      </c>
      <c r="D301" s="4" t="str">
        <f>IF(VLOOKUP(TableFields[Field],Columns[],3,0)&lt;&gt;"","'"&amp;VLOOKUP(TableFields[Field],Columns[],3,0)&amp;"'","")</f>
        <v>'id'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1" s="4" t="str">
        <f>IF(VLOOKUP(TableFields[Field],Columns[],5,0)=0,"","-&gt;"&amp;VLOOKUP(TableFields[Field],Columns[],5,0))</f>
        <v/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2" spans="1:11" hidden="1" x14ac:dyDescent="0.25">
      <c r="A302" s="4" t="s">
        <v>1274</v>
      </c>
      <c r="B302" s="4" t="s">
        <v>890</v>
      </c>
      <c r="C302" s="4" t="str">
        <f>VLOOKUP(TableFields[Field],Columns[],2,0)&amp;"("</f>
        <v>foreignCascade(</v>
      </c>
      <c r="D302" s="4" t="str">
        <f>IF(VLOOKUP(TableFields[Field],Columns[],3,0)&lt;&gt;"","'"&amp;VLOOKUP(TableFields[Field],Columns[],3,0)&amp;"'","")</f>
        <v>'user'</v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02" s="4" t="str">
        <f>IF(VLOOKUP(TableFields[Field],Columns[],5,0)=0,"","-&gt;"&amp;VLOOKUP(TableFields[Field],Columns[],5,0))</f>
        <v/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03" spans="1:11" hidden="1" x14ac:dyDescent="0.25">
      <c r="A303" s="4" t="s">
        <v>1274</v>
      </c>
      <c r="B303" s="4" t="s">
        <v>1277</v>
      </c>
      <c r="C303" s="4" t="str">
        <f>VLOOKUP(TableFields[Field],Columns[],2,0)&amp;"("</f>
        <v>foreignCascade(</v>
      </c>
      <c r="D303" s="4" t="str">
        <f>IF(VLOOKUP(TableFields[Field],Columns[],3,0)&lt;&gt;"","'"&amp;VLOOKUP(TableFields[Field],Columns[],3,0)&amp;"'","")</f>
        <v>'setting'</v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303" s="4" t="str">
        <f>IF(VLOOKUP(TableFields[Field],Columns[],5,0)=0,"","-&gt;"&amp;VLOOKUP(TableFields[Field],Columns[],5,0))</f>
        <v/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304" spans="1:11" hidden="1" x14ac:dyDescent="0.25">
      <c r="A304" s="4" t="s">
        <v>1274</v>
      </c>
      <c r="B304" s="4" t="s">
        <v>44</v>
      </c>
      <c r="C304" s="4" t="str">
        <f>VLOOKUP(TableFields[Field],Columns[],2,0)&amp;"("</f>
        <v>string(</v>
      </c>
      <c r="D304" s="4" t="str">
        <f>IF(VLOOKUP(TableFields[Field],Columns[],3,0)&lt;&gt;"","'"&amp;VLOOKUP(TableFields[Field],Columns[],3,0)&amp;"'","")</f>
        <v>'value'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04" s="4" t="str">
        <f>IF(VLOOKUP(TableFields[Field],Columns[],5,0)=0,"","-&gt;"&amp;VLOOKUP(TableFields[Field],Columns[],5,0))</f>
        <v>-&gt;nullable()</v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05" spans="1:11" hidden="1" x14ac:dyDescent="0.25">
      <c r="A305" s="4" t="s">
        <v>1274</v>
      </c>
      <c r="B305" s="4" t="s">
        <v>776</v>
      </c>
      <c r="C305" s="4" t="str">
        <f>VLOOKUP(TableFields[Field],Columns[],2,0)&amp;"("</f>
        <v>enum(</v>
      </c>
      <c r="D305" s="4" t="str">
        <f>IF(VLOOKUP(TableFields[Field],Columns[],3,0)&lt;&gt;"","'"&amp;VLOOKUP(TableFields[Field],Columns[],3,0)&amp;"'","")</f>
        <v>'status'</v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05" s="4" t="str">
        <f>IF(VLOOKUP(TableFields[Field],Columns[],5,0)=0,"","-&gt;"&amp;VLOOKUP(TableFields[Field],Columns[],5,0))</f>
        <v>-&gt;nullable()</v>
      </c>
      <c r="G305" s="4" t="str">
        <f>IF(VLOOKUP(TableFields[Field],Columns[],6,0)=0,"","-&gt;"&amp;VLOOKUP(TableFields[Field],Columns[],6,0))</f>
        <v>-&gt;default('Active')</v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06" spans="1:11" hidden="1" x14ac:dyDescent="0.25">
      <c r="A306" s="4" t="s">
        <v>1274</v>
      </c>
      <c r="B306" s="4" t="s">
        <v>288</v>
      </c>
      <c r="C306" s="4" t="str">
        <f>VLOOKUP(TableFields[Field],Columns[],2,0)&amp;"("</f>
        <v>audit(</v>
      </c>
      <c r="D306" s="4" t="str">
        <f>IF(VLOOKUP(TableFields[Field],Columns[],3,0)&lt;&gt;"","'"&amp;VLOOKUP(TableFields[Field],Columns[],3,0)&amp;"'","")</f>
        <v/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6" s="4" t="str">
        <f>IF(VLOOKUP(TableFields[Field],Columns[],5,0)=0,"","-&gt;"&amp;VLOOKUP(TableFields[Field],Columns[],5,0))</f>
        <v/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7" spans="1:11" hidden="1" x14ac:dyDescent="0.25">
      <c r="A307" s="4" t="s">
        <v>1724</v>
      </c>
      <c r="B307" s="4" t="s">
        <v>21</v>
      </c>
      <c r="C307" s="4" t="str">
        <f>VLOOKUP(TableFields[Field],Columns[],2,0)&amp;"("</f>
        <v>bigIncrements(</v>
      </c>
      <c r="D307" s="4" t="str">
        <f>IF(VLOOKUP(TableFields[Field],Columns[],3,0)&lt;&gt;"","'"&amp;VLOOKUP(TableFields[Field],Columns[],3,0)&amp;"'","")</f>
        <v>'id'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7" s="4" t="str">
        <f>IF(VLOOKUP(TableFields[Field],Columns[],5,0)=0,"","-&gt;"&amp;VLOOKUP(TableFields[Field],Columns[],5,0))</f>
        <v/>
      </c>
      <c r="G307" s="4" t="str">
        <f>IF(VLOOKUP(TableFields[Field],Columns[],6,0)=0,"","-&gt;"&amp;VLOOKUP(TableFields[Field],Columns[],6,0))</f>
        <v/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8" spans="1:11" s="20" customFormat="1" hidden="1" x14ac:dyDescent="0.25">
      <c r="A308" s="4" t="s">
        <v>1724</v>
      </c>
      <c r="B308" s="4" t="s">
        <v>838</v>
      </c>
      <c r="C308" s="4" t="str">
        <f>VLOOKUP(TableFields[Field],Columns[],2,0)&amp;"("</f>
        <v>char(</v>
      </c>
      <c r="D308" s="4" t="str">
        <f>IF(VLOOKUP(TableFields[Field],Columns[],3,0)&lt;&gt;"","'"&amp;VLOOKUP(TableFields[Field],Columns[],3,0)&amp;"'","")</f>
        <v>'docno'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08" s="4" t="str">
        <f>IF(VLOOKUP(TableFields[Field],Columns[],5,0)=0,"","-&gt;"&amp;VLOOKUP(TableFields[Field],Columns[],5,0))</f>
        <v>-&gt;nullable()</v>
      </c>
      <c r="G308" s="4" t="str">
        <f>IF(VLOOKUP(TableFields[Field],Columns[],6,0)=0,"","-&gt;"&amp;VLOOKUP(TableFields[Field],Columns[],6,0))</f>
        <v>-&gt;index()</v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09" spans="1:11" hidden="1" x14ac:dyDescent="0.25">
      <c r="A309" s="4" t="s">
        <v>1724</v>
      </c>
      <c r="B309" s="4" t="s">
        <v>906</v>
      </c>
      <c r="C309" s="4" t="str">
        <f>VLOOKUP(TableFields[Field],Columns[],2,0)&amp;"("</f>
        <v>char(</v>
      </c>
      <c r="D309" s="4" t="str">
        <f>IF(VLOOKUP(TableFields[Field],Columns[],3,0)&lt;&gt;"","'"&amp;VLOOKUP(TableFields[Field],Columns[],3,0)&amp;"'","")</f>
        <v>'fycode'</v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09" s="4" t="str">
        <f>IF(VLOOKUP(TableFields[Field],Columns[],5,0)=0,"","-&gt;"&amp;VLOOKUP(TableFields[Field],Columns[],5,0))</f>
        <v>-&gt;nullable()</v>
      </c>
      <c r="G309" s="4" t="str">
        <f>IF(VLOOKUP(TableFields[Field],Columns[],6,0)=0,"","-&gt;"&amp;VLOOKUP(TableFields[Field],Columns[],6,0))</f>
        <v>-&gt;index()</v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10" spans="1:11" hidden="1" x14ac:dyDescent="0.25">
      <c r="A310" s="4" t="s">
        <v>1724</v>
      </c>
      <c r="B310" s="4" t="s">
        <v>859</v>
      </c>
      <c r="C310" s="4" t="str">
        <f>VLOOKUP(TableFields[Field],Columns[],2,0)&amp;"("</f>
        <v>char(</v>
      </c>
      <c r="D310" s="4" t="str">
        <f>IF(VLOOKUP(TableFields[Field],Columns[],3,0)&lt;&gt;"","'"&amp;VLOOKUP(TableFields[Field],Columns[],3,0)&amp;"'","")</f>
        <v>'fncode'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10" s="4" t="str">
        <f>IF(VLOOKUP(TableFields[Field],Columns[],5,0)=0,"","-&gt;"&amp;VLOOKUP(TableFields[Field],Columns[],5,0))</f>
        <v>-&gt;nullable()</v>
      </c>
      <c r="G310" s="4" t="str">
        <f>IF(VLOOKUP(TableFields[Field],Columns[],6,0)=0,"","-&gt;"&amp;VLOOKUP(TableFields[Field],Columns[],6,0))</f>
        <v>-&gt;index()</v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11" spans="1:11" hidden="1" x14ac:dyDescent="0.25">
      <c r="A311" s="4" t="s">
        <v>1724</v>
      </c>
      <c r="B311" s="4" t="s">
        <v>901</v>
      </c>
      <c r="C311" s="4" t="str">
        <f>VLOOKUP(TableFields[Field],Columns[],2,0)&amp;"("</f>
        <v>foreignNullable(</v>
      </c>
      <c r="D311" s="4" t="str">
        <f>IF(VLOOKUP(TableFields[Field],Columns[],3,0)&lt;&gt;"","'"&amp;VLOOKUP(TableFields[Field],Columns[],3,0)&amp;"'","")</f>
        <v>'user'</v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12" spans="1:11" hidden="1" x14ac:dyDescent="0.25">
      <c r="A312" s="4" t="s">
        <v>1724</v>
      </c>
      <c r="B312" s="4" t="s">
        <v>1726</v>
      </c>
      <c r="C312" s="4" t="str">
        <f>VLOOKUP(TableFields[Field],Columns[],2,0)&amp;"("</f>
        <v>enum(</v>
      </c>
      <c r="D312" s="4" t="str">
        <f>IF(VLOOKUP(TableFields[Field],Columns[],3,0)&lt;&gt;"","'"&amp;VLOOKUP(TableFields[Field],Columns[],3,0)&amp;"'","")</f>
        <v>'mode'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312" s="4" t="str">
        <f>IF(VLOOKUP(TableFields[Field],Columns[],5,0)=0,"","-&gt;"&amp;VLOOKUP(TableFields[Field],Columns[],5,0))</f>
        <v>-&gt;nullable()</v>
      </c>
      <c r="G312" s="4" t="str">
        <f>IF(VLOOKUP(TableFields[Field],Columns[],6,0)=0,"","-&gt;"&amp;VLOOKUP(TableFields[Field],Columns[],6,0))</f>
        <v>-&gt;default('Cash')</v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313" spans="1:11" hidden="1" x14ac:dyDescent="0.25">
      <c r="A313" s="4" t="s">
        <v>1724</v>
      </c>
      <c r="B313" s="4" t="s">
        <v>952</v>
      </c>
      <c r="C313" s="4" t="str">
        <f>VLOOKUP(TableFields[Field],Columns[],2,0)&amp;"("</f>
        <v>foreignNullable(</v>
      </c>
      <c r="D313" s="4" t="str">
        <f>IF(VLOOKUP(TableFields[Field],Columns[],3,0)&lt;&gt;"","'"&amp;VLOOKUP(TableFields[Field],Columns[],3,0)&amp;"'","")</f>
        <v>'customer'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3" s="4" t="str">
        <f>IF(VLOOKUP(TableFields[Field],Columns[],5,0)=0,"","-&gt;"&amp;VLOOKUP(TableFields[Field],Columns[],5,0))</f>
        <v/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14" spans="1:11" hidden="1" x14ac:dyDescent="0.25">
      <c r="A314" s="4" t="s">
        <v>1724</v>
      </c>
      <c r="B314" s="4" t="s">
        <v>832</v>
      </c>
      <c r="C314" s="4" t="str">
        <f>VLOOKUP(TableFields[Field],Columns[],2,0)&amp;"("</f>
        <v>timestamp(</v>
      </c>
      <c r="D314" s="4" t="str">
        <f>IF(VLOOKUP(TableFields[Field],Columns[],3,0)&lt;&gt;"","'"&amp;VLOOKUP(TableFields[Field],Columns[],3,0)&amp;"'","")</f>
        <v>'date'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4" s="4" t="str">
        <f>IF(VLOOKUP(TableFields[Field],Columns[],5,0)=0,"","-&gt;"&amp;VLOOKUP(TableFields[Field],Columns[],5,0))</f>
        <v>-&gt;default(DB::raw('CURRENT_TIMESTAMP'))</v>
      </c>
      <c r="G314" s="4" t="str">
        <f>IF(VLOOKUP(TableFields[Field],Columns[],6,0)=0,"","-&gt;"&amp;VLOOKUP(TableFields[Field],Columns[],6,0))</f>
        <v/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15" spans="1:11" hidden="1" x14ac:dyDescent="0.25">
      <c r="A315" s="4" t="s">
        <v>1724</v>
      </c>
      <c r="B315" s="4" t="s">
        <v>968</v>
      </c>
      <c r="C315" s="4" t="str">
        <f>VLOOKUP(TableFields[Field],Columns[],2,0)&amp;"("</f>
        <v>decimal(</v>
      </c>
      <c r="D315" s="4" t="str">
        <f>IF(VLOOKUP(TableFields[Field],Columns[],3,0)&lt;&gt;"","'"&amp;VLOOKUP(TableFields[Field],Columns[],3,0)&amp;"'","")</f>
        <v>'amount'</v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15" s="4" t="str">
        <f>IF(VLOOKUP(TableFields[Field],Columns[],5,0)=0,"","-&gt;"&amp;VLOOKUP(TableFields[Field],Columns[],5,0))</f>
        <v>-&gt;default(0)</v>
      </c>
      <c r="G315" s="4" t="str">
        <f>IF(VLOOKUP(TableFields[Field],Columns[],6,0)=0,"","-&gt;"&amp;VLOOKUP(TableFields[Field],Columns[],6,0))</f>
        <v/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316" spans="1:11" hidden="1" x14ac:dyDescent="0.25">
      <c r="A316" s="4" t="s">
        <v>1724</v>
      </c>
      <c r="B316" s="5" t="s">
        <v>1729</v>
      </c>
      <c r="C316" s="5" t="str">
        <f>VLOOKUP(TableFields[Field],Columns[],2,0)&amp;"("</f>
        <v>string(</v>
      </c>
      <c r="D316" s="5" t="str">
        <f>IF(VLOOKUP(TableFields[Field],Columns[],3,0)&lt;&gt;"","'"&amp;VLOOKUP(TableFields[Field],Columns[],3,0)&amp;"'","")</f>
        <v>'bank'</v>
      </c>
      <c r="E31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16" s="5" t="str">
        <f>IF(VLOOKUP(TableFields[Field],Columns[],5,0)=0,"","-&gt;"&amp;VLOOKUP(TableFields[Field],Columns[],5,0))</f>
        <v>-&gt;nullable()</v>
      </c>
      <c r="G316" s="5" t="str">
        <f>IF(VLOOKUP(TableFields[Field],Columns[],6,0)=0,"","-&gt;"&amp;VLOOKUP(TableFields[Field],Columns[],6,0))</f>
        <v/>
      </c>
      <c r="H316" s="5" t="str">
        <f>IF(VLOOKUP(TableFields[Field],Columns[],7,0)=0,"","-&gt;"&amp;VLOOKUP(TableFields[Field],Columns[],7,0))</f>
        <v/>
      </c>
      <c r="I316" s="5" t="str">
        <f>IF(VLOOKUP(TableFields[Field],Columns[],8,0)=0,"","-&gt;"&amp;VLOOKUP(TableFields[Field],Columns[],8,0))</f>
        <v/>
      </c>
      <c r="J316" s="5" t="str">
        <f>IF(VLOOKUP(TableFields[Field],Columns[],9,0)=0,"","-&gt;"&amp;VLOOKUP(TableFields[Field],Columns[],9,0))</f>
        <v/>
      </c>
      <c r="K316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317" spans="1:11" hidden="1" x14ac:dyDescent="0.25">
      <c r="A317" s="4" t="s">
        <v>1724</v>
      </c>
      <c r="B317" s="5" t="s">
        <v>1730</v>
      </c>
      <c r="C317" s="5" t="str">
        <f>VLOOKUP(TableFields[Field],Columns[],2,0)&amp;"("</f>
        <v>string(</v>
      </c>
      <c r="D317" s="5" t="str">
        <f>IF(VLOOKUP(TableFields[Field],Columns[],3,0)&lt;&gt;"","'"&amp;VLOOKUP(TableFields[Field],Columns[],3,0)&amp;"'","")</f>
        <v>'cheque'</v>
      </c>
      <c r="E31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17" s="5" t="str">
        <f>IF(VLOOKUP(TableFields[Field],Columns[],5,0)=0,"","-&gt;"&amp;VLOOKUP(TableFields[Field],Columns[],5,0))</f>
        <v>-&gt;nullable()</v>
      </c>
      <c r="G317" s="5" t="str">
        <f>IF(VLOOKUP(TableFields[Field],Columns[],6,0)=0,"","-&gt;"&amp;VLOOKUP(TableFields[Field],Columns[],6,0))</f>
        <v/>
      </c>
      <c r="H317" s="5" t="str">
        <f>IF(VLOOKUP(TableFields[Field],Columns[],7,0)=0,"","-&gt;"&amp;VLOOKUP(TableFields[Field],Columns[],7,0))</f>
        <v/>
      </c>
      <c r="I317" s="5" t="str">
        <f>IF(VLOOKUP(TableFields[Field],Columns[],8,0)=0,"","-&gt;"&amp;VLOOKUP(TableFields[Field],Columns[],8,0))</f>
        <v/>
      </c>
      <c r="J317" s="5" t="str">
        <f>IF(VLOOKUP(TableFields[Field],Columns[],9,0)=0,"","-&gt;"&amp;VLOOKUP(TableFields[Field],Columns[],9,0))</f>
        <v/>
      </c>
      <c r="K317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318" spans="1:11" hidden="1" x14ac:dyDescent="0.25">
      <c r="A318" s="4" t="s">
        <v>1724</v>
      </c>
      <c r="B318" s="4" t="s">
        <v>1731</v>
      </c>
      <c r="C318" s="4" t="str">
        <f>VLOOKUP(TableFields[Field],Columns[],2,0)&amp;"("</f>
        <v>datetime(</v>
      </c>
      <c r="D318" s="4" t="str">
        <f>IF(VLOOKUP(TableFields[Field],Columns[],3,0)&lt;&gt;"","'"&amp;VLOOKUP(TableFields[Field],Columns[],3,0)&amp;"'","")</f>
        <v>'cheque_date'</v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8" s="4" t="str">
        <f>IF(VLOOKUP(TableFields[Field],Columns[],5,0)=0,"","-&gt;"&amp;VLOOKUP(TableFields[Field],Columns[],5,0))</f>
        <v>-&gt;nullable()</v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319" spans="1:11" hidden="1" x14ac:dyDescent="0.25">
      <c r="A319" s="4" t="s">
        <v>1724</v>
      </c>
      <c r="B319" s="4" t="s">
        <v>1689</v>
      </c>
      <c r="C319" s="4" t="str">
        <f>VLOOKUP(TableFields[Field],Columns[],2,0)&amp;"("</f>
        <v>char(</v>
      </c>
      <c r="D319" s="4" t="str">
        <f>IF(VLOOKUP(TableFields[Field],Columns[],3,0)&lt;&gt;"","'"&amp;VLOOKUP(TableFields[Field],Columns[],3,0)&amp;"'","")</f>
        <v>'_ref'</v>
      </c>
      <c r="E3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19" s="4" t="str">
        <f>IF(VLOOKUP(TableFields[Field],Columns[],5,0)=0,"","-&gt;"&amp;VLOOKUP(TableFields[Field],Columns[],5,0))</f>
        <v>-&gt;nullable()</v>
      </c>
      <c r="G319" s="4" t="str">
        <f>IF(VLOOKUP(TableFields[Field],Columns[],6,0)=0,"","-&gt;"&amp;VLOOKUP(TableFields[Field],Columns[],6,0))</f>
        <v>-&gt;index()</v>
      </c>
      <c r="H319" s="4" t="str">
        <f>IF(VLOOKUP(TableFields[Field],Columns[],7,0)=0,"","-&gt;"&amp;VLOOKUP(TableFields[Field],Columns[],7,0))</f>
        <v/>
      </c>
      <c r="I319" s="4" t="str">
        <f>IF(VLOOKUP(TableFields[Field],Columns[],8,0)=0,"","-&gt;"&amp;VLOOKUP(TableFields[Field],Columns[],8,0))</f>
        <v/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20" spans="1:11" hidden="1" x14ac:dyDescent="0.25">
      <c r="A320" s="4" t="s">
        <v>1724</v>
      </c>
      <c r="B320" s="4" t="s">
        <v>776</v>
      </c>
      <c r="C320" s="4" t="str">
        <f>VLOOKUP(TableFields[Field],Columns[],2,0)&amp;"("</f>
        <v>enum(</v>
      </c>
      <c r="D320" s="4" t="str">
        <f>IF(VLOOKUP(TableFields[Field],Columns[],3,0)&lt;&gt;"","'"&amp;VLOOKUP(TableFields[Field],Columns[],3,0)&amp;"'","")</f>
        <v>'status'</v>
      </c>
      <c r="E3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20" s="4" t="str">
        <f>IF(VLOOKUP(TableFields[Field],Columns[],5,0)=0,"","-&gt;"&amp;VLOOKUP(TableFields[Field],Columns[],5,0))</f>
        <v>-&gt;nullable()</v>
      </c>
      <c r="G320" s="4" t="str">
        <f>IF(VLOOKUP(TableFields[Field],Columns[],6,0)=0,"","-&gt;"&amp;VLOOKUP(TableFields[Field],Columns[],6,0))</f>
        <v>-&gt;default('Active')</v>
      </c>
      <c r="H320" s="4" t="str">
        <f>IF(VLOOKUP(TableFields[Field],Columns[],7,0)=0,"","-&gt;"&amp;VLOOKUP(TableFields[Field],Columns[],7,0))</f>
        <v/>
      </c>
      <c r="I320" s="4" t="str">
        <f>IF(VLOOKUP(TableFields[Field],Columns[],8,0)=0,"","-&gt;"&amp;VLOOKUP(TableFields[Field],Columns[],8,0))</f>
        <v/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21" spans="1:11" hidden="1" x14ac:dyDescent="0.25">
      <c r="A321" s="4" t="s">
        <v>1724</v>
      </c>
      <c r="B321" s="4" t="s">
        <v>288</v>
      </c>
      <c r="C321" s="5" t="str">
        <f>VLOOKUP(TableFields[Field],Columns[],2,0)&amp;"("</f>
        <v>audit(</v>
      </c>
      <c r="D321" s="5" t="str">
        <f>IF(VLOOKUP(TableFields[Field],Columns[],3,0)&lt;&gt;"","'"&amp;VLOOKUP(TableFields[Field],Columns[],3,0)&amp;"'","")</f>
        <v/>
      </c>
      <c r="E32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1" s="5" t="str">
        <f>IF(VLOOKUP(TableFields[Field],Columns[],5,0)=0,"","-&gt;"&amp;VLOOKUP(TableFields[Field],Columns[],5,0))</f>
        <v/>
      </c>
      <c r="G321" s="5" t="str">
        <f>IF(VLOOKUP(TableFields[Field],Columns[],6,0)=0,"","-&gt;"&amp;VLOOKUP(TableFields[Field],Columns[],6,0))</f>
        <v/>
      </c>
      <c r="H321" s="5" t="str">
        <f>IF(VLOOKUP(TableFields[Field],Columns[],7,0)=0,"","-&gt;"&amp;VLOOKUP(TableFields[Field],Columns[],7,0))</f>
        <v/>
      </c>
      <c r="I321" s="5" t="str">
        <f>IF(VLOOKUP(TableFields[Field],Columns[],8,0)=0,"","-&gt;"&amp;VLOOKUP(TableFields[Field],Columns[],8,0))</f>
        <v/>
      </c>
      <c r="J321" s="5" t="str">
        <f>IF(VLOOKUP(TableFields[Field],Columns[],9,0)=0,"","-&gt;"&amp;VLOOKUP(TableFields[Field],Columns[],9,0))</f>
        <v/>
      </c>
      <c r="K321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22" spans="1:11" hidden="1" x14ac:dyDescent="0.25">
      <c r="A322" s="4" t="s">
        <v>1735</v>
      </c>
      <c r="B322" s="4" t="s">
        <v>21</v>
      </c>
      <c r="C322" s="4" t="str">
        <f>VLOOKUP(TableFields[Field],Columns[],2,0)&amp;"("</f>
        <v>bigIncrements(</v>
      </c>
      <c r="D322" s="4" t="str">
        <f>IF(VLOOKUP(TableFields[Field],Columns[],3,0)&lt;&gt;"","'"&amp;VLOOKUP(TableFields[Field],Columns[],3,0)&amp;"'","")</f>
        <v>'id'</v>
      </c>
      <c r="E3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2" s="4" t="str">
        <f>IF(VLOOKUP(TableFields[Field],Columns[],5,0)=0,"","-&gt;"&amp;VLOOKUP(TableFields[Field],Columns[],5,0))</f>
        <v/>
      </c>
      <c r="G322" s="4" t="str">
        <f>IF(VLOOKUP(TableFields[Field],Columns[],6,0)=0,"","-&gt;"&amp;VLOOKUP(TableFields[Field],Columns[],6,0))</f>
        <v/>
      </c>
      <c r="H322" s="4" t="str">
        <f>IF(VLOOKUP(TableFields[Field],Columns[],7,0)=0,"","-&gt;"&amp;VLOOKUP(TableFields[Field],Columns[],7,0))</f>
        <v/>
      </c>
      <c r="I322" s="4" t="str">
        <f>IF(VLOOKUP(TableFields[Field],Columns[],8,0)=0,"","-&gt;"&amp;VLOOKUP(TableFields[Field],Columns[],8,0))</f>
        <v/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23" spans="1:11" hidden="1" x14ac:dyDescent="0.25">
      <c r="A323" s="4" t="s">
        <v>1735</v>
      </c>
      <c r="B323" s="4" t="s">
        <v>859</v>
      </c>
      <c r="C323" s="4" t="str">
        <f>VLOOKUP(TableFields[Field],Columns[],2,0)&amp;"("</f>
        <v>char(</v>
      </c>
      <c r="D323" s="4" t="str">
        <f>IF(VLOOKUP(TableFields[Field],Columns[],3,0)&lt;&gt;"","'"&amp;VLOOKUP(TableFields[Field],Columns[],3,0)&amp;"'","")</f>
        <v>'fncode'</v>
      </c>
      <c r="E3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3" s="4" t="str">
        <f>IF(VLOOKUP(TableFields[Field],Columns[],5,0)=0,"","-&gt;"&amp;VLOOKUP(TableFields[Field],Columns[],5,0))</f>
        <v>-&gt;nullable()</v>
      </c>
      <c r="G323" s="4" t="str">
        <f>IF(VLOOKUP(TableFields[Field],Columns[],6,0)=0,"","-&gt;"&amp;VLOOKUP(TableFields[Field],Columns[],6,0))</f>
        <v>-&gt;index()</v>
      </c>
      <c r="H323" s="4" t="str">
        <f>IF(VLOOKUP(TableFields[Field],Columns[],7,0)=0,"","-&gt;"&amp;VLOOKUP(TableFields[Field],Columns[],7,0))</f>
        <v/>
      </c>
      <c r="I323" s="4" t="str">
        <f>IF(VLOOKUP(TableFields[Field],Columns[],8,0)=0,"","-&gt;"&amp;VLOOKUP(TableFields[Field],Columns[],8,0))</f>
        <v/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24" spans="1:11" hidden="1" x14ac:dyDescent="0.25">
      <c r="A324" s="4" t="s">
        <v>1735</v>
      </c>
      <c r="B324" s="4" t="s">
        <v>901</v>
      </c>
      <c r="C324" s="4" t="str">
        <f>VLOOKUP(TableFields[Field],Columns[],2,0)&amp;"("</f>
        <v>foreignNullable(</v>
      </c>
      <c r="D324" s="4" t="str">
        <f>IF(VLOOKUP(TableFields[Field],Columns[],3,0)&lt;&gt;"","'"&amp;VLOOKUP(TableFields[Field],Columns[],3,0)&amp;"'","")</f>
        <v>'user'</v>
      </c>
      <c r="E3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4" s="4" t="str">
        <f>IF(VLOOKUP(TableFields[Field],Columns[],5,0)=0,"","-&gt;"&amp;VLOOKUP(TableFields[Field],Columns[],5,0))</f>
        <v/>
      </c>
      <c r="G324" s="4" t="str">
        <f>IF(VLOOKUP(TableFields[Field],Columns[],6,0)=0,"","-&gt;"&amp;VLOOKUP(TableFields[Field],Columns[],6,0))</f>
        <v/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25" spans="1:11" hidden="1" x14ac:dyDescent="0.25">
      <c r="A325" s="4" t="s">
        <v>1735</v>
      </c>
      <c r="B325" s="4" t="s">
        <v>821</v>
      </c>
      <c r="C325" s="4" t="str">
        <f>VLOOKUP(TableFields[Field],Columns[],2,0)&amp;"("</f>
        <v>foreignNullable(</v>
      </c>
      <c r="D325" s="4" t="str">
        <f>IF(VLOOKUP(TableFields[Field],Columns[],3,0)&lt;&gt;"","'"&amp;VLOOKUP(TableFields[Field],Columns[],3,0)&amp;"'","")</f>
        <v>'store'</v>
      </c>
      <c r="E3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25" s="4" t="str">
        <f>IF(VLOOKUP(TableFields[Field],Columns[],5,0)=0,"","-&gt;"&amp;VLOOKUP(TableFields[Field],Columns[],5,0))</f>
        <v/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26" spans="1:11" hidden="1" x14ac:dyDescent="0.25">
      <c r="A326" s="4" t="s">
        <v>1735</v>
      </c>
      <c r="B326" s="4" t="s">
        <v>1736</v>
      </c>
      <c r="C326" s="5" t="str">
        <f>VLOOKUP(TableFields[Field],Columns[],2,0)&amp;"("</f>
        <v>unsignedInteger(</v>
      </c>
      <c r="D326" s="5" t="str">
        <f>IF(VLOOKUP(TableFields[Field],Columns[],3,0)&lt;&gt;"","'"&amp;VLOOKUP(TableFields[Field],Columns[],3,0)&amp;"'","")</f>
        <v>'start_num'</v>
      </c>
      <c r="E32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6" s="5" t="str">
        <f>IF(VLOOKUP(TableFields[Field],Columns[],5,0)=0,"","-&gt;"&amp;VLOOKUP(TableFields[Field],Columns[],5,0))</f>
        <v>-&gt;nullable()</v>
      </c>
      <c r="G326" s="5" t="str">
        <f>IF(VLOOKUP(TableFields[Field],Columns[],6,0)=0,"","-&gt;"&amp;VLOOKUP(TableFields[Field],Columns[],6,0))</f>
        <v/>
      </c>
      <c r="H326" s="5" t="str">
        <f>IF(VLOOKUP(TableFields[Field],Columns[],7,0)=0,"","-&gt;"&amp;VLOOKUP(TableFields[Field],Columns[],7,0))</f>
        <v/>
      </c>
      <c r="I326" s="5" t="str">
        <f>IF(VLOOKUP(TableFields[Field],Columns[],8,0)=0,"","-&gt;"&amp;VLOOKUP(TableFields[Field],Columns[],8,0))</f>
        <v/>
      </c>
      <c r="J326" s="5" t="str">
        <f>IF(VLOOKUP(TableFields[Field],Columns[],9,0)=0,"","-&gt;"&amp;VLOOKUP(TableFields[Field],Columns[],9,0))</f>
        <v/>
      </c>
      <c r="K326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27" spans="1:11" hidden="1" x14ac:dyDescent="0.25">
      <c r="A327" s="4" t="s">
        <v>1735</v>
      </c>
      <c r="B327" s="4" t="s">
        <v>1737</v>
      </c>
      <c r="C327" s="4" t="str">
        <f>VLOOKUP(TableFields[Field],Columns[],2,0)&amp;"("</f>
        <v>unsignedInteger(</v>
      </c>
      <c r="D327" s="4" t="str">
        <f>IF(VLOOKUP(TableFields[Field],Columns[],3,0)&lt;&gt;"","'"&amp;VLOOKUP(TableFields[Field],Columns[],3,0)&amp;"'","")</f>
        <v>'end_num'</v>
      </c>
      <c r="E3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7" s="4" t="str">
        <f>IF(VLOOKUP(TableFields[Field],Columns[],5,0)=0,"","-&gt;"&amp;VLOOKUP(TableFields[Field],Columns[],5,0))</f>
        <v>-&gt;nullable()</v>
      </c>
      <c r="G327" s="4" t="str">
        <f>IF(VLOOKUP(TableFields[Field],Columns[],6,0)=0,"","-&gt;"&amp;VLOOKUP(TableFields[Field],Columns[],6,0))</f>
        <v/>
      </c>
      <c r="H327" s="4" t="str">
        <f>IF(VLOOKUP(TableFields[Field],Columns[],7,0)=0,"","-&gt;"&amp;VLOOKUP(TableFields[Field],Columns[],7,0))</f>
        <v/>
      </c>
      <c r="I327" s="4" t="str">
        <f>IF(VLOOKUP(TableFields[Field],Columns[],8,0)=0,"","-&gt;"&amp;VLOOKUP(TableFields[Field],Columns[],8,0))</f>
        <v/>
      </c>
      <c r="J327" s="4" t="str">
        <f>IF(VLOOKUP(TableFields[Field],Columns[],9,0)=0,"","-&gt;"&amp;VLOOKUP(TableFields[Field],Columns[],9,0))</f>
        <v/>
      </c>
      <c r="K327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28" spans="1:11" hidden="1" x14ac:dyDescent="0.25">
      <c r="A328" s="4" t="s">
        <v>1735</v>
      </c>
      <c r="B328" s="4" t="s">
        <v>827</v>
      </c>
      <c r="C328" s="4" t="str">
        <f>VLOOKUP(TableFields[Field],Columns[],2,0)&amp;"("</f>
        <v>decimal(</v>
      </c>
      <c r="D328" s="4" t="str">
        <f>IF(VLOOKUP(TableFields[Field],Columns[],3,0)&lt;&gt;"","'"&amp;VLOOKUP(TableFields[Field],Columns[],3,0)&amp;"'","")</f>
        <v>'quantity'</v>
      </c>
      <c r="E3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28" s="4" t="str">
        <f>IF(VLOOKUP(TableFields[Field],Columns[],5,0)=0,"","-&gt;"&amp;VLOOKUP(TableFields[Field],Columns[],5,0))</f>
        <v>-&gt;default(1)</v>
      </c>
      <c r="G328" s="4" t="str">
        <f>IF(VLOOKUP(TableFields[Field],Columns[],6,0)=0,"","-&gt;"&amp;VLOOKUP(TableFields[Field],Columns[],6,0))</f>
        <v/>
      </c>
      <c r="H328" s="4" t="str">
        <f>IF(VLOOKUP(TableFields[Field],Columns[],7,0)=0,"","-&gt;"&amp;VLOOKUP(TableFields[Field],Columns[],7,0))</f>
        <v/>
      </c>
      <c r="I328" s="4" t="str">
        <f>IF(VLOOKUP(TableFields[Field],Columns[],8,0)=0,"","-&gt;"&amp;VLOOKUP(TableFields[Field],Columns[],8,0))</f>
        <v/>
      </c>
      <c r="J328" s="4" t="str">
        <f>IF(VLOOKUP(TableFields[Field],Columns[],9,0)=0,"","-&gt;"&amp;VLOOKUP(TableFields[Field],Columns[],9,0))</f>
        <v/>
      </c>
      <c r="K328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29" spans="1:11" hidden="1" x14ac:dyDescent="0.25">
      <c r="A329" s="4" t="s">
        <v>1735</v>
      </c>
      <c r="B329" s="4" t="s">
        <v>1753</v>
      </c>
      <c r="C329" s="4" t="str">
        <f>VLOOKUP(TableFields[Field],Columns[],2,0)&amp;"("</f>
        <v>unsignedInteger(</v>
      </c>
      <c r="D329" s="4" t="str">
        <f>IF(VLOOKUP(TableFields[Field],Columns[],3,0)&lt;&gt;"","'"&amp;VLOOKUP(TableFields[Field],Columns[],3,0)&amp;"'","")</f>
        <v>'current'</v>
      </c>
      <c r="E3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9" s="4" t="str">
        <f>IF(VLOOKUP(TableFields[Field],Columns[],5,0)=0,"","-&gt;"&amp;VLOOKUP(TableFields[Field],Columns[],5,0))</f>
        <v>-&gt;nullable()</v>
      </c>
      <c r="G329" s="4" t="str">
        <f>IF(VLOOKUP(TableFields[Field],Columns[],6,0)=0,"","-&gt;"&amp;VLOOKUP(TableFields[Field],Columns[],6,0))</f>
        <v>-&gt;default(0)</v>
      </c>
      <c r="H329" s="4" t="str">
        <f>IF(VLOOKUP(TableFields[Field],Columns[],7,0)=0,"","-&gt;"&amp;VLOOKUP(TableFields[Field],Columns[],7,0))</f>
        <v/>
      </c>
      <c r="I329" s="4" t="str">
        <f>IF(VLOOKUP(TableFields[Field],Columns[],8,0)=0,"","-&gt;"&amp;VLOOKUP(TableFields[Field],Columns[],8,0))</f>
        <v/>
      </c>
      <c r="J329" s="4" t="str">
        <f>IF(VLOOKUP(TableFields[Field],Columns[],9,0)=0,"","-&gt;"&amp;VLOOKUP(TableFields[Field],Columns[],9,0))</f>
        <v/>
      </c>
      <c r="K329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30" spans="1:11" hidden="1" x14ac:dyDescent="0.25">
      <c r="A330" s="4" t="s">
        <v>1735</v>
      </c>
      <c r="B330" s="4" t="s">
        <v>1739</v>
      </c>
      <c r="C330" s="4" t="str">
        <f>VLOOKUP(TableFields[Field],Columns[],2,0)&amp;"("</f>
        <v>enum(</v>
      </c>
      <c r="D330" s="4" t="str">
        <f>IF(VLOOKUP(TableFields[Field],Columns[],3,0)&lt;&gt;"","'"&amp;VLOOKUP(TableFields[Field],Columns[],3,0)&amp;"'","")</f>
        <v>'progress'</v>
      </c>
      <c r="E3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>-&gt;default('Awaiting')</v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31" spans="1:11" hidden="1" x14ac:dyDescent="0.25">
      <c r="A331" s="4" t="s">
        <v>1735</v>
      </c>
      <c r="B331" s="4" t="s">
        <v>776</v>
      </c>
      <c r="C331" s="4" t="str">
        <f>VLOOKUP(TableFields[Field],Columns[],2,0)&amp;"("</f>
        <v>enum(</v>
      </c>
      <c r="D331" s="4" t="str">
        <f>IF(VLOOKUP(TableFields[Field],Columns[],3,0)&lt;&gt;"","'"&amp;VLOOKUP(TableFields[Field],Columns[],3,0)&amp;"'","")</f>
        <v>'status'</v>
      </c>
      <c r="E3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>-&gt;default('Active')</v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32" spans="1:11" hidden="1" x14ac:dyDescent="0.25">
      <c r="A332" s="4" t="s">
        <v>1735</v>
      </c>
      <c r="B332" s="4" t="s">
        <v>288</v>
      </c>
      <c r="C332" s="4" t="str">
        <f>VLOOKUP(TableFields[Field],Columns[],2,0)&amp;"("</f>
        <v>audit(</v>
      </c>
      <c r="D332" s="4" t="str">
        <f>IF(VLOOKUP(TableFields[Field],Columns[],3,0)&lt;&gt;"","'"&amp;VLOOKUP(TableFields[Field],Columns[],3,0)&amp;"'","")</f>
        <v/>
      </c>
      <c r="E3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2" s="4" t="str">
        <f>IF(VLOOKUP(TableFields[Field],Columns[],5,0)=0,"","-&gt;"&amp;VLOOKUP(TableFields[Field],Columns[],5,0))</f>
        <v/>
      </c>
      <c r="G332" s="4" t="str">
        <f>IF(VLOOKUP(TableFields[Field],Columns[],6,0)=0,"","-&gt;"&amp;VLOOKUP(TableFields[Field],Columns[],6,0))</f>
        <v/>
      </c>
      <c r="H332" s="4" t="str">
        <f>IF(VLOOKUP(TableFields[Field],Columns[],7,0)=0,"","-&gt;"&amp;VLOOKUP(TableFields[Field],Columns[],7,0))</f>
        <v/>
      </c>
      <c r="I332" s="4" t="str">
        <f>IF(VLOOKUP(TableFields[Field],Columns[],8,0)=0,"","-&gt;"&amp;VLOOKUP(TableFields[Field],Columns[],8,0))</f>
        <v/>
      </c>
      <c r="J332" s="4" t="str">
        <f>IF(VLOOKUP(TableFields[Field],Columns[],9,0)=0,"","-&gt;"&amp;VLOOKUP(TableFields[Field],Columns[],9,0))</f>
        <v/>
      </c>
      <c r="K33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3" spans="1:11" hidden="1" x14ac:dyDescent="0.25">
      <c r="A333" s="4" t="s">
        <v>1756</v>
      </c>
      <c r="B333" s="4" t="s">
        <v>21</v>
      </c>
      <c r="C333" s="4" t="str">
        <f>VLOOKUP(TableFields[Field],Columns[],2,0)&amp;"("</f>
        <v>bigIncrements(</v>
      </c>
      <c r="D333" s="4" t="str">
        <f>IF(VLOOKUP(TableFields[Field],Columns[],3,0)&lt;&gt;"","'"&amp;VLOOKUP(TableFields[Field],Columns[],3,0)&amp;"'","")</f>
        <v>'id'</v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3" s="4" t="str">
        <f>IF(VLOOKUP(TableFields[Field],Columns[],5,0)=0,"","-&gt;"&amp;VLOOKUP(TableFields[Field],Columns[],5,0))</f>
        <v/>
      </c>
      <c r="G333" s="4" t="str">
        <f>IF(VLOOKUP(TableFields[Field],Columns[],6,0)=0,"","-&gt;"&amp;VLOOKUP(TableFields[Field],Columns[],6,0))</f>
        <v/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34" spans="1:11" s="20" customFormat="1" hidden="1" x14ac:dyDescent="0.25">
      <c r="A334" s="4" t="s">
        <v>1756</v>
      </c>
      <c r="B334" s="4" t="s">
        <v>957</v>
      </c>
      <c r="C334" s="4" t="str">
        <f>VLOOKUP(TableFields[Field],Columns[],2,0)&amp;"("</f>
        <v>foreignNullable(</v>
      </c>
      <c r="D334" s="4" t="str">
        <f>IF(VLOOKUP(TableFields[Field],Columns[],3,0)&lt;&gt;"","'"&amp;VLOOKUP(TableFields[Field],Columns[],3,0)&amp;"'","")</f>
        <v>'so'</v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334" s="4" t="str">
        <f>IF(VLOOKUP(TableFields[Field],Columns[],5,0)=0,"","-&gt;"&amp;VLOOKUP(TableFields[Field],Columns[],5,0))</f>
        <v/>
      </c>
      <c r="G334" s="4" t="str">
        <f>IF(VLOOKUP(TableFields[Field],Columns[],6,0)=0,"","-&gt;"&amp;VLOOKUP(TableFields[Field],Columns[],6,0))</f>
        <v/>
      </c>
      <c r="H334" s="4" t="str">
        <f>IF(VLOOKUP(TableFields[Field],Columns[],7,0)=0,"","-&gt;"&amp;VLOOKUP(TableFields[Field],Columns[],7,0))</f>
        <v/>
      </c>
      <c r="I334" s="4" t="str">
        <f>IF(VLOOKUP(TableFields[Field],Columns[],8,0)=0,"","-&gt;"&amp;VLOOKUP(TableFields[Field],Columns[],8,0))</f>
        <v/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335" spans="1:11" s="20" customFormat="1" hidden="1" x14ac:dyDescent="0.25">
      <c r="A335" s="4" t="s">
        <v>1756</v>
      </c>
      <c r="B335" s="4" t="s">
        <v>822</v>
      </c>
      <c r="C335" s="4" t="str">
        <f>VLOOKUP(TableFields[Field],Columns[],2,0)&amp;"("</f>
        <v>foreignNullable(</v>
      </c>
      <c r="D335" s="4" t="str">
        <f>IF(VLOOKUP(TableFields[Field],Columns[],3,0)&lt;&gt;"","'"&amp;VLOOKUP(TableFields[Field],Columns[],3,0)&amp;"'","")</f>
        <v>'product'</v>
      </c>
      <c r="E3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335" s="4" t="str">
        <f>IF(VLOOKUP(TableFields[Field],Columns[],5,0)=0,"","-&gt;"&amp;VLOOKUP(TableFields[Field],Columns[],5,0))</f>
        <v/>
      </c>
      <c r="G335" s="4" t="str">
        <f>IF(VLOOKUP(TableFields[Field],Columns[],6,0)=0,"","-&gt;"&amp;VLOOKUP(TableFields[Field],Columns[],6,0))</f>
        <v/>
      </c>
      <c r="H335" s="4" t="str">
        <f>IF(VLOOKUP(TableFields[Field],Columns[],7,0)=0,"","-&gt;"&amp;VLOOKUP(TableFields[Field],Columns[],7,0))</f>
        <v/>
      </c>
      <c r="I335" s="4" t="str">
        <f>IF(VLOOKUP(TableFields[Field],Columns[],8,0)=0,"","-&gt;"&amp;VLOOKUP(TableFields[Field],Columns[],8,0))</f>
        <v/>
      </c>
      <c r="J335" s="4" t="str">
        <f>IF(VLOOKUP(TableFields[Field],Columns[],9,0)=0,"","-&gt;"&amp;VLOOKUP(TableFields[Field],Columns[],9,0))</f>
        <v/>
      </c>
      <c r="K33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336" spans="1:11" hidden="1" x14ac:dyDescent="0.25">
      <c r="A336" s="4" t="s">
        <v>1756</v>
      </c>
      <c r="B336" s="4" t="s">
        <v>827</v>
      </c>
      <c r="C336" s="4" t="str">
        <f>VLOOKUP(TableFields[Field],Columns[],2,0)&amp;"("</f>
        <v>decimal(</v>
      </c>
      <c r="D336" s="4" t="str">
        <f>IF(VLOOKUP(TableFields[Field],Columns[],3,0)&lt;&gt;"","'"&amp;VLOOKUP(TableFields[Field],Columns[],3,0)&amp;"'","")</f>
        <v>'quantity'</v>
      </c>
      <c r="E3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36" s="4" t="str">
        <f>IF(VLOOKUP(TableFields[Field],Columns[],5,0)=0,"","-&gt;"&amp;VLOOKUP(TableFields[Field],Columns[],5,0))</f>
        <v>-&gt;default(1)</v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37" spans="1:11" hidden="1" x14ac:dyDescent="0.25">
      <c r="A337" s="4" t="s">
        <v>1756</v>
      </c>
      <c r="B337" s="4" t="s">
        <v>1757</v>
      </c>
      <c r="C337" s="4" t="str">
        <f>VLOOKUP(TableFields[Field],Columns[],2,0)&amp;"("</f>
        <v>foreignNullable(</v>
      </c>
      <c r="D337" s="4" t="str">
        <f>IF(VLOOKUP(TableFields[Field],Columns[],3,0)&lt;&gt;"","'"&amp;VLOOKUP(TableFields[Field],Columns[],3,0)&amp;"'","")</f>
        <v>'transaction'</v>
      </c>
      <c r="E3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337" s="4" t="str">
        <f>IF(VLOOKUP(TableFields[Field],Columns[],5,0)=0,"","-&gt;"&amp;VLOOKUP(TableFields[Field],Columns[],5,0))</f>
        <v/>
      </c>
      <c r="G337" s="4" t="str">
        <f>IF(VLOOKUP(TableFields[Field],Columns[],6,0)=0,"","-&gt;"&amp;VLOOKUP(TableFields[Field],Columns[],6,0))</f>
        <v/>
      </c>
      <c r="H337" s="4" t="str">
        <f>IF(VLOOKUP(TableFields[Field],Columns[],7,0)=0,"","-&gt;"&amp;VLOOKUP(TableFields[Field],Columns[],7,0))</f>
        <v/>
      </c>
      <c r="I337" s="4" t="str">
        <f>IF(VLOOKUP(TableFields[Field],Columns[],8,0)=0,"","-&gt;"&amp;VLOOKUP(TableFields[Field],Columns[],8,0))</f>
        <v/>
      </c>
      <c r="J337" s="4" t="str">
        <f>IF(VLOOKUP(TableFields[Field],Columns[],9,0)=0,"","-&gt;"&amp;VLOOKUP(TableFields[Field],Columns[],9,0))</f>
        <v/>
      </c>
      <c r="K33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$table-&gt;foreignNullable('transaction', 'transactions');</v>
      </c>
    </row>
    <row r="338" spans="1:11" hidden="1" x14ac:dyDescent="0.25">
      <c r="A338" s="4" t="s">
        <v>1756</v>
      </c>
      <c r="B338" s="4" t="s">
        <v>1758</v>
      </c>
      <c r="C338" s="4" t="str">
        <f>VLOOKUP(TableFields[Field],Columns[],2,0)&amp;"("</f>
        <v>decimal(</v>
      </c>
      <c r="D338" s="4" t="str">
        <f>IF(VLOOKUP(TableFields[Field],Columns[],3,0)&lt;&gt;"","'"&amp;VLOOKUP(TableFields[Field],Columns[],3,0)&amp;"'","")</f>
        <v>'sale_quantity'</v>
      </c>
      <c r="E3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38" s="4" t="str">
        <f>IF(VLOOKUP(TableFields[Field],Columns[],5,0)=0,"","-&gt;"&amp;VLOOKUP(TableFields[Field],Columns[],5,0))</f>
        <v>-&gt;default(0)</v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$table-&gt;decimal('sale_quantity', 30,10)-&gt;default(0);</v>
      </c>
    </row>
    <row r="339" spans="1:11" hidden="1" x14ac:dyDescent="0.25">
      <c r="A339" s="4" t="s">
        <v>1756</v>
      </c>
      <c r="B339" s="4" t="s">
        <v>288</v>
      </c>
      <c r="C339" s="4" t="str">
        <f>VLOOKUP(TableFields[Field],Columns[],2,0)&amp;"("</f>
        <v>audit(</v>
      </c>
      <c r="D339" s="4" t="str">
        <f>IF(VLOOKUP(TableFields[Field],Columns[],3,0)&lt;&gt;"","'"&amp;VLOOKUP(TableFields[Field],Columns[],3,0)&amp;"'","")</f>
        <v/>
      </c>
      <c r="E3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9" s="4" t="str">
        <f>IF(VLOOKUP(TableFields[Field],Columns[],5,0)=0,"","-&gt;"&amp;VLOOKUP(TableFields[Field],Columns[],5,0))</f>
        <v/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1" spans="1:11" s="20" customFormat="1" x14ac:dyDescent="0.25">
      <c r="A341"/>
      <c r="B341"/>
      <c r="C341"/>
      <c r="D341"/>
      <c r="E341"/>
      <c r="F341"/>
      <c r="G341"/>
      <c r="H341"/>
      <c r="I341"/>
      <c r="J341"/>
      <c r="K341"/>
    </row>
    <row r="349" spans="1:11" s="20" customFormat="1" x14ac:dyDescent="0.25">
      <c r="A349"/>
      <c r="B349"/>
      <c r="C349"/>
      <c r="D349"/>
      <c r="E349"/>
      <c r="F349"/>
      <c r="G349"/>
      <c r="H349"/>
      <c r="I349"/>
      <c r="J349"/>
      <c r="K349"/>
    </row>
    <row r="362" spans="1:11" s="20" customFormat="1" x14ac:dyDescent="0.25">
      <c r="A362"/>
      <c r="B362"/>
      <c r="C362"/>
      <c r="D362"/>
      <c r="E362"/>
      <c r="F362"/>
      <c r="G362"/>
      <c r="H362"/>
      <c r="I362"/>
      <c r="J362"/>
      <c r="K362"/>
    </row>
  </sheetData>
  <dataConsolidate/>
  <conditionalFormatting sqref="B267">
    <cfRule type="duplicateValues" dxfId="4" priority="7"/>
  </conditionalFormatting>
  <conditionalFormatting sqref="B313">
    <cfRule type="duplicateValues" dxfId="3" priority="3"/>
  </conditionalFormatting>
  <conditionalFormatting sqref="B326:B327">
    <cfRule type="duplicateValues" dxfId="2" priority="2"/>
  </conditionalFormatting>
  <conditionalFormatting sqref="B326:B327">
    <cfRule type="duplicateValues" dxfId="1" priority="1"/>
  </conditionalFormatting>
  <conditionalFormatting sqref="B145:B152">
    <cfRule type="duplicateValues" dxfId="0" priority="204"/>
  </conditionalFormatting>
  <dataValidations count="2">
    <dataValidation type="list" allowBlank="1" showInputMessage="1" showErrorMessage="1" sqref="B2:B339">
      <formula1>AvailableFields</formula1>
    </dataValidation>
    <dataValidation type="list" allowBlank="1" showInputMessage="1" showErrorMessage="1" sqref="A2:A339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B1" workbookViewId="0">
      <selection activeCell="D34" sqref="D34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1406</v>
      </c>
      <c r="E3" s="64" t="s">
        <v>1407</v>
      </c>
      <c r="F3" s="64" t="s">
        <v>1500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1671</v>
      </c>
      <c r="E4" s="64" t="s">
        <v>1672</v>
      </c>
      <c r="F4" s="64" t="s">
        <v>1673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1674</v>
      </c>
      <c r="E5" s="64" t="s">
        <v>1675</v>
      </c>
      <c r="F5" s="64" t="s">
        <v>1676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1408</v>
      </c>
      <c r="G6" s="64" t="s">
        <v>1409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x14ac:dyDescent="0.25">
      <c r="A34" s="30" t="str">
        <f>TableData[Table Name]&amp;"-"&amp;(COUNTIF($B$1:TableData[[#This Row],[Table Name]],TableData[[#This Row],[Table Name]])-1)</f>
        <v>Settings-0</v>
      </c>
      <c r="B34" s="78" t="s">
        <v>1302</v>
      </c>
      <c r="C3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4" s="78" t="s">
        <v>23</v>
      </c>
      <c r="E34" s="78" t="s">
        <v>24</v>
      </c>
      <c r="F34" s="78" t="s">
        <v>44</v>
      </c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</row>
    <row r="35" spans="1:18" x14ac:dyDescent="0.25">
      <c r="A35" s="30" t="str">
        <f>TableData[Table Name]&amp;"-"&amp;(COUNTIF($B$1:TableData[[#This Row],[Table Name]],TableData[[#This Row],[Table Name]])-1)</f>
        <v>Product Transaction Nature-0</v>
      </c>
      <c r="B35" s="78" t="s">
        <v>1502</v>
      </c>
      <c r="C3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5" s="78" t="s">
        <v>23</v>
      </c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</row>
    <row r="36" spans="1:18" x14ac:dyDescent="0.25">
      <c r="A36" s="60" t="str">
        <f>TableData[Table Name]&amp;"-"&amp;(COUNTIF($B$1:TableData[[#This Row],[Table Name]],TableData[[#This Row],[Table Name]])-1)</f>
        <v>Product Transaction Type-0</v>
      </c>
      <c r="B36" s="64" t="s">
        <v>1503</v>
      </c>
      <c r="C3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6" s="64" t="s">
        <v>23</v>
      </c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</row>
    <row r="37" spans="1:18" x14ac:dyDescent="0.25">
      <c r="A37" s="60" t="str">
        <f>TableData[Table Name]&amp;"-"&amp;(COUNTIF($B$1:TableData[[#This Row],[Table Name]],TableData[[#This Row],[Table Name]])-1)</f>
        <v>Settings-1</v>
      </c>
      <c r="B37" s="64" t="s">
        <v>1302</v>
      </c>
      <c r="C3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37" s="64" t="s">
        <v>1715</v>
      </c>
      <c r="E37" s="64" t="s">
        <v>1505</v>
      </c>
      <c r="F37" s="64" t="s">
        <v>1510</v>
      </c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</row>
    <row r="38" spans="1:18" x14ac:dyDescent="0.25">
      <c r="A38" s="60" t="str">
        <f>TableData[Table Name]&amp;"-"&amp;(COUNTIF($B$1:TableData[[#This Row],[Table Name]],TableData[[#This Row],[Table Name]])-1)</f>
        <v>Settings-2</v>
      </c>
      <c r="B38" s="64" t="s">
        <v>1302</v>
      </c>
      <c r="C3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38" s="64" t="s">
        <v>1714</v>
      </c>
      <c r="E38" s="64" t="s">
        <v>1670</v>
      </c>
      <c r="F38" s="64" t="s">
        <v>1511</v>
      </c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1:18" x14ac:dyDescent="0.25">
      <c r="A39" s="60" t="str">
        <f>TableData[Table Name]&amp;"-"&amp;(COUNTIF($B$1:TableData[[#This Row],[Table Name]],TableData[[#This Row],[Table Name]])-1)</f>
        <v>Settings-3</v>
      </c>
      <c r="B39" s="64" t="s">
        <v>1302</v>
      </c>
      <c r="C3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39" s="64" t="s">
        <v>1716</v>
      </c>
      <c r="E39" s="64" t="s">
        <v>1507</v>
      </c>
      <c r="F39" s="64" t="s">
        <v>1755</v>
      </c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</row>
    <row r="40" spans="1:18" x14ac:dyDescent="0.25">
      <c r="A40" s="60" t="str">
        <f>TableData[Table Name]&amp;"-"&amp;(COUNTIF($B$1:TableData[[#This Row],[Table Name]],TableData[[#This Row],[Table Name]])-1)</f>
        <v>Settings-4</v>
      </c>
      <c r="B40" s="64" t="s">
        <v>1302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40" s="64" t="s">
        <v>1717</v>
      </c>
      <c r="E40" s="64" t="s">
        <v>1506</v>
      </c>
      <c r="F40" s="64" t="s">
        <v>1512</v>
      </c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Settings-5</v>
      </c>
      <c r="B41" s="64" t="s">
        <v>1302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41" s="64" t="s">
        <v>1718</v>
      </c>
      <c r="E41" s="64" t="s">
        <v>1508</v>
      </c>
      <c r="F41" s="64" t="s">
        <v>1513</v>
      </c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Settings-6</v>
      </c>
      <c r="B42" s="64" t="s">
        <v>1302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42" s="64" t="s">
        <v>1719</v>
      </c>
      <c r="E42" s="64" t="s">
        <v>1509</v>
      </c>
      <c r="F42" s="64" t="s">
        <v>1514</v>
      </c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60" t="str">
        <f>TableData[Table Name]&amp;"-"&amp;(COUNTIF($B$1:TableData[[#This Row],[Table Name]],TableData[[#This Row],[Table Name]])-1)</f>
        <v>Settings-7</v>
      </c>
      <c r="B43" s="64" t="s">
        <v>1302</v>
      </c>
      <c r="C4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43" s="64" t="s">
        <v>1720</v>
      </c>
      <c r="E43" s="64" t="s">
        <v>1517</v>
      </c>
      <c r="F43" s="64" t="s">
        <v>1516</v>
      </c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</row>
    <row r="44" spans="1:18" x14ac:dyDescent="0.25">
      <c r="A44" s="60" t="str">
        <f>TableData[Table Name]&amp;"-"&amp;(COUNTIF($B$1:TableData[[#This Row],[Table Name]],TableData[[#This Row],[Table Name]])-1)</f>
        <v>Settings-8</v>
      </c>
      <c r="B44" s="64" t="s">
        <v>1302</v>
      </c>
      <c r="C4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44" s="64" t="s">
        <v>1721</v>
      </c>
      <c r="E44" s="64" t="s">
        <v>1518</v>
      </c>
      <c r="F44" s="64" t="s">
        <v>1515</v>
      </c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</row>
    <row r="45" spans="1:18" x14ac:dyDescent="0.25">
      <c r="A45" s="60" t="str">
        <f>TableData[Table Name]&amp;"-"&amp;(COUNTIF($B$1:TableData[[#This Row],[Table Name]],TableData[[#This Row],[Table Name]])-1)</f>
        <v>Product Transaction Nature-1</v>
      </c>
      <c r="B45" s="64" t="s">
        <v>1502</v>
      </c>
      <c r="C4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45" s="64" t="s">
        <v>1519</v>
      </c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</row>
    <row r="46" spans="1:18" x14ac:dyDescent="0.25">
      <c r="A46" s="60" t="str">
        <f>TableData[Table Name]&amp;"-"&amp;(COUNTIF($B$1:TableData[[#This Row],[Table Name]],TableData[[#This Row],[Table Name]])-1)</f>
        <v>Product Transaction Nature-2</v>
      </c>
      <c r="B46" s="64" t="s">
        <v>1502</v>
      </c>
      <c r="C4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46" s="64" t="s">
        <v>1520</v>
      </c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</row>
    <row r="47" spans="1:18" x14ac:dyDescent="0.25">
      <c r="A47" s="60" t="str">
        <f>TableData[Table Name]&amp;"-"&amp;(COUNTIF($B$1:TableData[[#This Row],[Table Name]],TableData[[#This Row],[Table Name]])-1)</f>
        <v>Product Transaction Nature-3</v>
      </c>
      <c r="B47" s="64" t="s">
        <v>1502</v>
      </c>
      <c r="C4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47" s="64" t="s">
        <v>1521</v>
      </c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</row>
    <row r="48" spans="1:18" x14ac:dyDescent="0.25">
      <c r="A48" s="60" t="str">
        <f>TableData[Table Name]&amp;"-"&amp;(COUNTIF($B$1:TableData[[#This Row],[Table Name]],TableData[[#This Row],[Table Name]])-1)</f>
        <v>Product Transaction Nature-4</v>
      </c>
      <c r="B48" s="64" t="s">
        <v>1502</v>
      </c>
      <c r="C4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48" s="64" t="s">
        <v>1522</v>
      </c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</row>
    <row r="49" spans="1:18" x14ac:dyDescent="0.25">
      <c r="A49" s="60" t="str">
        <f>TableData[Table Name]&amp;"-"&amp;(COUNTIF($B$1:TableData[[#This Row],[Table Name]],TableData[[#This Row],[Table Name]])-1)</f>
        <v>Product Transaction Nature-5</v>
      </c>
      <c r="B49" s="64" t="s">
        <v>1502</v>
      </c>
      <c r="C4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49" s="64" t="s">
        <v>1523</v>
      </c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</row>
    <row r="50" spans="1:18" x14ac:dyDescent="0.25">
      <c r="A50" s="60" t="str">
        <f>TableData[Table Name]&amp;"-"&amp;(COUNTIF($B$1:TableData[[#This Row],[Table Name]],TableData[[#This Row],[Table Name]])-1)</f>
        <v>Product Transaction Type-1</v>
      </c>
      <c r="B50" s="64" t="s">
        <v>1503</v>
      </c>
      <c r="C5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0" s="64" t="s">
        <v>1709</v>
      </c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</row>
    <row r="51" spans="1:18" x14ac:dyDescent="0.25">
      <c r="A51" s="60" t="str">
        <f>TableData[Table Name]&amp;"-"&amp;(COUNTIF($B$1:TableData[[#This Row],[Table Name]],TableData[[#This Row],[Table Name]])-1)</f>
        <v>Product Transaction Type-2</v>
      </c>
      <c r="B51" s="64" t="s">
        <v>1503</v>
      </c>
      <c r="C5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1" s="64" t="s">
        <v>1525</v>
      </c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</row>
    <row r="52" spans="1:18" x14ac:dyDescent="0.25">
      <c r="A52" s="60" t="str">
        <f>TableData[Table Name]&amp;"-"&amp;(COUNTIF($B$1:TableData[[#This Row],[Table Name]],TableData[[#This Row],[Table Name]])-1)</f>
        <v>Product Transaction Type-3</v>
      </c>
      <c r="B52" s="64" t="s">
        <v>1503</v>
      </c>
      <c r="C5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2" s="64" t="s">
        <v>1526</v>
      </c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</row>
    <row r="53" spans="1:18" x14ac:dyDescent="0.25">
      <c r="A53" s="60" t="str">
        <f>TableData[Table Name]&amp;"-"&amp;(COUNTIF($B$1:TableData[[#This Row],[Table Name]],TableData[[#This Row],[Table Name]])-1)</f>
        <v>Product Transaction Type-4</v>
      </c>
      <c r="B53" s="64" t="s">
        <v>1503</v>
      </c>
      <c r="C5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3" s="64" t="s">
        <v>1524</v>
      </c>
      <c r="E53" s="78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</row>
    <row r="54" spans="1:18" x14ac:dyDescent="0.25">
      <c r="A54" s="60" t="str">
        <f>TableData[Table Name]&amp;"-"&amp;(COUNTIF($B$1:TableData[[#This Row],[Table Name]],TableData[[#This Row],[Table Name]])-1)</f>
        <v>Product Transaction Type-5</v>
      </c>
      <c r="B54" s="64" t="s">
        <v>1503</v>
      </c>
      <c r="C5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4" s="64" t="s">
        <v>1527</v>
      </c>
      <c r="E54" s="78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</row>
    <row r="55" spans="1:18" x14ac:dyDescent="0.25">
      <c r="A55" s="60" t="str">
        <f>TableData[Table Name]&amp;"-"&amp;(COUNTIF($B$1:TableData[[#This Row],[Table Name]],TableData[[#This Row],[Table Name]])-1)</f>
        <v>Product Transaction Type-6</v>
      </c>
      <c r="B55" s="64" t="s">
        <v>1503</v>
      </c>
      <c r="C5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5" s="64" t="s">
        <v>1523</v>
      </c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</row>
    <row r="56" spans="1:18" x14ac:dyDescent="0.25">
      <c r="A56" s="60" t="str">
        <f>TableData[Table Name]&amp;"-"&amp;(COUNTIF($B$1:TableData[[#This Row],[Table Name]],TableData[[#This Row],[Table Name]])-1)</f>
        <v>Groups-0</v>
      </c>
      <c r="B56" s="64" t="s">
        <v>76</v>
      </c>
      <c r="C5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6" s="64" t="s">
        <v>23</v>
      </c>
      <c r="E56" s="64" t="s">
        <v>24</v>
      </c>
      <c r="F56" s="64" t="s">
        <v>25</v>
      </c>
      <c r="G56" s="64" t="s">
        <v>1486</v>
      </c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</row>
    <row r="57" spans="1:18" x14ac:dyDescent="0.25">
      <c r="A57" s="60" t="str">
        <f>TableData[Table Name]&amp;"-"&amp;(COUNTIF($B$1:TableData[[#This Row],[Table Name]],TableData[[#This Row],[Table Name]])-1)</f>
        <v>Groups-1</v>
      </c>
      <c r="B57" s="64" t="s">
        <v>76</v>
      </c>
      <c r="C5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57" s="64" t="s">
        <v>1677</v>
      </c>
      <c r="E57" s="64" t="s">
        <v>1673</v>
      </c>
      <c r="F57" s="64" t="s">
        <v>1678</v>
      </c>
      <c r="G57" s="64" t="s">
        <v>1679</v>
      </c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</row>
    <row r="58" spans="1:18" x14ac:dyDescent="0.25">
      <c r="A58" s="60" t="str">
        <f>TableData[Table Name]&amp;"-"&amp;(COUNTIF($B$1:TableData[[#This Row],[Table Name]],TableData[[#This Row],[Table Name]])-1)</f>
        <v>Groups-2</v>
      </c>
      <c r="B58" s="64" t="s">
        <v>76</v>
      </c>
      <c r="C5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58" s="64" t="s">
        <v>1680</v>
      </c>
      <c r="E58" s="64" t="s">
        <v>1500</v>
      </c>
      <c r="F58" s="64" t="s">
        <v>1681</v>
      </c>
      <c r="G58" s="64" t="s">
        <v>1682</v>
      </c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</row>
    <row r="59" spans="1:18" x14ac:dyDescent="0.25">
      <c r="A59" s="60" t="str">
        <f>TableData[Table Name]&amp;"-"&amp;(COUNTIF($B$1:TableData[[#This Row],[Table Name]],TableData[[#This Row],[Table Name]])-1)</f>
        <v>Groups-3</v>
      </c>
      <c r="B59" s="64" t="s">
        <v>76</v>
      </c>
      <c r="C5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59" s="64" t="s">
        <v>1534</v>
      </c>
      <c r="E59" s="64" t="s">
        <v>1683</v>
      </c>
      <c r="F59" s="64" t="s">
        <v>1537</v>
      </c>
      <c r="G59" s="64" t="s">
        <v>1684</v>
      </c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</row>
    <row r="60" spans="1:18" x14ac:dyDescent="0.25">
      <c r="A60" s="60" t="str">
        <f>TableData[Table Name]&amp;"-"&amp;(COUNTIF($B$1:TableData[[#This Row],[Table Name]],TableData[[#This Row],[Table Name]])-1)</f>
        <v>Groups-4</v>
      </c>
      <c r="B60" s="64" t="s">
        <v>76</v>
      </c>
      <c r="C6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60" s="64" t="s">
        <v>1685</v>
      </c>
      <c r="E60" s="64" t="s">
        <v>1686</v>
      </c>
      <c r="F60" s="64" t="s">
        <v>1687</v>
      </c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</row>
    <row r="61" spans="1:18" x14ac:dyDescent="0.25">
      <c r="A61" s="60" t="str">
        <f>TableData[Table Name]&amp;"-"&amp;(COUNTIF($B$1:TableData[[#This Row],[Table Name]],TableData[[#This Row],[Table Name]])-1)</f>
        <v>Group Roles-0</v>
      </c>
      <c r="B61" s="64" t="s">
        <v>93</v>
      </c>
      <c r="C6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1" s="64" t="s">
        <v>63</v>
      </c>
      <c r="E61" s="64" t="s">
        <v>65</v>
      </c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</row>
    <row r="62" spans="1:18" x14ac:dyDescent="0.25">
      <c r="A62" s="60" t="str">
        <f>TableData[Table Name]&amp;"-"&amp;(COUNTIF($B$1:TableData[[#This Row],[Table Name]],TableData[[#This Row],[Table Name]])-1)</f>
        <v>Group Roles-1</v>
      </c>
      <c r="B62" s="64" t="s">
        <v>93</v>
      </c>
      <c r="C6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62" s="64">
        <v>301101</v>
      </c>
      <c r="E62" s="64">
        <v>303102</v>
      </c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</row>
    <row r="63" spans="1:18" x14ac:dyDescent="0.25">
      <c r="A63" s="60" t="str">
        <f>TableData[Table Name]&amp;"-"&amp;(COUNTIF($B$1:TableData[[#This Row],[Table Name]],TableData[[#This Row],[Table Name]])-1)</f>
        <v>Group Roles-2</v>
      </c>
      <c r="B63" s="64" t="s">
        <v>93</v>
      </c>
      <c r="C6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63" s="64">
        <v>301102</v>
      </c>
      <c r="E63" s="64">
        <v>303101</v>
      </c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</row>
    <row r="64" spans="1:18" x14ac:dyDescent="0.25">
      <c r="A64" s="60" t="str">
        <f>TableData[Table Name]&amp;"-"&amp;(COUNTIF($B$1:TableData[[#This Row],[Table Name]],TableData[[#This Row],[Table Name]])-1)</f>
        <v>Group Roles-3</v>
      </c>
      <c r="B64" s="64" t="s">
        <v>93</v>
      </c>
      <c r="C6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64" s="64">
        <v>301103</v>
      </c>
      <c r="E64" s="64">
        <v>303103</v>
      </c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opLeftCell="A46" workbookViewId="0">
      <selection activeCell="H52" sqref="H52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1405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1501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1565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4" t="s">
        <v>1302</v>
      </c>
      <c r="B44" s="4" t="s">
        <v>1273</v>
      </c>
      <c r="C44" s="4" t="str">
        <f>VLOOKUP(SeedMap[Table Name],Tables[],4,0)</f>
        <v>Milestone\SS\Model</v>
      </c>
      <c r="D44" s="4" t="str">
        <f>VLOOKUP(SeedMap[Table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1504</v>
      </c>
      <c r="I44" s="90"/>
      <c r="J44" s="7" t="str">
        <f>IF(ISNUMBER(SeedMap[Last ID]),"\DB::statement('ALTER TABLE `" &amp;VLOOKUP(SeedMap[[#This Row],[Table Name]],Tables[[Name]:[Table]],2,0) &amp; "`  AUTO_INCREMENT=" &amp; SeedMap[Last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5" t="s">
        <v>1502</v>
      </c>
      <c r="B45" s="4" t="s">
        <v>829</v>
      </c>
      <c r="C45" s="5" t="str">
        <f>VLOOKUP(SeedMap[Table Name],Tables[],4,0)</f>
        <v>Milestone\SS\Model</v>
      </c>
      <c r="D45" s="5" t="str">
        <f>VLOOKUP(SeedMap[Table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1504</v>
      </c>
      <c r="I45" s="31"/>
      <c r="J45" s="8" t="str">
        <f>IF(ISNUMBER(SeedMap[Last ID]),"\DB::statement('ALTER TABLE `" &amp;VLOOKUP(SeedMap[[#This Row],[Table Name]],Tables[[Name]:[Table]],2,0) &amp; "`  AUTO_INCREMENT=" &amp; SeedMap[Last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4" t="s">
        <v>1503</v>
      </c>
      <c r="B46" s="4" t="s">
        <v>836</v>
      </c>
      <c r="C46" s="4" t="str">
        <f>VLOOKUP(SeedMap[Table Name],Tables[],4,0)</f>
        <v>Milestone\SS\Model</v>
      </c>
      <c r="D46" s="4" t="str">
        <f>VLOOKUP(SeedMap[Table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1504</v>
      </c>
      <c r="I46" s="90"/>
      <c r="J46" s="7" t="str">
        <f>IF(ISNUMBER(SeedMap[Last ID]),"\DB::statement('ALTER TABLE `" &amp;VLOOKUP(SeedMap[[#This Row],[Table Name]],Tables[[Name]:[Table]],2,0) &amp; "`  AUTO_INCREMENT=" &amp; SeedMap[Last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5" t="s">
        <v>1278</v>
      </c>
      <c r="B47" s="5" t="s">
        <v>1074</v>
      </c>
      <c r="C47" s="5" t="str">
        <f>VLOOKUP(SeedMap[Table Name],Tables[],4,0)</f>
        <v>Milestone\SS\Model</v>
      </c>
      <c r="D47" s="5" t="str">
        <f>VLOOKUP(SeedMap[Table Name],Tables[],5,0)</f>
        <v>Setup</v>
      </c>
      <c r="E47" s="5" t="s">
        <v>161</v>
      </c>
      <c r="F47" s="5" t="s">
        <v>341</v>
      </c>
      <c r="G47" s="31">
        <v>2</v>
      </c>
      <c r="H47" s="8" t="s">
        <v>1504</v>
      </c>
      <c r="I47" s="31"/>
      <c r="J47" s="8" t="str">
        <f>IF(ISNUMBER(SeedMap[Last ID]),"\DB::statement('ALTER TABLE `" &amp;VLOOKUP(SeedMap[[#This Row],[Table Name]],Tables[[Name]:[Table]],2,0) &amp; "`  AUTO_INCREMENT=" &amp; SeedMap[Last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1281</v>
      </c>
      <c r="B48" s="5" t="s">
        <v>891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1504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1282</v>
      </c>
      <c r="B49" s="5" t="s">
        <v>851</v>
      </c>
      <c r="C49" s="5" t="str">
        <f>VLOOKUP(SeedMap[Table Name],Tables[],4,0)</f>
        <v>Milestone\SS\Model</v>
      </c>
      <c r="D49" s="5" t="str">
        <f>VLOOKUP(SeedMap[Table Name],Tables[],5,0)</f>
        <v>Functiondetail</v>
      </c>
      <c r="E49" s="5" t="s">
        <v>161</v>
      </c>
      <c r="F49" s="5" t="s">
        <v>341</v>
      </c>
      <c r="G49" s="31">
        <v>2</v>
      </c>
      <c r="H49" s="8" t="s">
        <v>1504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1821</v>
      </c>
      <c r="B50" s="5" t="s">
        <v>1806</v>
      </c>
      <c r="C50" s="5" t="str">
        <f>VLOOKUP(SeedMap[Table Name],Tables[],4,0)</f>
        <v>Milestone\SS\Model</v>
      </c>
      <c r="D50" s="5" t="str">
        <f>VLOOKUP(SeedMap[Table Name],Tables[],5,0)</f>
        <v>ProductGroupMaster</v>
      </c>
      <c r="E50" s="5" t="s">
        <v>161</v>
      </c>
      <c r="F50" s="5" t="s">
        <v>341</v>
      </c>
      <c r="G50" s="31">
        <v>2</v>
      </c>
      <c r="H50" s="8" t="s">
        <v>1504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1283</v>
      </c>
      <c r="B51" s="5" t="s">
        <v>760</v>
      </c>
      <c r="C51" s="5" t="str">
        <f>VLOOKUP(SeedMap[Table Name],Tables[],4,0)</f>
        <v>Milestone\SS\Model</v>
      </c>
      <c r="D51" s="5" t="str">
        <f>VLOOKUP(SeedMap[Table Name],Tables[],5,0)</f>
        <v>Product</v>
      </c>
      <c r="E51" s="5" t="s">
        <v>161</v>
      </c>
      <c r="F51" s="5" t="s">
        <v>341</v>
      </c>
      <c r="G51" s="31">
        <v>2</v>
      </c>
      <c r="H51" s="8" t="s">
        <v>1504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1822</v>
      </c>
      <c r="B52" s="5" t="s">
        <v>1820</v>
      </c>
      <c r="C52" s="5" t="str">
        <f>VLOOKUP(SeedMap[Table Name],Tables[],4,0)</f>
        <v>Milestone\SS\Model</v>
      </c>
      <c r="D52" s="5" t="str">
        <f>VLOOKUP(SeedMap[Table Name],Tables[],5,0)</f>
        <v>ProductGroup</v>
      </c>
      <c r="E52" s="5" t="s">
        <v>161</v>
      </c>
      <c r="F52" s="5" t="s">
        <v>341</v>
      </c>
      <c r="G52" s="31">
        <v>2</v>
      </c>
      <c r="H52" s="8" t="s">
        <v>1504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1284</v>
      </c>
      <c r="B53" s="5" t="s">
        <v>763</v>
      </c>
      <c r="C53" s="5" t="str">
        <f>VLOOKUP(SeedMap[Table Name],Tables[],4,0)</f>
        <v>Milestone\SS\Model</v>
      </c>
      <c r="D53" s="5" t="str">
        <f>VLOOKUP(SeedMap[Table Name],Tables[],5,0)</f>
        <v>Pricelist</v>
      </c>
      <c r="E53" s="5" t="s">
        <v>161</v>
      </c>
      <c r="F53" s="5" t="s">
        <v>341</v>
      </c>
      <c r="G53" s="31">
        <v>2</v>
      </c>
      <c r="H53" s="8" t="s">
        <v>1504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1285</v>
      </c>
      <c r="B54" s="5" t="s">
        <v>764</v>
      </c>
      <c r="C54" s="5" t="str">
        <f>VLOOKUP(SeedMap[Table Name],Tables[],4,0)</f>
        <v>Milestone\SS\Model</v>
      </c>
      <c r="D54" s="5" t="str">
        <f>VLOOKUP(SeedMap[Table Name],Tables[],5,0)</f>
        <v>PricelistProduct</v>
      </c>
      <c r="E54" s="5" t="s">
        <v>161</v>
      </c>
      <c r="F54" s="5" t="s">
        <v>341</v>
      </c>
      <c r="G54" s="31">
        <v>2</v>
      </c>
      <c r="H54" s="8" t="s">
        <v>1504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1286</v>
      </c>
      <c r="B55" s="5" t="s">
        <v>757</v>
      </c>
      <c r="C55" s="5" t="str">
        <f>VLOOKUP(SeedMap[Table Name],Tables[],4,0)</f>
        <v>Milestone\SS\Model</v>
      </c>
      <c r="D55" s="5" t="str">
        <f>VLOOKUP(SeedMap[Table Name],Tables[],5,0)</f>
        <v>Store</v>
      </c>
      <c r="E55" s="5" t="s">
        <v>161</v>
      </c>
      <c r="F55" s="5" t="s">
        <v>341</v>
      </c>
      <c r="G55" s="31">
        <v>2</v>
      </c>
      <c r="H55" s="8" t="s">
        <v>1504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1287</v>
      </c>
      <c r="B56" s="5" t="s">
        <v>758</v>
      </c>
      <c r="C56" s="5" t="str">
        <f>VLOOKUP(SeedMap[Table Name],Tables[],4,0)</f>
        <v>Milestone\SS\Model</v>
      </c>
      <c r="D56" s="5" t="str">
        <f>VLOOKUP(SeedMap[Table Name],Tables[],5,0)</f>
        <v>Area</v>
      </c>
      <c r="E56" s="5" t="s">
        <v>161</v>
      </c>
      <c r="F56" s="5" t="s">
        <v>341</v>
      </c>
      <c r="G56" s="31">
        <v>2</v>
      </c>
      <c r="H56" s="8" t="s">
        <v>1504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1288</v>
      </c>
      <c r="B57" s="5" t="s">
        <v>755</v>
      </c>
      <c r="C57" s="5" t="str">
        <f>VLOOKUP(SeedMap[Table Name],Tables[],4,0)</f>
        <v>Milestone\SS\Model</v>
      </c>
      <c r="D57" s="5" t="str">
        <f>VLOOKUP(SeedMap[Table Name],Tables[],5,0)</f>
        <v>AreaUser</v>
      </c>
      <c r="E57" s="5" t="s">
        <v>161</v>
      </c>
      <c r="F57" s="5" t="s">
        <v>341</v>
      </c>
      <c r="G57" s="31">
        <v>2</v>
      </c>
      <c r="H57" s="8" t="s">
        <v>1504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1289</v>
      </c>
      <c r="B58" s="5" t="s">
        <v>1274</v>
      </c>
      <c r="C58" s="5" t="str">
        <f>VLOOKUP(SeedMap[Table Name],Tables[],4,0)</f>
        <v>Milestone\SS\Model</v>
      </c>
      <c r="D58" s="5" t="str">
        <f>VLOOKUP(SeedMap[Table Name],Tables[],5,0)</f>
        <v>UserSetting</v>
      </c>
      <c r="E58" s="5" t="s">
        <v>161</v>
      </c>
      <c r="F58" s="5" t="s">
        <v>341</v>
      </c>
      <c r="G58" s="31">
        <v>2</v>
      </c>
      <c r="H58" s="8" t="s">
        <v>1504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1290</v>
      </c>
      <c r="B59" s="5" t="s">
        <v>759</v>
      </c>
      <c r="C59" s="5" t="str">
        <f>VLOOKUP(SeedMap[Table Name],Tables[],4,0)</f>
        <v>Milestone\SS\Model</v>
      </c>
      <c r="D59" s="5" t="str">
        <f>VLOOKUP(SeedMap[Table Name],Tables[],5,0)</f>
        <v>UserStoreArea</v>
      </c>
      <c r="E59" s="5" t="s">
        <v>161</v>
      </c>
      <c r="F59" s="5" t="s">
        <v>341</v>
      </c>
      <c r="G59" s="31">
        <v>2</v>
      </c>
      <c r="H59" s="8" t="s">
        <v>1504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1291</v>
      </c>
      <c r="B60" s="5" t="s">
        <v>762</v>
      </c>
      <c r="C60" s="5" t="str">
        <f>VLOOKUP(SeedMap[Table Name],Tables[],4,0)</f>
        <v>Milestone\SS\Model</v>
      </c>
      <c r="D60" s="5" t="str">
        <f>VLOOKUP(SeedMap[Table Name],Tables[],5,0)</f>
        <v>StoreProduct</v>
      </c>
      <c r="E60" s="5" t="s">
        <v>161</v>
      </c>
      <c r="F60" s="5" t="s">
        <v>341</v>
      </c>
      <c r="G60" s="31">
        <v>2</v>
      </c>
      <c r="H60" s="8" t="s">
        <v>1504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1294</v>
      </c>
      <c r="B61" s="5" t="s">
        <v>765</v>
      </c>
      <c r="C61" s="5" t="str">
        <f>VLOOKUP(SeedMap[Table Name],Tables[],4,0)</f>
        <v>Milestone\SS\Model</v>
      </c>
      <c r="D61" s="5" t="str">
        <f>VLOOKUP(SeedMap[Table Name],Tables[],5,0)</f>
        <v>StoreProductTransaction</v>
      </c>
      <c r="E61" s="5" t="s">
        <v>161</v>
      </c>
      <c r="F61" s="5" t="s">
        <v>341</v>
      </c>
      <c r="G61" s="31">
        <v>2</v>
      </c>
      <c r="H61" s="8" t="s">
        <v>1504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1295</v>
      </c>
      <c r="B62" s="5" t="s">
        <v>899</v>
      </c>
      <c r="C62" s="5" t="str">
        <f>VLOOKUP(SeedMap[Table Name],Tables[],4,0)</f>
        <v>Milestone\SS\Model</v>
      </c>
      <c r="D62" s="5" t="str">
        <f>VLOOKUP(SeedMap[Table Name],Tables[],5,0)</f>
        <v>Transaction</v>
      </c>
      <c r="E62" s="5" t="s">
        <v>161</v>
      </c>
      <c r="F62" s="5" t="s">
        <v>341</v>
      </c>
      <c r="G62" s="31">
        <v>2</v>
      </c>
      <c r="H62" s="8" t="s">
        <v>1504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1296</v>
      </c>
      <c r="B63" s="5" t="s">
        <v>900</v>
      </c>
      <c r="C63" s="5" t="str">
        <f>VLOOKUP(SeedMap[Table Name],Tables[],4,0)</f>
        <v>Milestone\SS\Model</v>
      </c>
      <c r="D63" s="5" t="str">
        <f>VLOOKUP(SeedMap[Table Name],Tables[],5,0)</f>
        <v>TransactionDetail</v>
      </c>
      <c r="E63" s="5" t="s">
        <v>161</v>
      </c>
      <c r="F63" s="5" t="s">
        <v>341</v>
      </c>
      <c r="G63" s="31">
        <v>2</v>
      </c>
      <c r="H63" s="8" t="s">
        <v>1504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1297</v>
      </c>
      <c r="B64" s="5" t="s">
        <v>1055</v>
      </c>
      <c r="C64" s="5" t="str">
        <f>VLOOKUP(SeedMap[Table Name],Tables[],4,0)</f>
        <v>Milestone\SS\Model</v>
      </c>
      <c r="D64" s="5" t="str">
        <f>VLOOKUP(SeedMap[Table Name],Tables[],5,0)</f>
        <v>DData</v>
      </c>
      <c r="E64" s="5" t="s">
        <v>161</v>
      </c>
      <c r="F64" s="5" t="s">
        <v>341</v>
      </c>
      <c r="G64" s="31">
        <v>2</v>
      </c>
      <c r="H64" s="8" t="s">
        <v>1504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5" t="s">
        <v>1298</v>
      </c>
      <c r="B65" s="5" t="s">
        <v>950</v>
      </c>
      <c r="C65" s="5" t="str">
        <f>VLOOKUP(SeedMap[Table Name],Tables[],4,0)</f>
        <v>Milestone\SS\Model</v>
      </c>
      <c r="D65" s="5" t="str">
        <f>VLOOKUP(SeedMap[Table Name],Tables[],5,0)</f>
        <v>SalesOrder</v>
      </c>
      <c r="E65" s="5" t="s">
        <v>161</v>
      </c>
      <c r="F65" s="5" t="s">
        <v>341</v>
      </c>
      <c r="G65" s="31">
        <v>2</v>
      </c>
      <c r="H65" s="8" t="s">
        <v>1504</v>
      </c>
      <c r="I65" s="31"/>
      <c r="J65" s="8" t="str">
        <f>IF(ISNUMBER(SeedMap[Last ID]),"\DB::statement('ALTER TABLE `" &amp;VLOOKUP(SeedMap[[#This Row],[Table Name]],Tables[[Name]:[Table]],2,0) &amp; "`  AUTO_INCREMENT=" &amp; SeedMap[Last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5" t="s">
        <v>1299</v>
      </c>
      <c r="B66" s="5" t="s">
        <v>951</v>
      </c>
      <c r="C66" s="5" t="str">
        <f>VLOOKUP(SeedMap[Table Name],Tables[],4,0)</f>
        <v>Milestone\SS\Model</v>
      </c>
      <c r="D66" s="5" t="str">
        <f>VLOOKUP(SeedMap[Table Name],Tables[],5,0)</f>
        <v>SalesOrderItem</v>
      </c>
      <c r="E66" s="5" t="s">
        <v>161</v>
      </c>
      <c r="F66" s="5" t="s">
        <v>341</v>
      </c>
      <c r="G66" s="31">
        <v>2</v>
      </c>
      <c r="H66" s="8" t="s">
        <v>1504</v>
      </c>
      <c r="I66" s="31"/>
      <c r="J66" s="8" t="str">
        <f>IF(ISNUMBER(SeedMap[Last ID]),"\DB::statement('ALTER TABLE `" &amp;VLOOKUP(SeedMap[[#This Row],[Table Name]],Tables[[Name]:[Table]],2,0) &amp; "`  AUTO_INCREMENT=" &amp; SeedMap[Last ID]+1&amp;"');","")</f>
        <v/>
      </c>
      <c r="K6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 x14ac:dyDescent="0.25">
      <c r="A67" s="4" t="s">
        <v>1300</v>
      </c>
      <c r="B67" s="4" t="s">
        <v>907</v>
      </c>
      <c r="C67" s="4" t="str">
        <f>VLOOKUP(SeedMap[Table Name],Tables[],4,0)</f>
        <v>Milestone\SS\Model</v>
      </c>
      <c r="D67" s="4" t="str">
        <f>VLOOKUP(SeedMap[Table Name],Tables[],5,0)</f>
        <v>StockTransfer</v>
      </c>
      <c r="E67" s="4" t="s">
        <v>161</v>
      </c>
      <c r="F67" s="4" t="s">
        <v>341</v>
      </c>
      <c r="G67" s="90">
        <v>2</v>
      </c>
      <c r="H67" s="7" t="s">
        <v>1504</v>
      </c>
      <c r="I67" s="90"/>
      <c r="J67" s="7" t="str">
        <f>IF(ISNUMBER(SeedMap[Last ID]),"\DB::statement('ALTER TABLE `" &amp;VLOOKUP(SeedMap[[#This Row],[Table Name]],Tables[[Name]:[Table]],2,0) &amp; "`  AUTO_INCREMENT=" &amp; SeedMap[Last ID]+1&amp;"');","")</f>
        <v/>
      </c>
      <c r="K67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 x14ac:dyDescent="0.25">
      <c r="A68" s="4" t="s">
        <v>1734</v>
      </c>
      <c r="B68" s="4" t="s">
        <v>1724</v>
      </c>
      <c r="C68" s="4" t="str">
        <f>VLOOKUP(SeedMap[Table Name],Tables[],4,0)</f>
        <v>Milestone\SS\Model</v>
      </c>
      <c r="D68" s="4" t="str">
        <f>VLOOKUP(SeedMap[Table Name],Tables[],5,0)</f>
        <v>Receipt</v>
      </c>
      <c r="E68" s="4" t="s">
        <v>161</v>
      </c>
      <c r="F68" s="4" t="s">
        <v>341</v>
      </c>
      <c r="G68" s="90">
        <v>2</v>
      </c>
      <c r="H68" s="7" t="s">
        <v>1504</v>
      </c>
      <c r="I68" s="90"/>
      <c r="J68" s="7" t="str">
        <f>IF(ISNUMBER(SeedMap[Last ID]),"\DB::statement('ALTER TABLE `" &amp;VLOOKUP(SeedMap[[#This Row],[Table Name]],Tables[[Name]:[Table]],2,0) &amp; "`  AUTO_INCREMENT=" &amp; SeedMap[Last ID]+1&amp;"');","")</f>
        <v/>
      </c>
      <c r="K68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8">
      <formula1>TableNames</formula1>
    </dataValidation>
    <dataValidation type="list" allowBlank="1" showInputMessage="1" showErrorMessage="1" sqref="H2:H68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workbookViewId="0">
      <selection activeCell="B6" sqref="B6:R20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10" t="s">
        <v>163</v>
      </c>
      <c r="B1" s="110"/>
      <c r="C1" s="110"/>
      <c r="D1" s="110"/>
      <c r="E1" s="111" t="str">
        <f>"\"&amp;VLOOKUP($A$1,SeedMap[],3,0)&amp;"\"&amp;VLOOKUP($A$1,SeedMap[],4,0)&amp;"::"&amp;VLOOKUP($A$1,SeedMap[],8,0)&amp;"()"</f>
        <v>\Milestone\Appframe\Model\ResourceScope::query()</v>
      </c>
      <c r="F1" s="111"/>
      <c r="G1" s="111"/>
      <c r="H1" s="111"/>
      <c r="I1" s="112" t="s">
        <v>73</v>
      </c>
      <c r="J1" s="112"/>
      <c r="K1" s="112"/>
      <c r="L1" s="112"/>
      <c r="M1" s="112"/>
      <c r="N1" s="112"/>
      <c r="O1" s="112"/>
      <c r="P1" s="112"/>
      <c r="Q1" s="112"/>
      <c r="R1" s="112"/>
      <c r="S1" s="23" t="str">
        <f>""</f>
        <v/>
      </c>
      <c r="T1" s="10"/>
    </row>
    <row r="2" spans="1:20" s="28" customFormat="1" ht="15" customHeight="1" x14ac:dyDescent="0.25">
      <c r="A2" s="110"/>
      <c r="B2" s="110"/>
      <c r="C2" s="110"/>
      <c r="D2" s="110"/>
      <c r="E2" s="111" t="str">
        <f>VLOOKUP($A$1,SeedMap[],5,0)</f>
        <v>ResourceScopes</v>
      </c>
      <c r="F2" s="111"/>
      <c r="G2" s="111"/>
      <c r="H2" s="111"/>
      <c r="I2" s="112" t="s">
        <v>72</v>
      </c>
      <c r="J2" s="112"/>
      <c r="K2" s="112"/>
      <c r="L2" s="112"/>
      <c r="M2" s="112"/>
      <c r="N2" s="112"/>
      <c r="O2" s="112"/>
      <c r="P2" s="112"/>
      <c r="Q2" s="112"/>
      <c r="R2" s="112"/>
      <c r="S2" s="23" t="str">
        <f>";"</f>
        <v>;</v>
      </c>
      <c r="T2" s="10"/>
    </row>
    <row r="3" spans="1:20" s="28" customFormat="1" ht="15" customHeight="1" x14ac:dyDescent="0.25">
      <c r="A3" s="110"/>
      <c r="B3" s="110"/>
      <c r="C3" s="110"/>
      <c r="D3" s="110"/>
      <c r="E3" s="111" t="str">
        <f>VLOOKUP($A$1,SeedMap[],6,0)</f>
        <v>[[Primary]:[Method]]</v>
      </c>
      <c r="F3" s="111"/>
      <c r="G3" s="111"/>
      <c r="H3" s="111"/>
      <c r="I3" s="112" t="s">
        <v>158</v>
      </c>
      <c r="J3" s="112"/>
      <c r="K3" s="112"/>
      <c r="L3" s="112"/>
      <c r="M3" s="112"/>
      <c r="N3" s="112"/>
      <c r="O3" s="112"/>
      <c r="P3" s="112"/>
      <c r="Q3" s="112"/>
      <c r="R3" s="112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3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method</v>
      </c>
      <c r="H5" s="25" t="str">
        <f t="shared" ca="1" si="1"/>
        <v/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x14ac:dyDescent="0.25">
      <c r="A6" s="24"/>
      <c r="B6" s="107" t="str">
        <f>$I$1</f>
        <v>$_ = \DB::statement('SELECT @@GLOBAL.foreign_key_checks');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"/>
      <c r="T6" s="10"/>
    </row>
    <row r="7" spans="1:20" x14ac:dyDescent="0.25">
      <c r="A7" s="24"/>
      <c r="B7" s="108" t="str">
        <f>$I$2</f>
        <v>\DB::statement('set foreign_key_checks = 0');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</row>
    <row r="8" spans="1:20" x14ac:dyDescent="0.25">
      <c r="A8" s="24"/>
      <c r="B8" s="109" t="str">
        <f>$E$1</f>
        <v>\Milestone\Appframe\Model\ResourceScope::query()</v>
      </c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'307101',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'305101', </v>
      </c>
      <c r="E9" s="50" t="str">
        <f t="shared" ca="1" si="2"/>
        <v xml:space="preserve">'name' =&gt; 'SalesExecutives', </v>
      </c>
      <c r="F9" s="50" t="str">
        <f t="shared" ca="1" si="2"/>
        <v xml:space="preserve">'description' =&gt; 'User where has group reference as SLS', </v>
      </c>
      <c r="G9" s="50" t="str">
        <f t="shared" ca="1" si="2"/>
        <v xml:space="preserve">'method' =&gt; 'salesExecutive', </v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'307102', </v>
      </c>
      <c r="D10" s="50" t="str">
        <f t="shared" ca="1" si="2"/>
        <v xml:space="preserve">'resource' =&gt; '305113', </v>
      </c>
      <c r="E10" s="50" t="str">
        <f t="shared" ca="1" si="2"/>
        <v xml:space="preserve">'name' =&gt; 'Assigned', </v>
      </c>
      <c r="F10" s="50" t="str">
        <f t="shared" ca="1" si="2"/>
        <v xml:space="preserve">'description' =&gt; 'The store and area whih is assigned to the requesting user', </v>
      </c>
      <c r="G10" s="50" t="str">
        <f t="shared" ca="1" si="2"/>
        <v xml:space="preserve">'method' =&gt; 'assigned', </v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'307103', </v>
      </c>
      <c r="D11" s="50" t="str">
        <f t="shared" ca="1" si="2"/>
        <v xml:space="preserve">'resource' =&gt; '305111', </v>
      </c>
      <c r="E11" s="50" t="str">
        <f t="shared" ca="1" si="2"/>
        <v xml:space="preserve">'name' =&gt; 'Assigned', </v>
      </c>
      <c r="F11" s="50" t="str">
        <f t="shared" ca="1" si="2"/>
        <v xml:space="preserve">'description' =&gt; 'The records where area is assigned to the requester', </v>
      </c>
      <c r="G11" s="50" t="str">
        <f t="shared" ca="1" si="2"/>
        <v xml:space="preserve">'method' =&gt; 'assigned', </v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'307104', </v>
      </c>
      <c r="D12" s="50" t="str">
        <f t="shared" ca="1" si="2"/>
        <v xml:space="preserve">'resource' =&gt; '305121', </v>
      </c>
      <c r="E12" s="50" t="str">
        <f t="shared" ca="1" si="2"/>
        <v xml:space="preserve">'name' =&gt; 'AssignedAreaCustomer', </v>
      </c>
      <c r="F12" s="50" t="str">
        <f t="shared" ca="1" si="2"/>
        <v xml:space="preserve">'description' =&gt; 'Sales orders of customers belongs to a area which assigned to a executive', </v>
      </c>
      <c r="G12" s="50" t="str">
        <f t="shared" ca="1" si="2"/>
        <v xml:space="preserve">'method' =&gt; 'assignedAreaCustomer', </v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'307105', </v>
      </c>
      <c r="D13" s="50" t="str">
        <f t="shared" ca="1" si="2"/>
        <v xml:space="preserve">'resource' =&gt; '305118', </v>
      </c>
      <c r="E13" s="50" t="str">
        <f t="shared" ca="1" si="2"/>
        <v xml:space="preserve">'name' =&gt; 'AssignedCustomerTransactions', </v>
      </c>
      <c r="F13" s="50" t="str">
        <f t="shared" ca="1" si="2"/>
        <v xml:space="preserve">'description' =&gt; 'Transactions related to customers who are assigned to the requesting executive', </v>
      </c>
      <c r="G13" s="50" t="str">
        <f t="shared" ca="1" si="2"/>
        <v xml:space="preserve">'method' =&gt; 'assignedCustomerTransactions', </v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'307106', </v>
      </c>
      <c r="D14" s="50" t="str">
        <f t="shared" ca="1" si="2"/>
        <v xml:space="preserve">'resource' =&gt; '305125', </v>
      </c>
      <c r="E14" s="50" t="str">
        <f t="shared" ca="1" si="2"/>
        <v xml:space="preserve">'name' =&gt; 'AssignedCustomerReceipts', </v>
      </c>
      <c r="F14" s="50" t="str">
        <f t="shared" ca="1" si="2"/>
        <v xml:space="preserve">'description' =&gt; 'Receipts related to customers who are assigned to the requesting executive', </v>
      </c>
      <c r="G14" s="50" t="str">
        <f t="shared" ca="1" si="2"/>
        <v xml:space="preserve">'method' =&gt; 'assignedCustomerReceipts', </v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'307107', </v>
      </c>
      <c r="D15" s="50" t="str">
        <f t="shared" ca="1" si="2"/>
        <v xml:space="preserve">'resource' =&gt; '305127', </v>
      </c>
      <c r="E15" s="50" t="str">
        <f t="shared" ca="1" si="2"/>
        <v xml:space="preserve">'name' =&gt; 'AssignedCustomerSalesOrder', </v>
      </c>
      <c r="F15" s="50" t="str">
        <f t="shared" ca="1" si="2"/>
        <v xml:space="preserve">'description' =&gt; 'The records of sales order in which sales order belongs to any assigned customer', </v>
      </c>
      <c r="G15" s="50" t="str">
        <f t="shared" ca="1" si="2"/>
        <v xml:space="preserve">'method' =&gt; 'assignedCustomerSalesOrder', </v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'307108', </v>
      </c>
      <c r="D16" s="50" t="str">
        <f t="shared" ca="1" si="2"/>
        <v xml:space="preserve">'resource' =&gt; '305118', </v>
      </c>
      <c r="E16" s="50" t="str">
        <f t="shared" ca="1" si="2"/>
        <v xml:space="preserve">'name' =&gt; 'StockTransferPending', </v>
      </c>
      <c r="F16" s="50" t="str">
        <f t="shared" ca="1" si="2"/>
        <v xml:space="preserve">'description' =&gt; 'The transactions which are all pending stock transfer', </v>
      </c>
      <c r="G16" s="50" t="str">
        <f t="shared" ca="1" si="2"/>
        <v xml:space="preserve">'method' =&gt; 'sTPending', </v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'307109', </v>
      </c>
      <c r="D17" s="50" t="str">
        <f t="shared" ca="1" si="2"/>
        <v xml:space="preserve">'resource' =&gt; '305123', </v>
      </c>
      <c r="E17" s="50" t="str">
        <f t="shared" ca="1" si="2"/>
        <v xml:space="preserve">'name' =&gt; 'PendingStockTransfer', </v>
      </c>
      <c r="F17" s="50" t="str">
        <f t="shared" ca="1" si="2"/>
        <v xml:space="preserve">'description' =&gt; 'Stock transfers which are pending', </v>
      </c>
      <c r="G17" s="50" t="str">
        <f t="shared" ca="1" si="2"/>
        <v xml:space="preserve">'method' =&gt; 'pending', </v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'307110', </v>
      </c>
      <c r="D18" s="50" t="str">
        <f t="shared" ca="1" si="2"/>
        <v xml:space="preserve">'resource' =&gt; '305117', </v>
      </c>
      <c r="E18" s="50" t="str">
        <f t="shared" ca="1" si="2"/>
        <v xml:space="preserve">'name' =&gt; 'PendingStockTransferOut', </v>
      </c>
      <c r="F18" s="50" t="str">
        <f t="shared" ca="1" si="2"/>
        <v xml:space="preserve">'description' =&gt; 'The store product transaction of a pending stock transfer out', </v>
      </c>
      <c r="G18" s="50" t="str">
        <f t="shared" ca="1" si="2"/>
        <v xml:space="preserve">'method' =&gt; 'pendingSTOut', </v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;</v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 x14ac:dyDescent="0.25">
      <c r="A20" s="21">
        <v>12</v>
      </c>
      <c r="B20" s="22" t="str">
        <f t="shared" ca="1" si="3"/>
        <v>\DB::statement('set foreign_key_checks = ' . $_);</v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 x14ac:dyDescent="0.25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 x14ac:dyDescent="0.25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 x14ac:dyDescent="0.25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 x14ac:dyDescent="0.25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 x14ac:dyDescent="0.25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 x14ac:dyDescent="0.25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 x14ac:dyDescent="0.25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 x14ac:dyDescent="0.25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 x14ac:dyDescent="0.25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 x14ac:dyDescent="0.25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opLeftCell="E1" workbookViewId="0">
      <selection activeCell="J1" sqref="J1:L1048576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1350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1292</v>
      </c>
      <c r="P3" s="4" t="s">
        <v>1436</v>
      </c>
      <c r="Q3" s="4" t="s">
        <v>1435</v>
      </c>
      <c r="R3" s="4"/>
      <c r="S3" s="4" t="s">
        <v>1433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1278</v>
      </c>
      <c r="F4" s="4" t="s">
        <v>1279</v>
      </c>
      <c r="G4" s="4" t="s">
        <v>1278</v>
      </c>
      <c r="H4" s="7" t="str">
        <f t="shared" ref="H4" si="0">"Milestone\SS\Model"</f>
        <v>Milestone\SS\Model</v>
      </c>
      <c r="I4" s="4" t="s">
        <v>1074</v>
      </c>
      <c r="J4" s="4"/>
      <c r="K4" s="4"/>
      <c r="L4" s="4"/>
      <c r="M4" s="58">
        <f>ResourceTable[No]</f>
        <v>305102</v>
      </c>
      <c r="O4" s="4" t="s">
        <v>1293</v>
      </c>
      <c r="P4" s="4" t="s">
        <v>1437</v>
      </c>
      <c r="Q4" s="4" t="s">
        <v>1434</v>
      </c>
      <c r="R4" s="4"/>
      <c r="S4" s="4" t="s">
        <v>1438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305116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 x14ac:dyDescent="0.25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1280</v>
      </c>
      <c r="F5" s="4" t="s">
        <v>1324</v>
      </c>
      <c r="G5" s="4" t="s">
        <v>1302</v>
      </c>
      <c r="H5" s="7" t="str">
        <f t="shared" ref="H5:H26" si="1">"Milestone\SS\Model"</f>
        <v>Milestone\SS\Model</v>
      </c>
      <c r="I5" s="4" t="s">
        <v>1273</v>
      </c>
      <c r="J5" s="4"/>
      <c r="K5" s="4"/>
      <c r="L5" s="4"/>
      <c r="M5" s="58">
        <f>ResourceTable[No]</f>
        <v>305103</v>
      </c>
      <c r="O5" s="4" t="s">
        <v>1280</v>
      </c>
      <c r="P5" s="4" t="s">
        <v>1476</v>
      </c>
      <c r="Q5" s="4" t="s">
        <v>1477</v>
      </c>
      <c r="R5" s="4" t="s">
        <v>1474</v>
      </c>
      <c r="S5" s="4" t="s">
        <v>1475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 x14ac:dyDescent="0.25">
      <c r="A6" s="8" t="str">
        <f>Page&amp;"-"&amp;(COUNTA($E$1:ResourceTable[[#This Row],[Name]])-2)</f>
        <v>Resources-4</v>
      </c>
      <c r="B6" s="30" t="str">
        <f>ResourceTable[[#This Row],[Name]]</f>
        <v>Fiscalyearmaster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1281</v>
      </c>
      <c r="F6" s="5" t="s">
        <v>1325</v>
      </c>
      <c r="G6" s="5" t="s">
        <v>1303</v>
      </c>
      <c r="H6" s="8" t="str">
        <f t="shared" si="1"/>
        <v>Milestone\SS\Model</v>
      </c>
      <c r="I6" s="5" t="s">
        <v>891</v>
      </c>
      <c r="J6" s="5"/>
      <c r="K6" s="5"/>
      <c r="L6" s="5"/>
      <c r="M6" s="32">
        <f>ResourceTable[No]</f>
        <v>305104</v>
      </c>
      <c r="O6" s="4" t="s">
        <v>1289</v>
      </c>
      <c r="P6" s="4" t="s">
        <v>1591</v>
      </c>
      <c r="Q6" s="4" t="s">
        <v>1592</v>
      </c>
      <c r="R6" s="4" t="s">
        <v>1589</v>
      </c>
      <c r="S6" s="4" t="s">
        <v>1590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305112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 x14ac:dyDescent="0.25">
      <c r="A7" s="8" t="str">
        <f>Page&amp;"-"&amp;(COUNTA($E$1:ResourceTable[[#This Row],[Name]])-2)</f>
        <v>Resources-5</v>
      </c>
      <c r="B7" s="30" t="str">
        <f>ResourceTable[[#This Row],[Name]]</f>
        <v>Functiondetail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1282</v>
      </c>
      <c r="F7" s="5" t="s">
        <v>1326</v>
      </c>
      <c r="G7" s="5" t="s">
        <v>1304</v>
      </c>
      <c r="H7" s="8" t="str">
        <f t="shared" si="1"/>
        <v>Milestone\SS\Model</v>
      </c>
      <c r="I7" s="5" t="s">
        <v>851</v>
      </c>
      <c r="J7" s="5"/>
      <c r="K7" s="5"/>
      <c r="L7" s="5"/>
      <c r="M7" s="32">
        <f>ResourceTable[No]</f>
        <v>305105</v>
      </c>
      <c r="O7" s="4" t="s">
        <v>1290</v>
      </c>
      <c r="P7" s="4" t="s">
        <v>1627</v>
      </c>
      <c r="Q7" s="4" t="s">
        <v>1628</v>
      </c>
      <c r="R7" s="4" t="s">
        <v>1625</v>
      </c>
      <c r="S7" s="4" t="s">
        <v>1626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305113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Product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1283</v>
      </c>
      <c r="F8" s="5" t="s">
        <v>1327</v>
      </c>
      <c r="G8" s="5" t="s">
        <v>1305</v>
      </c>
      <c r="H8" s="8" t="str">
        <f t="shared" si="1"/>
        <v>Milestone\SS\Model</v>
      </c>
      <c r="I8" s="5" t="s">
        <v>760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Pricelist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1284</v>
      </c>
      <c r="F9" s="5" t="s">
        <v>1328</v>
      </c>
      <c r="G9" s="5" t="s">
        <v>1306</v>
      </c>
      <c r="H9" s="8" t="str">
        <f t="shared" si="1"/>
        <v>Milestone\SS\Model</v>
      </c>
      <c r="I9" s="5" t="s">
        <v>763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PricelistProduct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1285</v>
      </c>
      <c r="F10" s="5" t="s">
        <v>1329</v>
      </c>
      <c r="G10" s="5" t="s">
        <v>1307</v>
      </c>
      <c r="H10" s="8" t="str">
        <f t="shared" si="1"/>
        <v>Milestone\SS\Model</v>
      </c>
      <c r="I10" s="5" t="s">
        <v>764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Store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1286</v>
      </c>
      <c r="F11" s="5" t="s">
        <v>1308</v>
      </c>
      <c r="G11" s="5" t="s">
        <v>1308</v>
      </c>
      <c r="H11" s="8" t="str">
        <f t="shared" si="1"/>
        <v>Milestone\SS\Model</v>
      </c>
      <c r="I11" s="5" t="s">
        <v>757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Area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1287</v>
      </c>
      <c r="F12" s="5" t="s">
        <v>1309</v>
      </c>
      <c r="G12" s="5" t="s">
        <v>1309</v>
      </c>
      <c r="H12" s="8" t="str">
        <f t="shared" si="1"/>
        <v>Milestone\SS\Model</v>
      </c>
      <c r="I12" s="5" t="s">
        <v>758</v>
      </c>
      <c r="J12" s="5"/>
      <c r="K12" s="5"/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AreaUser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1288</v>
      </c>
      <c r="F13" s="5" t="s">
        <v>1330</v>
      </c>
      <c r="G13" s="5" t="s">
        <v>1310</v>
      </c>
      <c r="H13" s="8" t="str">
        <f t="shared" si="1"/>
        <v>Milestone\SS\Model</v>
      </c>
      <c r="I13" s="5" t="s">
        <v>755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UserSetting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1289</v>
      </c>
      <c r="F14" s="5" t="s">
        <v>1331</v>
      </c>
      <c r="G14" s="5" t="s">
        <v>1311</v>
      </c>
      <c r="H14" s="8" t="str">
        <f t="shared" si="1"/>
        <v>Milestone\SS\Model</v>
      </c>
      <c r="I14" s="5" t="s">
        <v>1274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UserStoreArea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1290</v>
      </c>
      <c r="F15" s="5" t="s">
        <v>1332</v>
      </c>
      <c r="G15" s="5" t="s">
        <v>1312</v>
      </c>
      <c r="H15" s="8" t="str">
        <f t="shared" si="1"/>
        <v>Milestone\SS\Model</v>
      </c>
      <c r="I15" s="5" t="s">
        <v>759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StoreProduct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1291</v>
      </c>
      <c r="F16" s="5" t="s">
        <v>1333</v>
      </c>
      <c r="G16" s="5" t="s">
        <v>1313</v>
      </c>
      <c r="H16" s="8" t="str">
        <f t="shared" si="1"/>
        <v>Milestone\SS\Model</v>
      </c>
      <c r="I16" s="5" t="s">
        <v>762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ProductTransactionNature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1292</v>
      </c>
      <c r="F17" s="5" t="s">
        <v>1334</v>
      </c>
      <c r="G17" s="5" t="s">
        <v>1314</v>
      </c>
      <c r="H17" s="8" t="str">
        <f t="shared" si="1"/>
        <v>Milestone\SS\Model</v>
      </c>
      <c r="I17" s="5" t="s">
        <v>829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ProductTransactionType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1293</v>
      </c>
      <c r="F18" s="5" t="s">
        <v>1335</v>
      </c>
      <c r="G18" s="5" t="s">
        <v>1315</v>
      </c>
      <c r="H18" s="8" t="str">
        <f t="shared" si="1"/>
        <v>Milestone\SS\Model</v>
      </c>
      <c r="I18" s="5" t="s">
        <v>836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StoreProductTransaction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1294</v>
      </c>
      <c r="F19" s="5" t="s">
        <v>1336</v>
      </c>
      <c r="G19" s="5" t="s">
        <v>1316</v>
      </c>
      <c r="H19" s="8" t="str">
        <f t="shared" si="1"/>
        <v>Milestone\SS\Model</v>
      </c>
      <c r="I19" s="5" t="s">
        <v>765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Transaction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1295</v>
      </c>
      <c r="F20" s="5" t="s">
        <v>1337</v>
      </c>
      <c r="G20" s="5" t="s">
        <v>1317</v>
      </c>
      <c r="H20" s="8" t="str">
        <f t="shared" si="1"/>
        <v>Milestone\SS\Model</v>
      </c>
      <c r="I20" s="5" t="s">
        <v>899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TransactionDetail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1296</v>
      </c>
      <c r="F21" s="5" t="s">
        <v>1338</v>
      </c>
      <c r="G21" s="5" t="s">
        <v>1318</v>
      </c>
      <c r="H21" s="8" t="str">
        <f t="shared" si="1"/>
        <v>Milestone\SS\Model</v>
      </c>
      <c r="I21" s="5" t="s">
        <v>900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DData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1297</v>
      </c>
      <c r="F22" s="5" t="s">
        <v>1339</v>
      </c>
      <c r="G22" s="5" t="s">
        <v>1319</v>
      </c>
      <c r="H22" s="8" t="str">
        <f t="shared" si="1"/>
        <v>Milestone\SS\Model</v>
      </c>
      <c r="I22" s="5" t="s">
        <v>1055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SalesOrder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1298</v>
      </c>
      <c r="F23" s="5" t="s">
        <v>1340</v>
      </c>
      <c r="G23" s="5" t="s">
        <v>1320</v>
      </c>
      <c r="H23" s="8" t="str">
        <f t="shared" si="1"/>
        <v>Milestone\SS\Model</v>
      </c>
      <c r="I23" s="5" t="s">
        <v>950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SalesOrderItem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1299</v>
      </c>
      <c r="F24" s="5" t="s">
        <v>1341</v>
      </c>
      <c r="G24" s="5" t="s">
        <v>1321</v>
      </c>
      <c r="H24" s="8" t="str">
        <f t="shared" si="1"/>
        <v>Milestone\SS\Model</v>
      </c>
      <c r="I24" s="5" t="s">
        <v>951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StockTransfer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1300</v>
      </c>
      <c r="F25" s="5" t="s">
        <v>1342</v>
      </c>
      <c r="G25" s="5" t="s">
        <v>1322</v>
      </c>
      <c r="H25" s="8" t="str">
        <f t="shared" si="1"/>
        <v>Milestone\SS\Model</v>
      </c>
      <c r="I25" s="5" t="s">
        <v>907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WBin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1301</v>
      </c>
      <c r="F26" s="5" t="s">
        <v>1343</v>
      </c>
      <c r="G26" s="5" t="s">
        <v>1323</v>
      </c>
      <c r="H26" s="8" t="str">
        <f t="shared" si="1"/>
        <v>Milestone\SS\Model</v>
      </c>
      <c r="I26" s="5" t="s">
        <v>883</v>
      </c>
      <c r="J26" s="5"/>
      <c r="K26" s="5"/>
      <c r="L26" s="5"/>
      <c r="M26" s="32">
        <f>ResourceTable[No]</f>
        <v>305124</v>
      </c>
    </row>
    <row r="27" spans="1:13" x14ac:dyDescent="0.25">
      <c r="A27" s="7" t="str">
        <f>Page&amp;"-"&amp;(COUNTA($E$1:ResourceTable[[#This Row],[Name]])-2)</f>
        <v>Resources-25</v>
      </c>
      <c r="B27" s="60" t="str">
        <f>ResourceTable[[#This Row],[Name]]</f>
        <v>Receipt</v>
      </c>
      <c r="C27" s="58">
        <f>COUNTA($A$1:ResourceTable[[#This Row],[Primary]])-2</f>
        <v>25</v>
      </c>
      <c r="D27" s="58">
        <f>IF(ResourceTable[[#This Row],[RID]]=0,"id",ResourceTable[[#This Row],[RID]]+IF(ISNUMBER(VLOOKUP(Page,SeedMap[],9,0)),VLOOKUP(Page,SeedMap[],9,0),0))</f>
        <v>305125</v>
      </c>
      <c r="E27" s="4" t="s">
        <v>1734</v>
      </c>
      <c r="F27" s="4" t="s">
        <v>1747</v>
      </c>
      <c r="G27" s="4" t="s">
        <v>1747</v>
      </c>
      <c r="H27" s="7" t="str">
        <f>"Milestone\SS\Model"</f>
        <v>Milestone\SS\Model</v>
      </c>
      <c r="I27" s="4" t="s">
        <v>1724</v>
      </c>
      <c r="J27" s="4"/>
      <c r="K27" s="4"/>
      <c r="L27" s="4"/>
      <c r="M27" s="58">
        <f>ResourceTable[No]</f>
        <v>305125</v>
      </c>
    </row>
    <row r="28" spans="1:13" x14ac:dyDescent="0.25">
      <c r="A28" s="7" t="str">
        <f>Page&amp;"-"&amp;(COUNTA($E$1:ResourceTable[[#This Row],[Name]])-2)</f>
        <v>Resources-26</v>
      </c>
      <c r="B28" s="60" t="str">
        <f>ResourceTable[[#This Row],[Name]]</f>
        <v>FnReserve</v>
      </c>
      <c r="C28" s="58">
        <f>COUNTA($A$1:ResourceTable[[#This Row],[Primary]])-2</f>
        <v>26</v>
      </c>
      <c r="D28" s="58">
        <f>IF(ResourceTable[[#This Row],[RID]]=0,"id",ResourceTable[[#This Row],[RID]]+IF(ISNUMBER(VLOOKUP(Page,SeedMap[],9,0)),VLOOKUP(Page,SeedMap[],9,0),0))</f>
        <v>305126</v>
      </c>
      <c r="E28" s="4" t="s">
        <v>1748</v>
      </c>
      <c r="F28" s="4" t="s">
        <v>1749</v>
      </c>
      <c r="G28" s="4" t="s">
        <v>1749</v>
      </c>
      <c r="H28" s="7" t="str">
        <f>"Milestone\SS\Model"</f>
        <v>Milestone\SS\Model</v>
      </c>
      <c r="I28" s="4" t="s">
        <v>1735</v>
      </c>
      <c r="J28" s="4"/>
      <c r="K28" s="4"/>
      <c r="L28" s="4"/>
      <c r="M28" s="58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SalesOrderSale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1760</v>
      </c>
      <c r="F29" s="4" t="s">
        <v>1761</v>
      </c>
      <c r="G29" s="4" t="s">
        <v>1762</v>
      </c>
      <c r="H29" s="7" t="str">
        <f>"Milestone\SS\Model"</f>
        <v>Milestone\SS\Model</v>
      </c>
      <c r="I29" s="4" t="s">
        <v>1756</v>
      </c>
      <c r="J29" s="4"/>
      <c r="K29" s="4"/>
      <c r="L29" s="4"/>
      <c r="M29" s="58">
        <f>ResourceTable[No]</f>
        <v>305127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I1" workbookViewId="0">
      <selection activeCell="V11" sqref="V11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Pricelist/Items</v>
      </c>
      <c r="D3" s="60">
        <f>RelationTable[[#This Row],[No]]</f>
        <v>308101</v>
      </c>
      <c r="E3" s="7" t="s">
        <v>1284</v>
      </c>
      <c r="F3" s="7" t="s">
        <v>1285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305107</v>
      </c>
      <c r="I3" s="60" t="s">
        <v>1345</v>
      </c>
      <c r="J3" s="60" t="s">
        <v>1347</v>
      </c>
      <c r="K3" s="60" t="s">
        <v>1345</v>
      </c>
      <c r="L3" s="30" t="s">
        <v>1344</v>
      </c>
      <c r="M3" s="62">
        <f>VLOOKUP(RelationTable[Relate Resource],CHOOSE({1,2},ResourceTable[Name],ResourceTable[No]),2,0)</f>
        <v>305108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1532</v>
      </c>
      <c r="V3" s="4" t="s">
        <v>1533</v>
      </c>
      <c r="W3" s="4" t="s">
        <v>1534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PricelistProduct/Pricelist</v>
      </c>
      <c r="D4" s="60">
        <f>RelationTable[[#This Row],[No]]</f>
        <v>308102</v>
      </c>
      <c r="E4" s="7" t="s">
        <v>1285</v>
      </c>
      <c r="F4" s="7" t="s">
        <v>1284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305108</v>
      </c>
      <c r="I4" s="60" t="s">
        <v>1284</v>
      </c>
      <c r="J4" s="60" t="s">
        <v>1346</v>
      </c>
      <c r="K4" s="60" t="s">
        <v>1284</v>
      </c>
      <c r="L4" s="60" t="s">
        <v>1352</v>
      </c>
      <c r="M4" s="62">
        <f>VLOOKUP(RelationTable[Relate Resource],CHOOSE({1,2},ResourceTable[Name],ResourceTable[No]),2,0)</f>
        <v>305107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1290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305113</v>
      </c>
      <c r="U4" s="4" t="s">
        <v>1692</v>
      </c>
      <c r="V4" s="4" t="s">
        <v>1693</v>
      </c>
      <c r="W4" s="4" t="s">
        <v>1694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PricelistProduct/Product</v>
      </c>
      <c r="D5" s="60">
        <f>RelationTable[[#This Row],[No]]</f>
        <v>308103</v>
      </c>
      <c r="E5" s="7" t="s">
        <v>1285</v>
      </c>
      <c r="F5" s="7" t="s">
        <v>1283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305108</v>
      </c>
      <c r="I5" s="60" t="s">
        <v>1283</v>
      </c>
      <c r="J5" s="60" t="s">
        <v>1348</v>
      </c>
      <c r="K5" s="60" t="s">
        <v>1283</v>
      </c>
      <c r="L5" s="60" t="s">
        <v>1352</v>
      </c>
      <c r="M5" s="62">
        <f>VLOOKUP(RelationTable[Relate Resource],CHOOSE({1,2},ResourceTable[Name],ResourceTable[No]),2,0)</f>
        <v>305106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1288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305111</v>
      </c>
      <c r="U5" s="4" t="s">
        <v>1692</v>
      </c>
      <c r="V5" s="4" t="s">
        <v>1698</v>
      </c>
      <c r="W5" s="4" t="s">
        <v>1694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AreaUser/Area</v>
      </c>
      <c r="D6" s="60">
        <f>RelationTable[[#This Row],[No]]</f>
        <v>308104</v>
      </c>
      <c r="E6" s="7" t="s">
        <v>1288</v>
      </c>
      <c r="F6" s="7" t="s">
        <v>1287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305111</v>
      </c>
      <c r="I6" s="60" t="s">
        <v>1287</v>
      </c>
      <c r="J6" s="60" t="s">
        <v>1349</v>
      </c>
      <c r="K6" s="60" t="s">
        <v>1287</v>
      </c>
      <c r="L6" s="60" t="s">
        <v>1352</v>
      </c>
      <c r="M6" s="62">
        <f>VLOOKUP(RelationTable[Relate Resource],CHOOSE({1,2},ResourceTable[Name],ResourceTable[No]),2,0)</f>
        <v>305110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1298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305121</v>
      </c>
      <c r="U6" s="4" t="s">
        <v>1705</v>
      </c>
      <c r="V6" s="4" t="s">
        <v>1707</v>
      </c>
      <c r="W6" s="4" t="s">
        <v>1706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AreaUser/Customer</v>
      </c>
      <c r="D7" s="60">
        <f>RelationTable[[#This Row],[No]]</f>
        <v>308105</v>
      </c>
      <c r="E7" s="7" t="s">
        <v>1288</v>
      </c>
      <c r="F7" s="7" t="s">
        <v>74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305111</v>
      </c>
      <c r="I7" s="60" t="s">
        <v>1690</v>
      </c>
      <c r="J7" s="60" t="s">
        <v>1699</v>
      </c>
      <c r="K7" s="60" t="s">
        <v>1690</v>
      </c>
      <c r="L7" s="60" t="s">
        <v>1352</v>
      </c>
      <c r="M7" s="62">
        <f>VLOOKUP(RelationTable[Relate Resource],CHOOSE({1,2},ResourceTable[Name],ResourceTable[No]),2,0)</f>
        <v>305101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1295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305118</v>
      </c>
      <c r="U7" s="4" t="s">
        <v>1710</v>
      </c>
      <c r="V7" s="4" t="s">
        <v>1711</v>
      </c>
      <c r="W7" s="4" t="s">
        <v>1712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Area/User</v>
      </c>
      <c r="D8" s="60">
        <f>RelationTable[[#This Row],[No]]</f>
        <v>308106</v>
      </c>
      <c r="E8" s="7" t="s">
        <v>1287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305110</v>
      </c>
      <c r="I8" s="60" t="s">
        <v>74</v>
      </c>
      <c r="J8" s="60" t="s">
        <v>1351</v>
      </c>
      <c r="K8" s="60" t="s">
        <v>74</v>
      </c>
      <c r="L8" s="60" t="s">
        <v>1353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1734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305125</v>
      </c>
      <c r="U8" s="4" t="s">
        <v>1750</v>
      </c>
      <c r="V8" s="4" t="s">
        <v>1751</v>
      </c>
      <c r="W8" s="4" t="s">
        <v>1752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Setting/Users</v>
      </c>
      <c r="D9" s="60">
        <f>RelationTable[[#This Row],[No]]</f>
        <v>308107</v>
      </c>
      <c r="E9" s="7" t="s">
        <v>1280</v>
      </c>
      <c r="F9" s="7" t="s">
        <v>1289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305103</v>
      </c>
      <c r="I9" s="60" t="s">
        <v>78</v>
      </c>
      <c r="J9" s="60" t="s">
        <v>1478</v>
      </c>
      <c r="K9" s="60" t="s">
        <v>78</v>
      </c>
      <c r="L9" s="60" t="s">
        <v>1344</v>
      </c>
      <c r="M9" s="62">
        <f>VLOOKUP(RelationTable[Relate Resource],CHOOSE({1,2},ResourceTable[Name],ResourceTable[No]),2,0)</f>
        <v>305112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1760</v>
      </c>
      <c r="R9" s="7" t="str">
        <f>ResourceScopes[[#This Row],[Resource for Scope]]&amp;"/"&amp;ResourceScopes[[#This Row],[Name]]</f>
        <v>SalesOrderSale/AssignedCustomerSalesOrder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305127</v>
      </c>
      <c r="U9" s="4" t="s">
        <v>1765</v>
      </c>
      <c r="V9" s="4" t="s">
        <v>1766</v>
      </c>
      <c r="W9" s="4" t="s">
        <v>1767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User/Area</v>
      </c>
      <c r="D10" s="60">
        <f>RelationTable[[#This Row],[No]]</f>
        <v>308108</v>
      </c>
      <c r="E10" s="7" t="s">
        <v>74</v>
      </c>
      <c r="F10" s="7" t="s">
        <v>1287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305101</v>
      </c>
      <c r="I10" s="60" t="s">
        <v>1287</v>
      </c>
      <c r="J10" s="60" t="s">
        <v>1349</v>
      </c>
      <c r="K10" s="60" t="s">
        <v>1287</v>
      </c>
      <c r="L10" s="60" t="s">
        <v>1353</v>
      </c>
      <c r="M10" s="62">
        <f>VLOOKUP(RelationTable[Relate Resource],CHOOSE({1,2},ResourceTable[Name],ResourceTable[No]),2,0)</f>
        <v>305110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1295</v>
      </c>
      <c r="R10" s="7" t="str">
        <f>ResourceScopes[[#This Row],[Resource for Scope]]&amp;"/"&amp;ResourceScopes[[#This Row],[Name]]</f>
        <v>Transaction/StockTransferPending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305118</v>
      </c>
      <c r="U10" s="4" t="s">
        <v>1800</v>
      </c>
      <c r="V10" s="4" t="s">
        <v>1805</v>
      </c>
      <c r="W10" s="4" t="s">
        <v>1794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UserSetting/Settings</v>
      </c>
      <c r="D11" s="60">
        <f>RelationTable[[#This Row],[No]]</f>
        <v>308109</v>
      </c>
      <c r="E11" s="7" t="s">
        <v>1289</v>
      </c>
      <c r="F11" s="7" t="s">
        <v>1280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305112</v>
      </c>
      <c r="I11" s="60" t="s">
        <v>1302</v>
      </c>
      <c r="J11" s="60" t="s">
        <v>1354</v>
      </c>
      <c r="K11" s="60" t="s">
        <v>1302</v>
      </c>
      <c r="L11" s="60" t="s">
        <v>1352</v>
      </c>
      <c r="M11" s="62">
        <f>VLOOKUP(RelationTable[Relate Resource],CHOOSE({1,2},ResourceTable[Name],ResourceTable[No]),2,0)</f>
        <v>305103</v>
      </c>
      <c r="N11" s="63">
        <f>RelationTable[RELID]</f>
        <v>308109</v>
      </c>
      <c r="P11" s="7" t="str">
        <f>'Table Seed Map'!$A$9&amp;"-"&amp;COUNTA($Q$1:ResourceScopes[[#This Row],[Resource for Scope]])-1</f>
        <v>Resource Scopes-9</v>
      </c>
      <c r="Q11" s="4" t="s">
        <v>1300</v>
      </c>
      <c r="R11" s="7" t="str">
        <f>ResourceScopes[[#This Row],[Resource for Scope]]&amp;"/"&amp;ResourceScopes[[#This Row],[Name]]</f>
        <v>StockTransfer/PendingStockTransfer</v>
      </c>
      <c r="S11" s="60">
        <f>IF(ResourceScopes[[#This Row],[Resource for Scope]]="","id",-1+COUNTA($Q$1:ResourceScopes[[#This Row],[Resource for Scope]])+VLOOKUP('Table Seed Map'!$A$9,SeedMap[],9,0))</f>
        <v>307109</v>
      </c>
      <c r="T11" s="60">
        <f>IFERROR(VLOOKUP(ResourceScopes[[#This Row],[Resource for Scope]],CHOOSE({1,2},ResourceTable[Name],ResourceTable[No]),2,0),"resource")</f>
        <v>305123</v>
      </c>
      <c r="U11" s="4" t="s">
        <v>1795</v>
      </c>
      <c r="V11" s="4" t="s">
        <v>1804</v>
      </c>
      <c r="W11" s="4" t="s">
        <v>1796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User/Settings</v>
      </c>
      <c r="D12" s="60">
        <f>RelationTable[[#This Row],[No]]</f>
        <v>308110</v>
      </c>
      <c r="E12" s="7" t="s">
        <v>74</v>
      </c>
      <c r="F12" s="7" t="s">
        <v>1289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305101</v>
      </c>
      <c r="I12" s="60" t="s">
        <v>1302</v>
      </c>
      <c r="J12" s="60" t="s">
        <v>1355</v>
      </c>
      <c r="K12" s="60" t="s">
        <v>1302</v>
      </c>
      <c r="L12" s="60" t="s">
        <v>1344</v>
      </c>
      <c r="M12" s="62">
        <f>VLOOKUP(RelationTable[Relate Resource],CHOOSE({1,2},ResourceTable[Name],ResourceTable[No]),2,0)</f>
        <v>305112</v>
      </c>
      <c r="N12" s="63">
        <f>RelationTable[RELID]</f>
        <v>308110</v>
      </c>
      <c r="P12" s="7" t="str">
        <f>'Table Seed Map'!$A$9&amp;"-"&amp;COUNTA($Q$1:ResourceScopes[[#This Row],[Resource for Scope]])-1</f>
        <v>Resource Scopes-10</v>
      </c>
      <c r="Q12" s="4" t="s">
        <v>1294</v>
      </c>
      <c r="R12" s="7" t="str">
        <f>ResourceScopes[[#This Row],[Resource for Scope]]&amp;"/"&amp;ResourceScopes[[#This Row],[Name]]</f>
        <v>StoreProductTransaction/PendingStockTransferOut</v>
      </c>
      <c r="S12" s="60">
        <f>IF(ResourceScopes[[#This Row],[Resource for Scope]]="","id",-1+COUNTA($Q$1:ResourceScopes[[#This Row],[Resource for Scope]])+VLOOKUP('Table Seed Map'!$A$9,SeedMap[],9,0))</f>
        <v>307110</v>
      </c>
      <c r="T12" s="60">
        <f>IFERROR(VLOOKUP(ResourceScopes[[#This Row],[Resource for Scope]],CHOOSE({1,2},ResourceTable[Name],ResourceTable[No]),2,0),"resource")</f>
        <v>305117</v>
      </c>
      <c r="U12" s="4" t="s">
        <v>1797</v>
      </c>
      <c r="V12" s="4" t="s">
        <v>1798</v>
      </c>
      <c r="W12" s="4" t="s">
        <v>1799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UserSetting/User</v>
      </c>
      <c r="D13" s="60">
        <f>RelationTable[[#This Row],[No]]</f>
        <v>308111</v>
      </c>
      <c r="E13" s="7" t="s">
        <v>1289</v>
      </c>
      <c r="F13" s="7" t="s">
        <v>74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305112</v>
      </c>
      <c r="I13" s="60" t="s">
        <v>74</v>
      </c>
      <c r="J13" s="60" t="s">
        <v>1479</v>
      </c>
      <c r="K13" s="60" t="s">
        <v>74</v>
      </c>
      <c r="L13" s="60" t="s">
        <v>1352</v>
      </c>
      <c r="M13" s="62">
        <f>VLOOKUP(RelationTable[Relate Resource],CHOOSE({1,2},ResourceTable[Name],ResourceTable[No]),2,0)</f>
        <v>305101</v>
      </c>
      <c r="N13" s="63">
        <f>RelationTable[RELID]</f>
        <v>308111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User/StoreAndArea</v>
      </c>
      <c r="D14" s="60">
        <f>RelationTable[[#This Row],[No]]</f>
        <v>308112</v>
      </c>
      <c r="E14" s="7" t="s">
        <v>74</v>
      </c>
      <c r="F14" s="7" t="s">
        <v>1290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305101</v>
      </c>
      <c r="I14" s="60" t="s">
        <v>1356</v>
      </c>
      <c r="J14" s="60" t="s">
        <v>1357</v>
      </c>
      <c r="K14" s="60" t="s">
        <v>1356</v>
      </c>
      <c r="L14" s="60" t="s">
        <v>1344</v>
      </c>
      <c r="M14" s="62">
        <f>VLOOKUP(RelationTable[Relate Resource],CHOOSE({1,2},ResourceTable[Name],ResourceTable[No]),2,0)</f>
        <v>305113</v>
      </c>
      <c r="N14" s="63">
        <f>RelationTable[RELID]</f>
        <v>308112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UserStoreArea/Area</v>
      </c>
      <c r="D15" s="60">
        <f>RelationTable[[#This Row],[No]]</f>
        <v>308113</v>
      </c>
      <c r="E15" s="7" t="s">
        <v>1290</v>
      </c>
      <c r="F15" s="7" t="s">
        <v>1287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305113</v>
      </c>
      <c r="I15" s="60" t="s">
        <v>1287</v>
      </c>
      <c r="J15" s="60" t="s">
        <v>1358</v>
      </c>
      <c r="K15" s="60" t="s">
        <v>1287</v>
      </c>
      <c r="L15" s="60" t="s">
        <v>1352</v>
      </c>
      <c r="M15" s="62">
        <f>VLOOKUP(RelationTable[Relate Resource],CHOOSE({1,2},ResourceTable[Name],ResourceTable[No]),2,0)</f>
        <v>305110</v>
      </c>
      <c r="N15" s="63">
        <f>RelationTable[RELID]</f>
        <v>308113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UserStoreArea/Store</v>
      </c>
      <c r="D16" s="60">
        <f>RelationTable[[#This Row],[No]]</f>
        <v>308114</v>
      </c>
      <c r="E16" s="7" t="s">
        <v>1290</v>
      </c>
      <c r="F16" s="7" t="s">
        <v>1286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305113</v>
      </c>
      <c r="I16" s="60" t="s">
        <v>1286</v>
      </c>
      <c r="J16" s="60" t="s">
        <v>1359</v>
      </c>
      <c r="K16" s="60" t="s">
        <v>1286</v>
      </c>
      <c r="L16" s="60" t="s">
        <v>1352</v>
      </c>
      <c r="M16" s="62">
        <f>VLOOKUP(RelationTable[Relate Resource],CHOOSE({1,2},ResourceTable[Name],ResourceTable[No]),2,0)</f>
        <v>305109</v>
      </c>
      <c r="N16" s="63">
        <f>RelationTable[RELID]</f>
        <v>308114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UserStoreArea/User</v>
      </c>
      <c r="D17" s="60">
        <f>RelationTable[[#This Row],[No]]</f>
        <v>308115</v>
      </c>
      <c r="E17" s="7" t="s">
        <v>1290</v>
      </c>
      <c r="F17" s="7" t="s">
        <v>74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305113</v>
      </c>
      <c r="I17" s="60" t="s">
        <v>74</v>
      </c>
      <c r="J17" s="60" t="s">
        <v>1360</v>
      </c>
      <c r="K17" s="60" t="s">
        <v>74</v>
      </c>
      <c r="L17" s="60" t="s">
        <v>1352</v>
      </c>
      <c r="M17" s="62">
        <f>VLOOKUP(RelationTable[Relate Resource],CHOOSE({1,2},ResourceTable[Name],ResourceTable[No]),2,0)</f>
        <v>305101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Store/Users</v>
      </c>
      <c r="D18" s="60">
        <f>RelationTable[[#This Row],[No]]</f>
        <v>308116</v>
      </c>
      <c r="E18" s="7" t="s">
        <v>1286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305109</v>
      </c>
      <c r="I18" s="60" t="s">
        <v>78</v>
      </c>
      <c r="J18" s="60" t="s">
        <v>1361</v>
      </c>
      <c r="K18" s="60" t="s">
        <v>78</v>
      </c>
      <c r="L18" s="60" t="s">
        <v>1353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Area/StoreAndUser</v>
      </c>
      <c r="D19" s="60">
        <f>RelationTable[[#This Row],[No]]</f>
        <v>308117</v>
      </c>
      <c r="E19" s="7" t="s">
        <v>1287</v>
      </c>
      <c r="F19" s="7" t="s">
        <v>1290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305110</v>
      </c>
      <c r="I19" s="60" t="s">
        <v>1362</v>
      </c>
      <c r="J19" s="60" t="s">
        <v>1363</v>
      </c>
      <c r="K19" s="60" t="s">
        <v>1362</v>
      </c>
      <c r="L19" s="60" t="s">
        <v>1344</v>
      </c>
      <c r="M19" s="62">
        <f>VLOOKUP(RelationTable[Relate Resource],CHOOSE({1,2},ResourceTable[Name],ResourceTable[No]),2,0)</f>
        <v>305113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StoreProductTransaction/Product</v>
      </c>
      <c r="D20" s="60">
        <f>RelationTable[[#This Row],[No]]</f>
        <v>308118</v>
      </c>
      <c r="E20" s="7" t="s">
        <v>1294</v>
      </c>
      <c r="F20" s="7" t="s">
        <v>1283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305117</v>
      </c>
      <c r="I20" s="60" t="s">
        <v>1283</v>
      </c>
      <c r="J20" s="60" t="s">
        <v>1365</v>
      </c>
      <c r="K20" s="60" t="s">
        <v>1283</v>
      </c>
      <c r="L20" s="60" t="s">
        <v>1352</v>
      </c>
      <c r="M20" s="62">
        <f>VLOOKUP(RelationTable[Relate Resource],CHOOSE({1,2},ResourceTable[Name],ResourceTable[No]),2,0)</f>
        <v>305106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StoreProductTransaction/Store</v>
      </c>
      <c r="D21" s="60">
        <f>RelationTable[[#This Row],[No]]</f>
        <v>308119</v>
      </c>
      <c r="E21" s="7" t="s">
        <v>1294</v>
      </c>
      <c r="F21" s="7" t="s">
        <v>1286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305117</v>
      </c>
      <c r="I21" s="60" t="s">
        <v>1286</v>
      </c>
      <c r="J21" s="60" t="s">
        <v>1366</v>
      </c>
      <c r="K21" s="60" t="s">
        <v>1286</v>
      </c>
      <c r="L21" s="60" t="s">
        <v>1352</v>
      </c>
      <c r="M21" s="62">
        <f>VLOOKUP(RelationTable[Relate Resource],CHOOSE({1,2},ResourceTable[Name],ResourceTable[No]),2,0)</f>
        <v>305109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StoreProductTransaction/User</v>
      </c>
      <c r="D22" s="60">
        <f>RelationTable[[#This Row],[No]]</f>
        <v>308120</v>
      </c>
      <c r="E22" s="7" t="s">
        <v>1294</v>
      </c>
      <c r="F22" s="7" t="s">
        <v>74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305117</v>
      </c>
      <c r="I22" s="60" t="s">
        <v>74</v>
      </c>
      <c r="J22" s="60" t="s">
        <v>1351</v>
      </c>
      <c r="K22" s="60" t="s">
        <v>74</v>
      </c>
      <c r="L22" s="60" t="s">
        <v>1352</v>
      </c>
      <c r="M22" s="62">
        <f>VLOOKUP(RelationTable[Relate Resource],CHOOSE({1,2},ResourceTable[Name],ResourceTable[No]),2,0)</f>
        <v>305101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StoreProductTransaction/Nature</v>
      </c>
      <c r="D23" s="60">
        <f>RelationTable[[#This Row],[No]]</f>
        <v>308121</v>
      </c>
      <c r="E23" s="7" t="s">
        <v>1294</v>
      </c>
      <c r="F23" s="7" t="s">
        <v>1292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305117</v>
      </c>
      <c r="I23" s="60" t="s">
        <v>1364</v>
      </c>
      <c r="J23" s="60" t="s">
        <v>1367</v>
      </c>
      <c r="K23" s="60" t="s">
        <v>1364</v>
      </c>
      <c r="L23" s="60" t="s">
        <v>1352</v>
      </c>
      <c r="M23" s="62">
        <f>VLOOKUP(RelationTable[Relate Resource],CHOOSE({1,2},ResourceTable[Name],ResourceTable[No]),2,0)</f>
        <v>305115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StoreProductTransaction/Type</v>
      </c>
      <c r="D24" s="60">
        <f>RelationTable[[#This Row],[No]]</f>
        <v>308122</v>
      </c>
      <c r="E24" s="7" t="s">
        <v>1294</v>
      </c>
      <c r="F24" s="7" t="s">
        <v>1293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305117</v>
      </c>
      <c r="I24" s="60" t="s">
        <v>14</v>
      </c>
      <c r="J24" s="60" t="s">
        <v>1368</v>
      </c>
      <c r="K24" s="60" t="s">
        <v>14</v>
      </c>
      <c r="L24" s="60" t="s">
        <v>1352</v>
      </c>
      <c r="M24" s="62">
        <f>VLOOKUP(RelationTable[Relate Resource],CHOOSE({1,2},ResourceTable[Name],ResourceTable[No]),2,0)</f>
        <v>305116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Store/ProductTransaction</v>
      </c>
      <c r="D25" s="60">
        <f>RelationTable[[#This Row],[No]]</f>
        <v>308123</v>
      </c>
      <c r="E25" s="7" t="s">
        <v>1286</v>
      </c>
      <c r="F25" s="7" t="s">
        <v>1294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305109</v>
      </c>
      <c r="I25" s="60" t="s">
        <v>1369</v>
      </c>
      <c r="J25" s="60" t="s">
        <v>1370</v>
      </c>
      <c r="K25" s="60" t="s">
        <v>1369</v>
      </c>
      <c r="L25" s="60" t="s">
        <v>1344</v>
      </c>
      <c r="M25" s="62">
        <f>VLOOKUP(RelationTable[Relate Resource],CHOOSE({1,2},ResourceTable[Name],ResourceTable[No]),2,0)</f>
        <v>305117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Transaction/Details</v>
      </c>
      <c r="D26" s="60">
        <f>RelationTable[[#This Row],[No]]</f>
        <v>308124</v>
      </c>
      <c r="E26" s="7" t="s">
        <v>1295</v>
      </c>
      <c r="F26" s="7" t="s">
        <v>1296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305118</v>
      </c>
      <c r="I26" s="60" t="s">
        <v>1371</v>
      </c>
      <c r="J26" s="60" t="s">
        <v>1372</v>
      </c>
      <c r="K26" s="60" t="s">
        <v>1371</v>
      </c>
      <c r="L26" s="60" t="s">
        <v>1344</v>
      </c>
      <c r="M26" s="62">
        <f>VLOOKUP(RelationTable[Relate Resource],CHOOSE({1,2},ResourceTable[Name],ResourceTable[No]),2,0)</f>
        <v>305119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Transaction/Products</v>
      </c>
      <c r="D27" s="60">
        <f>RelationTable[[#This Row],[No]]</f>
        <v>308125</v>
      </c>
      <c r="E27" s="7" t="s">
        <v>1295</v>
      </c>
      <c r="F27" s="7" t="s">
        <v>1294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305118</v>
      </c>
      <c r="I27" s="60" t="s">
        <v>1305</v>
      </c>
      <c r="J27" s="60" t="s">
        <v>1373</v>
      </c>
      <c r="K27" s="60" t="s">
        <v>1305</v>
      </c>
      <c r="L27" s="60" t="s">
        <v>1353</v>
      </c>
      <c r="M27" s="62">
        <f>VLOOKUP(RelationTable[Relate Resource],CHOOSE({1,2},ResourceTable[Name],ResourceTable[No]),2,0)</f>
        <v>305117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TransactionDetail/Product</v>
      </c>
      <c r="D28" s="60">
        <f>RelationTable[[#This Row],[No]]</f>
        <v>308126</v>
      </c>
      <c r="E28" s="7" t="s">
        <v>1296</v>
      </c>
      <c r="F28" s="7" t="s">
        <v>1294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305119</v>
      </c>
      <c r="I28" s="60" t="s">
        <v>1283</v>
      </c>
      <c r="J28" s="60" t="s">
        <v>1374</v>
      </c>
      <c r="K28" s="60" t="s">
        <v>1283</v>
      </c>
      <c r="L28" s="60" t="s">
        <v>1352</v>
      </c>
      <c r="M28" s="62">
        <f>VLOOKUP(RelationTable[Relate Resource],CHOOSE({1,2},ResourceTable[Name],ResourceTable[No]),2,0)</f>
        <v>305117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SalesOrder/Items</v>
      </c>
      <c r="D29" s="60">
        <f>RelationTable[[#This Row],[No]]</f>
        <v>308127</v>
      </c>
      <c r="E29" s="7" t="s">
        <v>1298</v>
      </c>
      <c r="F29" s="7" t="s">
        <v>1299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305121</v>
      </c>
      <c r="I29" s="60" t="s">
        <v>1345</v>
      </c>
      <c r="J29" s="60" t="s">
        <v>1375</v>
      </c>
      <c r="K29" s="60" t="s">
        <v>1345</v>
      </c>
      <c r="L29" s="60" t="s">
        <v>1344</v>
      </c>
      <c r="M29" s="62">
        <f>VLOOKUP(RelationTable[Relate Resource],CHOOSE({1,2},ResourceTable[Name],ResourceTable[No]),2,0)</f>
        <v>305122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SalesOrderItem/Product</v>
      </c>
      <c r="D30" s="60">
        <f>RelationTable[[#This Row],[No]]</f>
        <v>308128</v>
      </c>
      <c r="E30" s="7" t="s">
        <v>1299</v>
      </c>
      <c r="F30" s="7" t="s">
        <v>1283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305122</v>
      </c>
      <c r="I30" s="60" t="s">
        <v>1283</v>
      </c>
      <c r="J30" s="60" t="s">
        <v>1376</v>
      </c>
      <c r="K30" s="60" t="s">
        <v>1283</v>
      </c>
      <c r="L30" s="60" t="s">
        <v>1352</v>
      </c>
      <c r="M30" s="62">
        <f>VLOOKUP(RelationTable[Relate Resource],CHOOSE({1,2},ResourceTable[Name],ResourceTable[No]),2,0)</f>
        <v>305106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StockTransfer/IN</v>
      </c>
      <c r="D31" s="60">
        <f>RelationTable[[#This Row],[No]]</f>
        <v>308129</v>
      </c>
      <c r="E31" s="7" t="s">
        <v>1300</v>
      </c>
      <c r="F31" s="7" t="s">
        <v>1295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305123</v>
      </c>
      <c r="I31" s="60" t="s">
        <v>1377</v>
      </c>
      <c r="J31" s="60" t="s">
        <v>1378</v>
      </c>
      <c r="K31" s="60" t="s">
        <v>1377</v>
      </c>
      <c r="L31" s="60" t="s">
        <v>1352</v>
      </c>
      <c r="M31" s="62">
        <f>VLOOKUP(RelationTable[Relate Resource],CHOOSE({1,2},ResourceTable[Name],ResourceTable[No]),2,0)</f>
        <v>305118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StockTransfer/OUT</v>
      </c>
      <c r="D32" s="60">
        <f>RelationTable[[#This Row],[No]]</f>
        <v>308130</v>
      </c>
      <c r="E32" s="7" t="s">
        <v>1300</v>
      </c>
      <c r="F32" s="7" t="s">
        <v>1295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305123</v>
      </c>
      <c r="I32" s="60" t="s">
        <v>1379</v>
      </c>
      <c r="J32" s="60" t="s">
        <v>1380</v>
      </c>
      <c r="K32" s="60" t="s">
        <v>1379</v>
      </c>
      <c r="L32" s="60" t="s">
        <v>1352</v>
      </c>
      <c r="M32" s="62">
        <f>VLOOKUP(RelationTable[Relate Resource],CHOOSE({1,2},ResourceTable[Name],ResourceTable[No]),2,0)</f>
        <v>305118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SalesOrder/Customer</v>
      </c>
      <c r="D33" s="60">
        <f>RelationTable[[#This Row],[No]]</f>
        <v>308131</v>
      </c>
      <c r="E33" s="7" t="s">
        <v>1298</v>
      </c>
      <c r="F33" s="7" t="s">
        <v>74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305121</v>
      </c>
      <c r="I33" s="60" t="s">
        <v>1690</v>
      </c>
      <c r="J33" s="60" t="s">
        <v>1691</v>
      </c>
      <c r="K33" s="60" t="s">
        <v>1690</v>
      </c>
      <c r="L33" s="60" t="s">
        <v>1352</v>
      </c>
      <c r="M33" s="62">
        <f>VLOOKUP(RelationTable[Relate Resource],CHOOSE({1,2},ResourceTable[Name],ResourceTable[No]),2,0)</f>
        <v>305101</v>
      </c>
      <c r="N33" s="63">
        <f>RelationTable[RELID]</f>
        <v>308131</v>
      </c>
    </row>
    <row r="34" spans="1:14" x14ac:dyDescent="0.25">
      <c r="A34" s="61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UserStoreArea/AssignedAreas</v>
      </c>
      <c r="D34" s="60">
        <f>RelationTable[[#This Row],[No]]</f>
        <v>308132</v>
      </c>
      <c r="E34" s="7" t="s">
        <v>1290</v>
      </c>
      <c r="F34" s="7" t="s">
        <v>1288</v>
      </c>
      <c r="G34" s="60">
        <f>RelationTable[[#This Row],[No]]</f>
        <v>308132</v>
      </c>
      <c r="H34" s="60">
        <f>IF(RelationTable[[#This Row],[No]]="id","resource",VLOOKUP(RelationTable[Resource],CHOOSE({1,2},ResourceTable[Name],ResourceTable[No]),2,0))</f>
        <v>305113</v>
      </c>
      <c r="I34" s="60" t="s">
        <v>1695</v>
      </c>
      <c r="J34" s="60" t="s">
        <v>1696</v>
      </c>
      <c r="K34" s="60" t="s">
        <v>1695</v>
      </c>
      <c r="L34" s="60" t="s">
        <v>1344</v>
      </c>
      <c r="M34" s="62">
        <f>VLOOKUP(RelationTable[Relate Resource],CHOOSE({1,2},ResourceTable[Name],ResourceTable[No]),2,0)</f>
        <v>305111</v>
      </c>
      <c r="N34" s="63">
        <f>RelationTable[RELID]</f>
        <v>308132</v>
      </c>
    </row>
    <row r="35" spans="1:14" x14ac:dyDescent="0.25">
      <c r="A35" s="61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AreaUser/Users</v>
      </c>
      <c r="D35" s="60">
        <f>RelationTable[[#This Row],[No]]</f>
        <v>308133</v>
      </c>
      <c r="E35" s="7" t="s">
        <v>1288</v>
      </c>
      <c r="F35" s="7" t="s">
        <v>1290</v>
      </c>
      <c r="G35" s="60">
        <f>RelationTable[[#This Row],[No]]</f>
        <v>308133</v>
      </c>
      <c r="H35" s="60">
        <f>IF(RelationTable[[#This Row],[No]]="id","resource",VLOOKUP(RelationTable[Resource],CHOOSE({1,2},ResourceTable[Name],ResourceTable[No]),2,0))</f>
        <v>305111</v>
      </c>
      <c r="I35" s="60" t="s">
        <v>78</v>
      </c>
      <c r="J35" s="60" t="s">
        <v>1697</v>
      </c>
      <c r="K35" s="60" t="s">
        <v>78</v>
      </c>
      <c r="L35" s="60" t="s">
        <v>1344</v>
      </c>
      <c r="M35" s="62">
        <f>VLOOKUP(RelationTable[Relate Resource],CHOOSE({1,2},ResourceTable[Name],ResourceTable[No]),2,0)</f>
        <v>305113</v>
      </c>
      <c r="N35" s="63">
        <f>RelationTable[RELID]</f>
        <v>308133</v>
      </c>
    </row>
    <row r="36" spans="1:14" x14ac:dyDescent="0.25">
      <c r="A36" s="61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UserStoreArea/Customers</v>
      </c>
      <c r="D36" s="60">
        <f>RelationTable[[#This Row],[No]]</f>
        <v>308134</v>
      </c>
      <c r="E36" s="7" t="s">
        <v>1290</v>
      </c>
      <c r="F36" s="7" t="s">
        <v>74</v>
      </c>
      <c r="G36" s="60">
        <f>RelationTable[[#This Row],[No]]</f>
        <v>308134</v>
      </c>
      <c r="H36" s="60">
        <f>IF(RelationTable[[#This Row],[No]]="id","resource",VLOOKUP(RelationTable[Resource],CHOOSE({1,2},ResourceTable[Name],ResourceTable[No]),2,0))</f>
        <v>305113</v>
      </c>
      <c r="I36" s="60" t="s">
        <v>1700</v>
      </c>
      <c r="J36" s="60" t="s">
        <v>1701</v>
      </c>
      <c r="K36" s="60" t="s">
        <v>1700</v>
      </c>
      <c r="L36" s="60" t="s">
        <v>1353</v>
      </c>
      <c r="M36" s="62">
        <f>VLOOKUP(RelationTable[Relate Resource],CHOOSE({1,2},ResourceTable[Name],ResourceTable[No]),2,0)</f>
        <v>305101</v>
      </c>
      <c r="N36" s="63">
        <f>RelationTable[RELID]</f>
        <v>308134</v>
      </c>
    </row>
    <row r="37" spans="1:14" x14ac:dyDescent="0.25">
      <c r="A37" s="61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User/AreaCustomers</v>
      </c>
      <c r="D37" s="60">
        <f>RelationTable[[#This Row],[No]]</f>
        <v>308135</v>
      </c>
      <c r="E37" s="7" t="s">
        <v>74</v>
      </c>
      <c r="F37" s="7" t="s">
        <v>1288</v>
      </c>
      <c r="G37" s="60">
        <f>RelationTable[[#This Row],[No]]</f>
        <v>308135</v>
      </c>
      <c r="H37" s="60">
        <f>IF(RelationTable[[#This Row],[No]]="id","resource",VLOOKUP(RelationTable[Resource],CHOOSE({1,2},ResourceTable[Name],ResourceTable[No]),2,0))</f>
        <v>305101</v>
      </c>
      <c r="I37" s="60" t="s">
        <v>1702</v>
      </c>
      <c r="J37" s="60" t="s">
        <v>1704</v>
      </c>
      <c r="K37" s="60" t="s">
        <v>1702</v>
      </c>
      <c r="L37" s="60" t="s">
        <v>1703</v>
      </c>
      <c r="M37" s="62">
        <f>VLOOKUP(RelationTable[Relate Resource],CHOOSE({1,2},ResourceTable[Name],ResourceTable[No]),2,0)</f>
        <v>305111</v>
      </c>
      <c r="N37" s="63">
        <f>RelationTable[RELID]</f>
        <v>308135</v>
      </c>
    </row>
    <row r="38" spans="1:14" x14ac:dyDescent="0.25">
      <c r="A38" s="61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SalesOrderItem/SalesOrder</v>
      </c>
      <c r="D38" s="60">
        <f>RelationTable[[#This Row],[No]]</f>
        <v>308136</v>
      </c>
      <c r="E38" s="7" t="s">
        <v>1299</v>
      </c>
      <c r="F38" s="7" t="s">
        <v>1298</v>
      </c>
      <c r="G38" s="60">
        <f>RelationTable[[#This Row],[No]]</f>
        <v>308136</v>
      </c>
      <c r="H38" s="60">
        <f>IF(RelationTable[[#This Row],[No]]="id","resource",VLOOKUP(RelationTable[Resource],CHOOSE({1,2},ResourceTable[Name],ResourceTable[No]),2,0))</f>
        <v>305122</v>
      </c>
      <c r="I38" s="60" t="s">
        <v>1298</v>
      </c>
      <c r="J38" s="60" t="s">
        <v>1708</v>
      </c>
      <c r="K38" s="60" t="s">
        <v>1298</v>
      </c>
      <c r="L38" s="60" t="s">
        <v>1352</v>
      </c>
      <c r="M38" s="62">
        <f>VLOOKUP(RelationTable[Relate Resource],CHOOSE({1,2},ResourceTable[Name],ResourceTable[No]),2,0)</f>
        <v>305121</v>
      </c>
      <c r="N38" s="63">
        <f>RelationTable[RELID]</f>
        <v>308136</v>
      </c>
    </row>
    <row r="39" spans="1:14" x14ac:dyDescent="0.25">
      <c r="A39" s="61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TransactionDetail/Transaction</v>
      </c>
      <c r="D39" s="60">
        <f>RelationTable[[#This Row],[No]]</f>
        <v>308137</v>
      </c>
      <c r="E39" s="7" t="s">
        <v>1296</v>
      </c>
      <c r="F39" s="7" t="s">
        <v>1295</v>
      </c>
      <c r="G39" s="60">
        <f>RelationTable[[#This Row],[No]]</f>
        <v>308137</v>
      </c>
      <c r="H39" s="60">
        <f>IF(RelationTable[[#This Row],[No]]="id","resource",VLOOKUP(RelationTable[Resource],CHOOSE({1,2},ResourceTable[Name],ResourceTable[No]),2,0))</f>
        <v>305119</v>
      </c>
      <c r="I39" s="60" t="s">
        <v>1295</v>
      </c>
      <c r="J39" s="60" t="s">
        <v>1713</v>
      </c>
      <c r="K39" s="60" t="s">
        <v>1295</v>
      </c>
      <c r="L39" s="60" t="s">
        <v>1352</v>
      </c>
      <c r="M39" s="62">
        <f>VLOOKUP(RelationTable[Relate Resource],CHOOSE({1,2},ResourceTable[Name],ResourceTable[No]),2,0)</f>
        <v>305118</v>
      </c>
      <c r="N39" s="63">
        <f>RelationTable[RELID]</f>
        <v>308137</v>
      </c>
    </row>
    <row r="40" spans="1:14" x14ac:dyDescent="0.25">
      <c r="A40" s="61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SalesOrderSale/SalesOrder</v>
      </c>
      <c r="D40" s="60">
        <f>RelationTable[[#This Row],[No]]</f>
        <v>308138</v>
      </c>
      <c r="E40" s="7" t="s">
        <v>1760</v>
      </c>
      <c r="F40" s="7" t="s">
        <v>1298</v>
      </c>
      <c r="G40" s="60">
        <f>RelationTable[[#This Row],[No]]</f>
        <v>308138</v>
      </c>
      <c r="H40" s="60">
        <f>IF(RelationTable[[#This Row],[No]]="id","resource",VLOOKUP(RelationTable[Resource],CHOOSE({1,2},ResourceTable[Name],ResourceTable[No]),2,0))</f>
        <v>305127</v>
      </c>
      <c r="I40" s="60" t="s">
        <v>1298</v>
      </c>
      <c r="J40" s="60" t="s">
        <v>1763</v>
      </c>
      <c r="K40" s="60" t="s">
        <v>1298</v>
      </c>
      <c r="L40" s="60" t="s">
        <v>1352</v>
      </c>
      <c r="M40" s="62">
        <f>VLOOKUP(RelationTable[Relate Resource],CHOOSE({1,2},ResourceTable[Name],ResourceTable[No]),2,0)</f>
        <v>305121</v>
      </c>
      <c r="N40" s="63">
        <f>RelationTable[RELID]</f>
        <v>308138</v>
      </c>
    </row>
    <row r="41" spans="1:14" x14ac:dyDescent="0.25">
      <c r="A41" s="61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SalesOrderSale/Transaction</v>
      </c>
      <c r="D41" s="60">
        <f>RelationTable[[#This Row],[No]]</f>
        <v>308139</v>
      </c>
      <c r="E41" s="7" t="s">
        <v>1760</v>
      </c>
      <c r="F41" s="7" t="s">
        <v>1295</v>
      </c>
      <c r="G41" s="60">
        <f>RelationTable[[#This Row],[No]]</f>
        <v>308139</v>
      </c>
      <c r="H41" s="60">
        <f>IF(RelationTable[[#This Row],[No]]="id","resource",VLOOKUP(RelationTable[Resource],CHOOSE({1,2},ResourceTable[Name],ResourceTable[No]),2,0))</f>
        <v>305127</v>
      </c>
      <c r="I41" s="60" t="s">
        <v>1295</v>
      </c>
      <c r="J41" s="60" t="s">
        <v>1764</v>
      </c>
      <c r="K41" s="60" t="s">
        <v>1295</v>
      </c>
      <c r="L41" s="60" t="s">
        <v>1352</v>
      </c>
      <c r="M41" s="62">
        <f>VLOOKUP(RelationTable[Relate Resource],CHOOSE({1,2},ResourceTable[Name],ResourceTable[No]),2,0)</f>
        <v>305118</v>
      </c>
      <c r="N41" s="63">
        <f>RelationTable[RELID]</f>
        <v>308139</v>
      </c>
    </row>
    <row r="42" spans="1:14" x14ac:dyDescent="0.25">
      <c r="A42" s="61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Transaction/STOut</v>
      </c>
      <c r="D42" s="60">
        <f>RelationTable[[#This Row],[No]]</f>
        <v>308140</v>
      </c>
      <c r="E42" s="7" t="s">
        <v>1295</v>
      </c>
      <c r="F42" s="7" t="s">
        <v>1300</v>
      </c>
      <c r="G42" s="60">
        <f>RelationTable[[#This Row],[No]]</f>
        <v>308140</v>
      </c>
      <c r="H42" s="60">
        <f>IF(RelationTable[[#This Row],[No]]="id","resource",VLOOKUP(RelationTable[Resource],CHOOSE({1,2},ResourceTable[Name],ResourceTable[No]),2,0))</f>
        <v>305118</v>
      </c>
      <c r="I42" s="60" t="s">
        <v>1786</v>
      </c>
      <c r="J42" s="60" t="s">
        <v>1790</v>
      </c>
      <c r="K42" s="60" t="s">
        <v>1787</v>
      </c>
      <c r="L42" s="60" t="s">
        <v>1792</v>
      </c>
      <c r="M42" s="62">
        <f>VLOOKUP(RelationTable[Relate Resource],CHOOSE({1,2},ResourceTable[Name],ResourceTable[No]),2,0)</f>
        <v>305123</v>
      </c>
      <c r="N42" s="63">
        <f>RelationTable[RELID]</f>
        <v>308140</v>
      </c>
    </row>
    <row r="43" spans="1:14" x14ac:dyDescent="0.25">
      <c r="A43" s="61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Transaction/STIn</v>
      </c>
      <c r="D43" s="60">
        <f>RelationTable[[#This Row],[No]]</f>
        <v>308141</v>
      </c>
      <c r="E43" s="7" t="s">
        <v>1295</v>
      </c>
      <c r="F43" s="7" t="s">
        <v>1300</v>
      </c>
      <c r="G43" s="60">
        <f>RelationTable[[#This Row],[No]]</f>
        <v>308141</v>
      </c>
      <c r="H43" s="60">
        <f>IF(RelationTable[[#This Row],[No]]="id","resource",VLOOKUP(RelationTable[Resource],CHOOSE({1,2},ResourceTable[Name],ResourceTable[No]),2,0))</f>
        <v>305118</v>
      </c>
      <c r="I43" s="60" t="s">
        <v>1788</v>
      </c>
      <c r="J43" s="60" t="s">
        <v>1789</v>
      </c>
      <c r="K43" s="60" t="s">
        <v>1791</v>
      </c>
      <c r="L43" s="60" t="s">
        <v>1792</v>
      </c>
      <c r="M43" s="62">
        <f>VLOOKUP(RelationTable[Relate Resource],CHOOSE({1,2},ResourceTable[Name],ResourceTable[No]),2,0)</f>
        <v>305123</v>
      </c>
      <c r="N43" s="63">
        <f>RelationTable[RELID]</f>
        <v>308141</v>
      </c>
    </row>
    <row r="44" spans="1:14" x14ac:dyDescent="0.25">
      <c r="A44" s="61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StoreProductTransaction/TransactionDetail</v>
      </c>
      <c r="D44" s="60">
        <f>RelationTable[[#This Row],[No]]</f>
        <v>308142</v>
      </c>
      <c r="E44" s="7" t="s">
        <v>1294</v>
      </c>
      <c r="F44" s="7" t="s">
        <v>1296</v>
      </c>
      <c r="G44" s="60">
        <f>RelationTable[[#This Row],[No]]</f>
        <v>308142</v>
      </c>
      <c r="H44" s="60">
        <f>IF(RelationTable[[#This Row],[No]]="id","resource",VLOOKUP(RelationTable[Resource],CHOOSE({1,2},ResourceTable[Name],ResourceTable[No]),2,0))</f>
        <v>305117</v>
      </c>
      <c r="I44" s="60" t="s">
        <v>1296</v>
      </c>
      <c r="J44" s="60" t="s">
        <v>1793</v>
      </c>
      <c r="K44" s="60" t="s">
        <v>1296</v>
      </c>
      <c r="L44" s="60" t="s">
        <v>1792</v>
      </c>
      <c r="M44" s="62">
        <f>VLOOKUP(RelationTable[Relate Resource],CHOOSE({1,2},ResourceTable[Name],ResourceTable[No]),2,0)</f>
        <v>305119</v>
      </c>
      <c r="N44" s="63">
        <f>RelationTable[RELID]</f>
        <v>308142</v>
      </c>
    </row>
  </sheetData>
  <dataValidations count="1">
    <dataValidation type="list" allowBlank="1" showInputMessage="1" showErrorMessage="1" sqref="Q2:Q12 E2:F44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topLeftCell="C13" workbookViewId="0">
      <selection activeCell="G18" sqref="G18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ProductTransactionNature/ProductTransactionNewNature</v>
      </c>
      <c r="C3" s="74" t="s">
        <v>1292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305115</v>
      </c>
      <c r="F3" s="67" t="s">
        <v>1410</v>
      </c>
      <c r="G3" s="67" t="s">
        <v>1411</v>
      </c>
      <c r="H3" s="67"/>
      <c r="I3" s="67"/>
      <c r="J3" s="67" t="s">
        <v>1412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1413</v>
      </c>
      <c r="U3" s="87"/>
      <c r="V3" s="87"/>
      <c r="W3" s="87"/>
      <c r="X3" s="87"/>
      <c r="Y3" s="73">
        <f>ResourceAction[No]</f>
        <v>332101</v>
      </c>
      <c r="Z3"/>
      <c r="AA3" s="4" t="s">
        <v>1433</v>
      </c>
      <c r="AB3" s="60">
        <f>VLOOKUP(ActionListNData[[#This Row],[Action Name]],ResourceAction[[Display]:[No]],3,0)</f>
        <v>332105</v>
      </c>
      <c r="AC3" s="60" t="s">
        <v>1387</v>
      </c>
      <c r="AD3" s="60" t="s">
        <v>1424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ProductTransactionNature/ProductTransactionViewNature</v>
      </c>
      <c r="C4" s="74" t="s">
        <v>1292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305115</v>
      </c>
      <c r="F4" s="67" t="s">
        <v>1414</v>
      </c>
      <c r="G4" s="67" t="s">
        <v>1415</v>
      </c>
      <c r="H4" s="67"/>
      <c r="I4" s="67"/>
      <c r="J4" s="67" t="s">
        <v>122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1465</v>
      </c>
      <c r="U4" s="87"/>
      <c r="V4" s="87"/>
      <c r="W4" s="87"/>
      <c r="X4" s="87"/>
      <c r="Y4" s="73">
        <f>ResourceAction[No]</f>
        <v>332102</v>
      </c>
      <c r="Z4"/>
      <c r="AA4" s="4" t="s">
        <v>1438</v>
      </c>
      <c r="AB4" s="60">
        <f>VLOOKUP(ActionListNData[[#This Row],[Action Name]],ResourceAction[[Display]:[No]],3,0)</f>
        <v>332106</v>
      </c>
      <c r="AC4" s="60" t="s">
        <v>1389</v>
      </c>
      <c r="AD4" s="60" t="s">
        <v>1425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ProductTransactionType/ProductTransactionNewType</v>
      </c>
      <c r="C5" s="74" t="s">
        <v>1293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305116</v>
      </c>
      <c r="F5" s="67" t="s">
        <v>1416</v>
      </c>
      <c r="G5" s="67" t="s">
        <v>1418</v>
      </c>
      <c r="H5" s="67"/>
      <c r="I5" s="67"/>
      <c r="J5" s="67" t="s">
        <v>1412</v>
      </c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121</v>
      </c>
      <c r="O5" s="86">
        <f ca="1">IF(ResourceAction[[#This Row],[Resource Name]]="","idn1",IF(ResourceAction[[#This Row],[IDN1]]="","",VLOOKUP(ResourceAction[[#This Row],[IDN1]],IDNMaps[[Display]:[ID]],2,0)))</f>
        <v>309101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1413</v>
      </c>
      <c r="U5" s="87"/>
      <c r="V5" s="87"/>
      <c r="W5" s="87"/>
      <c r="X5" s="87"/>
      <c r="Y5" s="73">
        <f>ResourceAction[No]</f>
        <v>332103</v>
      </c>
      <c r="Z5"/>
      <c r="AA5" s="4" t="s">
        <v>1474</v>
      </c>
      <c r="AB5" s="60">
        <f>VLOOKUP(ActionListNData[[#This Row],[Action Name]],ResourceAction[[Display]:[No]],3,0)</f>
        <v>332109</v>
      </c>
      <c r="AC5" s="60" t="s">
        <v>1449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79" t="str">
        <f>'Table Seed Map'!$A$34&amp;"-"&amp;(COUNTA($E$1:ResourceAction[[#This Row],[Resource]])-2)</f>
        <v>Resource Actions-4</v>
      </c>
      <c r="B6" s="79" t="str">
        <f>ResourceAction[[#This Row],[Resource Name]]&amp;"/"&amp;ResourceAction[[#This Row],[Name]]</f>
        <v>ProductTransactionType/ProductTransactionViewTypes</v>
      </c>
      <c r="C6" s="74" t="s">
        <v>1293</v>
      </c>
      <c r="D6" s="79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79">
        <f>IFERROR(VLOOKUP(ResourceAction[[#This Row],[Resource Name]],ResourceTable[[RName]:[No]],3,0),"resource")</f>
        <v>305116</v>
      </c>
      <c r="F6" s="67" t="s">
        <v>1417</v>
      </c>
      <c r="G6" s="67" t="s">
        <v>1419</v>
      </c>
      <c r="H6" s="67"/>
      <c r="I6" s="79"/>
      <c r="J6" s="79" t="s">
        <v>122</v>
      </c>
      <c r="K6" s="80" t="str">
        <f>'Table Seed Map'!$A$35&amp;"-"&amp;(COUNTA($E$1:ResourceAction[[#This Row],[Resource]])-2)</f>
        <v>Action Method-4</v>
      </c>
      <c r="L6" s="79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79">
        <f>IF(ResourceAction[[#This Row],[No]]="id","resource_action",ResourceAction[[#This Row],[No]])</f>
        <v>332104</v>
      </c>
      <c r="N6" s="81" t="s">
        <v>122</v>
      </c>
      <c r="O6" s="82">
        <f ca="1">IF(ResourceAction[[#This Row],[Resource Name]]="","idn1",IF(ResourceAction[[#This Row],[IDN1]]="","",VLOOKUP(ResourceAction[[#This Row],[IDN1]],IDNMaps[[Display]:[ID]],2,0)))</f>
        <v>322102</v>
      </c>
      <c r="P6" s="82" t="str">
        <f>IF(ResourceAction[[#This Row],[Resource Name]]="","idn2",IF(ResourceAction[[#This Row],[IDN2]]="","",VLOOKUP(ResourceAction[[#This Row],[IDN2]],IDNMaps[[Display]:[ID]],2,0)))</f>
        <v/>
      </c>
      <c r="Q6" s="82" t="str">
        <f>IF(ResourceAction[[#This Row],[Resource Name]]="","idn3",IF(ResourceAction[[#This Row],[IDN3]]="","",VLOOKUP(ResourceAction[[#This Row],[IDN3]],IDNMaps[[Display]:[ID]],2,0)))</f>
        <v/>
      </c>
      <c r="R6" s="82" t="str">
        <f>IF(ResourceAction[[#This Row],[Resource Name]]="","idn4",IF(ResourceAction[[#This Row],[IDN4]]="","",VLOOKUP(ResourceAction[[#This Row],[IDN4]],IDNMaps[[Display]:[ID]],2,0)))</f>
        <v/>
      </c>
      <c r="S6" s="82" t="str">
        <f>IF(ResourceAction[[#This Row],[Resource Name]]="","idn5",IF(ResourceAction[[#This Row],[IDN5]]="","",VLOOKUP(ResourceAction[[#This Row],[IDN5]],IDNMaps[[Display]:[ID]],2,0)))</f>
        <v/>
      </c>
      <c r="T6" s="87" t="s">
        <v>1464</v>
      </c>
      <c r="U6" s="83"/>
      <c r="V6" s="83"/>
      <c r="W6" s="83"/>
      <c r="X6" s="83"/>
      <c r="Y6" s="84">
        <f>ResourceAction[No]</f>
        <v>332104</v>
      </c>
      <c r="Z6"/>
      <c r="AA6" s="4" t="s">
        <v>1475</v>
      </c>
      <c r="AB6" s="60">
        <f>VLOOKUP(ActionListNData[[#This Row],[Action Name]],ResourceAction[[Display]:[No]],3,0)</f>
        <v>332110</v>
      </c>
      <c r="AC6" s="60" t="s">
        <v>1449</v>
      </c>
      <c r="AD6" s="60" t="s">
        <v>1452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ProductTransactionNature/UpdateProductTransactionNature</v>
      </c>
      <c r="C7" s="74" t="s">
        <v>1292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305115</v>
      </c>
      <c r="F7" s="67" t="s">
        <v>1427</v>
      </c>
      <c r="G7" s="67" t="s">
        <v>1429</v>
      </c>
      <c r="H7" s="67" t="s">
        <v>335</v>
      </c>
      <c r="I7" s="67" t="s">
        <v>1428</v>
      </c>
      <c r="J7" s="67"/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224</v>
      </c>
      <c r="O7" s="86">
        <f ca="1">IF(ResourceAction[[#This Row],[Resource Name]]="","idn1",IF(ResourceAction[[#This Row],[IDN1]]="","",VLOOKUP(ResourceAction[[#This Row],[IDN1]],IDNMaps[[Display]:[ID]],2,0)))</f>
        <v>309101</v>
      </c>
      <c r="P7" s="86">
        <f ca="1">IF(ResourceAction[[#This Row],[Resource Name]]="","idn2",IF(ResourceAction[[#This Row],[IDN2]]="","",VLOOKUP(ResourceAction[[#This Row],[IDN2]],IDNMaps[[Display]:[ID]],2,0)))</f>
        <v>327101</v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1413</v>
      </c>
      <c r="U7" s="87" t="s">
        <v>1466</v>
      </c>
      <c r="V7" s="87"/>
      <c r="W7" s="87"/>
      <c r="X7" s="87"/>
      <c r="Y7" s="73">
        <f>ResourceAction[No]</f>
        <v>332105</v>
      </c>
      <c r="Z7"/>
      <c r="AA7" s="4" t="s">
        <v>1499</v>
      </c>
      <c r="AB7" s="60">
        <f>VLOOKUP(ActionListNData[[#This Row],[Action Name]],ResourceAction[[Display]:[No]],3,0)</f>
        <v>332112</v>
      </c>
      <c r="AC7" s="60" t="s">
        <v>1538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ProductTransactionType/UpdateProductTransactionType</v>
      </c>
      <c r="C8" s="74" t="s">
        <v>1293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305116</v>
      </c>
      <c r="F8" s="67" t="s">
        <v>1430</v>
      </c>
      <c r="G8" s="67" t="s">
        <v>1431</v>
      </c>
      <c r="H8" s="67" t="s">
        <v>335</v>
      </c>
      <c r="I8" s="67" t="s">
        <v>1428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224</v>
      </c>
      <c r="O8" s="86">
        <f ca="1">IF(ResourceAction[[#This Row],[Resource Name]]="","idn1",IF(ResourceAction[[#This Row],[IDN1]]="","",VLOOKUP(ResourceAction[[#This Row],[IDN1]],IDNMaps[[Display]:[ID]],2,0)))</f>
        <v>309102</v>
      </c>
      <c r="P8" s="86">
        <f ca="1">IF(ResourceAction[[#This Row],[Resource Name]]="","idn2",IF(ResourceAction[[#This Row],[IDN2]]="","",VLOOKUP(ResourceAction[[#This Row],[IDN2]],IDNMaps[[Display]:[ID]],2,0)))</f>
        <v>327102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1432</v>
      </c>
      <c r="U8" s="87" t="s">
        <v>1467</v>
      </c>
      <c r="V8" s="87"/>
      <c r="W8" s="87"/>
      <c r="X8" s="87"/>
      <c r="Y8" s="73">
        <f>ResourceAction[No]</f>
        <v>332106</v>
      </c>
      <c r="Z8"/>
      <c r="AA8" s="2" t="s">
        <v>1555</v>
      </c>
      <c r="AB8" s="16">
        <f>VLOOKUP(ActionListNData[[#This Row],[Action Name]],ResourceAction[[Display]:[No]],3,0)</f>
        <v>332115</v>
      </c>
      <c r="AC8" s="60" t="s">
        <v>1538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Setting/NewSettings</v>
      </c>
      <c r="C9" s="74" t="s">
        <v>1280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305103</v>
      </c>
      <c r="F9" s="67" t="s">
        <v>1457</v>
      </c>
      <c r="G9" s="67" t="s">
        <v>1458</v>
      </c>
      <c r="H9" s="67"/>
      <c r="I9" s="67"/>
      <c r="J9" s="67" t="s">
        <v>1412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121</v>
      </c>
      <c r="O9" s="86">
        <f ca="1">IF(ResourceAction[[#This Row],[Resource Name]]="","idn1",IF(ResourceAction[[#This Row],[IDN1]]="","",VLOOKUP(ResourceAction[[#This Row],[IDN1]],IDNMaps[[Display]:[ID]],2,0)))</f>
        <v>309103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1459</v>
      </c>
      <c r="U9" s="87"/>
      <c r="V9" s="87"/>
      <c r="W9" s="87"/>
      <c r="X9" s="87"/>
      <c r="Y9" s="73">
        <f>ResourceAction[No]</f>
        <v>332107</v>
      </c>
      <c r="Z9"/>
      <c r="AA9" s="2" t="s">
        <v>1563</v>
      </c>
      <c r="AB9" s="16">
        <f>VLOOKUP(ActionListNData[[#This Row],[Action Name]],ResourceAction[[Display]:[No]],3,0)</f>
        <v>332116</v>
      </c>
      <c r="AC9" s="60" t="s">
        <v>1449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Setting/ListSettings</v>
      </c>
      <c r="C10" s="74" t="s">
        <v>1280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305103</v>
      </c>
      <c r="F10" s="67" t="s">
        <v>1460</v>
      </c>
      <c r="G10" s="67" t="s">
        <v>1461</v>
      </c>
      <c r="H10" s="67"/>
      <c r="I10" s="67"/>
      <c r="J10" s="67" t="s">
        <v>1462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122</v>
      </c>
      <c r="O10" s="86">
        <f ca="1">IF(ResourceAction[[#This Row],[Resource Name]]="","idn1",IF(ResourceAction[[#This Row],[IDN1]]="","",VLOOKUP(ResourceAction[[#This Row],[IDN1]],IDNMaps[[Display]:[ID]],2,0)))</f>
        <v>322103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1463</v>
      </c>
      <c r="U10" s="87"/>
      <c r="V10" s="87"/>
      <c r="W10" s="87"/>
      <c r="X10" s="87"/>
      <c r="Y10" s="73">
        <f>ResourceAction[No]</f>
        <v>332108</v>
      </c>
      <c r="Z10"/>
      <c r="AA10" s="2" t="s">
        <v>1564</v>
      </c>
      <c r="AB10" s="16">
        <f>VLOOKUP(ActionListNData[[#This Row],[Action Name]],ResourceAction[[Display]:[No]],3,0)</f>
        <v>332117</v>
      </c>
      <c r="AC10" s="60" t="s">
        <v>1449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Setting/ViewSettingsDetails</v>
      </c>
      <c r="C11" s="74" t="s">
        <v>1280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305103</v>
      </c>
      <c r="F11" s="67" t="s">
        <v>1468</v>
      </c>
      <c r="G11" s="67" t="s">
        <v>1469</v>
      </c>
      <c r="H11" s="67" t="s">
        <v>1371</v>
      </c>
      <c r="I11" s="67" t="s">
        <v>1428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130</v>
      </c>
      <c r="O11" s="86">
        <f ca="1">IF(ResourceAction[[#This Row],[Resource Name]]="","idn1",IF(ResourceAction[[#This Row],[IDN1]]="","",VLOOKUP(ResourceAction[[#This Row],[IDN1]],IDNMaps[[Display]:[ID]],2,0)))</f>
        <v>327103</v>
      </c>
      <c r="P11" s="86" t="str">
        <f>IF(ResourceAction[[#This Row],[Resource Name]]="","idn2",IF(ResourceAction[[#This Row],[IDN2]]="","",VLOOKUP(ResourceAction[[#This Row],[IDN2]],IDNMaps[[Display]:[ID]],2,0)))</f>
        <v/>
      </c>
      <c r="Q11" s="86" t="str">
        <f>IF(ResourceAction[[#This Row],[Resource Name]]="","idn3",IF(ResourceAction[[#This Row],[IDN3]]="","",VLOOKUP(ResourceAction[[#This Row],[IDN3]],IDNMaps[[Display]:[ID]],2,0)))</f>
        <v/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1470</v>
      </c>
      <c r="U11" s="87"/>
      <c r="V11" s="87"/>
      <c r="W11" s="87"/>
      <c r="X11" s="87"/>
      <c r="Y11" s="73">
        <f>ResourceAction[No]</f>
        <v>332109</v>
      </c>
      <c r="Z11"/>
      <c r="AA11" s="2" t="s">
        <v>1589</v>
      </c>
      <c r="AB11" s="16">
        <f>VLOOKUP(ActionListNData[[#This Row],[Action Name]],ResourceAction[[Display]:[No]],3,0)</f>
        <v>332120</v>
      </c>
      <c r="AC11" s="60" t="s">
        <v>1494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67" t="str">
        <f>'Table Seed Map'!$A$34&amp;"-"&amp;(COUNTA($E$1:ResourceAction[[#This Row],[Resource]])-2)</f>
        <v>Resource Actions-10</v>
      </c>
      <c r="B12" s="67" t="str">
        <f>ResourceAction[[#This Row],[Resource Name]]&amp;"/"&amp;ResourceAction[[#This Row],[Name]]</f>
        <v>Setting/UpdateSettings</v>
      </c>
      <c r="C12" s="74" t="s">
        <v>1280</v>
      </c>
      <c r="D12" s="67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67">
        <f>IFERROR(VLOOKUP(ResourceAction[[#This Row],[Resource Name]],ResourceTable[[RName]:[No]],3,0),"resource")</f>
        <v>305103</v>
      </c>
      <c r="F12" s="67" t="s">
        <v>1471</v>
      </c>
      <c r="G12" s="67" t="s">
        <v>1472</v>
      </c>
      <c r="H12" s="67" t="s">
        <v>1473</v>
      </c>
      <c r="I12" s="67" t="s">
        <v>1428</v>
      </c>
      <c r="J12" s="67"/>
      <c r="K12" s="65" t="str">
        <f>'Table Seed Map'!$A$35&amp;"-"&amp;(COUNTA($E$1:ResourceAction[[#This Row],[Resource]])-2)</f>
        <v>Action Method-10</v>
      </c>
      <c r="L12" s="67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67">
        <f>IF(ResourceAction[[#This Row],[No]]="id","resource_action",ResourceAction[[#This Row],[No]])</f>
        <v>332110</v>
      </c>
      <c r="N12" s="85" t="s">
        <v>224</v>
      </c>
      <c r="O12" s="86">
        <f ca="1">IF(ResourceAction[[#This Row],[Resource Name]]="","idn1",IF(ResourceAction[[#This Row],[IDN1]]="","",VLOOKUP(ResourceAction[[#This Row],[IDN1]],IDNMaps[[Display]:[ID]],2,0)))</f>
        <v>309103</v>
      </c>
      <c r="P12" s="86">
        <f ca="1">IF(ResourceAction[[#This Row],[Resource Name]]="","idn2",IF(ResourceAction[[#This Row],[IDN2]]="","",VLOOKUP(ResourceAction[[#This Row],[IDN2]],IDNMaps[[Display]:[ID]],2,0)))</f>
        <v>327103</v>
      </c>
      <c r="Q12" s="86" t="str">
        <f>IF(ResourceAction[[#This Row],[Resource Name]]="","idn3",IF(ResourceAction[[#This Row],[IDN3]]="","",VLOOKUP(ResourceAction[[#This Row],[IDN3]],IDNMaps[[Display]:[ID]],2,0)))</f>
        <v/>
      </c>
      <c r="R12" s="86" t="str">
        <f>IF(ResourceAction[[#This Row],[Resource Name]]="","idn4",IF(ResourceAction[[#This Row],[IDN4]]="","",VLOOKUP(ResourceAction[[#This Row],[IDN4]],IDNMaps[[Display]:[ID]],2,0)))</f>
        <v/>
      </c>
      <c r="S12" s="86" t="str">
        <f>IF(ResourceAction[[#This Row],[Resource Name]]="","idn5",IF(ResourceAction[[#This Row],[IDN5]]="","",VLOOKUP(ResourceAction[[#This Row],[IDN5]],IDNMaps[[Display]:[ID]],2,0)))</f>
        <v/>
      </c>
      <c r="T12" s="87" t="s">
        <v>1459</v>
      </c>
      <c r="U12" s="87" t="s">
        <v>1470</v>
      </c>
      <c r="V12" s="87"/>
      <c r="W12" s="87"/>
      <c r="X12" s="87"/>
      <c r="Y12" s="73">
        <f>ResourceAction[No]</f>
        <v>332110</v>
      </c>
      <c r="Z12"/>
      <c r="AA12" s="2" t="s">
        <v>1590</v>
      </c>
      <c r="AB12" s="16">
        <f>VLOOKUP(ActionListNData[[#This Row],[Action Name]],ResourceAction[[Display]:[No]],3,0)</f>
        <v>332119</v>
      </c>
      <c r="AC12" s="16" t="s">
        <v>1494</v>
      </c>
      <c r="AD12" s="16" t="s">
        <v>1581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 x14ac:dyDescent="0.25">
      <c r="A13" s="67" t="str">
        <f>'Table Seed Map'!$A$34&amp;"-"&amp;(COUNTA($E$1:ResourceAction[[#This Row],[Resource]])-2)</f>
        <v>Resource Actions-11</v>
      </c>
      <c r="B13" s="67" t="str">
        <f>ResourceAction[[#This Row],[Resource Name]]&amp;"/"&amp;ResourceAction[[#This Row],[Name]]</f>
        <v>User/UsersList</v>
      </c>
      <c r="C13" s="74" t="s">
        <v>74</v>
      </c>
      <c r="D13" s="67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67">
        <f>IFERROR(VLOOKUP(ResourceAction[[#This Row],[Resource Name]],ResourceTable[[RName]:[No]],3,0),"resource")</f>
        <v>305101</v>
      </c>
      <c r="F13" s="67" t="s">
        <v>1490</v>
      </c>
      <c r="G13" s="67" t="s">
        <v>1484</v>
      </c>
      <c r="H13" s="67"/>
      <c r="I13" s="67"/>
      <c r="J13" s="67" t="s">
        <v>1462</v>
      </c>
      <c r="K13" s="65" t="str">
        <f>'Table Seed Map'!$A$35&amp;"-"&amp;(COUNTA($E$1:ResourceAction[[#This Row],[Resource]])-2)</f>
        <v>Action Method-11</v>
      </c>
      <c r="L13" s="67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67">
        <f>IF(ResourceAction[[#This Row],[No]]="id","resource_action",ResourceAction[[#This Row],[No]])</f>
        <v>332111</v>
      </c>
      <c r="N13" s="85" t="s">
        <v>122</v>
      </c>
      <c r="O13" s="86">
        <f ca="1">IF(ResourceAction[[#This Row],[Resource Name]]="","idn1",IF(ResourceAction[[#This Row],[IDN1]]="","",VLOOKUP(ResourceAction[[#This Row],[IDN1]],IDNMaps[[Display]:[ID]],2,0)))</f>
        <v>322104</v>
      </c>
      <c r="P13" s="86" t="str">
        <f>IF(ResourceAction[[#This Row],[Resource Name]]="","idn2",IF(ResourceAction[[#This Row],[IDN2]]="","",VLOOKUP(ResourceAction[[#This Row],[IDN2]],IDNMaps[[Display]:[ID]],2,0)))</f>
        <v/>
      </c>
      <c r="Q13" s="86" t="str">
        <f>IF(ResourceAction[[#This Row],[Resource Name]]="","idn3",IF(ResourceAction[[#This Row],[IDN3]]="","",VLOOKUP(ResourceAction[[#This Row],[IDN3]],IDNMaps[[Display]:[ID]],2,0)))</f>
        <v/>
      </c>
      <c r="R13" s="86" t="str">
        <f>IF(ResourceAction[[#This Row],[Resource Name]]="","idn4",IF(ResourceAction[[#This Row],[IDN4]]="","",VLOOKUP(ResourceAction[[#This Row],[IDN4]],IDNMaps[[Display]:[ID]],2,0)))</f>
        <v/>
      </c>
      <c r="S13" s="86" t="str">
        <f>IF(ResourceAction[[#This Row],[Resource Name]]="","idn5",IF(ResourceAction[[#This Row],[IDN5]]="","",VLOOKUP(ResourceAction[[#This Row],[IDN5]],IDNMaps[[Display]:[ID]],2,0)))</f>
        <v/>
      </c>
      <c r="T13" s="87" t="s">
        <v>1491</v>
      </c>
      <c r="U13" s="87"/>
      <c r="V13" s="87"/>
      <c r="W13" s="87"/>
      <c r="X13" s="87"/>
      <c r="Y13" s="73">
        <f>ResourceAction[No]</f>
        <v>332111</v>
      </c>
      <c r="AA13" s="2" t="s">
        <v>1625</v>
      </c>
      <c r="AB13" s="60">
        <f>VLOOKUP(ActionListNData[[#This Row],[Action Name]],ResourceAction[[Display]:[No]],3,0)</f>
        <v>332123</v>
      </c>
      <c r="AC13" s="16" t="s">
        <v>1600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67" t="str">
        <f>'Table Seed Map'!$A$34&amp;"-"&amp;(COUNTA($E$1:ResourceAction[[#This Row],[Resource]])-2)</f>
        <v>Resource Actions-12</v>
      </c>
      <c r="B14" s="67" t="str">
        <f>ResourceAction[[#This Row],[Resource Name]]&amp;"/"&amp;ResourceAction[[#This Row],[Name]]</f>
        <v>User/UserSettingsListAction</v>
      </c>
      <c r="C14" s="74" t="s">
        <v>74</v>
      </c>
      <c r="D14" s="67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67">
        <f>IFERROR(VLOOKUP(ResourceAction[[#This Row],[Resource Name]],ResourceTable[[RName]:[No]],3,0),"resource")</f>
        <v>305101</v>
      </c>
      <c r="F14" s="67" t="s">
        <v>1495</v>
      </c>
      <c r="G14" s="67" t="s">
        <v>1496</v>
      </c>
      <c r="H14" s="67" t="s">
        <v>1550</v>
      </c>
      <c r="I14" s="67" t="s">
        <v>1428</v>
      </c>
      <c r="J14" s="67"/>
      <c r="K14" s="65" t="str">
        <f>'Table Seed Map'!$A$35&amp;"-"&amp;(COUNTA($E$1:ResourceAction[[#This Row],[Resource]])-2)</f>
        <v>Action Method-12</v>
      </c>
      <c r="L14" s="67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67">
        <f>IF(ResourceAction[[#This Row],[No]]="id","resource_action",ResourceAction[[#This Row],[No]])</f>
        <v>332112</v>
      </c>
      <c r="N14" s="85" t="s">
        <v>1482</v>
      </c>
      <c r="O14" s="86">
        <f ca="1">IF(ResourceAction[[#This Row],[Resource Name]]="","idn1",IF(ResourceAction[[#This Row],[IDN1]]="","",VLOOKUP(ResourceAction[[#This Row],[IDN1]],IDNMaps[[Display]:[ID]],2,0)))</f>
        <v>308110</v>
      </c>
      <c r="P14" s="86">
        <f ca="1">IF(ResourceAction[[#This Row],[Resource Name]]="","idn2",IF(ResourceAction[[#This Row],[IDN2]]="","",VLOOKUP(ResourceAction[[#This Row],[IDN2]],IDNMaps[[Display]:[ID]],2,0)))</f>
        <v>322105</v>
      </c>
      <c r="Q14" s="86" t="str">
        <f>IF(ResourceAction[[#This Row],[Resource Name]]="","idn3",IF(ResourceAction[[#This Row],[IDN3]]="","",VLOOKUP(ResourceAction[[#This Row],[IDN3]],IDNMaps[[Display]:[ID]],2,0)))</f>
        <v/>
      </c>
      <c r="R14" s="86" t="str">
        <f>IF(ResourceAction[[#This Row],[Resource Name]]="","idn4",IF(ResourceAction[[#This Row],[IDN4]]="","",VLOOKUP(ResourceAction[[#This Row],[IDN4]],IDNMaps[[Display]:[ID]],2,0)))</f>
        <v/>
      </c>
      <c r="S14" s="86" t="str">
        <f>IF(ResourceAction[[#This Row],[Resource Name]]="","idn5",IF(ResourceAction[[#This Row],[IDN5]]="","",VLOOKUP(ResourceAction[[#This Row],[IDN5]],IDNMaps[[Display]:[ID]],2,0)))</f>
        <v/>
      </c>
      <c r="T14" s="87" t="s">
        <v>1497</v>
      </c>
      <c r="U14" s="87" t="s">
        <v>1498</v>
      </c>
      <c r="V14" s="87"/>
      <c r="W14" s="87"/>
      <c r="X14" s="87"/>
      <c r="Y14" s="73">
        <f>ResourceAction[No]</f>
        <v>332112</v>
      </c>
      <c r="AA14" s="2" t="s">
        <v>1626</v>
      </c>
      <c r="AB14" s="60">
        <f>VLOOKUP(ActionListNData[[#This Row],[Action Name]],ResourceAction[[Display]:[No]],3,0)</f>
        <v>332124</v>
      </c>
      <c r="AC14" s="16" t="s">
        <v>1600</v>
      </c>
      <c r="AD14" s="60" t="s">
        <v>1618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 x14ac:dyDescent="0.25">
      <c r="A15" s="67" t="str">
        <f>'Table Seed Map'!$A$34&amp;"-"&amp;(COUNTA($E$1:ResourceAction[[#This Row],[Resource]])-2)</f>
        <v>Resource Actions-13</v>
      </c>
      <c r="B15" s="67" t="str">
        <f>ResourceAction[[#This Row],[Resource Name]]&amp;"/"&amp;ResourceAction[[#This Row],[Name]]</f>
        <v>User/ListSalesExecutiveAction</v>
      </c>
      <c r="C15" s="74" t="s">
        <v>74</v>
      </c>
      <c r="D15" s="67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67">
        <f>IFERROR(VLOOKUP(ResourceAction[[#This Row],[Resource Name]],ResourceTable[[RName]:[No]],3,0),"resource")</f>
        <v>305101</v>
      </c>
      <c r="F15" s="67" t="s">
        <v>1540</v>
      </c>
      <c r="G15" s="67" t="s">
        <v>1541</v>
      </c>
      <c r="H15" s="67"/>
      <c r="I15" s="67"/>
      <c r="J15" s="67" t="s">
        <v>1537</v>
      </c>
      <c r="K15" s="65" t="str">
        <f>'Table Seed Map'!$A$35&amp;"-"&amp;(COUNTA($E$1:ResourceAction[[#This Row],[Resource]])-2)</f>
        <v>Action Method-13</v>
      </c>
      <c r="L15" s="67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67">
        <f>IF(ResourceAction[[#This Row],[No]]="id","resource_action",ResourceAction[[#This Row],[No]])</f>
        <v>332113</v>
      </c>
      <c r="N15" s="85" t="s">
        <v>122</v>
      </c>
      <c r="O15" s="86">
        <f ca="1">IF(ResourceAction[[#This Row],[Resource Name]]="","idn1",IF(ResourceAction[[#This Row],[IDN1]]="","",VLOOKUP(ResourceAction[[#This Row],[IDN1]],IDNMaps[[Display]:[ID]],2,0)))</f>
        <v>322106</v>
      </c>
      <c r="P15" s="86" t="str">
        <f>IF(ResourceAction[[#This Row],[Resource Name]]="","idn2",IF(ResourceAction[[#This Row],[IDN2]]="","",VLOOKUP(ResourceAction[[#This Row],[IDN2]],IDNMaps[[Display]:[ID]],2,0)))</f>
        <v/>
      </c>
      <c r="Q15" s="86" t="str">
        <f>IF(ResourceAction[[#This Row],[Resource Name]]="","idn3",IF(ResourceAction[[#This Row],[IDN3]]="","",VLOOKUP(ResourceAction[[#This Row],[IDN3]],IDNMaps[[Display]:[ID]],2,0)))</f>
        <v/>
      </c>
      <c r="R15" s="86" t="str">
        <f>IF(ResourceAction[[#This Row],[Resource Name]]="","idn4",IF(ResourceAction[[#This Row],[IDN4]]="","",VLOOKUP(ResourceAction[[#This Row],[IDN4]],IDNMaps[[Display]:[ID]],2,0)))</f>
        <v/>
      </c>
      <c r="S15" s="86" t="str">
        <f>IF(ResourceAction[[#This Row],[Resource Name]]="","idn5",IF(ResourceAction[[#This Row],[IDN5]]="","",VLOOKUP(ResourceAction[[#This Row],[IDN5]],IDNMaps[[Display]:[ID]],2,0)))</f>
        <v/>
      </c>
      <c r="T15" s="87" t="s">
        <v>1542</v>
      </c>
      <c r="U15" s="87"/>
      <c r="V15" s="87"/>
      <c r="W15" s="87"/>
      <c r="X15" s="87"/>
      <c r="Y15" s="73">
        <f>ResourceAction[No]</f>
        <v>332113</v>
      </c>
      <c r="AA15" s="2" t="s">
        <v>1648</v>
      </c>
      <c r="AB15" s="60">
        <f>VLOOKUP(ActionListNData[[#This Row],[Action Name]],ResourceAction[[Display]:[No]],3,0)</f>
        <v>332127</v>
      </c>
      <c r="AC15" s="60" t="s">
        <v>1538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67" t="str">
        <f>'Table Seed Map'!$A$34&amp;"-"&amp;(COUNTA($E$1:ResourceAction[[#This Row],[Resource]])-2)</f>
        <v>Resource Actions-14</v>
      </c>
      <c r="B16" s="67" t="str">
        <f>ResourceAction[[#This Row],[Resource Name]]&amp;"/"&amp;ResourceAction[[#This Row],[Name]]</f>
        <v>UserSetting/AddNewUserSettingAction</v>
      </c>
      <c r="C16" s="74" t="s">
        <v>1289</v>
      </c>
      <c r="D16" s="67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67">
        <f>IFERROR(VLOOKUP(ResourceAction[[#This Row],[Resource Name]],ResourceTable[[RName]:[No]],3,0),"resource")</f>
        <v>305112</v>
      </c>
      <c r="F16" s="67" t="s">
        <v>1545</v>
      </c>
      <c r="G16" s="67" t="s">
        <v>1546</v>
      </c>
      <c r="H16" s="67"/>
      <c r="I16" s="67"/>
      <c r="J16" s="67" t="s">
        <v>1547</v>
      </c>
      <c r="K16" s="65" t="str">
        <f>'Table Seed Map'!$A$35&amp;"-"&amp;(COUNTA($E$1:ResourceAction[[#This Row],[Resource]])-2)</f>
        <v>Action Method-14</v>
      </c>
      <c r="L16" s="67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67">
        <f>IF(ResourceAction[[#This Row],[No]]="id","resource_action",ResourceAction[[#This Row],[No]])</f>
        <v>332114</v>
      </c>
      <c r="N16" s="85" t="s">
        <v>121</v>
      </c>
      <c r="O16" s="86">
        <f ca="1">IF(ResourceAction[[#This Row],[Resource Name]]="","idn1",IF(ResourceAction[[#This Row],[IDN1]]="","",VLOOKUP(ResourceAction[[#This Row],[IDN1]],IDNMaps[[Display]:[ID]],2,0)))</f>
        <v>309104</v>
      </c>
      <c r="P16" s="86" t="str">
        <f>IF(ResourceAction[[#This Row],[Resource Name]]="","idn2",IF(ResourceAction[[#This Row],[IDN2]]="","",VLOOKUP(ResourceAction[[#This Row],[IDN2]],IDNMaps[[Display]:[ID]],2,0)))</f>
        <v/>
      </c>
      <c r="Q16" s="86" t="str">
        <f>IF(ResourceAction[[#This Row],[Resource Name]]="","idn3",IF(ResourceAction[[#This Row],[IDN3]]="","",VLOOKUP(ResourceAction[[#This Row],[IDN3]],IDNMaps[[Display]:[ID]],2,0)))</f>
        <v/>
      </c>
      <c r="R16" s="86" t="str">
        <f>IF(ResourceAction[[#This Row],[Resource Name]]="","idn4",IF(ResourceAction[[#This Row],[IDN4]]="","",VLOOKUP(ResourceAction[[#This Row],[IDN4]],IDNMaps[[Display]:[ID]],2,0)))</f>
        <v/>
      </c>
      <c r="S16" s="86" t="str">
        <f>IF(ResourceAction[[#This Row],[Resource Name]]="","idn5",IF(ResourceAction[[#This Row],[IDN5]]="","",VLOOKUP(ResourceAction[[#This Row],[IDN5]],IDNMaps[[Display]:[ID]],2,0)))</f>
        <v/>
      </c>
      <c r="T16" s="87" t="s">
        <v>1548</v>
      </c>
      <c r="U16" s="87"/>
      <c r="V16" s="87"/>
      <c r="W16" s="87"/>
      <c r="X16" s="87"/>
      <c r="Y16" s="73">
        <f>ResourceAction[No]</f>
        <v>332114</v>
      </c>
      <c r="AA16" s="2" t="s">
        <v>1652</v>
      </c>
      <c r="AB16" s="60">
        <f>VLOOKUP(ActionListNData[[#This Row],[Action Name]],ResourceAction[[Display]:[No]],3,0)</f>
        <v>332128</v>
      </c>
      <c r="AC16" s="60" t="s">
        <v>1538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User/AddSettingsForSelectedUser</v>
      </c>
      <c r="C17" s="74" t="s">
        <v>74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305101</v>
      </c>
      <c r="F17" s="67" t="s">
        <v>1551</v>
      </c>
      <c r="G17" s="67" t="s">
        <v>1552</v>
      </c>
      <c r="H17" s="67" t="s">
        <v>1553</v>
      </c>
      <c r="I17" s="67" t="s">
        <v>1428</v>
      </c>
      <c r="J17" s="67"/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1554</v>
      </c>
      <c r="O17" s="86">
        <f ca="1">IF(ResourceAction[[#This Row],[Resource Name]]="","idn1",IF(ResourceAction[[#This Row],[IDN1]]="","",VLOOKUP(ResourceAction[[#This Row],[IDN1]],IDNMaps[[Display]:[ID]],2,0)))</f>
        <v>308110</v>
      </c>
      <c r="P17" s="86">
        <f ca="1">IF(ResourceAction[[#This Row],[Resource Name]]="","idn2",IF(ResourceAction[[#This Row],[IDN2]]="","",VLOOKUP(ResourceAction[[#This Row],[IDN2]],IDNMaps[[Display]:[ID]],2,0)))</f>
        <v>309104</v>
      </c>
      <c r="Q17" s="86">
        <f ca="1">IF(ResourceAction[[#This Row],[Resource Name]]="","idn3",IF(ResourceAction[[#This Row],[IDN3]]="","",VLOOKUP(ResourceAction[[#This Row],[IDN3]],IDNMaps[[Display]:[ID]],2,0)))</f>
        <v>310109</v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1497</v>
      </c>
      <c r="U17" s="87" t="s">
        <v>1548</v>
      </c>
      <c r="V17" s="87" t="s">
        <v>1567</v>
      </c>
      <c r="W17" s="87"/>
      <c r="X17" s="87"/>
      <c r="Y17" s="73">
        <f>ResourceAction[No]</f>
        <v>332115</v>
      </c>
      <c r="AA17" s="2" t="s">
        <v>1662</v>
      </c>
      <c r="AB17" s="60">
        <f>VLOOKUP(ActionListNData[[#This Row],[Action Name]],ResourceAction[[Display]:[No]],3,0)</f>
        <v>332129</v>
      </c>
      <c r="AC17" s="60" t="s">
        <v>1631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2" t="s">
        <v>1280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1559</v>
      </c>
      <c r="G18" s="38" t="s">
        <v>1560</v>
      </c>
      <c r="H18" s="38" t="s">
        <v>1561</v>
      </c>
      <c r="I18" s="67" t="s">
        <v>1428</v>
      </c>
      <c r="J18" s="38"/>
      <c r="K18" s="93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4" t="s">
        <v>1482</v>
      </c>
      <c r="O18" s="95">
        <f ca="1">IF(ResourceAction[[#This Row],[Resource Name]]="","idn1",IF(ResourceAction[[#This Row],[IDN1]]="","",VLOOKUP(ResourceAction[[#This Row],[IDN1]],IDNMaps[[Display]:[ID]],2,0)))</f>
        <v>308107</v>
      </c>
      <c r="P18" s="95">
        <f ca="1">IF(ResourceAction[[#This Row],[Resource Name]]="","idn2",IF(ResourceAction[[#This Row],[IDN2]]="","",VLOOKUP(ResourceAction[[#This Row],[IDN2]],IDNMaps[[Display]:[ID]],2,0)))</f>
        <v>322105</v>
      </c>
      <c r="Q18" s="95" t="str">
        <f>IF(ResourceAction[[#This Row],[Resource Name]]="","idn3",IF(ResourceAction[[#This Row],[IDN3]]="","",VLOOKUP(ResourceAction[[#This Row],[IDN3]],IDNMaps[[Display]:[ID]],2,0)))</f>
        <v/>
      </c>
      <c r="R18" s="95" t="str">
        <f>IF(ResourceAction[[#This Row],[Resource Name]]="","idn4",IF(ResourceAction[[#This Row],[IDN4]]="","",VLOOKUP(ResourceAction[[#This Row],[IDN4]],IDNMaps[[Display]:[ID]],2,0)))</f>
        <v/>
      </c>
      <c r="S18" s="95" t="str">
        <f>IF(ResourceAction[[#This Row],[Resource Name]]="","idn5",IF(ResourceAction[[#This Row],[IDN5]]="","",VLOOKUP(ResourceAction[[#This Row],[IDN5]],IDNMaps[[Display]:[ID]],2,0)))</f>
        <v/>
      </c>
      <c r="T18" s="96" t="s">
        <v>1562</v>
      </c>
      <c r="U18" s="96" t="s">
        <v>1498</v>
      </c>
      <c r="V18" s="87"/>
      <c r="W18" s="96"/>
      <c r="X18" s="96"/>
      <c r="Y18" s="55">
        <f>ResourceAction[No]</f>
        <v>332116</v>
      </c>
      <c r="AA18" s="2" t="s">
        <v>1663</v>
      </c>
      <c r="AB18" s="60">
        <f>VLOOKUP(ActionListNData[[#This Row],[Action Name]],ResourceAction[[Display]:[No]],3,0)</f>
        <v>332130</v>
      </c>
      <c r="AC18" s="60" t="s">
        <v>1631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2" t="s">
        <v>1280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1556</v>
      </c>
      <c r="G19" s="38" t="s">
        <v>1557</v>
      </c>
      <c r="H19" s="38" t="s">
        <v>1558</v>
      </c>
      <c r="I19" s="67" t="s">
        <v>1428</v>
      </c>
      <c r="J19" s="38"/>
      <c r="K19" s="93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5" t="s">
        <v>1554</v>
      </c>
      <c r="O19" s="95">
        <f ca="1">IF(ResourceAction[[#This Row],[Resource Name]]="","idn1",IF(ResourceAction[[#This Row],[IDN1]]="","",VLOOKUP(ResourceAction[[#This Row],[IDN1]],IDNMaps[[Display]:[ID]],2,0)))</f>
        <v>308107</v>
      </c>
      <c r="P19" s="95">
        <f ca="1">IF(ResourceAction[[#This Row],[Resource Name]]="","idn2",IF(ResourceAction[[#This Row],[IDN2]]="","",VLOOKUP(ResourceAction[[#This Row],[IDN2]],IDNMaps[[Display]:[ID]],2,0)))</f>
        <v>309104</v>
      </c>
      <c r="Q19" s="95">
        <f ca="1">IF(ResourceAction[[#This Row],[Resource Name]]="","idn3",IF(ResourceAction[[#This Row],[IDN3]]="","",VLOOKUP(ResourceAction[[#This Row],[IDN3]],IDNMaps[[Display]:[ID]],2,0)))</f>
        <v>310110</v>
      </c>
      <c r="R19" s="95" t="str">
        <f>IF(ResourceAction[[#This Row],[Resource Name]]="","idn4",IF(ResourceAction[[#This Row],[IDN4]]="","",VLOOKUP(ResourceAction[[#This Row],[IDN4]],IDNMaps[[Display]:[ID]],2,0)))</f>
        <v/>
      </c>
      <c r="S19" s="95" t="str">
        <f>IF(ResourceAction[[#This Row],[Resource Name]]="","idn5",IF(ResourceAction[[#This Row],[IDN5]]="","",VLOOKUP(ResourceAction[[#This Row],[IDN5]],IDNMaps[[Display]:[ID]],2,0)))</f>
        <v/>
      </c>
      <c r="T19" s="96" t="s">
        <v>1562</v>
      </c>
      <c r="U19" s="96" t="s">
        <v>1548</v>
      </c>
      <c r="V19" s="87" t="s">
        <v>1568</v>
      </c>
      <c r="W19" s="96"/>
      <c r="X19" s="96"/>
      <c r="Y19" s="55">
        <f>ResourceAction[No]</f>
        <v>332117</v>
      </c>
      <c r="AA19" s="2" t="s">
        <v>1669</v>
      </c>
      <c r="AB19" s="60">
        <f>VLOOKUP(ActionListNData[[#This Row],[Action Name]],ResourceAction[[Display]:[No]],3,0)</f>
        <v>332131</v>
      </c>
      <c r="AC19" s="60" t="s">
        <v>1635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2" t="s">
        <v>1289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305112</v>
      </c>
      <c r="F20" s="38" t="s">
        <v>1569</v>
      </c>
      <c r="G20" s="38" t="s">
        <v>1570</v>
      </c>
      <c r="H20" s="38"/>
      <c r="I20" s="38"/>
      <c r="J20" s="38" t="s">
        <v>1462</v>
      </c>
      <c r="K20" s="93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4" t="s">
        <v>122</v>
      </c>
      <c r="O20" s="95">
        <f ca="1">IF(ResourceAction[[#This Row],[Resource Name]]="","idn1",IF(ResourceAction[[#This Row],[IDN1]]="","",VLOOKUP(ResourceAction[[#This Row],[IDN1]],IDNMaps[[Display]:[ID]],2,0)))</f>
        <v>322105</v>
      </c>
      <c r="P20" s="95" t="str">
        <f>IF(ResourceAction[[#This Row],[Resource Name]]="","idn2",IF(ResourceAction[[#This Row],[IDN2]]="","",VLOOKUP(ResourceAction[[#This Row],[IDN2]],IDNMaps[[Display]:[ID]],2,0)))</f>
        <v/>
      </c>
      <c r="Q20" s="95" t="str">
        <f>IF(ResourceAction[[#This Row],[Resource Name]]="","idn3",IF(ResourceAction[[#This Row],[IDN3]]="","",VLOOKUP(ResourceAction[[#This Row],[IDN3]],IDNMaps[[Display]:[ID]],2,0)))</f>
        <v/>
      </c>
      <c r="R20" s="95" t="str">
        <f>IF(ResourceAction[[#This Row],[Resource Name]]="","idn4",IF(ResourceAction[[#This Row],[IDN4]]="","",VLOOKUP(ResourceAction[[#This Row],[IDN4]],IDNMaps[[Display]:[ID]],2,0)))</f>
        <v/>
      </c>
      <c r="S20" s="95" t="str">
        <f>IF(ResourceAction[[#This Row],[Resource Name]]="","idn5",IF(ResourceAction[[#This Row],[IDN5]]="","",VLOOKUP(ResourceAction[[#This Row],[IDN5]],IDNMaps[[Display]:[ID]],2,0)))</f>
        <v/>
      </c>
      <c r="T20" s="96" t="s">
        <v>1498</v>
      </c>
      <c r="U20" s="96"/>
      <c r="V20" s="96"/>
      <c r="W20" s="96"/>
      <c r="X20" s="96"/>
      <c r="Y20" s="55">
        <f>ResourceAction[No]</f>
        <v>332118</v>
      </c>
    </row>
    <row r="21" spans="1:38" x14ac:dyDescent="0.25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2" t="s">
        <v>1289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305112</v>
      </c>
      <c r="F21" s="38" t="s">
        <v>1576</v>
      </c>
      <c r="G21" s="38" t="s">
        <v>1577</v>
      </c>
      <c r="H21" s="38" t="s">
        <v>1573</v>
      </c>
      <c r="I21" s="38" t="s">
        <v>1428</v>
      </c>
      <c r="J21" s="38"/>
      <c r="K21" s="93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4" t="s">
        <v>224</v>
      </c>
      <c r="O21" s="95">
        <f ca="1">IF(ResourceAction[[#This Row],[Resource Name]]="","idn1",IF(ResourceAction[[#This Row],[IDN1]]="","",VLOOKUP(ResourceAction[[#This Row],[IDN1]],IDNMaps[[Display]:[ID]],2,0)))</f>
        <v>309105</v>
      </c>
      <c r="P21" s="95">
        <f ca="1">IF(ResourceAction[[#This Row],[Resource Name]]="","idn2",IF(ResourceAction[[#This Row],[IDN2]]="","",VLOOKUP(ResourceAction[[#This Row],[IDN2]],IDNMaps[[Display]:[ID]],2,0)))</f>
        <v>327104</v>
      </c>
      <c r="Q21" s="95" t="str">
        <f>IF(ResourceAction[[#This Row],[Resource Name]]="","idn3",IF(ResourceAction[[#This Row],[IDN3]]="","",VLOOKUP(ResourceAction[[#This Row],[IDN3]],IDNMaps[[Display]:[ID]],2,0)))</f>
        <v/>
      </c>
      <c r="R21" s="95" t="str">
        <f>IF(ResourceAction[[#This Row],[Resource Name]]="","idn4",IF(ResourceAction[[#This Row],[IDN4]]="","",VLOOKUP(ResourceAction[[#This Row],[IDN4]],IDNMaps[[Display]:[ID]],2,0)))</f>
        <v/>
      </c>
      <c r="S21" s="95" t="str">
        <f>IF(ResourceAction[[#This Row],[Resource Name]]="","idn5",IF(ResourceAction[[#This Row],[IDN5]]="","",VLOOKUP(ResourceAction[[#This Row],[IDN5]],IDNMaps[[Display]:[ID]],2,0)))</f>
        <v/>
      </c>
      <c r="T21" s="96" t="s">
        <v>1578</v>
      </c>
      <c r="U21" s="96" t="s">
        <v>1585</v>
      </c>
      <c r="V21" s="96"/>
      <c r="W21" s="96"/>
      <c r="X21" s="96"/>
      <c r="Y21" s="55">
        <f>ResourceAction[No]</f>
        <v>332119</v>
      </c>
    </row>
    <row r="22" spans="1:38" x14ac:dyDescent="0.25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2" t="s">
        <v>1289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305112</v>
      </c>
      <c r="F22" s="38" t="s">
        <v>1586</v>
      </c>
      <c r="G22" s="38" t="s">
        <v>1587</v>
      </c>
      <c r="H22" s="38" t="s">
        <v>1588</v>
      </c>
      <c r="I22" s="38" t="s">
        <v>1428</v>
      </c>
      <c r="J22" s="38"/>
      <c r="K22" s="93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4" t="s">
        <v>130</v>
      </c>
      <c r="O22" s="95">
        <f ca="1">IF(ResourceAction[[#This Row],[Resource Name]]="","idn1",IF(ResourceAction[[#This Row],[IDN1]]="","",VLOOKUP(ResourceAction[[#This Row],[IDN1]],IDNMaps[[Display]:[ID]],2,0)))</f>
        <v>327104</v>
      </c>
      <c r="P22" s="95" t="str">
        <f>IF(ResourceAction[[#This Row],[Resource Name]]="","idn2",IF(ResourceAction[[#This Row],[IDN2]]="","",VLOOKUP(ResourceAction[[#This Row],[IDN2]],IDNMaps[[Display]:[ID]],2,0)))</f>
        <v/>
      </c>
      <c r="Q22" s="95" t="str">
        <f>IF(ResourceAction[[#This Row],[Resource Name]]="","idn3",IF(ResourceAction[[#This Row],[IDN3]]="","",VLOOKUP(ResourceAction[[#This Row],[IDN3]],IDNMaps[[Display]:[ID]],2,0)))</f>
        <v/>
      </c>
      <c r="R22" s="95" t="str">
        <f>IF(ResourceAction[[#This Row],[Resource Name]]="","idn4",IF(ResourceAction[[#This Row],[IDN4]]="","",VLOOKUP(ResourceAction[[#This Row],[IDN4]],IDNMaps[[Display]:[ID]],2,0)))</f>
        <v/>
      </c>
      <c r="S22" s="95" t="str">
        <f>IF(ResourceAction[[#This Row],[Resource Name]]="","idn5",IF(ResourceAction[[#This Row],[IDN5]]="","",VLOOKUP(ResourceAction[[#This Row],[IDN5]],IDNMaps[[Display]:[ID]],2,0)))</f>
        <v/>
      </c>
      <c r="T22" s="96" t="s">
        <v>1585</v>
      </c>
      <c r="U22" s="96"/>
      <c r="V22" s="96"/>
      <c r="W22" s="96"/>
      <c r="X22" s="96"/>
      <c r="Y22" s="55">
        <f>ResourceAction[No]</f>
        <v>332120</v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UserStoreArea/AddUserStoreAreaRecordAction</v>
      </c>
      <c r="C23" s="74" t="s">
        <v>1290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305113</v>
      </c>
      <c r="F23" s="67" t="s">
        <v>1605</v>
      </c>
      <c r="G23" s="67" t="s">
        <v>1606</v>
      </c>
      <c r="H23" s="67"/>
      <c r="I23" s="67"/>
      <c r="J23" s="67" t="s">
        <v>1412</v>
      </c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121</v>
      </c>
      <c r="O23" s="86">
        <f ca="1">IF(ResourceAction[[#This Row],[Resource Name]]="","idn1",IF(ResourceAction[[#This Row],[IDN1]]="","",VLOOKUP(ResourceAction[[#This Row],[IDN1]],IDNMaps[[Display]:[ID]],2,0)))</f>
        <v>309106</v>
      </c>
      <c r="P23" s="86" t="str">
        <f>IF(ResourceAction[[#This Row],[Resource Name]]="","idn2",IF(ResourceAction[[#This Row],[IDN2]]="","",VLOOKUP(ResourceAction[[#This Row],[IDN2]],IDNMaps[[Display]:[ID]],2,0)))</f>
        <v/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1607</v>
      </c>
      <c r="U23" s="87"/>
      <c r="V23" s="87"/>
      <c r="W23" s="87"/>
      <c r="X23" s="87"/>
      <c r="Y23" s="73">
        <f>ResourceAction[No]</f>
        <v>332121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UserStoreArea/ListUserStoreAreaRecordAction</v>
      </c>
      <c r="C24" s="74" t="s">
        <v>1290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305113</v>
      </c>
      <c r="F24" s="67" t="s">
        <v>1608</v>
      </c>
      <c r="G24" s="67" t="s">
        <v>1609</v>
      </c>
      <c r="H24" s="67"/>
      <c r="I24" s="67"/>
      <c r="J24" s="67" t="s">
        <v>1462</v>
      </c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122</v>
      </c>
      <c r="O24" s="86">
        <f ca="1">IF(ResourceAction[[#This Row],[Resource Name]]="","idn1",IF(ResourceAction[[#This Row],[IDN1]]="","",VLOOKUP(ResourceAction[[#This Row],[IDN1]],IDNMaps[[Display]:[ID]],2,0)))</f>
        <v>322107</v>
      </c>
      <c r="P24" s="86" t="str">
        <f>IF(ResourceAction[[#This Row],[Resource Name]]="","idn2",IF(ResourceAction[[#This Row],[IDN2]]="","",VLOOKUP(ResourceAction[[#This Row],[IDN2]],IDNMaps[[Display]:[ID]],2,0)))</f>
        <v/>
      </c>
      <c r="Q24" s="86" t="str">
        <f>IF(ResourceAction[[#This Row],[Resource Name]]="","idn3",IF(ResourceAction[[#This Row],[IDN3]]="","",VLOOKUP(ResourceAction[[#This Row],[IDN3]],IDNMaps[[Display]:[ID]],2,0)))</f>
        <v/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1610</v>
      </c>
      <c r="U24" s="87"/>
      <c r="V24" s="87"/>
      <c r="W24" s="87"/>
      <c r="X24" s="87"/>
      <c r="Y24" s="73">
        <f>ResourceAction[No]</f>
        <v>332122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UserStoreArea/ViewUserStoreAreaAction</v>
      </c>
      <c r="C25" s="74" t="s">
        <v>1290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305113</v>
      </c>
      <c r="F25" s="67" t="s">
        <v>1620</v>
      </c>
      <c r="G25" s="67" t="s">
        <v>1621</v>
      </c>
      <c r="H25" s="67" t="s">
        <v>1588</v>
      </c>
      <c r="I25" s="67" t="s">
        <v>1428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130</v>
      </c>
      <c r="O25" s="86">
        <f ca="1">IF(ResourceAction[[#This Row],[Resource Name]]="","idn1",IF(ResourceAction[[#This Row],[IDN1]]="","",VLOOKUP(ResourceAction[[#This Row],[IDN1]],IDNMaps[[Display]:[ID]],2,0)))</f>
        <v>327105</v>
      </c>
      <c r="P25" s="86" t="str">
        <f>IF(ResourceAction[[#This Row],[Resource Name]]="","idn2",IF(ResourceAction[[#This Row],[IDN2]]="","",VLOOKUP(ResourceAction[[#This Row],[IDN2]],IDNMaps[[Display]:[ID]],2,0)))</f>
        <v/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1622</v>
      </c>
      <c r="U25" s="87"/>
      <c r="V25" s="87"/>
      <c r="W25" s="87"/>
      <c r="X25" s="87"/>
      <c r="Y25" s="73">
        <f>ResourceAction[No]</f>
        <v>332123</v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UserStoreArea/EditUserStoreAreaAction</v>
      </c>
      <c r="C26" s="74" t="s">
        <v>1290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305113</v>
      </c>
      <c r="F26" s="67" t="s">
        <v>1623</v>
      </c>
      <c r="G26" s="67" t="s">
        <v>1624</v>
      </c>
      <c r="H26" s="67" t="s">
        <v>1473</v>
      </c>
      <c r="I26" s="67" t="s">
        <v>1428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224</v>
      </c>
      <c r="O26" s="86">
        <f ca="1">IF(ResourceAction[[#This Row],[Resource Name]]="","idn1",IF(ResourceAction[[#This Row],[IDN1]]="","",VLOOKUP(ResourceAction[[#This Row],[IDN1]],IDNMaps[[Display]:[ID]],2,0)))</f>
        <v>309106</v>
      </c>
      <c r="P26" s="86">
        <f ca="1">IF(ResourceAction[[#This Row],[Resource Name]]="","idn2",IF(ResourceAction[[#This Row],[IDN2]]="","",VLOOKUP(ResourceAction[[#This Row],[IDN2]],IDNMaps[[Display]:[ID]],2,0)))</f>
        <v>327105</v>
      </c>
      <c r="Q26" s="86" t="str">
        <f>IF(ResourceAction[[#This Row],[Resource Name]]="","idn3",IF(ResourceAction[[#This Row],[IDN3]]="","",VLOOKUP(ResourceAction[[#This Row],[IDN3]],IDNMaps[[Display]:[ID]],2,0)))</f>
        <v/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1607</v>
      </c>
      <c r="U26" s="87" t="s">
        <v>1622</v>
      </c>
      <c r="V26" s="87"/>
      <c r="W26" s="87"/>
      <c r="X26" s="87"/>
      <c r="Y26" s="73">
        <f>ResourceAction[No]</f>
        <v>332124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Area/ListAreaAction</v>
      </c>
      <c r="C27" s="74" t="s">
        <v>1287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305110</v>
      </c>
      <c r="F27" s="67" t="s">
        <v>1638</v>
      </c>
      <c r="G27" s="67" t="s">
        <v>1639</v>
      </c>
      <c r="H27" s="67"/>
      <c r="I27" s="67"/>
      <c r="J27" s="67" t="s">
        <v>1462</v>
      </c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122</v>
      </c>
      <c r="O27" s="86">
        <f ca="1">IF(ResourceAction[[#This Row],[Resource Name]]="","idn1",IF(ResourceAction[[#This Row],[IDN1]]="","",VLOOKUP(ResourceAction[[#This Row],[IDN1]],IDNMaps[[Display]:[ID]],2,0)))</f>
        <v>322108</v>
      </c>
      <c r="P27" s="86" t="str">
        <f>IF(ResourceAction[[#This Row],[Resource Name]]="","idn2",IF(ResourceAction[[#This Row],[IDN2]]="","",VLOOKUP(ResourceAction[[#This Row],[IDN2]],IDNMaps[[Display]:[ID]],2,0)))</f>
        <v/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1640</v>
      </c>
      <c r="U27" s="87"/>
      <c r="V27" s="87"/>
      <c r="W27" s="87"/>
      <c r="X27" s="87"/>
      <c r="Y27" s="73">
        <f>ResourceAction[No]</f>
        <v>332125</v>
      </c>
    </row>
    <row r="28" spans="1:38" x14ac:dyDescent="0.25">
      <c r="A28" s="67" t="str">
        <f>'Table Seed Map'!$A$34&amp;"-"&amp;(COUNTA($E$1:ResourceAction[[#This Row],[Resource]])-2)</f>
        <v>Resource Actions-26</v>
      </c>
      <c r="B28" s="67" t="str">
        <f>ResourceAction[[#This Row],[Resource Name]]&amp;"/"&amp;ResourceAction[[#This Row],[Name]]</f>
        <v>Store/ListStoreAction</v>
      </c>
      <c r="C28" s="74" t="s">
        <v>1286</v>
      </c>
      <c r="D28" s="67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67">
        <f>IFERROR(VLOOKUP(ResourceAction[[#This Row],[Resource Name]],ResourceTable[[RName]:[No]],3,0),"resource")</f>
        <v>305109</v>
      </c>
      <c r="F28" s="67" t="s">
        <v>1641</v>
      </c>
      <c r="G28" s="67" t="s">
        <v>1642</v>
      </c>
      <c r="H28" s="67"/>
      <c r="I28" s="67"/>
      <c r="J28" s="67" t="s">
        <v>1462</v>
      </c>
      <c r="K28" s="65" t="str">
        <f>'Table Seed Map'!$A$35&amp;"-"&amp;(COUNTA($E$1:ResourceAction[[#This Row],[Resource]])-2)</f>
        <v>Action Method-26</v>
      </c>
      <c r="L28" s="67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67">
        <f>IF(ResourceAction[[#This Row],[No]]="id","resource_action",ResourceAction[[#This Row],[No]])</f>
        <v>332126</v>
      </c>
      <c r="N28" s="85" t="s">
        <v>122</v>
      </c>
      <c r="O28" s="86">
        <f ca="1">IF(ResourceAction[[#This Row],[Resource Name]]="","idn1",IF(ResourceAction[[#This Row],[IDN1]]="","",VLOOKUP(ResourceAction[[#This Row],[IDN1]],IDNMaps[[Display]:[ID]],2,0)))</f>
        <v>322109</v>
      </c>
      <c r="P28" s="86" t="str">
        <f>IF(ResourceAction[[#This Row],[Resource Name]]="","idn2",IF(ResourceAction[[#This Row],[IDN2]]="","",VLOOKUP(ResourceAction[[#This Row],[IDN2]],IDNMaps[[Display]:[ID]],2,0)))</f>
        <v/>
      </c>
      <c r="Q28" s="86" t="str">
        <f>IF(ResourceAction[[#This Row],[Resource Name]]="","idn3",IF(ResourceAction[[#This Row],[IDN3]]="","",VLOOKUP(ResourceAction[[#This Row],[IDN3]],IDNMaps[[Display]:[ID]],2,0)))</f>
        <v/>
      </c>
      <c r="R28" s="86" t="str">
        <f>IF(ResourceAction[[#This Row],[Resource Name]]="","idn4",IF(ResourceAction[[#This Row],[IDN4]]="","",VLOOKUP(ResourceAction[[#This Row],[IDN4]],IDNMaps[[Display]:[ID]],2,0)))</f>
        <v/>
      </c>
      <c r="S28" s="86" t="str">
        <f>IF(ResourceAction[[#This Row],[Resource Name]]="","idn5",IF(ResourceAction[[#This Row],[IDN5]]="","",VLOOKUP(ResourceAction[[#This Row],[IDN5]],IDNMaps[[Display]:[ID]],2,0)))</f>
        <v/>
      </c>
      <c r="T28" s="87" t="s">
        <v>1643</v>
      </c>
      <c r="U28" s="87"/>
      <c r="V28" s="87"/>
      <c r="W28" s="87"/>
      <c r="X28" s="87"/>
      <c r="Y28" s="73">
        <f>ResourceAction[No]</f>
        <v>332126</v>
      </c>
    </row>
    <row r="29" spans="1:38" x14ac:dyDescent="0.25">
      <c r="A29" s="67" t="str">
        <f>'Table Seed Map'!$A$34&amp;"-"&amp;(COUNTA($E$1:ResourceAction[[#This Row],[Resource]])-2)</f>
        <v>Resource Actions-27</v>
      </c>
      <c r="B29" s="67" t="str">
        <f>ResourceAction[[#This Row],[Resource Name]]&amp;"/"&amp;ResourceAction[[#This Row],[Name]]</f>
        <v>User/ListStoreAreaOfUserAction</v>
      </c>
      <c r="C29" s="74" t="s">
        <v>74</v>
      </c>
      <c r="D29" s="67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67">
        <f>IFERROR(VLOOKUP(ResourceAction[[#This Row],[Resource Name]],ResourceTable[[RName]:[No]],3,0),"resource")</f>
        <v>305101</v>
      </c>
      <c r="F29" s="67" t="s">
        <v>1644</v>
      </c>
      <c r="G29" s="67" t="s">
        <v>1645</v>
      </c>
      <c r="H29" s="67" t="s">
        <v>1646</v>
      </c>
      <c r="I29" s="67" t="s">
        <v>1428</v>
      </c>
      <c r="J29" s="67"/>
      <c r="K29" s="65" t="str">
        <f>'Table Seed Map'!$A$35&amp;"-"&amp;(COUNTA($E$1:ResourceAction[[#This Row],[Resource]])-2)</f>
        <v>Action Method-27</v>
      </c>
      <c r="L29" s="67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67">
        <f>IF(ResourceAction[[#This Row],[No]]="id","resource_action",ResourceAction[[#This Row],[No]])</f>
        <v>332127</v>
      </c>
      <c r="N29" s="85" t="s">
        <v>1482</v>
      </c>
      <c r="O29" s="86">
        <f ca="1">IF(ResourceAction[[#This Row],[Resource Name]]="","idn1",IF(ResourceAction[[#This Row],[IDN1]]="","",VLOOKUP(ResourceAction[[#This Row],[IDN1]],IDNMaps[[Display]:[ID]],2,0)))</f>
        <v>308112</v>
      </c>
      <c r="P29" s="86">
        <f ca="1">IF(ResourceAction[[#This Row],[Resource Name]]="","idn2",IF(ResourceAction[[#This Row],[IDN2]]="","",VLOOKUP(ResourceAction[[#This Row],[IDN2]],IDNMaps[[Display]:[ID]],2,0)))</f>
        <v>322107</v>
      </c>
      <c r="Q29" s="86" t="str">
        <f>IF(ResourceAction[[#This Row],[Resource Name]]="","idn3",IF(ResourceAction[[#This Row],[IDN3]]="","",VLOOKUP(ResourceAction[[#This Row],[IDN3]],IDNMaps[[Display]:[ID]],2,0)))</f>
        <v/>
      </c>
      <c r="R29" s="86" t="str">
        <f>IF(ResourceAction[[#This Row],[Resource Name]]="","idn4",IF(ResourceAction[[#This Row],[IDN4]]="","",VLOOKUP(ResourceAction[[#This Row],[IDN4]],IDNMaps[[Display]:[ID]],2,0)))</f>
        <v/>
      </c>
      <c r="S29" s="86" t="str">
        <f>IF(ResourceAction[[#This Row],[Resource Name]]="","idn5",IF(ResourceAction[[#This Row],[IDN5]]="","",VLOOKUP(ResourceAction[[#This Row],[IDN5]],IDNMaps[[Display]:[ID]],2,0)))</f>
        <v/>
      </c>
      <c r="T29" s="87" t="s">
        <v>1647</v>
      </c>
      <c r="U29" s="87" t="s">
        <v>1610</v>
      </c>
      <c r="V29" s="87"/>
      <c r="W29" s="87"/>
      <c r="X29" s="87"/>
      <c r="Y29" s="73">
        <f>ResourceAction[No]</f>
        <v>332127</v>
      </c>
    </row>
    <row r="30" spans="1:38" x14ac:dyDescent="0.25">
      <c r="A30" s="67" t="str">
        <f>'Table Seed Map'!$A$34&amp;"-"&amp;(COUNTA($E$1:ResourceAction[[#This Row],[Resource]])-2)</f>
        <v>Resource Actions-28</v>
      </c>
      <c r="B30" s="67" t="str">
        <f>ResourceAction[[#This Row],[Resource Name]]&amp;"/"&amp;ResourceAction[[#This Row],[Name]]</f>
        <v>User/AddStoreAreaForUser</v>
      </c>
      <c r="C30" s="74" t="s">
        <v>74</v>
      </c>
      <c r="D30" s="67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67">
        <f>IFERROR(VLOOKUP(ResourceAction[[#This Row],[Resource Name]],ResourceTable[[RName]:[No]],3,0),"resource")</f>
        <v>305101</v>
      </c>
      <c r="F30" s="67" t="s">
        <v>1649</v>
      </c>
      <c r="G30" s="67" t="s">
        <v>1650</v>
      </c>
      <c r="H30" s="67" t="s">
        <v>1651</v>
      </c>
      <c r="I30" s="67" t="s">
        <v>1428</v>
      </c>
      <c r="J30" s="67"/>
      <c r="K30" s="65" t="str">
        <f>'Table Seed Map'!$A$35&amp;"-"&amp;(COUNTA($E$1:ResourceAction[[#This Row],[Resource]])-2)</f>
        <v>Action Method-28</v>
      </c>
      <c r="L30" s="67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67">
        <f>IF(ResourceAction[[#This Row],[No]]="id","resource_action",ResourceAction[[#This Row],[No]])</f>
        <v>332128</v>
      </c>
      <c r="N30" s="85" t="s">
        <v>1554</v>
      </c>
      <c r="O30" s="86">
        <f ca="1">IF(ResourceAction[[#This Row],[Resource Name]]="","idn1",IF(ResourceAction[[#This Row],[IDN1]]="","",VLOOKUP(ResourceAction[[#This Row],[IDN1]],IDNMaps[[Display]:[ID]],2,0)))</f>
        <v>308112</v>
      </c>
      <c r="P30" s="86">
        <f ca="1">IF(ResourceAction[[#This Row],[Resource Name]]="","idn2",IF(ResourceAction[[#This Row],[IDN2]]="","",VLOOKUP(ResourceAction[[#This Row],[IDN2]],IDNMaps[[Display]:[ID]],2,0)))</f>
        <v>309106</v>
      </c>
      <c r="Q30" s="86">
        <f ca="1">IF(ResourceAction[[#This Row],[Resource Name]]="","idn3",IF(ResourceAction[[#This Row],[IDN3]]="","",VLOOKUP(ResourceAction[[#This Row],[IDN3]],IDNMaps[[Display]:[ID]],2,0)))</f>
        <v>310113</v>
      </c>
      <c r="R30" s="86" t="str">
        <f>IF(ResourceAction[[#This Row],[Resource Name]]="","idn4",IF(ResourceAction[[#This Row],[IDN4]]="","",VLOOKUP(ResourceAction[[#This Row],[IDN4]],IDNMaps[[Display]:[ID]],2,0)))</f>
        <v/>
      </c>
      <c r="S30" s="86" t="str">
        <f>IF(ResourceAction[[#This Row],[Resource Name]]="","idn5",IF(ResourceAction[[#This Row],[IDN5]]="","",VLOOKUP(ResourceAction[[#This Row],[IDN5]],IDNMaps[[Display]:[ID]],2,0)))</f>
        <v/>
      </c>
      <c r="T30" s="87" t="s">
        <v>1647</v>
      </c>
      <c r="U30" s="87" t="s">
        <v>1607</v>
      </c>
      <c r="V30" s="87" t="s">
        <v>1653</v>
      </c>
      <c r="W30" s="87"/>
      <c r="X30" s="87"/>
      <c r="Y30" s="73">
        <f>ResourceAction[No]</f>
        <v>332128</v>
      </c>
    </row>
    <row r="31" spans="1:38" x14ac:dyDescent="0.25">
      <c r="A31" s="67" t="str">
        <f>'Table Seed Map'!$A$34&amp;"-"&amp;(COUNTA($E$1:ResourceAction[[#This Row],[Resource]])-2)</f>
        <v>Resource Actions-29</v>
      </c>
      <c r="B31" s="67" t="str">
        <f>ResourceAction[[#This Row],[Resource Name]]&amp;"/"&amp;ResourceAction[[#This Row],[Name]]</f>
        <v>Area/ListStoreAndUserOfArea</v>
      </c>
      <c r="C31" s="74" t="s">
        <v>1287</v>
      </c>
      <c r="D31" s="67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67">
        <f>IFERROR(VLOOKUP(ResourceAction[[#This Row],[Resource Name]],ResourceTable[[RName]:[No]],3,0),"resource")</f>
        <v>305110</v>
      </c>
      <c r="F31" s="67" t="s">
        <v>1654</v>
      </c>
      <c r="G31" s="67" t="s">
        <v>1655</v>
      </c>
      <c r="H31" s="67" t="s">
        <v>1656</v>
      </c>
      <c r="I31" s="67" t="s">
        <v>1428</v>
      </c>
      <c r="J31" s="67"/>
      <c r="K31" s="65" t="str">
        <f>'Table Seed Map'!$A$35&amp;"-"&amp;(COUNTA($E$1:ResourceAction[[#This Row],[Resource]])-2)</f>
        <v>Action Method-29</v>
      </c>
      <c r="L31" s="67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67">
        <f>IF(ResourceAction[[#This Row],[No]]="id","resource_action",ResourceAction[[#This Row],[No]])</f>
        <v>332129</v>
      </c>
      <c r="N31" s="85" t="s">
        <v>1482</v>
      </c>
      <c r="O31" s="86">
        <f ca="1">IF(ResourceAction[[#This Row],[Resource Name]]="","idn1",IF(ResourceAction[[#This Row],[IDN1]]="","",VLOOKUP(ResourceAction[[#This Row],[IDN1]],IDNMaps[[Display]:[ID]],2,0)))</f>
        <v>308117</v>
      </c>
      <c r="P31" s="86">
        <f ca="1">IF(ResourceAction[[#This Row],[Resource Name]]="","idn2",IF(ResourceAction[[#This Row],[IDN2]]="","",VLOOKUP(ResourceAction[[#This Row],[IDN2]],IDNMaps[[Display]:[ID]],2,0)))</f>
        <v>322107</v>
      </c>
      <c r="Q31" s="86" t="str">
        <f>IF(ResourceAction[[#This Row],[Resource Name]]="","idn3",IF(ResourceAction[[#This Row],[IDN3]]="","",VLOOKUP(ResourceAction[[#This Row],[IDN3]],IDNMaps[[Display]:[ID]],2,0)))</f>
        <v/>
      </c>
      <c r="R31" s="86" t="str">
        <f>IF(ResourceAction[[#This Row],[Resource Name]]="","idn4",IF(ResourceAction[[#This Row],[IDN4]]="","",VLOOKUP(ResourceAction[[#This Row],[IDN4]],IDNMaps[[Display]:[ID]],2,0)))</f>
        <v/>
      </c>
      <c r="S31" s="86" t="str">
        <f>IF(ResourceAction[[#This Row],[Resource Name]]="","idn5",IF(ResourceAction[[#This Row],[IDN5]]="","",VLOOKUP(ResourceAction[[#This Row],[IDN5]],IDNMaps[[Display]:[ID]],2,0)))</f>
        <v/>
      </c>
      <c r="T31" s="87" t="s">
        <v>1657</v>
      </c>
      <c r="U31" s="87" t="s">
        <v>1610</v>
      </c>
      <c r="V31" s="87"/>
      <c r="W31" s="87"/>
      <c r="X31" s="87"/>
      <c r="Y31" s="73">
        <f>ResourceAction[No]</f>
        <v>332129</v>
      </c>
    </row>
    <row r="32" spans="1:38" x14ac:dyDescent="0.25">
      <c r="A32" s="67" t="str">
        <f>'Table Seed Map'!$A$34&amp;"-"&amp;(COUNTA($E$1:ResourceAction[[#This Row],[Resource]])-2)</f>
        <v>Resource Actions-30</v>
      </c>
      <c r="B32" s="67" t="str">
        <f>ResourceAction[[#This Row],[Resource Name]]&amp;"/"&amp;ResourceAction[[#This Row],[Name]]</f>
        <v>Area/AssignStoreAndUserForArea</v>
      </c>
      <c r="C32" s="74" t="s">
        <v>1287</v>
      </c>
      <c r="D32" s="67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67">
        <f>IFERROR(VLOOKUP(ResourceAction[[#This Row],[Resource Name]],ResourceTable[[RName]:[No]],3,0),"resource")</f>
        <v>305110</v>
      </c>
      <c r="F32" s="67" t="s">
        <v>1658</v>
      </c>
      <c r="G32" s="67" t="s">
        <v>1659</v>
      </c>
      <c r="H32" s="67" t="s">
        <v>1660</v>
      </c>
      <c r="I32" s="67" t="s">
        <v>1428</v>
      </c>
      <c r="J32" s="67"/>
      <c r="K32" s="65" t="str">
        <f>'Table Seed Map'!$A$35&amp;"-"&amp;(COUNTA($E$1:ResourceAction[[#This Row],[Resource]])-2)</f>
        <v>Action Method-30</v>
      </c>
      <c r="L32" s="67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67">
        <f>IF(ResourceAction[[#This Row],[No]]="id","resource_action",ResourceAction[[#This Row],[No]])</f>
        <v>332130</v>
      </c>
      <c r="N32" s="85" t="s">
        <v>1554</v>
      </c>
      <c r="O32" s="86">
        <f ca="1">IF(ResourceAction[[#This Row],[Resource Name]]="","idn1",IF(ResourceAction[[#This Row],[IDN1]]="","",VLOOKUP(ResourceAction[[#This Row],[IDN1]],IDNMaps[[Display]:[ID]],2,0)))</f>
        <v>308117</v>
      </c>
      <c r="P32" s="86">
        <f ca="1">IF(ResourceAction[[#This Row],[Resource Name]]="","idn2",IF(ResourceAction[[#This Row],[IDN2]]="","",VLOOKUP(ResourceAction[[#This Row],[IDN2]],IDNMaps[[Display]:[ID]],2,0)))</f>
        <v>309106</v>
      </c>
      <c r="Q32" s="86">
        <f ca="1">IF(ResourceAction[[#This Row],[Resource Name]]="","idn3",IF(ResourceAction[[#This Row],[IDN3]]="","",VLOOKUP(ResourceAction[[#This Row],[IDN3]],IDNMaps[[Display]:[ID]],2,0)))</f>
        <v>310115</v>
      </c>
      <c r="R32" s="86" t="str">
        <f>IF(ResourceAction[[#This Row],[Resource Name]]="","idn4",IF(ResourceAction[[#This Row],[IDN4]]="","",VLOOKUP(ResourceAction[[#This Row],[IDN4]],IDNMaps[[Display]:[ID]],2,0)))</f>
        <v/>
      </c>
      <c r="S32" s="86" t="str">
        <f>IF(ResourceAction[[#This Row],[Resource Name]]="","idn5",IF(ResourceAction[[#This Row],[IDN5]]="","",VLOOKUP(ResourceAction[[#This Row],[IDN5]],IDNMaps[[Display]:[ID]],2,0)))</f>
        <v/>
      </c>
      <c r="T32" s="87" t="s">
        <v>1657</v>
      </c>
      <c r="U32" s="87" t="s">
        <v>1607</v>
      </c>
      <c r="V32" s="87" t="s">
        <v>1661</v>
      </c>
      <c r="W32" s="87"/>
      <c r="X32" s="87"/>
      <c r="Y32" s="73">
        <f>ResourceAction[No]</f>
        <v>332130</v>
      </c>
    </row>
    <row r="33" spans="1:25" x14ac:dyDescent="0.25">
      <c r="A33" s="67" t="str">
        <f>'Table Seed Map'!$A$34&amp;"-"&amp;(COUNTA($E$1:ResourceAction[[#This Row],[Resource]])-2)</f>
        <v>Resource Actions-31</v>
      </c>
      <c r="B33" s="67" t="str">
        <f>ResourceAction[[#This Row],[Resource Name]]&amp;"/"&amp;ResourceAction[[#This Row],[Name]]</f>
        <v>Store/ListUsersAssigned</v>
      </c>
      <c r="C33" s="74" t="s">
        <v>1286</v>
      </c>
      <c r="D33" s="67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67">
        <f>IFERROR(VLOOKUP(ResourceAction[[#This Row],[Resource Name]],ResourceTable[[RName]:[No]],3,0),"resource")</f>
        <v>305109</v>
      </c>
      <c r="F33" s="67" t="s">
        <v>1665</v>
      </c>
      <c r="G33" s="67" t="s">
        <v>1666</v>
      </c>
      <c r="H33" s="67" t="s">
        <v>1667</v>
      </c>
      <c r="I33" s="67" t="s">
        <v>1428</v>
      </c>
      <c r="J33" s="67"/>
      <c r="K33" s="65" t="str">
        <f>'Table Seed Map'!$A$35&amp;"-"&amp;(COUNTA($E$1:ResourceAction[[#This Row],[Resource]])-2)</f>
        <v>Action Method-31</v>
      </c>
      <c r="L33" s="67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67">
        <f>IF(ResourceAction[[#This Row],[No]]="id","resource_action",ResourceAction[[#This Row],[No]])</f>
        <v>332131</v>
      </c>
      <c r="N33" s="85" t="s">
        <v>1668</v>
      </c>
      <c r="O33" s="86">
        <f ca="1">IF(ResourceAction[[#This Row],[Resource Name]]="","idn1",IF(ResourceAction[[#This Row],[IDN1]]="","",VLOOKUP(ResourceAction[[#This Row],[IDN1]],IDNMaps[[Display]:[ID]],2,0)))</f>
        <v>308116</v>
      </c>
      <c r="P33" s="86">
        <f ca="1">IF(ResourceAction[[#This Row],[Resource Name]]="","idn2",IF(ResourceAction[[#This Row],[IDN2]]="","",VLOOKUP(ResourceAction[[#This Row],[IDN2]],IDNMaps[[Display]:[ID]],2,0)))</f>
        <v>322106</v>
      </c>
      <c r="Q33" s="86" t="str">
        <f>IF(ResourceAction[[#This Row],[Resource Name]]="","idn3",IF(ResourceAction[[#This Row],[IDN3]]="","",VLOOKUP(ResourceAction[[#This Row],[IDN3]],IDNMaps[[Display]:[ID]],2,0)))</f>
        <v/>
      </c>
      <c r="R33" s="86" t="str">
        <f>IF(ResourceAction[[#This Row],[Resource Name]]="","idn4",IF(ResourceAction[[#This Row],[IDN4]]="","",VLOOKUP(ResourceAction[[#This Row],[IDN4]],IDNMaps[[Display]:[ID]],2,0)))</f>
        <v/>
      </c>
      <c r="S33" s="86" t="str">
        <f>IF(ResourceAction[[#This Row],[Resource Name]]="","idn5",IF(ResourceAction[[#This Row],[IDN5]]="","",VLOOKUP(ResourceAction[[#This Row],[IDN5]],IDNMaps[[Display]:[ID]],2,0)))</f>
        <v/>
      </c>
      <c r="T33" s="87" t="s">
        <v>1664</v>
      </c>
      <c r="U33" s="87" t="s">
        <v>1542</v>
      </c>
      <c r="V33" s="87"/>
      <c r="W33" s="87"/>
      <c r="X33" s="87"/>
      <c r="Y33" s="73">
        <f>ResourceAction[No]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2019-09-16T07:54:23Z</dcterms:modified>
</cp:coreProperties>
</file>