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activeTab="5"/>
  </bookViews>
  <sheets>
    <sheet name="Tables" sheetId="1" r:id="rId1"/>
    <sheet name="Fields" sheetId="2" r:id="rId2"/>
    <sheet name="Table Fields" sheetId="3" r:id="rId3"/>
    <sheet name="Table Data" sheetId="24" state="hidden" r:id="rId4"/>
    <sheet name="Table Seed Map" sheetId="21" state="hidden" r:id="rId5"/>
    <sheet name="Seed Statement" sheetId="25" r:id="rId6"/>
    <sheet name="Helper-Resources" sheetId="14" r:id="rId7"/>
    <sheet name="Helper-Relation" sheetId="19" state="hidden" r:id="rId8"/>
    <sheet name="Helper-ResourceForm" sheetId="9" state="hidden" r:id="rId9"/>
    <sheet name="Migration Renamer" sheetId="26" state="hidden" r:id="rId10"/>
    <sheet name="Helper-ResourceList" sheetId="28" state="hidden" r:id="rId11"/>
    <sheet name="Helper-ResourceData" sheetId="29" state="hidden" r:id="rId12"/>
    <sheet name="Helper-ResourceAction" sheetId="27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'Helper-Relation'!$F$2:$F$43,'Helper-Relation'!#REF!,'Helper-Relation'!#REF!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31" i="14" l="1"/>
  <c r="C31" i="14" s="1"/>
  <c r="D31" i="14" s="1"/>
  <c r="M31" i="14" s="1"/>
  <c r="B31" i="14"/>
  <c r="H31" i="14"/>
  <c r="C363" i="3" l="1"/>
  <c r="D363" i="3"/>
  <c r="E363" i="3"/>
  <c r="F363" i="3"/>
  <c r="G363" i="3"/>
  <c r="H363" i="3"/>
  <c r="I363" i="3"/>
  <c r="J363" i="3"/>
  <c r="K363" i="3" s="1"/>
  <c r="A30" i="26"/>
  <c r="C30" i="26"/>
  <c r="E30" i="26" s="1"/>
  <c r="D30" i="26"/>
  <c r="C70" i="21"/>
  <c r="D70" i="21"/>
  <c r="J70" i="21"/>
  <c r="K70" i="21"/>
  <c r="A29" i="26"/>
  <c r="C29" i="26"/>
  <c r="E29" i="26" s="1"/>
  <c r="F29" i="26" s="1"/>
  <c r="D29" i="26"/>
  <c r="C364" i="3"/>
  <c r="D364" i="3"/>
  <c r="E364" i="3"/>
  <c r="F364" i="3"/>
  <c r="G364" i="3"/>
  <c r="H364" i="3"/>
  <c r="I364" i="3"/>
  <c r="J364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178" i="2"/>
  <c r="J179" i="2"/>
  <c r="J180" i="2"/>
  <c r="J175" i="2"/>
  <c r="J176" i="2"/>
  <c r="J177" i="2"/>
  <c r="J181" i="2"/>
  <c r="J182" i="2"/>
  <c r="J183" i="2"/>
  <c r="J184" i="2"/>
  <c r="J185" i="2"/>
  <c r="J186" i="2"/>
  <c r="J187" i="2"/>
  <c r="C350" i="3"/>
  <c r="D350" i="3"/>
  <c r="E350" i="3"/>
  <c r="F350" i="3"/>
  <c r="G350" i="3"/>
  <c r="H350" i="3"/>
  <c r="I350" i="3"/>
  <c r="J350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B74" i="1"/>
  <c r="F74" i="1" s="1"/>
  <c r="C74" i="1"/>
  <c r="E74" i="1" s="1"/>
  <c r="D74" i="1"/>
  <c r="K351" i="3" l="1"/>
  <c r="F30" i="26"/>
  <c r="G30" i="26"/>
  <c r="H30" i="26" s="1"/>
  <c r="G29" i="26"/>
  <c r="H29" i="26" s="1"/>
  <c r="K357" i="3"/>
  <c r="K364" i="3"/>
  <c r="K359" i="3"/>
  <c r="K360" i="3"/>
  <c r="K352" i="3"/>
  <c r="K358" i="3"/>
  <c r="K362" i="3"/>
  <c r="K354" i="3"/>
  <c r="K361" i="3"/>
  <c r="K353" i="3"/>
  <c r="K356" i="3"/>
  <c r="K355" i="3"/>
  <c r="K350" i="3"/>
  <c r="K349" i="3"/>
  <c r="K348" i="3"/>
  <c r="J74" i="1"/>
  <c r="G74" i="1"/>
  <c r="I74" i="1"/>
  <c r="H74" i="1"/>
  <c r="B43" i="27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8" i="9"/>
  <c r="AE38" i="9" s="1"/>
  <c r="AB38" i="9" s="1"/>
  <c r="P38" i="9"/>
  <c r="AJ38" i="9"/>
  <c r="AT38" i="9"/>
  <c r="O37" i="9"/>
  <c r="M37" i="9" s="1"/>
  <c r="P37" i="9"/>
  <c r="AJ37" i="9"/>
  <c r="AT37" i="9"/>
  <c r="B11" i="9"/>
  <c r="AV51" i="28"/>
  <c r="BA51" i="28"/>
  <c r="BB51" i="28"/>
  <c r="AV50" i="28"/>
  <c r="BA50" i="28"/>
  <c r="BB50" i="28"/>
  <c r="AV49" i="28"/>
  <c r="BA49" i="28"/>
  <c r="BB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J69" i="21"/>
  <c r="K69" i="21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C2" i="26"/>
  <c r="E2" i="26" s="1"/>
  <c r="F2" i="26" s="1"/>
  <c r="G2" i="26" s="1"/>
  <c r="H2" i="26" s="1"/>
  <c r="C3" i="26"/>
  <c r="E3" i="26" s="1"/>
  <c r="C4" i="26"/>
  <c r="C5" i="26"/>
  <c r="E5" i="26" s="1"/>
  <c r="F5" i="26" s="1"/>
  <c r="C6" i="26"/>
  <c r="E6" i="26" s="1"/>
  <c r="C7" i="26"/>
  <c r="E7" i="26" s="1"/>
  <c r="C8" i="26"/>
  <c r="E8" i="26" s="1"/>
  <c r="F8" i="26" s="1"/>
  <c r="C9" i="26"/>
  <c r="E9" i="26" s="1"/>
  <c r="C10" i="26"/>
  <c r="E10" i="26" s="1"/>
  <c r="F10" i="26" s="1"/>
  <c r="G10" i="26" s="1"/>
  <c r="H10" i="26" s="1"/>
  <c r="C11" i="26"/>
  <c r="E11" i="26" s="1"/>
  <c r="F11" i="26" s="1"/>
  <c r="G11" i="26" s="1"/>
  <c r="H11" i="26" s="1"/>
  <c r="C12" i="26"/>
  <c r="C13" i="26"/>
  <c r="E13" i="26" s="1"/>
  <c r="C14" i="26"/>
  <c r="E14" i="26" s="1"/>
  <c r="C15" i="26"/>
  <c r="E15" i="26" s="1"/>
  <c r="F15" i="26" s="1"/>
  <c r="G15" i="26" s="1"/>
  <c r="H15" i="26" s="1"/>
  <c r="C16" i="26"/>
  <c r="E16" i="26" s="1"/>
  <c r="F16" i="26" s="1"/>
  <c r="C17" i="26"/>
  <c r="E17" i="26" s="1"/>
  <c r="C18" i="26"/>
  <c r="E18" i="26" s="1"/>
  <c r="F18" i="26" s="1"/>
  <c r="G18" i="26" s="1"/>
  <c r="H18" i="26" s="1"/>
  <c r="C19" i="26"/>
  <c r="E19" i="26" s="1"/>
  <c r="F19" i="26" s="1"/>
  <c r="G19" i="26" s="1"/>
  <c r="H19" i="26" s="1"/>
  <c r="C20" i="26"/>
  <c r="C21" i="26"/>
  <c r="C22" i="26"/>
  <c r="C23" i="26"/>
  <c r="E23" i="26" s="1"/>
  <c r="C24" i="26"/>
  <c r="E24" i="26" s="1"/>
  <c r="F24" i="26" s="1"/>
  <c r="C25" i="26"/>
  <c r="E25" i="26" s="1"/>
  <c r="C26" i="26"/>
  <c r="E26" i="26" s="1"/>
  <c r="F26" i="26" s="1"/>
  <c r="G26" i="26" s="1"/>
  <c r="H26" i="26" s="1"/>
  <c r="C27" i="26"/>
  <c r="E27" i="26" s="1"/>
  <c r="F27" i="26" s="1"/>
  <c r="G27" i="26" s="1"/>
  <c r="H27" i="26" s="1"/>
  <c r="C28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E4" i="26"/>
  <c r="F4" i="26" s="1"/>
  <c r="E12" i="26"/>
  <c r="E20" i="26"/>
  <c r="F20" i="26" s="1"/>
  <c r="E21" i="26"/>
  <c r="E22" i="26"/>
  <c r="E28" i="26"/>
  <c r="F28" i="26" s="1"/>
  <c r="J173" i="2"/>
  <c r="J174" i="2"/>
  <c r="C347" i="3"/>
  <c r="D347" i="3"/>
  <c r="E347" i="3"/>
  <c r="F347" i="3"/>
  <c r="G347" i="3"/>
  <c r="H347" i="3"/>
  <c r="I347" i="3"/>
  <c r="J347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B73" i="1"/>
  <c r="F73" i="1" s="1"/>
  <c r="C73" i="1"/>
  <c r="E73" i="1" s="1"/>
  <c r="D69" i="21" s="1"/>
  <c r="D73" i="1"/>
  <c r="BD7" i="9"/>
  <c r="BE7" i="9"/>
  <c r="O25" i="9"/>
  <c r="AE25" i="9" s="1"/>
  <c r="AB25" i="9" s="1"/>
  <c r="P25" i="9"/>
  <c r="AJ25" i="9"/>
  <c r="AT25" i="9"/>
  <c r="F13" i="26" l="1"/>
  <c r="G13" i="26" s="1"/>
  <c r="H13" i="26" s="1"/>
  <c r="Q38" i="9"/>
  <c r="AD38" i="9" s="1"/>
  <c r="AW49" i="28"/>
  <c r="N17" i="28"/>
  <c r="Z17" i="28" s="1"/>
  <c r="M38" i="9"/>
  <c r="AW50" i="28"/>
  <c r="N16" i="28"/>
  <c r="AB16" i="28" s="1"/>
  <c r="AW51" i="28"/>
  <c r="Y43" i="27"/>
  <c r="M43" i="27"/>
  <c r="M42" i="27"/>
  <c r="Q37" i="9"/>
  <c r="AE37" i="9"/>
  <c r="AB37" i="9" s="1"/>
  <c r="AA16" i="28"/>
  <c r="D43" i="19"/>
  <c r="G42" i="19"/>
  <c r="F7" i="26"/>
  <c r="G7" i="26" s="1"/>
  <c r="H7" i="26" s="1"/>
  <c r="G28" i="26"/>
  <c r="H28" i="26" s="1"/>
  <c r="F3" i="26"/>
  <c r="G3" i="26" s="1"/>
  <c r="H3" i="26" s="1"/>
  <c r="G20" i="26"/>
  <c r="H20" i="26" s="1"/>
  <c r="G4" i="26"/>
  <c r="H4" i="26" s="1"/>
  <c r="F12" i="26"/>
  <c r="G12" i="26" s="1"/>
  <c r="H12" i="26" s="1"/>
  <c r="F6" i="26"/>
  <c r="G6" i="26" s="1"/>
  <c r="H6" i="26" s="1"/>
  <c r="F14" i="26"/>
  <c r="G14" i="26" s="1"/>
  <c r="H14" i="26" s="1"/>
  <c r="G5" i="26"/>
  <c r="H5" i="26" s="1"/>
  <c r="G24" i="26"/>
  <c r="H24" i="26" s="1"/>
  <c r="G16" i="26"/>
  <c r="H16" i="26" s="1"/>
  <c r="G8" i="26"/>
  <c r="H8" i="26" s="1"/>
  <c r="F21" i="26"/>
  <c r="G21" i="26" s="1"/>
  <c r="H21" i="26" s="1"/>
  <c r="F25" i="26"/>
  <c r="G25" i="26" s="1"/>
  <c r="H25" i="26" s="1"/>
  <c r="F17" i="26"/>
  <c r="G17" i="26" s="1"/>
  <c r="H17" i="26" s="1"/>
  <c r="F9" i="26"/>
  <c r="G9" i="26" s="1"/>
  <c r="H9" i="26" s="1"/>
  <c r="F23" i="26"/>
  <c r="G23" i="26" s="1"/>
  <c r="H23" i="26" s="1"/>
  <c r="F22" i="26"/>
  <c r="G22" i="26" s="1"/>
  <c r="H22" i="26" s="1"/>
  <c r="K347" i="3"/>
  <c r="K346" i="3"/>
  <c r="K345" i="3"/>
  <c r="K344" i="3"/>
  <c r="G73" i="1"/>
  <c r="J73" i="1"/>
  <c r="I73" i="1"/>
  <c r="H73" i="1"/>
  <c r="M25" i="9"/>
  <c r="Q25" i="9"/>
  <c r="B6" i="25"/>
  <c r="B7" i="25"/>
  <c r="AE25" i="27"/>
  <c r="AF25" i="27"/>
  <c r="AI25" i="27"/>
  <c r="AJ25" i="27"/>
  <c r="AL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6" i="9"/>
  <c r="Q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M33" i="9" s="1"/>
  <c r="P33" i="9"/>
  <c r="AJ33" i="9"/>
  <c r="AT33" i="9"/>
  <c r="O32" i="9"/>
  <c r="AE32" i="9" s="1"/>
  <c r="AB32" i="9" s="1"/>
  <c r="P32" i="9"/>
  <c r="AJ32" i="9"/>
  <c r="AT32" i="9"/>
  <c r="O31" i="9"/>
  <c r="M31" i="9" s="1"/>
  <c r="P31" i="9"/>
  <c r="AJ31" i="9"/>
  <c r="AT31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V17" i="28" l="1"/>
  <c r="AC17" i="28"/>
  <c r="AN38" i="9"/>
  <c r="AY38" i="9"/>
  <c r="V16" i="28"/>
  <c r="AC16" i="28"/>
  <c r="AD16" i="28"/>
  <c r="BA38" i="9"/>
  <c r="W16" i="28"/>
  <c r="U16" i="28" s="1"/>
  <c r="Z16" i="28"/>
  <c r="N43" i="19"/>
  <c r="AA17" i="28"/>
  <c r="AZ51" i="28"/>
  <c r="AZ49" i="28"/>
  <c r="AZ50" i="28"/>
  <c r="AD17" i="28"/>
  <c r="AB17" i="28"/>
  <c r="W17" i="28"/>
  <c r="U17" i="28" s="1"/>
  <c r="BA37" i="9"/>
  <c r="AN37" i="9"/>
  <c r="AY37" i="9"/>
  <c r="AD37" i="9"/>
  <c r="BA25" i="9"/>
  <c r="AN25" i="9"/>
  <c r="AD25" i="9"/>
  <c r="AY25" i="9"/>
  <c r="AE34" i="9"/>
  <c r="AB34" i="9" s="1"/>
  <c r="M41" i="27"/>
  <c r="M40" i="27"/>
  <c r="M39" i="27"/>
  <c r="AE36" i="9"/>
  <c r="AB36" i="9" s="1"/>
  <c r="M36" i="9"/>
  <c r="AD36" i="9"/>
  <c r="AY36" i="9"/>
  <c r="BA36" i="9"/>
  <c r="AN36" i="9"/>
  <c r="Q34" i="9"/>
  <c r="BA34" i="9" s="1"/>
  <c r="Q35" i="9"/>
  <c r="AE35" i="9"/>
  <c r="AB35" i="9" s="1"/>
  <c r="Q33" i="9"/>
  <c r="AE33" i="9"/>
  <c r="AB33" i="9" s="1"/>
  <c r="M32" i="9"/>
  <c r="Q32" i="9"/>
  <c r="Q31" i="9"/>
  <c r="AE31" i="9"/>
  <c r="AB31" i="9" s="1"/>
  <c r="M38" i="27"/>
  <c r="Y37" i="27"/>
  <c r="M37" i="27"/>
  <c r="W15" i="28"/>
  <c r="W14" i="28"/>
  <c r="A41" i="19"/>
  <c r="B41" i="19"/>
  <c r="D41" i="19" s="1"/>
  <c r="N41" i="19" s="1"/>
  <c r="C41" i="19"/>
  <c r="AN34" i="9" l="1"/>
  <c r="AY34" i="9"/>
  <c r="AD34" i="9"/>
  <c r="AD35" i="9"/>
  <c r="AY35" i="9"/>
  <c r="BA35" i="9"/>
  <c r="AN35" i="9"/>
  <c r="AD33" i="9"/>
  <c r="AY33" i="9"/>
  <c r="BA33" i="9"/>
  <c r="AN33" i="9"/>
  <c r="AY32" i="9"/>
  <c r="BA32" i="9"/>
  <c r="AN32" i="9"/>
  <c r="AD32" i="9"/>
  <c r="BA31" i="9"/>
  <c r="AY31" i="9"/>
  <c r="AN31" i="9"/>
  <c r="AD31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309" i="2"/>
  <c r="C283" i="3"/>
  <c r="C284" i="3"/>
  <c r="C285" i="3"/>
  <c r="D283" i="3"/>
  <c r="D284" i="3"/>
  <c r="D285" i="3"/>
  <c r="E283" i="3"/>
  <c r="E284" i="3"/>
  <c r="E285" i="3"/>
  <c r="F283" i="3"/>
  <c r="F284" i="3"/>
  <c r="F285" i="3"/>
  <c r="G283" i="3"/>
  <c r="G284" i="3"/>
  <c r="G285" i="3"/>
  <c r="H283" i="3"/>
  <c r="H284" i="3"/>
  <c r="H285" i="3"/>
  <c r="I283" i="3"/>
  <c r="I284" i="3"/>
  <c r="I285" i="3"/>
  <c r="J283" i="3"/>
  <c r="J284" i="3"/>
  <c r="J285" i="3"/>
  <c r="C273" i="3"/>
  <c r="D273" i="3"/>
  <c r="E273" i="3"/>
  <c r="F273" i="3"/>
  <c r="G273" i="3"/>
  <c r="H273" i="3"/>
  <c r="I273" i="3"/>
  <c r="J273" i="3"/>
  <c r="K5" i="3" l="1"/>
  <c r="K284" i="3"/>
  <c r="K285" i="3"/>
  <c r="K283" i="3"/>
  <c r="K273" i="3"/>
  <c r="C329" i="3"/>
  <c r="D329" i="3"/>
  <c r="E329" i="3"/>
  <c r="F329" i="3"/>
  <c r="G329" i="3"/>
  <c r="H329" i="3"/>
  <c r="I329" i="3"/>
  <c r="J329" i="3"/>
  <c r="J14" i="2"/>
  <c r="K329" i="3" l="1"/>
  <c r="C318" i="3"/>
  <c r="D318" i="3"/>
  <c r="E318" i="3"/>
  <c r="F318" i="3"/>
  <c r="G318" i="3"/>
  <c r="H318" i="3"/>
  <c r="I318" i="3"/>
  <c r="J318" i="3"/>
  <c r="K318" i="3" l="1"/>
  <c r="A61" i="24"/>
  <c r="C61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D61" i="2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3" i="24"/>
  <c r="A54" i="24"/>
  <c r="A55" i="24"/>
  <c r="A56" i="24"/>
  <c r="A57" i="24"/>
  <c r="A58" i="24"/>
  <c r="A59" i="24"/>
  <c r="A60" i="24"/>
  <c r="C53" i="24"/>
  <c r="C54" i="24"/>
  <c r="C55" i="24"/>
  <c r="C56" i="24"/>
  <c r="C57" i="24"/>
  <c r="C58" i="24"/>
  <c r="C59" i="24"/>
  <c r="C60" i="24"/>
  <c r="A52" i="24"/>
  <c r="C52" i="24"/>
  <c r="A51" i="24"/>
  <c r="C51" i="24"/>
  <c r="C50" i="24"/>
  <c r="A50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4" i="3"/>
  <c r="D234" i="3"/>
  <c r="E234" i="3"/>
  <c r="F234" i="3"/>
  <c r="G234" i="3"/>
  <c r="H234" i="3"/>
  <c r="I234" i="3"/>
  <c r="J234" i="3"/>
  <c r="J102" i="2"/>
  <c r="J103" i="2"/>
  <c r="C230" i="3"/>
  <c r="D230" i="3"/>
  <c r="E230" i="3"/>
  <c r="F230" i="3"/>
  <c r="G230" i="3"/>
  <c r="H230" i="3"/>
  <c r="I230" i="3"/>
  <c r="J230" i="3"/>
  <c r="C226" i="3"/>
  <c r="C227" i="3"/>
  <c r="C228" i="3"/>
  <c r="C229" i="3"/>
  <c r="D226" i="3"/>
  <c r="D227" i="3"/>
  <c r="D228" i="3"/>
  <c r="D229" i="3"/>
  <c r="E226" i="3"/>
  <c r="E227" i="3"/>
  <c r="E228" i="3"/>
  <c r="E229" i="3"/>
  <c r="F226" i="3"/>
  <c r="F227" i="3"/>
  <c r="F228" i="3"/>
  <c r="F229" i="3"/>
  <c r="G226" i="3"/>
  <c r="G227" i="3"/>
  <c r="G228" i="3"/>
  <c r="G229" i="3"/>
  <c r="H226" i="3"/>
  <c r="H227" i="3"/>
  <c r="H228" i="3"/>
  <c r="H229" i="3"/>
  <c r="I226" i="3"/>
  <c r="I227" i="3"/>
  <c r="I228" i="3"/>
  <c r="I229" i="3"/>
  <c r="J226" i="3"/>
  <c r="J227" i="3"/>
  <c r="J228" i="3"/>
  <c r="J229" i="3"/>
  <c r="C215" i="3"/>
  <c r="D215" i="3"/>
  <c r="E215" i="3"/>
  <c r="F215" i="3"/>
  <c r="G215" i="3"/>
  <c r="H215" i="3"/>
  <c r="I215" i="3"/>
  <c r="J215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5" i="3"/>
  <c r="D135" i="3"/>
  <c r="E135" i="3"/>
  <c r="F135" i="3"/>
  <c r="G135" i="3"/>
  <c r="H135" i="3"/>
  <c r="I135" i="3"/>
  <c r="J135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4" i="3"/>
  <c r="K230" i="3"/>
  <c r="K228" i="3"/>
  <c r="K229" i="3"/>
  <c r="K227" i="3"/>
  <c r="K226" i="3"/>
  <c r="K215" i="3"/>
  <c r="K123" i="3"/>
  <c r="K116" i="3"/>
  <c r="K135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49" i="24"/>
  <c r="C49" i="24"/>
  <c r="A48" i="24"/>
  <c r="C48" i="24"/>
  <c r="A47" i="24"/>
  <c r="C47" i="24"/>
  <c r="A46" i="24"/>
  <c r="C46" i="24"/>
  <c r="A45" i="24"/>
  <c r="C45" i="24"/>
  <c r="A44" i="24"/>
  <c r="C44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0" i="9"/>
  <c r="M30" i="9" s="1"/>
  <c r="P30" i="9"/>
  <c r="AJ30" i="9"/>
  <c r="AT30" i="9"/>
  <c r="O29" i="9"/>
  <c r="AE29" i="9" s="1"/>
  <c r="AB29" i="9" s="1"/>
  <c r="P29" i="9"/>
  <c r="AJ29" i="9"/>
  <c r="AT29" i="9"/>
  <c r="O28" i="9"/>
  <c r="M28" i="9" s="1"/>
  <c r="P28" i="9"/>
  <c r="AJ28" i="9"/>
  <c r="AT28" i="9"/>
  <c r="O27" i="9"/>
  <c r="M27" i="9" s="1"/>
  <c r="P27" i="9"/>
  <c r="AJ27" i="9"/>
  <c r="AT27" i="9"/>
  <c r="O26" i="9"/>
  <c r="AE26" i="9" s="1"/>
  <c r="AB26" i="9" s="1"/>
  <c r="P26" i="9"/>
  <c r="AJ26" i="9"/>
  <c r="AT26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O22" i="9"/>
  <c r="AE22" i="9" s="1"/>
  <c r="AB22" i="9" s="1"/>
  <c r="P22" i="9"/>
  <c r="AJ22" i="9"/>
  <c r="AT22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5" i="24"/>
  <c r="C36" i="24"/>
  <c r="C37" i="24"/>
  <c r="C38" i="24"/>
  <c r="C39" i="24"/>
  <c r="C40" i="24"/>
  <c r="C41" i="24"/>
  <c r="C42" i="24"/>
  <c r="C43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1" i="9"/>
  <c r="M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O15" i="9"/>
  <c r="M15" i="9" s="1"/>
  <c r="P15" i="9"/>
  <c r="AJ15" i="9"/>
  <c r="AT15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1" i="3"/>
  <c r="C192" i="3"/>
  <c r="C193" i="3"/>
  <c r="C194" i="3"/>
  <c r="C195" i="3"/>
  <c r="D191" i="3"/>
  <c r="D192" i="3"/>
  <c r="D193" i="3"/>
  <c r="D194" i="3"/>
  <c r="D195" i="3"/>
  <c r="E191" i="3"/>
  <c r="E192" i="3"/>
  <c r="E193" i="3"/>
  <c r="E194" i="3"/>
  <c r="E195" i="3"/>
  <c r="F191" i="3"/>
  <c r="F192" i="3"/>
  <c r="F193" i="3"/>
  <c r="F194" i="3"/>
  <c r="F195" i="3"/>
  <c r="G191" i="3"/>
  <c r="G192" i="3"/>
  <c r="G193" i="3"/>
  <c r="G194" i="3"/>
  <c r="G195" i="3"/>
  <c r="H191" i="3"/>
  <c r="H192" i="3"/>
  <c r="H193" i="3"/>
  <c r="H194" i="3"/>
  <c r="H195" i="3"/>
  <c r="I191" i="3"/>
  <c r="I192" i="3"/>
  <c r="I193" i="3"/>
  <c r="I194" i="3"/>
  <c r="I195" i="3"/>
  <c r="J191" i="3"/>
  <c r="J192" i="3"/>
  <c r="J193" i="3"/>
  <c r="J194" i="3"/>
  <c r="J195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29" i="9"/>
  <c r="Q30" i="9"/>
  <c r="AE30" i="9"/>
  <c r="AB30" i="9" s="1"/>
  <c r="Q29" i="9"/>
  <c r="Q28" i="9"/>
  <c r="AE28" i="9"/>
  <c r="AB28" i="9" s="1"/>
  <c r="Q27" i="9"/>
  <c r="AE27" i="9"/>
  <c r="AB27" i="9" s="1"/>
  <c r="M26" i="9"/>
  <c r="Q26" i="9"/>
  <c r="M34" i="27"/>
  <c r="M33" i="27"/>
  <c r="M32" i="27"/>
  <c r="G37" i="19"/>
  <c r="G36" i="19"/>
  <c r="M24" i="9"/>
  <c r="M23" i="9"/>
  <c r="Q24" i="9"/>
  <c r="Q23" i="9"/>
  <c r="M22" i="9"/>
  <c r="Q22" i="9"/>
  <c r="M29" i="27"/>
  <c r="G35" i="19"/>
  <c r="M28" i="27"/>
  <c r="G34" i="19"/>
  <c r="Q21" i="9"/>
  <c r="AE21" i="9"/>
  <c r="AB21" i="9" s="1"/>
  <c r="M20" i="9"/>
  <c r="Q20" i="9"/>
  <c r="M19" i="9"/>
  <c r="M18" i="9"/>
  <c r="Q19" i="9"/>
  <c r="Q18" i="9"/>
  <c r="Q17" i="9"/>
  <c r="AE17" i="9"/>
  <c r="AB17" i="9" s="1"/>
  <c r="Q16" i="9"/>
  <c r="AE16" i="9"/>
  <c r="AB16" i="9" s="1"/>
  <c r="Q15" i="9"/>
  <c r="AE15" i="9"/>
  <c r="AB15" i="9" s="1"/>
  <c r="K195" i="3"/>
  <c r="K192" i="3"/>
  <c r="K193" i="3"/>
  <c r="K194" i="3"/>
  <c r="K191" i="3"/>
  <c r="H55" i="1"/>
  <c r="G55" i="1"/>
  <c r="J55" i="1"/>
  <c r="I55" i="1"/>
  <c r="C289" i="3"/>
  <c r="D289" i="3"/>
  <c r="E289" i="3"/>
  <c r="F289" i="3"/>
  <c r="G289" i="3"/>
  <c r="H289" i="3"/>
  <c r="I289" i="3"/>
  <c r="J289" i="3"/>
  <c r="C231" i="3"/>
  <c r="D231" i="3"/>
  <c r="E231" i="3"/>
  <c r="F231" i="3"/>
  <c r="G231" i="3"/>
  <c r="H231" i="3"/>
  <c r="I231" i="3"/>
  <c r="J231" i="3"/>
  <c r="J166" i="2"/>
  <c r="AD30" i="9" l="1"/>
  <c r="AY30" i="9"/>
  <c r="BA30" i="9"/>
  <c r="AN30" i="9"/>
  <c r="AD29" i="9"/>
  <c r="AY29" i="9"/>
  <c r="BA29" i="9"/>
  <c r="AN29" i="9"/>
  <c r="BA28" i="9"/>
  <c r="AN28" i="9"/>
  <c r="AD28" i="9"/>
  <c r="AY28" i="9"/>
  <c r="AD27" i="9"/>
  <c r="AY27" i="9"/>
  <c r="BA27" i="9"/>
  <c r="AN27" i="9"/>
  <c r="AD26" i="9"/>
  <c r="BA26" i="9"/>
  <c r="AN26" i="9"/>
  <c r="AY26" i="9"/>
  <c r="AD24" i="9"/>
  <c r="AY24" i="9"/>
  <c r="BA24" i="9"/>
  <c r="AN24" i="9"/>
  <c r="AD23" i="9"/>
  <c r="AY23" i="9"/>
  <c r="BA23" i="9"/>
  <c r="AN23" i="9"/>
  <c r="AD22" i="9"/>
  <c r="AY22" i="9"/>
  <c r="BA22" i="9"/>
  <c r="AN22" i="9"/>
  <c r="BA21" i="9"/>
  <c r="AN21" i="9"/>
  <c r="AD21" i="9"/>
  <c r="AY21" i="9"/>
  <c r="AD20" i="9"/>
  <c r="AY20" i="9"/>
  <c r="BA20" i="9"/>
  <c r="AN20" i="9"/>
  <c r="AY19" i="9"/>
  <c r="BA19" i="9"/>
  <c r="AN19" i="9"/>
  <c r="AD19" i="9"/>
  <c r="AD18" i="9"/>
  <c r="AY18" i="9"/>
  <c r="BA18" i="9"/>
  <c r="AN18" i="9"/>
  <c r="AY17" i="9"/>
  <c r="AD17" i="9"/>
  <c r="BA17" i="9"/>
  <c r="AN17" i="9"/>
  <c r="BA16" i="9"/>
  <c r="AN16" i="9"/>
  <c r="AY16" i="9"/>
  <c r="AD16" i="9"/>
  <c r="AD15" i="9"/>
  <c r="AY15" i="9"/>
  <c r="BA15" i="9"/>
  <c r="AN15" i="9"/>
  <c r="K289" i="3"/>
  <c r="K231" i="3"/>
  <c r="J113" i="2"/>
  <c r="C168" i="3"/>
  <c r="D168" i="3"/>
  <c r="E168" i="3"/>
  <c r="F168" i="3"/>
  <c r="G168" i="3"/>
  <c r="H168" i="3"/>
  <c r="I168" i="3"/>
  <c r="J168" i="3"/>
  <c r="C165" i="3"/>
  <c r="D165" i="3"/>
  <c r="E165" i="3"/>
  <c r="F165" i="3"/>
  <c r="G165" i="3"/>
  <c r="H165" i="3"/>
  <c r="I165" i="3"/>
  <c r="J165" i="3"/>
  <c r="K168" i="3" l="1"/>
  <c r="K165" i="3"/>
  <c r="J51" i="21" l="1"/>
  <c r="K51" i="21"/>
  <c r="J49" i="21"/>
  <c r="K49" i="21"/>
  <c r="C136" i="3"/>
  <c r="D136" i="3"/>
  <c r="E136" i="3"/>
  <c r="F136" i="3"/>
  <c r="G136" i="3"/>
  <c r="H136" i="3"/>
  <c r="I136" i="3"/>
  <c r="J136" i="3"/>
  <c r="J128" i="2"/>
  <c r="B54" i="1"/>
  <c r="H54" i="1" s="1"/>
  <c r="C54" i="1"/>
  <c r="E54" i="1" s="1"/>
  <c r="D51" i="21" s="1"/>
  <c r="D54" i="1"/>
  <c r="C51" i="21" s="1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65" i="2"/>
  <c r="C152" i="3"/>
  <c r="C153" i="3"/>
  <c r="C154" i="3"/>
  <c r="C155" i="3"/>
  <c r="C156" i="3"/>
  <c r="D152" i="3"/>
  <c r="D153" i="3"/>
  <c r="D154" i="3"/>
  <c r="D155" i="3"/>
  <c r="D156" i="3"/>
  <c r="E152" i="3"/>
  <c r="E153" i="3"/>
  <c r="E154" i="3"/>
  <c r="E155" i="3"/>
  <c r="E156" i="3"/>
  <c r="F152" i="3"/>
  <c r="F153" i="3"/>
  <c r="F154" i="3"/>
  <c r="F155" i="3"/>
  <c r="F156" i="3"/>
  <c r="G152" i="3"/>
  <c r="G153" i="3"/>
  <c r="G154" i="3"/>
  <c r="G155" i="3"/>
  <c r="G156" i="3"/>
  <c r="H152" i="3"/>
  <c r="H153" i="3"/>
  <c r="H154" i="3"/>
  <c r="H155" i="3"/>
  <c r="H156" i="3"/>
  <c r="I152" i="3"/>
  <c r="I153" i="3"/>
  <c r="I154" i="3"/>
  <c r="I155" i="3"/>
  <c r="I156" i="3"/>
  <c r="J152" i="3"/>
  <c r="J153" i="3"/>
  <c r="J154" i="3"/>
  <c r="J155" i="3"/>
  <c r="J156" i="3"/>
  <c r="B52" i="1"/>
  <c r="H52" i="1" s="1"/>
  <c r="C52" i="1"/>
  <c r="E52" i="1" s="1"/>
  <c r="D49" i="21" s="1"/>
  <c r="D52" i="1"/>
  <c r="C49" i="21" s="1"/>
  <c r="K136" i="3" l="1"/>
  <c r="K181" i="3"/>
  <c r="K186" i="3"/>
  <c r="K178" i="3"/>
  <c r="K183" i="3"/>
  <c r="K175" i="3"/>
  <c r="K180" i="3"/>
  <c r="K185" i="3"/>
  <c r="K177" i="3"/>
  <c r="K182" i="3"/>
  <c r="K174" i="3"/>
  <c r="K179" i="3"/>
  <c r="K184" i="3"/>
  <c r="K176" i="3"/>
  <c r="F54" i="1"/>
  <c r="J54" i="1"/>
  <c r="G54" i="1"/>
  <c r="I54" i="1"/>
  <c r="K152" i="3"/>
  <c r="K156" i="3"/>
  <c r="K155" i="3"/>
  <c r="K154" i="3"/>
  <c r="K153" i="3"/>
  <c r="G52" i="1"/>
  <c r="J52" i="1"/>
  <c r="I52" i="1"/>
  <c r="F52" i="1"/>
  <c r="C170" i="3"/>
  <c r="D170" i="3"/>
  <c r="E170" i="3"/>
  <c r="F170" i="3"/>
  <c r="G170" i="3"/>
  <c r="H170" i="3"/>
  <c r="I170" i="3"/>
  <c r="J170" i="3"/>
  <c r="J56" i="2"/>
  <c r="J54" i="2"/>
  <c r="C167" i="3"/>
  <c r="D167" i="3"/>
  <c r="E167" i="3"/>
  <c r="F167" i="3"/>
  <c r="G167" i="3"/>
  <c r="H167" i="3"/>
  <c r="I167" i="3"/>
  <c r="J167" i="3"/>
  <c r="J53" i="2"/>
  <c r="J55" i="2"/>
  <c r="C166" i="3"/>
  <c r="C169" i="3"/>
  <c r="D166" i="3"/>
  <c r="D169" i="3"/>
  <c r="E166" i="3"/>
  <c r="E169" i="3"/>
  <c r="F166" i="3"/>
  <c r="F169" i="3"/>
  <c r="G166" i="3"/>
  <c r="G169" i="3"/>
  <c r="H166" i="3"/>
  <c r="H169" i="3"/>
  <c r="I166" i="3"/>
  <c r="I169" i="3"/>
  <c r="J166" i="3"/>
  <c r="J169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0" i="3" l="1"/>
  <c r="K167" i="3"/>
  <c r="K166" i="3"/>
  <c r="K169" i="3"/>
  <c r="K109" i="3"/>
  <c r="D33" i="19"/>
  <c r="N33" i="19" s="1"/>
  <c r="G33" i="19"/>
  <c r="G32" i="19"/>
  <c r="J308" i="2"/>
  <c r="J307" i="2"/>
  <c r="J306" i="2"/>
  <c r="J305" i="2"/>
  <c r="J304" i="2"/>
  <c r="J303" i="2"/>
  <c r="C303" i="3"/>
  <c r="D303" i="3"/>
  <c r="E303" i="3"/>
  <c r="F303" i="3"/>
  <c r="G303" i="3"/>
  <c r="H303" i="3"/>
  <c r="I303" i="3"/>
  <c r="J303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0" i="3"/>
  <c r="C291" i="3"/>
  <c r="C292" i="3"/>
  <c r="D290" i="3"/>
  <c r="D291" i="3"/>
  <c r="D292" i="3"/>
  <c r="E290" i="3"/>
  <c r="E291" i="3"/>
  <c r="E292" i="3"/>
  <c r="F290" i="3"/>
  <c r="F291" i="3"/>
  <c r="F292" i="3"/>
  <c r="G290" i="3"/>
  <c r="G291" i="3"/>
  <c r="G292" i="3"/>
  <c r="H290" i="3"/>
  <c r="H291" i="3"/>
  <c r="H292" i="3"/>
  <c r="I290" i="3"/>
  <c r="I291" i="3"/>
  <c r="I292" i="3"/>
  <c r="J290" i="3"/>
  <c r="J291" i="3"/>
  <c r="J292" i="3"/>
  <c r="C276" i="3"/>
  <c r="D276" i="3"/>
  <c r="E276" i="3"/>
  <c r="F276" i="3"/>
  <c r="G276" i="3"/>
  <c r="H276" i="3"/>
  <c r="I276" i="3"/>
  <c r="J276" i="3"/>
  <c r="C340" i="3"/>
  <c r="D340" i="3"/>
  <c r="E340" i="3"/>
  <c r="F340" i="3"/>
  <c r="G340" i="3"/>
  <c r="H340" i="3"/>
  <c r="I340" i="3"/>
  <c r="J340" i="3"/>
  <c r="J158" i="2"/>
  <c r="A29" i="14"/>
  <c r="B29" i="14"/>
  <c r="H29" i="14"/>
  <c r="A28" i="14"/>
  <c r="B28" i="14"/>
  <c r="H28" i="14"/>
  <c r="P8" i="19"/>
  <c r="R8" i="19"/>
  <c r="S8" i="19"/>
  <c r="C330" i="3"/>
  <c r="D330" i="3"/>
  <c r="E330" i="3"/>
  <c r="F330" i="3"/>
  <c r="G330" i="3"/>
  <c r="H330" i="3"/>
  <c r="I330" i="3"/>
  <c r="J330" i="3"/>
  <c r="J152" i="2"/>
  <c r="C221" i="3"/>
  <c r="D221" i="3"/>
  <c r="E221" i="3"/>
  <c r="F221" i="3"/>
  <c r="G221" i="3"/>
  <c r="H221" i="3"/>
  <c r="I221" i="3"/>
  <c r="J221" i="3"/>
  <c r="C319" i="3"/>
  <c r="C320" i="3"/>
  <c r="D319" i="3"/>
  <c r="D320" i="3"/>
  <c r="E319" i="3"/>
  <c r="E320" i="3"/>
  <c r="F319" i="3"/>
  <c r="F320" i="3"/>
  <c r="G319" i="3"/>
  <c r="G320" i="3"/>
  <c r="H319" i="3"/>
  <c r="H320" i="3"/>
  <c r="I319" i="3"/>
  <c r="I320" i="3"/>
  <c r="J319" i="3"/>
  <c r="J320" i="3"/>
  <c r="C343" i="3"/>
  <c r="D343" i="3"/>
  <c r="E343" i="3"/>
  <c r="F343" i="3"/>
  <c r="G343" i="3"/>
  <c r="H343" i="3"/>
  <c r="I343" i="3"/>
  <c r="J343" i="3"/>
  <c r="C342" i="3"/>
  <c r="D342" i="3"/>
  <c r="E342" i="3"/>
  <c r="F342" i="3"/>
  <c r="G342" i="3"/>
  <c r="H342" i="3"/>
  <c r="I342" i="3"/>
  <c r="J342" i="3"/>
  <c r="C341" i="3"/>
  <c r="D341" i="3"/>
  <c r="E341" i="3"/>
  <c r="F341" i="3"/>
  <c r="G341" i="3"/>
  <c r="H341" i="3"/>
  <c r="I341" i="3"/>
  <c r="J341" i="3"/>
  <c r="J159" i="2"/>
  <c r="C339" i="3"/>
  <c r="D339" i="3"/>
  <c r="E339" i="3"/>
  <c r="F339" i="3"/>
  <c r="G339" i="3"/>
  <c r="H339" i="3"/>
  <c r="I339" i="3"/>
  <c r="J339" i="3"/>
  <c r="C337" i="3"/>
  <c r="C338" i="3"/>
  <c r="D337" i="3"/>
  <c r="D338" i="3"/>
  <c r="E337" i="3"/>
  <c r="E338" i="3"/>
  <c r="F337" i="3"/>
  <c r="F338" i="3"/>
  <c r="G337" i="3"/>
  <c r="G338" i="3"/>
  <c r="H337" i="3"/>
  <c r="H338" i="3"/>
  <c r="I337" i="3"/>
  <c r="I338" i="3"/>
  <c r="J337" i="3"/>
  <c r="J338" i="3"/>
  <c r="J156" i="2"/>
  <c r="J157" i="2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B71" i="1"/>
  <c r="H71" i="1" s="1"/>
  <c r="C71" i="1"/>
  <c r="E71" i="1" s="1"/>
  <c r="D68" i="21" s="1"/>
  <c r="D71" i="1"/>
  <c r="C68" i="21" s="1"/>
  <c r="J67" i="21"/>
  <c r="K67" i="21"/>
  <c r="C332" i="3"/>
  <c r="D332" i="3"/>
  <c r="E332" i="3"/>
  <c r="F332" i="3"/>
  <c r="G332" i="3"/>
  <c r="H332" i="3"/>
  <c r="I332" i="3"/>
  <c r="J332" i="3"/>
  <c r="C331" i="3"/>
  <c r="D331" i="3"/>
  <c r="E331" i="3"/>
  <c r="F331" i="3"/>
  <c r="G331" i="3"/>
  <c r="H331" i="3"/>
  <c r="I331" i="3"/>
  <c r="J331" i="3"/>
  <c r="C326" i="3"/>
  <c r="C327" i="3"/>
  <c r="C328" i="3"/>
  <c r="D326" i="3"/>
  <c r="D327" i="3"/>
  <c r="D328" i="3"/>
  <c r="E326" i="3"/>
  <c r="E327" i="3"/>
  <c r="E328" i="3"/>
  <c r="F326" i="3"/>
  <c r="F327" i="3"/>
  <c r="F328" i="3"/>
  <c r="G326" i="3"/>
  <c r="G327" i="3"/>
  <c r="G328" i="3"/>
  <c r="H326" i="3"/>
  <c r="H327" i="3"/>
  <c r="H328" i="3"/>
  <c r="I326" i="3"/>
  <c r="I327" i="3"/>
  <c r="I328" i="3"/>
  <c r="J326" i="3"/>
  <c r="J327" i="3"/>
  <c r="J328" i="3"/>
  <c r="J154" i="2"/>
  <c r="J155" i="2"/>
  <c r="J153" i="2"/>
  <c r="J104" i="2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C321" i="3"/>
  <c r="D321" i="3"/>
  <c r="E321" i="3"/>
  <c r="F321" i="3"/>
  <c r="G321" i="3"/>
  <c r="H321" i="3"/>
  <c r="I321" i="3"/>
  <c r="J321" i="3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J151" i="2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1" i="3"/>
  <c r="D141" i="3"/>
  <c r="E141" i="3"/>
  <c r="F141" i="3"/>
  <c r="G141" i="3"/>
  <c r="H141" i="3"/>
  <c r="I141" i="3"/>
  <c r="J141" i="3"/>
  <c r="J145" i="2"/>
  <c r="A31" i="19"/>
  <c r="B31" i="19"/>
  <c r="C31" i="19"/>
  <c r="P7" i="19"/>
  <c r="R7" i="19"/>
  <c r="S7" i="19"/>
  <c r="A30" i="19"/>
  <c r="B30" i="19"/>
  <c r="C30" i="19"/>
  <c r="C293" i="3"/>
  <c r="D293" i="3"/>
  <c r="E293" i="3"/>
  <c r="F293" i="3"/>
  <c r="G293" i="3"/>
  <c r="H293" i="3"/>
  <c r="I293" i="3"/>
  <c r="J293" i="3"/>
  <c r="C278" i="3"/>
  <c r="D278" i="3"/>
  <c r="E278" i="3"/>
  <c r="F278" i="3"/>
  <c r="G278" i="3"/>
  <c r="H278" i="3"/>
  <c r="I278" i="3"/>
  <c r="J278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3" i="3"/>
  <c r="D213" i="3"/>
  <c r="E213" i="3"/>
  <c r="F213" i="3"/>
  <c r="G213" i="3"/>
  <c r="H213" i="3"/>
  <c r="I213" i="3"/>
  <c r="J213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3" i="24"/>
  <c r="A42" i="24"/>
  <c r="A41" i="24"/>
  <c r="A40" i="24"/>
  <c r="A39" i="24"/>
  <c r="A38" i="24"/>
  <c r="A37" i="24"/>
  <c r="A36" i="24"/>
  <c r="A35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3" i="3" l="1"/>
  <c r="K118" i="3"/>
  <c r="K117" i="3"/>
  <c r="K115" i="3"/>
  <c r="K292" i="3"/>
  <c r="K290" i="3"/>
  <c r="K291" i="3"/>
  <c r="K276" i="3"/>
  <c r="K340" i="3"/>
  <c r="K330" i="3"/>
  <c r="K221" i="3"/>
  <c r="K319" i="3"/>
  <c r="K320" i="3"/>
  <c r="K343" i="3"/>
  <c r="K342" i="3"/>
  <c r="K341" i="3"/>
  <c r="K339" i="3"/>
  <c r="K337" i="3"/>
  <c r="K338" i="3"/>
  <c r="K336" i="3"/>
  <c r="K335" i="3"/>
  <c r="K334" i="3"/>
  <c r="K333" i="3"/>
  <c r="K331" i="3"/>
  <c r="K332" i="3"/>
  <c r="I71" i="1"/>
  <c r="G71" i="1"/>
  <c r="J71" i="1"/>
  <c r="F71" i="1"/>
  <c r="K326" i="3"/>
  <c r="K328" i="3"/>
  <c r="K327" i="3"/>
  <c r="K325" i="3"/>
  <c r="K324" i="3"/>
  <c r="K321" i="3"/>
  <c r="K323" i="3"/>
  <c r="K322" i="3"/>
  <c r="K317" i="3"/>
  <c r="K316" i="3"/>
  <c r="G70" i="1"/>
  <c r="J70" i="1"/>
  <c r="I70" i="1"/>
  <c r="F70" i="1"/>
  <c r="K108" i="3"/>
  <c r="K106" i="3"/>
  <c r="K141" i="3"/>
  <c r="D31" i="19"/>
  <c r="N31" i="19" s="1"/>
  <c r="G31" i="19"/>
  <c r="D30" i="19"/>
  <c r="N30" i="19" s="1"/>
  <c r="G30" i="19"/>
  <c r="K293" i="3"/>
  <c r="K278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3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4" i="9"/>
  <c r="P14" i="9"/>
  <c r="AJ14" i="9"/>
  <c r="AT14" i="9"/>
  <c r="O13" i="9"/>
  <c r="P13" i="9"/>
  <c r="AJ13" i="9"/>
  <c r="AT13" i="9"/>
  <c r="O12" i="9"/>
  <c r="P12" i="9"/>
  <c r="AJ12" i="9"/>
  <c r="AT12" i="9"/>
  <c r="C150" i="3"/>
  <c r="D150" i="3"/>
  <c r="E150" i="3"/>
  <c r="F150" i="3"/>
  <c r="G150" i="3"/>
  <c r="H150" i="3"/>
  <c r="I150" i="3"/>
  <c r="J150" i="3"/>
  <c r="O11" i="9"/>
  <c r="P11" i="9"/>
  <c r="AJ11" i="9"/>
  <c r="AT11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0" i="9"/>
  <c r="P10" i="9"/>
  <c r="AJ10" i="9"/>
  <c r="AT10" i="9"/>
  <c r="B5" i="9"/>
  <c r="B14" i="27"/>
  <c r="D14" i="27"/>
  <c r="M14" i="27" s="1"/>
  <c r="P14" i="27"/>
  <c r="Q14" i="27"/>
  <c r="R14" i="27"/>
  <c r="S14" i="27"/>
  <c r="M10" i="9" l="1"/>
  <c r="AE10" i="9"/>
  <c r="AB10" i="9" s="1"/>
  <c r="Q12" i="9"/>
  <c r="AN12" i="9" s="1"/>
  <c r="AE12" i="9"/>
  <c r="AB12" i="9" s="1"/>
  <c r="Q14" i="9"/>
  <c r="AD14" i="9" s="1"/>
  <c r="AE14" i="9"/>
  <c r="AB14" i="9" s="1"/>
  <c r="Q11" i="9"/>
  <c r="AY11" i="9" s="1"/>
  <c r="AE11" i="9"/>
  <c r="AB11" i="9" s="1"/>
  <c r="Q13" i="9"/>
  <c r="AY13" i="9" s="1"/>
  <c r="AE13" i="9"/>
  <c r="AB13" i="9" s="1"/>
  <c r="M11" i="9"/>
  <c r="M12" i="9"/>
  <c r="Y17" i="27"/>
  <c r="M18" i="27"/>
  <c r="M14" i="9"/>
  <c r="M13" i="9"/>
  <c r="K150" i="3"/>
  <c r="Y16" i="27"/>
  <c r="Y15" i="27"/>
  <c r="Q10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4" i="9" l="1"/>
  <c r="BA14" i="9"/>
  <c r="AD11" i="9"/>
  <c r="AN11" i="9"/>
  <c r="BA11" i="9"/>
  <c r="AY14" i="9"/>
  <c r="AD13" i="9"/>
  <c r="AY12" i="9"/>
  <c r="AD12" i="9"/>
  <c r="BA13" i="9"/>
  <c r="BA12" i="9"/>
  <c r="AN13" i="9"/>
  <c r="K6" i="28"/>
  <c r="AD10" i="9"/>
  <c r="AY10" i="9"/>
  <c r="AN10" i="9"/>
  <c r="BA10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26" i="28" l="1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1" i="3"/>
  <c r="D311" i="3"/>
  <c r="E311" i="3"/>
  <c r="F311" i="3"/>
  <c r="G311" i="3"/>
  <c r="H311" i="3"/>
  <c r="I311" i="3"/>
  <c r="J311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1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AA38" i="9" s="1"/>
  <c r="Q2" i="9"/>
  <c r="E6" i="31"/>
  <c r="AF38" i="9" l="1"/>
  <c r="AG38" i="9"/>
  <c r="AI38" i="9"/>
  <c r="Z38" i="9"/>
  <c r="AH38" i="9"/>
  <c r="AC38" i="9"/>
  <c r="AA25" i="9"/>
  <c r="AF25" i="9" s="1"/>
  <c r="AA37" i="9"/>
  <c r="AA35" i="9"/>
  <c r="AC35" i="9" s="1"/>
  <c r="AA36" i="9"/>
  <c r="AA33" i="9"/>
  <c r="AC33" i="9" s="1"/>
  <c r="AA34" i="9"/>
  <c r="AA31" i="9"/>
  <c r="AG31" i="9" s="1"/>
  <c r="AA32" i="9"/>
  <c r="AA29" i="9"/>
  <c r="AC29" i="9" s="1"/>
  <c r="AA30" i="9"/>
  <c r="AA27" i="9"/>
  <c r="AC27" i="9" s="1"/>
  <c r="AA28" i="9"/>
  <c r="AA26" i="9"/>
  <c r="AA23" i="9"/>
  <c r="AC23" i="9" s="1"/>
  <c r="AA24" i="9"/>
  <c r="AA22" i="9"/>
  <c r="AC22" i="9" s="1"/>
  <c r="AA20" i="9"/>
  <c r="AC20" i="9" s="1"/>
  <c r="AA21" i="9"/>
  <c r="AA19" i="9"/>
  <c r="AA17" i="9"/>
  <c r="AC17" i="9" s="1"/>
  <c r="AA18" i="9"/>
  <c r="AA15" i="9"/>
  <c r="AC15" i="9" s="1"/>
  <c r="AA16" i="9"/>
  <c r="AA6" i="9"/>
  <c r="AA8" i="9"/>
  <c r="AA5" i="9"/>
  <c r="AA7" i="9"/>
  <c r="AA3" i="9"/>
  <c r="AA9" i="9"/>
  <c r="AA4" i="9"/>
  <c r="AA10" i="9"/>
  <c r="AA2" i="9"/>
  <c r="AA11" i="9"/>
  <c r="AA14" i="9"/>
  <c r="AA13" i="9"/>
  <c r="AA12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Z25" i="9" l="1"/>
  <c r="AC25" i="9"/>
  <c r="AI25" i="9"/>
  <c r="AH25" i="9"/>
  <c r="AG25" i="9"/>
  <c r="AC37" i="9"/>
  <c r="AF37" i="9"/>
  <c r="AG37" i="9"/>
  <c r="Z37" i="9"/>
  <c r="AH37" i="9"/>
  <c r="AI37" i="9"/>
  <c r="AH35" i="9"/>
  <c r="AG35" i="9"/>
  <c r="Z35" i="9"/>
  <c r="AI35" i="9"/>
  <c r="AF35" i="9"/>
  <c r="AC36" i="9"/>
  <c r="AF36" i="9"/>
  <c r="AG36" i="9"/>
  <c r="Z36" i="9"/>
  <c r="AH36" i="9"/>
  <c r="AI36" i="9"/>
  <c r="Z33" i="9"/>
  <c r="AI33" i="9"/>
  <c r="AF33" i="9"/>
  <c r="AH33" i="9"/>
  <c r="AG33" i="9"/>
  <c r="AC34" i="9"/>
  <c r="AF34" i="9"/>
  <c r="AG34" i="9"/>
  <c r="Z34" i="9"/>
  <c r="AH34" i="9"/>
  <c r="AI34" i="9"/>
  <c r="AC31" i="9"/>
  <c r="AI31" i="9"/>
  <c r="AH31" i="9"/>
  <c r="AF31" i="9"/>
  <c r="Z31" i="9"/>
  <c r="AF32" i="9"/>
  <c r="AG32" i="9"/>
  <c r="Z32" i="9"/>
  <c r="AH32" i="9"/>
  <c r="AI32" i="9"/>
  <c r="AC32" i="9"/>
  <c r="AI29" i="9"/>
  <c r="AH29" i="9"/>
  <c r="AF29" i="9"/>
  <c r="Z29" i="9"/>
  <c r="AG29" i="9"/>
  <c r="AC30" i="9"/>
  <c r="AF30" i="9"/>
  <c r="AG30" i="9"/>
  <c r="Z30" i="9"/>
  <c r="AH30" i="9"/>
  <c r="AI30" i="9"/>
  <c r="AI27" i="9"/>
  <c r="AH27" i="9"/>
  <c r="Z27" i="9"/>
  <c r="AG27" i="9"/>
  <c r="AF27" i="9"/>
  <c r="AC28" i="9"/>
  <c r="AF28" i="9"/>
  <c r="AG28" i="9"/>
  <c r="Z28" i="9"/>
  <c r="AH28" i="9"/>
  <c r="AI28" i="9"/>
  <c r="AF26" i="9"/>
  <c r="AG26" i="9"/>
  <c r="AI26" i="9"/>
  <c r="Z26" i="9"/>
  <c r="AH26" i="9"/>
  <c r="AC26" i="9"/>
  <c r="AI23" i="9"/>
  <c r="AH23" i="9"/>
  <c r="Z23" i="9"/>
  <c r="AG23" i="9"/>
  <c r="AF23" i="9"/>
  <c r="AC24" i="9"/>
  <c r="AF24" i="9"/>
  <c r="AG24" i="9"/>
  <c r="Z24" i="9"/>
  <c r="AH24" i="9"/>
  <c r="AI24" i="9"/>
  <c r="AI22" i="9"/>
  <c r="AH22" i="9"/>
  <c r="Z22" i="9"/>
  <c r="AG22" i="9"/>
  <c r="AF22" i="9"/>
  <c r="AI20" i="9"/>
  <c r="AH20" i="9"/>
  <c r="Z20" i="9"/>
  <c r="AG20" i="9"/>
  <c r="AF20" i="9"/>
  <c r="AC21" i="9"/>
  <c r="AF21" i="9"/>
  <c r="AG21" i="9"/>
  <c r="Z21" i="9"/>
  <c r="AH21" i="9"/>
  <c r="AI21" i="9"/>
  <c r="AI19" i="9"/>
  <c r="AF19" i="9"/>
  <c r="AG19" i="9"/>
  <c r="AH19" i="9"/>
  <c r="Z19" i="9"/>
  <c r="AC19" i="9"/>
  <c r="AI17" i="9"/>
  <c r="AH17" i="9"/>
  <c r="Z17" i="9"/>
  <c r="AG17" i="9"/>
  <c r="AF17" i="9"/>
  <c r="AC18" i="9"/>
  <c r="AF18" i="9"/>
  <c r="AG18" i="9"/>
  <c r="Z18" i="9"/>
  <c r="AH18" i="9"/>
  <c r="AI18" i="9"/>
  <c r="AH15" i="9"/>
  <c r="Z15" i="9"/>
  <c r="AI15" i="9"/>
  <c r="AG15" i="9"/>
  <c r="AF15" i="9"/>
  <c r="AF16" i="9"/>
  <c r="AG16" i="9"/>
  <c r="Z16" i="9"/>
  <c r="AH16" i="9"/>
  <c r="AI16" i="9"/>
  <c r="AC16" i="9"/>
  <c r="AF6" i="9"/>
  <c r="AI6" i="9"/>
  <c r="AG6" i="9"/>
  <c r="AH6" i="9"/>
  <c r="AH8" i="9"/>
  <c r="AF8" i="9"/>
  <c r="AG8" i="9"/>
  <c r="AI8" i="9"/>
  <c r="AH12" i="9"/>
  <c r="AI12" i="9"/>
  <c r="AG12" i="9"/>
  <c r="AF12" i="9"/>
  <c r="AF9" i="9"/>
  <c r="AH9" i="9"/>
  <c r="AI9" i="9"/>
  <c r="AG9" i="9"/>
  <c r="AH4" i="9"/>
  <c r="AI4" i="9"/>
  <c r="AG4" i="9"/>
  <c r="AF4" i="9"/>
  <c r="AG11" i="9"/>
  <c r="AH11" i="9"/>
  <c r="AF11" i="9"/>
  <c r="AI11" i="9"/>
  <c r="AI5" i="9"/>
  <c r="AH5" i="9"/>
  <c r="AF5" i="9"/>
  <c r="AG5" i="9"/>
  <c r="AF2" i="9"/>
  <c r="AI2" i="9"/>
  <c r="AG2" i="9"/>
  <c r="AH2" i="9"/>
  <c r="AF14" i="9"/>
  <c r="AI14" i="9"/>
  <c r="AG14" i="9"/>
  <c r="AH14" i="9"/>
  <c r="AF7" i="9"/>
  <c r="AG7" i="9"/>
  <c r="AH7" i="9"/>
  <c r="AI7" i="9"/>
  <c r="AF10" i="9"/>
  <c r="AG10" i="9"/>
  <c r="AH10" i="9"/>
  <c r="AI10" i="9"/>
  <c r="AI13" i="9"/>
  <c r="AH13" i="9"/>
  <c r="AF13" i="9"/>
  <c r="AG13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5" i="3"/>
  <c r="D315" i="3"/>
  <c r="E315" i="3"/>
  <c r="F315" i="3"/>
  <c r="G315" i="3"/>
  <c r="H315" i="3"/>
  <c r="I315" i="3"/>
  <c r="J315" i="3"/>
  <c r="C308" i="3"/>
  <c r="D308" i="3"/>
  <c r="E308" i="3"/>
  <c r="F308" i="3"/>
  <c r="G308" i="3"/>
  <c r="H308" i="3"/>
  <c r="I308" i="3"/>
  <c r="J308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0" i="3"/>
  <c r="D310" i="3"/>
  <c r="E310" i="3"/>
  <c r="F310" i="3"/>
  <c r="G310" i="3"/>
  <c r="H310" i="3"/>
  <c r="I310" i="3"/>
  <c r="J310" i="3"/>
  <c r="J302" i="2"/>
  <c r="C309" i="3"/>
  <c r="D309" i="3"/>
  <c r="E309" i="3"/>
  <c r="F309" i="3"/>
  <c r="G309" i="3"/>
  <c r="H309" i="3"/>
  <c r="I309" i="3"/>
  <c r="J309" i="3"/>
  <c r="C307" i="3"/>
  <c r="D307" i="3"/>
  <c r="E307" i="3"/>
  <c r="F307" i="3"/>
  <c r="G307" i="3"/>
  <c r="H307" i="3"/>
  <c r="I307" i="3"/>
  <c r="J307" i="3"/>
  <c r="J12" i="2"/>
  <c r="C306" i="3"/>
  <c r="D306" i="3"/>
  <c r="E306" i="3"/>
  <c r="F306" i="3"/>
  <c r="G306" i="3"/>
  <c r="H306" i="3"/>
  <c r="I306" i="3"/>
  <c r="J306" i="3"/>
  <c r="J10" i="2"/>
  <c r="C305" i="3"/>
  <c r="D305" i="3"/>
  <c r="E305" i="3"/>
  <c r="F305" i="3"/>
  <c r="G305" i="3"/>
  <c r="H305" i="3"/>
  <c r="I305" i="3"/>
  <c r="J305" i="3"/>
  <c r="C304" i="3"/>
  <c r="D304" i="3"/>
  <c r="E304" i="3"/>
  <c r="F304" i="3"/>
  <c r="G304" i="3"/>
  <c r="H304" i="3"/>
  <c r="I304" i="3"/>
  <c r="J304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B47" i="1"/>
  <c r="C47" i="1"/>
  <c r="E47" i="1" s="1"/>
  <c r="D44" i="21" s="1"/>
  <c r="D47" i="1"/>
  <c r="C44" i="21" s="1"/>
  <c r="C267" i="3"/>
  <c r="D267" i="3"/>
  <c r="E267" i="3"/>
  <c r="F267" i="3"/>
  <c r="G267" i="3"/>
  <c r="H267" i="3"/>
  <c r="I267" i="3"/>
  <c r="J267" i="3"/>
  <c r="J231" i="2"/>
  <c r="J222" i="2"/>
  <c r="J223" i="2"/>
  <c r="J224" i="2"/>
  <c r="J225" i="2"/>
  <c r="J226" i="2"/>
  <c r="J227" i="2"/>
  <c r="J228" i="2"/>
  <c r="J229" i="2"/>
  <c r="J230" i="2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06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143" i="2"/>
  <c r="J142" i="2"/>
  <c r="J137" i="2"/>
  <c r="J136" i="2"/>
  <c r="J135" i="2"/>
  <c r="J133" i="2"/>
  <c r="J132" i="2"/>
  <c r="C287" i="3"/>
  <c r="C288" i="3"/>
  <c r="C294" i="3"/>
  <c r="D287" i="3"/>
  <c r="D288" i="3"/>
  <c r="D294" i="3"/>
  <c r="E287" i="3"/>
  <c r="E288" i="3"/>
  <c r="E294" i="3"/>
  <c r="F287" i="3"/>
  <c r="F288" i="3"/>
  <c r="F294" i="3"/>
  <c r="G287" i="3"/>
  <c r="G288" i="3"/>
  <c r="G294" i="3"/>
  <c r="H287" i="3"/>
  <c r="H288" i="3"/>
  <c r="H294" i="3"/>
  <c r="I287" i="3"/>
  <c r="I288" i="3"/>
  <c r="I294" i="3"/>
  <c r="J287" i="3"/>
  <c r="J288" i="3"/>
  <c r="J294" i="3"/>
  <c r="J131" i="2"/>
  <c r="J130" i="2"/>
  <c r="J129" i="2"/>
  <c r="C268" i="3"/>
  <c r="C269" i="3"/>
  <c r="C270" i="3"/>
  <c r="C271" i="3"/>
  <c r="C272" i="3"/>
  <c r="C274" i="3"/>
  <c r="C275" i="3"/>
  <c r="C277" i="3"/>
  <c r="C279" i="3"/>
  <c r="C280" i="3"/>
  <c r="C281" i="3"/>
  <c r="C282" i="3"/>
  <c r="C286" i="3"/>
  <c r="D268" i="3"/>
  <c r="D269" i="3"/>
  <c r="D270" i="3"/>
  <c r="D271" i="3"/>
  <c r="D272" i="3"/>
  <c r="D274" i="3"/>
  <c r="D275" i="3"/>
  <c r="D277" i="3"/>
  <c r="D279" i="3"/>
  <c r="D280" i="3"/>
  <c r="D281" i="3"/>
  <c r="D282" i="3"/>
  <c r="D286" i="3"/>
  <c r="E268" i="3"/>
  <c r="E269" i="3"/>
  <c r="E270" i="3"/>
  <c r="E271" i="3"/>
  <c r="E272" i="3"/>
  <c r="E274" i="3"/>
  <c r="E275" i="3"/>
  <c r="E277" i="3"/>
  <c r="E279" i="3"/>
  <c r="E280" i="3"/>
  <c r="E281" i="3"/>
  <c r="E282" i="3"/>
  <c r="E286" i="3"/>
  <c r="F268" i="3"/>
  <c r="F269" i="3"/>
  <c r="F270" i="3"/>
  <c r="F271" i="3"/>
  <c r="F272" i="3"/>
  <c r="F274" i="3"/>
  <c r="F275" i="3"/>
  <c r="F277" i="3"/>
  <c r="F279" i="3"/>
  <c r="F280" i="3"/>
  <c r="F281" i="3"/>
  <c r="F282" i="3"/>
  <c r="F286" i="3"/>
  <c r="G268" i="3"/>
  <c r="G269" i="3"/>
  <c r="G270" i="3"/>
  <c r="G271" i="3"/>
  <c r="G272" i="3"/>
  <c r="G274" i="3"/>
  <c r="G275" i="3"/>
  <c r="G277" i="3"/>
  <c r="G279" i="3"/>
  <c r="G280" i="3"/>
  <c r="G281" i="3"/>
  <c r="G282" i="3"/>
  <c r="G286" i="3"/>
  <c r="H268" i="3"/>
  <c r="H269" i="3"/>
  <c r="H270" i="3"/>
  <c r="H271" i="3"/>
  <c r="H272" i="3"/>
  <c r="H274" i="3"/>
  <c r="H275" i="3"/>
  <c r="H277" i="3"/>
  <c r="H279" i="3"/>
  <c r="H280" i="3"/>
  <c r="H281" i="3"/>
  <c r="H282" i="3"/>
  <c r="H286" i="3"/>
  <c r="I268" i="3"/>
  <c r="I269" i="3"/>
  <c r="I270" i="3"/>
  <c r="I271" i="3"/>
  <c r="I272" i="3"/>
  <c r="I274" i="3"/>
  <c r="I275" i="3"/>
  <c r="I277" i="3"/>
  <c r="I279" i="3"/>
  <c r="I280" i="3"/>
  <c r="I281" i="3"/>
  <c r="I282" i="3"/>
  <c r="I286" i="3"/>
  <c r="J268" i="3"/>
  <c r="J269" i="3"/>
  <c r="J270" i="3"/>
  <c r="J271" i="3"/>
  <c r="J272" i="3"/>
  <c r="J274" i="3"/>
  <c r="J275" i="3"/>
  <c r="J277" i="3"/>
  <c r="J279" i="3"/>
  <c r="J280" i="3"/>
  <c r="J281" i="3"/>
  <c r="J282" i="3"/>
  <c r="J286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3" i="3"/>
  <c r="D233" i="3"/>
  <c r="E233" i="3"/>
  <c r="F233" i="3"/>
  <c r="G233" i="3"/>
  <c r="H233" i="3"/>
  <c r="I233" i="3"/>
  <c r="J233" i="3"/>
  <c r="J111" i="2"/>
  <c r="J110" i="2"/>
  <c r="J109" i="2"/>
  <c r="J108" i="2"/>
  <c r="J107" i="2"/>
  <c r="C295" i="3"/>
  <c r="C296" i="3"/>
  <c r="C297" i="3"/>
  <c r="C298" i="3"/>
  <c r="C299" i="3"/>
  <c r="C300" i="3"/>
  <c r="D295" i="3"/>
  <c r="D296" i="3"/>
  <c r="D297" i="3"/>
  <c r="D298" i="3"/>
  <c r="D299" i="3"/>
  <c r="D300" i="3"/>
  <c r="E295" i="3"/>
  <c r="E296" i="3"/>
  <c r="E297" i="3"/>
  <c r="E298" i="3"/>
  <c r="E299" i="3"/>
  <c r="E300" i="3"/>
  <c r="F295" i="3"/>
  <c r="F296" i="3"/>
  <c r="F297" i="3"/>
  <c r="F298" i="3"/>
  <c r="F299" i="3"/>
  <c r="F300" i="3"/>
  <c r="G295" i="3"/>
  <c r="G296" i="3"/>
  <c r="G297" i="3"/>
  <c r="G298" i="3"/>
  <c r="G299" i="3"/>
  <c r="G300" i="3"/>
  <c r="H295" i="3"/>
  <c r="H296" i="3"/>
  <c r="H297" i="3"/>
  <c r="H298" i="3"/>
  <c r="H299" i="3"/>
  <c r="H300" i="3"/>
  <c r="I295" i="3"/>
  <c r="I296" i="3"/>
  <c r="I297" i="3"/>
  <c r="I298" i="3"/>
  <c r="I299" i="3"/>
  <c r="I300" i="3"/>
  <c r="J295" i="3"/>
  <c r="J296" i="3"/>
  <c r="J297" i="3"/>
  <c r="J298" i="3"/>
  <c r="J299" i="3"/>
  <c r="J300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J106" i="2"/>
  <c r="J105" i="2"/>
  <c r="J101" i="2"/>
  <c r="J100" i="2"/>
  <c r="C232" i="3"/>
  <c r="C235" i="3"/>
  <c r="C236" i="3"/>
  <c r="D232" i="3"/>
  <c r="D235" i="3"/>
  <c r="D236" i="3"/>
  <c r="E232" i="3"/>
  <c r="E235" i="3"/>
  <c r="E236" i="3"/>
  <c r="F232" i="3"/>
  <c r="F235" i="3"/>
  <c r="F236" i="3"/>
  <c r="G232" i="3"/>
  <c r="G235" i="3"/>
  <c r="G236" i="3"/>
  <c r="H232" i="3"/>
  <c r="H235" i="3"/>
  <c r="H236" i="3"/>
  <c r="I232" i="3"/>
  <c r="I235" i="3"/>
  <c r="I236" i="3"/>
  <c r="J232" i="3"/>
  <c r="J235" i="3"/>
  <c r="J236" i="3"/>
  <c r="J99" i="2"/>
  <c r="C217" i="3"/>
  <c r="D217" i="3"/>
  <c r="E217" i="3"/>
  <c r="F217" i="3"/>
  <c r="G217" i="3"/>
  <c r="H217" i="3"/>
  <c r="I217" i="3"/>
  <c r="J217" i="3"/>
  <c r="J95" i="2"/>
  <c r="C212" i="3"/>
  <c r="C214" i="3"/>
  <c r="C216" i="3"/>
  <c r="C218" i="3"/>
  <c r="C222" i="3"/>
  <c r="C223" i="3"/>
  <c r="C224" i="3"/>
  <c r="C225" i="3"/>
  <c r="D212" i="3"/>
  <c r="D214" i="3"/>
  <c r="D216" i="3"/>
  <c r="D218" i="3"/>
  <c r="D222" i="3"/>
  <c r="D223" i="3"/>
  <c r="D224" i="3"/>
  <c r="D225" i="3"/>
  <c r="E212" i="3"/>
  <c r="E214" i="3"/>
  <c r="E216" i="3"/>
  <c r="E218" i="3"/>
  <c r="E222" i="3"/>
  <c r="E223" i="3"/>
  <c r="E224" i="3"/>
  <c r="E225" i="3"/>
  <c r="F212" i="3"/>
  <c r="F214" i="3"/>
  <c r="F216" i="3"/>
  <c r="F218" i="3"/>
  <c r="F222" i="3"/>
  <c r="F223" i="3"/>
  <c r="F224" i="3"/>
  <c r="F225" i="3"/>
  <c r="G212" i="3"/>
  <c r="G214" i="3"/>
  <c r="G216" i="3"/>
  <c r="G218" i="3"/>
  <c r="G222" i="3"/>
  <c r="G223" i="3"/>
  <c r="G224" i="3"/>
  <c r="G225" i="3"/>
  <c r="H212" i="3"/>
  <c r="H214" i="3"/>
  <c r="H216" i="3"/>
  <c r="H218" i="3"/>
  <c r="H222" i="3"/>
  <c r="H223" i="3"/>
  <c r="H224" i="3"/>
  <c r="H225" i="3"/>
  <c r="I212" i="3"/>
  <c r="I214" i="3"/>
  <c r="I216" i="3"/>
  <c r="I218" i="3"/>
  <c r="I222" i="3"/>
  <c r="I223" i="3"/>
  <c r="I224" i="3"/>
  <c r="I225" i="3"/>
  <c r="J212" i="3"/>
  <c r="J214" i="3"/>
  <c r="J216" i="3"/>
  <c r="J218" i="3"/>
  <c r="J222" i="3"/>
  <c r="J223" i="3"/>
  <c r="J224" i="3"/>
  <c r="J225" i="3"/>
  <c r="C139" i="3"/>
  <c r="D139" i="3"/>
  <c r="E139" i="3"/>
  <c r="F139" i="3"/>
  <c r="G139" i="3"/>
  <c r="H139" i="3"/>
  <c r="I139" i="3"/>
  <c r="J139" i="3"/>
  <c r="C113" i="3"/>
  <c r="D113" i="3"/>
  <c r="E113" i="3"/>
  <c r="F113" i="3"/>
  <c r="G113" i="3"/>
  <c r="H113" i="3"/>
  <c r="I113" i="3"/>
  <c r="J113" i="3"/>
  <c r="J98" i="2"/>
  <c r="J97" i="2"/>
  <c r="J96" i="2"/>
  <c r="C137" i="3"/>
  <c r="C138" i="3"/>
  <c r="C140" i="3"/>
  <c r="C142" i="3"/>
  <c r="C143" i="3"/>
  <c r="C144" i="3"/>
  <c r="C145" i="3"/>
  <c r="D137" i="3"/>
  <c r="D138" i="3"/>
  <c r="D140" i="3"/>
  <c r="D142" i="3"/>
  <c r="D143" i="3"/>
  <c r="D144" i="3"/>
  <c r="D145" i="3"/>
  <c r="E137" i="3"/>
  <c r="E138" i="3"/>
  <c r="E140" i="3"/>
  <c r="E142" i="3"/>
  <c r="E143" i="3"/>
  <c r="E144" i="3"/>
  <c r="E145" i="3"/>
  <c r="F137" i="3"/>
  <c r="F138" i="3"/>
  <c r="F140" i="3"/>
  <c r="F142" i="3"/>
  <c r="F143" i="3"/>
  <c r="F144" i="3"/>
  <c r="F145" i="3"/>
  <c r="G137" i="3"/>
  <c r="G138" i="3"/>
  <c r="G140" i="3"/>
  <c r="G142" i="3"/>
  <c r="G143" i="3"/>
  <c r="G144" i="3"/>
  <c r="G145" i="3"/>
  <c r="H137" i="3"/>
  <c r="H138" i="3"/>
  <c r="H140" i="3"/>
  <c r="H142" i="3"/>
  <c r="H143" i="3"/>
  <c r="H144" i="3"/>
  <c r="H145" i="3"/>
  <c r="I137" i="3"/>
  <c r="I138" i="3"/>
  <c r="I140" i="3"/>
  <c r="I142" i="3"/>
  <c r="I143" i="3"/>
  <c r="I144" i="3"/>
  <c r="I145" i="3"/>
  <c r="J137" i="3"/>
  <c r="J138" i="3"/>
  <c r="J140" i="3"/>
  <c r="J142" i="3"/>
  <c r="J143" i="3"/>
  <c r="J144" i="3"/>
  <c r="J145" i="3"/>
  <c r="J94" i="2"/>
  <c r="J93" i="2"/>
  <c r="J8" i="2"/>
  <c r="C111" i="3"/>
  <c r="D111" i="3"/>
  <c r="E111" i="3"/>
  <c r="F111" i="3"/>
  <c r="G111" i="3"/>
  <c r="H111" i="3"/>
  <c r="I111" i="3"/>
  <c r="J111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7" i="3"/>
  <c r="C208" i="3"/>
  <c r="C209" i="3"/>
  <c r="C210" i="3"/>
  <c r="D207" i="3"/>
  <c r="D208" i="3"/>
  <c r="D209" i="3"/>
  <c r="D210" i="3"/>
  <c r="E207" i="3"/>
  <c r="E208" i="3"/>
  <c r="E209" i="3"/>
  <c r="E210" i="3"/>
  <c r="F207" i="3"/>
  <c r="F208" i="3"/>
  <c r="F209" i="3"/>
  <c r="F210" i="3"/>
  <c r="G207" i="3"/>
  <c r="G208" i="3"/>
  <c r="G209" i="3"/>
  <c r="G210" i="3"/>
  <c r="H207" i="3"/>
  <c r="H208" i="3"/>
  <c r="H209" i="3"/>
  <c r="H210" i="3"/>
  <c r="I207" i="3"/>
  <c r="I208" i="3"/>
  <c r="I209" i="3"/>
  <c r="I210" i="3"/>
  <c r="J207" i="3"/>
  <c r="J208" i="3"/>
  <c r="J209" i="3"/>
  <c r="J210" i="3"/>
  <c r="B69" i="1"/>
  <c r="F69" i="1" s="1"/>
  <c r="C69" i="1"/>
  <c r="E69" i="1" s="1"/>
  <c r="C173" i="3"/>
  <c r="D173" i="3"/>
  <c r="E173" i="3"/>
  <c r="F173" i="3"/>
  <c r="G173" i="3"/>
  <c r="H173" i="3"/>
  <c r="I173" i="3"/>
  <c r="J173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7" i="3"/>
  <c r="C188" i="3"/>
  <c r="C189" i="3"/>
  <c r="C190" i="3"/>
  <c r="D187" i="3"/>
  <c r="D188" i="3"/>
  <c r="D189" i="3"/>
  <c r="D190" i="3"/>
  <c r="E187" i="3"/>
  <c r="E188" i="3"/>
  <c r="E189" i="3"/>
  <c r="E190" i="3"/>
  <c r="F187" i="3"/>
  <c r="F188" i="3"/>
  <c r="F189" i="3"/>
  <c r="F190" i="3"/>
  <c r="G187" i="3"/>
  <c r="G188" i="3"/>
  <c r="G189" i="3"/>
  <c r="G190" i="3"/>
  <c r="H187" i="3"/>
  <c r="H188" i="3"/>
  <c r="H189" i="3"/>
  <c r="H190" i="3"/>
  <c r="I187" i="3"/>
  <c r="I188" i="3"/>
  <c r="I189" i="3"/>
  <c r="I190" i="3"/>
  <c r="J187" i="3"/>
  <c r="J188" i="3"/>
  <c r="J189" i="3"/>
  <c r="J190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08" i="3"/>
  <c r="K315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3" i="3"/>
  <c r="K314" i="3"/>
  <c r="K312" i="3"/>
  <c r="K310" i="3"/>
  <c r="K309" i="3"/>
  <c r="K307" i="3"/>
  <c r="K306" i="3"/>
  <c r="K305" i="3"/>
  <c r="K304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7" i="3"/>
  <c r="K242" i="3"/>
  <c r="K249" i="3"/>
  <c r="K250" i="3"/>
  <c r="K257" i="3"/>
  <c r="K258" i="3"/>
  <c r="K265" i="3"/>
  <c r="K241" i="3"/>
  <c r="K266" i="3"/>
  <c r="K259" i="3"/>
  <c r="K263" i="3"/>
  <c r="K255" i="3"/>
  <c r="K247" i="3"/>
  <c r="K239" i="3"/>
  <c r="K253" i="3"/>
  <c r="K237" i="3"/>
  <c r="K264" i="3"/>
  <c r="K256" i="3"/>
  <c r="K248" i="3"/>
  <c r="K240" i="3"/>
  <c r="K262" i="3"/>
  <c r="K254" i="3"/>
  <c r="K246" i="3"/>
  <c r="K238" i="3"/>
  <c r="K260" i="3"/>
  <c r="K252" i="3"/>
  <c r="K244" i="3"/>
  <c r="K261" i="3"/>
  <c r="K251" i="3"/>
  <c r="K245" i="3"/>
  <c r="K243" i="3"/>
  <c r="K294" i="3"/>
  <c r="K287" i="3"/>
  <c r="K288" i="3"/>
  <c r="K281" i="3"/>
  <c r="K270" i="3"/>
  <c r="K286" i="3"/>
  <c r="K272" i="3"/>
  <c r="K280" i="3"/>
  <c r="K269" i="3"/>
  <c r="K282" i="3"/>
  <c r="K274" i="3"/>
  <c r="K279" i="3"/>
  <c r="K277" i="3"/>
  <c r="K268" i="3"/>
  <c r="K271" i="3"/>
  <c r="K275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3" i="3"/>
  <c r="K295" i="3"/>
  <c r="K298" i="3"/>
  <c r="K296" i="3"/>
  <c r="K297" i="3"/>
  <c r="K299" i="3"/>
  <c r="K300" i="3"/>
  <c r="K220" i="3"/>
  <c r="K219" i="3"/>
  <c r="K235" i="3"/>
  <c r="K232" i="3"/>
  <c r="K236" i="3"/>
  <c r="K217" i="3"/>
  <c r="K212" i="3"/>
  <c r="K218" i="3"/>
  <c r="K222" i="3"/>
  <c r="K223" i="3"/>
  <c r="K224" i="3"/>
  <c r="K225" i="3"/>
  <c r="K214" i="3"/>
  <c r="K216" i="3"/>
  <c r="K139" i="3"/>
  <c r="K113" i="3"/>
  <c r="K145" i="3"/>
  <c r="K144" i="3"/>
  <c r="K137" i="3"/>
  <c r="K142" i="3"/>
  <c r="K138" i="3"/>
  <c r="K140" i="3"/>
  <c r="K143" i="3"/>
  <c r="K111" i="3"/>
  <c r="K302" i="3"/>
  <c r="K301" i="3"/>
  <c r="K107" i="3"/>
  <c r="K105" i="3"/>
  <c r="K210" i="3"/>
  <c r="K207" i="3"/>
  <c r="K208" i="3"/>
  <c r="K209" i="3"/>
  <c r="H69" i="1"/>
  <c r="J69" i="1"/>
  <c r="G69" i="1"/>
  <c r="K173" i="3"/>
  <c r="K114" i="3"/>
  <c r="K121" i="3"/>
  <c r="K134" i="3"/>
  <c r="K119" i="3"/>
  <c r="K120" i="3"/>
  <c r="K190" i="3"/>
  <c r="K187" i="3"/>
  <c r="K189" i="3"/>
  <c r="K188" i="3"/>
  <c r="C211" i="3"/>
  <c r="D211" i="3"/>
  <c r="E211" i="3"/>
  <c r="F211" i="3"/>
  <c r="G211" i="3"/>
  <c r="H211" i="3"/>
  <c r="I211" i="3"/>
  <c r="J211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6" i="3"/>
  <c r="E147" i="3"/>
  <c r="E148" i="3"/>
  <c r="E149" i="3"/>
  <c r="E151" i="3"/>
  <c r="E157" i="3"/>
  <c r="E158" i="3"/>
  <c r="E159" i="3"/>
  <c r="E160" i="3"/>
  <c r="E161" i="3"/>
  <c r="E162" i="3"/>
  <c r="E163" i="3"/>
  <c r="E164" i="3"/>
  <c r="E171" i="3"/>
  <c r="E172" i="3"/>
  <c r="E196" i="3"/>
  <c r="E197" i="3"/>
  <c r="E198" i="3"/>
  <c r="E199" i="3"/>
  <c r="E200" i="3"/>
  <c r="E201" i="3"/>
  <c r="E202" i="3"/>
  <c r="E203" i="3"/>
  <c r="E204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60" i="3"/>
  <c r="C161" i="3"/>
  <c r="C162" i="3"/>
  <c r="D160" i="3"/>
  <c r="D161" i="3"/>
  <c r="D162" i="3"/>
  <c r="F160" i="3"/>
  <c r="F161" i="3"/>
  <c r="F162" i="3"/>
  <c r="G160" i="3"/>
  <c r="G161" i="3"/>
  <c r="G162" i="3"/>
  <c r="H160" i="3"/>
  <c r="H161" i="3"/>
  <c r="H162" i="3"/>
  <c r="I160" i="3"/>
  <c r="I161" i="3"/>
  <c r="I162" i="3"/>
  <c r="J160" i="3"/>
  <c r="J161" i="3"/>
  <c r="J162" i="3"/>
  <c r="C172" i="3"/>
  <c r="D172" i="3"/>
  <c r="F172" i="3"/>
  <c r="G172" i="3"/>
  <c r="H172" i="3"/>
  <c r="I172" i="3"/>
  <c r="J172" i="3"/>
  <c r="C171" i="3"/>
  <c r="D171" i="3"/>
  <c r="F171" i="3"/>
  <c r="G171" i="3"/>
  <c r="H171" i="3"/>
  <c r="I171" i="3"/>
  <c r="J171" i="3"/>
  <c r="C163" i="3"/>
  <c r="C164" i="3"/>
  <c r="D163" i="3"/>
  <c r="D164" i="3"/>
  <c r="F163" i="3"/>
  <c r="F164" i="3"/>
  <c r="G163" i="3"/>
  <c r="G164" i="3"/>
  <c r="H163" i="3"/>
  <c r="H164" i="3"/>
  <c r="I163" i="3"/>
  <c r="I164" i="3"/>
  <c r="J163" i="3"/>
  <c r="J164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47" i="3"/>
  <c r="D147" i="3"/>
  <c r="F147" i="3"/>
  <c r="G147" i="3"/>
  <c r="H147" i="3"/>
  <c r="I147" i="3"/>
  <c r="J147" i="3"/>
  <c r="C151" i="3"/>
  <c r="D151" i="3"/>
  <c r="F151" i="3"/>
  <c r="G151" i="3"/>
  <c r="H151" i="3"/>
  <c r="I151" i="3"/>
  <c r="J151" i="3"/>
  <c r="C149" i="3"/>
  <c r="D149" i="3"/>
  <c r="F149" i="3"/>
  <c r="G149" i="3"/>
  <c r="H149" i="3"/>
  <c r="I149" i="3"/>
  <c r="J149" i="3"/>
  <c r="C148" i="3"/>
  <c r="D148" i="3"/>
  <c r="F148" i="3"/>
  <c r="G148" i="3"/>
  <c r="H148" i="3"/>
  <c r="I148" i="3"/>
  <c r="J148" i="3"/>
  <c r="C146" i="3"/>
  <c r="D146" i="3"/>
  <c r="F146" i="3"/>
  <c r="G146" i="3"/>
  <c r="H146" i="3"/>
  <c r="I146" i="3"/>
  <c r="J146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1" i="3" l="1"/>
  <c r="K206" i="3"/>
  <c r="K205" i="3"/>
  <c r="K204" i="3"/>
  <c r="K203" i="3"/>
  <c r="K202" i="3"/>
  <c r="K201" i="3"/>
  <c r="K200" i="3"/>
  <c r="K199" i="3"/>
  <c r="K198" i="3"/>
  <c r="K197" i="3"/>
  <c r="K196" i="3"/>
  <c r="K160" i="3"/>
  <c r="K162" i="3"/>
  <c r="K161" i="3"/>
  <c r="K172" i="3"/>
  <c r="K171" i="3"/>
  <c r="K163" i="3"/>
  <c r="K164" i="3"/>
  <c r="K159" i="3"/>
  <c r="K158" i="3"/>
  <c r="K157" i="3"/>
  <c r="K147" i="3"/>
  <c r="K151" i="3"/>
  <c r="K149" i="3"/>
  <c r="K148" i="3"/>
  <c r="K146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0" i="28" l="1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V38" i="9" s="1"/>
  <c r="AJ2" i="9"/>
  <c r="P2" i="9"/>
  <c r="BF7" i="9" s="1"/>
  <c r="B2" i="9"/>
  <c r="C2" i="19"/>
  <c r="A2" i="14"/>
  <c r="C30" i="14" s="1"/>
  <c r="D30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M30" i="14" l="1"/>
  <c r="E42" i="27"/>
  <c r="E43" i="27"/>
  <c r="F11" i="9"/>
  <c r="E17" i="28"/>
  <c r="AB19" i="27"/>
  <c r="AK19" i="27" s="1"/>
  <c r="AB25" i="27"/>
  <c r="AB24" i="27"/>
  <c r="AU38" i="9"/>
  <c r="AW38" i="9"/>
  <c r="AL37" i="9"/>
  <c r="AM37" i="9" s="1"/>
  <c r="AL38" i="9"/>
  <c r="AV25" i="9"/>
  <c r="AW25" i="9" s="1"/>
  <c r="AV37" i="9"/>
  <c r="AK37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6" i="9"/>
  <c r="AK36" i="9" s="1"/>
  <c r="AL25" i="9"/>
  <c r="AW43" i="28"/>
  <c r="AW40" i="28"/>
  <c r="AW42" i="28"/>
  <c r="AW41" i="28"/>
  <c r="AL19" i="27"/>
  <c r="AV35" i="9"/>
  <c r="AW35" i="9" s="1"/>
  <c r="AV36" i="9"/>
  <c r="AL34" i="9"/>
  <c r="AM34" i="9" s="1"/>
  <c r="AL35" i="9"/>
  <c r="AV32" i="9"/>
  <c r="AU32" i="9" s="1"/>
  <c r="AV34" i="9"/>
  <c r="AV33" i="9"/>
  <c r="AL32" i="9"/>
  <c r="AM32" i="9" s="1"/>
  <c r="AL33" i="9"/>
  <c r="AV30" i="9"/>
  <c r="AW30" i="9" s="1"/>
  <c r="AV31" i="9"/>
  <c r="AL30" i="9"/>
  <c r="AK30" i="9" s="1"/>
  <c r="AL31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8" i="9"/>
  <c r="AW28" i="9" s="1"/>
  <c r="AV29" i="9"/>
  <c r="AL28" i="9"/>
  <c r="AM28" i="9" s="1"/>
  <c r="AL29" i="9"/>
  <c r="AV26" i="9"/>
  <c r="AU26" i="9" s="1"/>
  <c r="AV27" i="9"/>
  <c r="AL26" i="9"/>
  <c r="AM26" i="9" s="1"/>
  <c r="AL27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4" i="9"/>
  <c r="AK24" i="9" s="1"/>
  <c r="AV24" i="9"/>
  <c r="AU24" i="9" s="1"/>
  <c r="AL23" i="9"/>
  <c r="AV23" i="9"/>
  <c r="AL21" i="9"/>
  <c r="AK21" i="9" s="1"/>
  <c r="AL22" i="9"/>
  <c r="AV21" i="9"/>
  <c r="AW21" i="9" s="1"/>
  <c r="AV22" i="9"/>
  <c r="R2" i="9"/>
  <c r="AX2" i="9" s="1"/>
  <c r="AI16" i="28"/>
  <c r="AW28" i="28"/>
  <c r="AH18" i="27"/>
  <c r="N9" i="28"/>
  <c r="Z8" i="29"/>
  <c r="AL19" i="9"/>
  <c r="AM19" i="9" s="1"/>
  <c r="AL20" i="9"/>
  <c r="AV19" i="9"/>
  <c r="AU19" i="9" s="1"/>
  <c r="AV20" i="9"/>
  <c r="AL17" i="9"/>
  <c r="AK17" i="9" s="1"/>
  <c r="AL18" i="9"/>
  <c r="AV17" i="9"/>
  <c r="AW17" i="9" s="1"/>
  <c r="AV18" i="9"/>
  <c r="AV15" i="9"/>
  <c r="AW15" i="9" s="1"/>
  <c r="AV16" i="9"/>
  <c r="AL15" i="9"/>
  <c r="AM15" i="9" s="1"/>
  <c r="AL16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2" i="9"/>
  <c r="AL13" i="9"/>
  <c r="AL14" i="9"/>
  <c r="AL10" i="9"/>
  <c r="AL11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3" i="9"/>
  <c r="AU13" i="9" s="1"/>
  <c r="AV14" i="9"/>
  <c r="AV11" i="9"/>
  <c r="AW11" i="9" s="1"/>
  <c r="AV12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0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U25" i="9" l="1"/>
  <c r="E11" i="28"/>
  <c r="AG19" i="27"/>
  <c r="AG24" i="27"/>
  <c r="AK24" i="27"/>
  <c r="AG25" i="27"/>
  <c r="AK25" i="27"/>
  <c r="AM38" i="9"/>
  <c r="AK38" i="9"/>
  <c r="AM36" i="9"/>
  <c r="AU37" i="9"/>
  <c r="AW37" i="9"/>
  <c r="AM25" i="9"/>
  <c r="AK25" i="9"/>
  <c r="M6" i="14"/>
  <c r="E8" i="29"/>
  <c r="E39" i="27"/>
  <c r="E16" i="28"/>
  <c r="E40" i="27"/>
  <c r="F10" i="9"/>
  <c r="E41" i="27"/>
  <c r="AW32" i="9"/>
  <c r="AU35" i="9"/>
  <c r="AW36" i="9"/>
  <c r="AU36" i="9"/>
  <c r="AK34" i="9"/>
  <c r="AU30" i="9"/>
  <c r="AK35" i="9"/>
  <c r="AM35" i="9"/>
  <c r="AM30" i="9"/>
  <c r="AK32" i="9"/>
  <c r="AU33" i="9"/>
  <c r="AW33" i="9"/>
  <c r="AW34" i="9"/>
  <c r="AU34" i="9"/>
  <c r="AK33" i="9"/>
  <c r="AM33" i="9"/>
  <c r="AM31" i="9"/>
  <c r="AK31" i="9"/>
  <c r="AW31" i="9"/>
  <c r="AU31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8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8" i="9"/>
  <c r="AK29" i="9"/>
  <c r="AM29" i="9"/>
  <c r="AU29" i="9"/>
  <c r="AW29" i="9"/>
  <c r="AW26" i="9"/>
  <c r="AK26" i="9"/>
  <c r="AK27" i="9"/>
  <c r="AM27" i="9"/>
  <c r="AU27" i="9"/>
  <c r="AW27" i="9"/>
  <c r="AG17" i="27"/>
  <c r="AG18" i="27"/>
  <c r="AK18" i="27"/>
  <c r="W10" i="29"/>
  <c r="W9" i="29"/>
  <c r="AW24" i="9"/>
  <c r="AM24" i="9"/>
  <c r="AU23" i="9"/>
  <c r="AW23" i="9"/>
  <c r="AK23" i="9"/>
  <c r="AM23" i="9"/>
  <c r="AM21" i="9"/>
  <c r="AU21" i="9"/>
  <c r="AU22" i="9"/>
  <c r="AW22" i="9"/>
  <c r="AM22" i="9"/>
  <c r="AK22" i="9"/>
  <c r="AA9" i="28"/>
  <c r="AB9" i="28"/>
  <c r="AD9" i="28"/>
  <c r="AC9" i="28"/>
  <c r="W9" i="28"/>
  <c r="U9" i="28" s="1"/>
  <c r="Z9" i="28"/>
  <c r="V9" i="28"/>
  <c r="W8" i="29"/>
  <c r="AW19" i="9"/>
  <c r="AK19" i="9"/>
  <c r="AM17" i="9"/>
  <c r="AU20" i="9"/>
  <c r="AW20" i="9"/>
  <c r="AK20" i="9"/>
  <c r="AM20" i="9"/>
  <c r="AU17" i="9"/>
  <c r="AW18" i="9"/>
  <c r="AU18" i="9"/>
  <c r="AM18" i="9"/>
  <c r="AK18" i="9"/>
  <c r="AK15" i="9"/>
  <c r="AU15" i="9"/>
  <c r="AM16" i="9"/>
  <c r="AK16" i="9"/>
  <c r="AU16" i="9"/>
  <c r="AW16" i="9"/>
  <c r="AM13" i="9"/>
  <c r="AK13" i="9"/>
  <c r="AM14" i="9"/>
  <c r="AK14" i="9"/>
  <c r="AK12" i="9"/>
  <c r="AM12" i="9"/>
  <c r="AM10" i="9"/>
  <c r="AK10" i="9"/>
  <c r="AM11" i="9"/>
  <c r="AK11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3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4" i="9"/>
  <c r="AU14" i="9"/>
  <c r="AU11" i="9"/>
  <c r="AW12" i="9"/>
  <c r="AU12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0" i="9"/>
  <c r="AU10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H42" i="19" l="1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K42" i="27" l="1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1" i="9" l="1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5" i="9" s="1"/>
  <c r="AX25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C4" i="9"/>
  <c r="E4" i="9" s="1"/>
  <c r="AL4" i="27"/>
  <c r="AI3" i="29"/>
  <c r="AI4" i="29"/>
  <c r="C3" i="9"/>
  <c r="E3" i="9" s="1"/>
  <c r="R4" i="9" s="1"/>
  <c r="AX4" i="9" s="1"/>
  <c r="AF5" i="28"/>
  <c r="J10" i="31"/>
  <c r="K11" i="9" l="1"/>
  <c r="R38" i="9"/>
  <c r="AX38" i="9" s="1"/>
  <c r="R37" i="9"/>
  <c r="AX37" i="9" s="1"/>
  <c r="K10" i="9"/>
  <c r="R36" i="9"/>
  <c r="AX36" i="9" s="1"/>
  <c r="R34" i="9"/>
  <c r="AX34" i="9" s="1"/>
  <c r="R31" i="9"/>
  <c r="AX31" i="9" s="1"/>
  <c r="R33" i="9"/>
  <c r="AX33" i="9" s="1"/>
  <c r="R35" i="9"/>
  <c r="AX35" i="9" s="1"/>
  <c r="R32" i="9"/>
  <c r="AX32" i="9" s="1"/>
  <c r="AG10" i="29"/>
  <c r="K9" i="9"/>
  <c r="R30" i="9"/>
  <c r="AX30" i="9" s="1"/>
  <c r="R27" i="9"/>
  <c r="AX27" i="9" s="1"/>
  <c r="R28" i="9"/>
  <c r="AX28" i="9" s="1"/>
  <c r="R29" i="9"/>
  <c r="AX29" i="9" s="1"/>
  <c r="R26" i="9"/>
  <c r="AX26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2" i="9"/>
  <c r="AX22" i="9" s="1"/>
  <c r="R24" i="9"/>
  <c r="AX24" i="9" s="1"/>
  <c r="R23" i="9"/>
  <c r="AX23" i="9" s="1"/>
  <c r="AG7" i="29"/>
  <c r="Y8" i="29"/>
  <c r="V8" i="29"/>
  <c r="T8" i="29" s="1"/>
  <c r="U8" i="29"/>
  <c r="AA8" i="29"/>
  <c r="AC8" i="29"/>
  <c r="AB8" i="29"/>
  <c r="X8" i="29"/>
  <c r="K7" i="9"/>
  <c r="R17" i="9"/>
  <c r="AX17" i="9" s="1"/>
  <c r="R20" i="9"/>
  <c r="AX20" i="9" s="1"/>
  <c r="R15" i="9"/>
  <c r="AX15" i="9" s="1"/>
  <c r="R18" i="9"/>
  <c r="AX18" i="9" s="1"/>
  <c r="R16" i="9"/>
  <c r="AX16" i="9" s="1"/>
  <c r="R21" i="9"/>
  <c r="AX21" i="9" s="1"/>
  <c r="R19" i="9"/>
  <c r="AX19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4" i="9"/>
  <c r="AX14" i="9" s="1"/>
  <c r="R13" i="9"/>
  <c r="AX13" i="9" s="1"/>
  <c r="R12" i="9"/>
  <c r="AX12" i="9" s="1"/>
  <c r="R11" i="9"/>
  <c r="AX11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0" i="9"/>
  <c r="AX10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3" i="29" l="1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0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1" i="9" l="1"/>
  <c r="Z10" i="9"/>
  <c r="E1" i="25"/>
  <c r="B8" i="25" s="1"/>
  <c r="M18" i="14"/>
  <c r="J18" i="31"/>
  <c r="B9" i="25"/>
  <c r="R9" i="25" l="1"/>
  <c r="Z12" i="9"/>
  <c r="Z11" i="9"/>
  <c r="M19" i="14"/>
  <c r="J19" i="31"/>
  <c r="B10" i="25"/>
  <c r="R10" i="25" l="1"/>
  <c r="AC13" i="9"/>
  <c r="AC12" i="9"/>
  <c r="M20" i="14"/>
  <c r="J20" i="31"/>
  <c r="B11" i="25"/>
  <c r="R11" i="25" l="1"/>
  <c r="Z13" i="9"/>
  <c r="J21" i="31"/>
  <c r="B12" i="25"/>
  <c r="R12" i="25" l="1"/>
  <c r="Z14" i="9"/>
  <c r="AC14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18" i="31"/>
  <c r="N48" i="31"/>
  <c r="N12" i="31"/>
  <c r="N29" i="31"/>
  <c r="P5" i="31"/>
  <c r="N39" i="31"/>
  <c r="P6" i="31"/>
  <c r="P43" i="31"/>
  <c r="N46" i="31"/>
  <c r="P24" i="31"/>
  <c r="N3" i="31"/>
  <c r="P13" i="31"/>
  <c r="P10" i="31"/>
  <c r="P36" i="31"/>
  <c r="P26" i="31"/>
  <c r="P2" i="31"/>
  <c r="P41" i="31"/>
  <c r="P25" i="31"/>
  <c r="P11" i="31"/>
  <c r="P58" i="31"/>
  <c r="P27" i="31"/>
  <c r="N56" i="31"/>
  <c r="N55" i="31"/>
  <c r="N28" i="31"/>
  <c r="P44" i="31"/>
  <c r="N16" i="31"/>
  <c r="P35" i="31"/>
  <c r="N9" i="31"/>
  <c r="P50" i="31"/>
  <c r="N34" i="31"/>
  <c r="P51" i="31"/>
  <c r="N59" i="31"/>
  <c r="P20" i="31"/>
  <c r="N52" i="31"/>
  <c r="P31" i="31"/>
  <c r="N37" i="31"/>
  <c r="N4" i="31"/>
  <c r="N30" i="31"/>
  <c r="P40" i="31"/>
  <c r="P60" i="31"/>
  <c r="P19" i="31"/>
  <c r="P7" i="31"/>
  <c r="P15" i="31"/>
  <c r="N61" i="31"/>
  <c r="P38" i="31"/>
  <c r="P17" i="31"/>
  <c r="P21" i="31"/>
  <c r="P47" i="31"/>
  <c r="N32" i="31"/>
  <c r="P22" i="31"/>
  <c r="P49" i="31"/>
  <c r="N45" i="31"/>
  <c r="N42" i="31"/>
  <c r="P54" i="31"/>
  <c r="P14" i="31"/>
  <c r="P33" i="31"/>
  <c r="P8" i="31"/>
  <c r="N23" i="31"/>
  <c r="P53" i="31"/>
  <c r="P57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26" i="31"/>
  <c r="N36" i="31"/>
  <c r="N15" i="31"/>
  <c r="N40" i="31"/>
  <c r="N19" i="31"/>
  <c r="N43" i="31"/>
  <c r="P4" i="31"/>
  <c r="P61" i="31"/>
  <c r="N41" i="31"/>
  <c r="P23" i="31"/>
  <c r="P16" i="31"/>
  <c r="N44" i="31"/>
  <c r="N47" i="31"/>
  <c r="N6" i="31"/>
  <c r="N8" i="31"/>
  <c r="N53" i="31"/>
  <c r="N21" i="31"/>
  <c r="N50" i="31"/>
  <c r="P39" i="31"/>
  <c r="P48" i="31"/>
  <c r="N10" i="31"/>
  <c r="N24" i="31"/>
  <c r="N17" i="31"/>
  <c r="N25" i="31"/>
  <c r="P9" i="31"/>
  <c r="N62" i="31"/>
  <c r="P59" i="31"/>
  <c r="P3" i="31"/>
  <c r="N38" i="31"/>
  <c r="N18" i="31"/>
  <c r="N20" i="31"/>
  <c r="P56" i="31"/>
  <c r="P32" i="31"/>
  <c r="N51" i="31"/>
  <c r="N11" i="31"/>
  <c r="N35" i="31"/>
  <c r="P34" i="31"/>
  <c r="N14" i="31"/>
  <c r="P30" i="31"/>
  <c r="P12" i="31"/>
  <c r="P28" i="31"/>
  <c r="N49" i="31"/>
  <c r="N33" i="31"/>
  <c r="P45" i="31"/>
  <c r="P55" i="31"/>
  <c r="N58" i="31"/>
  <c r="N13" i="31"/>
  <c r="N22" i="31"/>
  <c r="N7" i="31"/>
  <c r="N5" i="31"/>
  <c r="P42" i="31"/>
  <c r="N31" i="31"/>
  <c r="N27" i="31"/>
  <c r="P46" i="31"/>
  <c r="P37" i="31"/>
  <c r="N60" i="31"/>
  <c r="P29" i="31"/>
  <c r="N54" i="31"/>
  <c r="P52" i="31"/>
  <c r="N57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O43" i="27" l="1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N70" i="31"/>
  <c r="P69" i="31"/>
  <c r="O70" i="31" l="1"/>
  <c r="M71" i="31"/>
  <c r="L72" i="31"/>
  <c r="J73" i="31"/>
  <c r="K73" i="31" s="1"/>
  <c r="N71" i="31"/>
  <c r="P70" i="31"/>
  <c r="O71" i="31" l="1"/>
  <c r="M72" i="31"/>
  <c r="L73" i="31"/>
  <c r="J74" i="31"/>
  <c r="K74" i="31" s="1"/>
  <c r="N72" i="31"/>
  <c r="P71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N76" i="31"/>
  <c r="P75" i="31"/>
  <c r="O76" i="31" l="1"/>
  <c r="M77" i="31"/>
  <c r="L78" i="31"/>
  <c r="J79" i="31"/>
  <c r="K79" i="31" s="1"/>
  <c r="P76" i="31"/>
  <c r="N77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N81" i="31"/>
  <c r="P80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N90" i="31"/>
  <c r="P89" i="31"/>
  <c r="O90" i="31" l="1"/>
  <c r="M91" i="31"/>
  <c r="L92" i="31"/>
  <c r="J93" i="31"/>
  <c r="K93" i="31" s="1"/>
  <c r="N91" i="31"/>
  <c r="P90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N101" i="31"/>
  <c r="P100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N105" i="31"/>
  <c r="P104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N107" i="31"/>
  <c r="P106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N109" i="31"/>
  <c r="P108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N117" i="31"/>
  <c r="P116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N121" i="31"/>
  <c r="P120" i="31"/>
  <c r="O121" i="31" l="1"/>
  <c r="M122" i="31"/>
  <c r="L123" i="31"/>
  <c r="J124" i="31"/>
  <c r="K124" i="31" s="1"/>
  <c r="N122" i="31"/>
  <c r="P121" i="31"/>
  <c r="O122" i="31" l="1"/>
  <c r="M123" i="31"/>
  <c r="L124" i="31"/>
  <c r="J125" i="31"/>
  <c r="K125" i="31" s="1"/>
  <c r="N123" i="31"/>
  <c r="P122" i="31"/>
  <c r="O123" i="31" l="1"/>
  <c r="M124" i="31"/>
  <c r="L125" i="31"/>
  <c r="J126" i="31"/>
  <c r="K126" i="31" s="1"/>
  <c r="N124" i="31"/>
  <c r="P123" i="31"/>
  <c r="O124" i="31" l="1"/>
  <c r="M125" i="31"/>
  <c r="L126" i="31"/>
  <c r="J127" i="31"/>
  <c r="K127" i="31" s="1"/>
  <c r="N125" i="31"/>
  <c r="P124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N128" i="31"/>
  <c r="P127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N131" i="31"/>
  <c r="P130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N134" i="31"/>
  <c r="P133" i="31"/>
  <c r="O134" i="31" l="1"/>
  <c r="M135" i="31"/>
  <c r="L136" i="31"/>
  <c r="J137" i="31"/>
  <c r="K137" i="31" s="1"/>
  <c r="N135" i="31"/>
  <c r="P134" i="31"/>
  <c r="O135" i="31" l="1"/>
  <c r="M136" i="31"/>
  <c r="L137" i="31"/>
  <c r="J138" i="31"/>
  <c r="K138" i="31" s="1"/>
  <c r="N136" i="31"/>
  <c r="P135" i="31"/>
  <c r="O136" i="31" l="1"/>
  <c r="M137" i="31"/>
  <c r="L138" i="31"/>
  <c r="J139" i="31"/>
  <c r="K139" i="31" s="1"/>
  <c r="N137" i="31"/>
  <c r="P136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N140" i="31"/>
  <c r="P139" i="31"/>
  <c r="O140" i="31" l="1"/>
  <c r="M141" i="31"/>
  <c r="L142" i="31"/>
  <c r="J143" i="31"/>
  <c r="K143" i="31" s="1"/>
  <c r="N141" i="31"/>
  <c r="P140" i="31"/>
  <c r="O141" i="31" l="1"/>
  <c r="M142" i="31"/>
  <c r="L143" i="31"/>
  <c r="J144" i="31"/>
  <c r="K144" i="31" s="1"/>
  <c r="N142" i="31"/>
  <c r="P141" i="31"/>
  <c r="O142" i="31" l="1"/>
  <c r="M143" i="31"/>
  <c r="L144" i="31"/>
  <c r="J145" i="31"/>
  <c r="K145" i="31" s="1"/>
  <c r="N143" i="31"/>
  <c r="P142" i="31"/>
  <c r="O143" i="31" l="1"/>
  <c r="M144" i="31"/>
  <c r="L145" i="31"/>
  <c r="J146" i="31"/>
  <c r="K146" i="31" s="1"/>
  <c r="N144" i="31"/>
  <c r="P143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N149" i="31"/>
  <c r="P148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N171" i="31"/>
  <c r="P170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N177" i="31"/>
  <c r="P176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N180" i="31"/>
  <c r="P179" i="31"/>
  <c r="O180" i="31" l="1"/>
  <c r="M181" i="31"/>
  <c r="L182" i="31"/>
  <c r="J183" i="31"/>
  <c r="K183" i="31" s="1"/>
  <c r="N181" i="31"/>
  <c r="P180" i="31"/>
  <c r="O181" i="31" l="1"/>
  <c r="M182" i="31"/>
  <c r="L183" i="31"/>
  <c r="J184" i="31"/>
  <c r="K184" i="31" s="1"/>
  <c r="N182" i="31"/>
  <c r="P181" i="31"/>
  <c r="O182" i="31" l="1"/>
  <c r="M183" i="31"/>
  <c r="L184" i="31"/>
  <c r="J185" i="31"/>
  <c r="K185" i="31" s="1"/>
  <c r="N183" i="31"/>
  <c r="P182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N188" i="31"/>
  <c r="P187" i="31"/>
  <c r="O188" i="31" l="1"/>
  <c r="M189" i="31"/>
  <c r="L190" i="31"/>
  <c r="J191" i="31"/>
  <c r="K191" i="31" s="1"/>
  <c r="N189" i="31"/>
  <c r="P188" i="31"/>
  <c r="O189" i="31" l="1"/>
  <c r="M190" i="31"/>
  <c r="L191" i="31"/>
  <c r="J192" i="31"/>
  <c r="K192" i="31" s="1"/>
  <c r="N190" i="31"/>
  <c r="P189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N194" i="31"/>
  <c r="P193" i="31"/>
  <c r="O194" i="31" l="1"/>
  <c r="M195" i="31"/>
  <c r="L196" i="31"/>
  <c r="J197" i="31"/>
  <c r="K197" i="31" s="1"/>
  <c r="N195" i="31"/>
  <c r="P194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N197" i="31"/>
  <c r="P196" i="31"/>
  <c r="O197" i="31" l="1"/>
  <c r="M198" i="31"/>
  <c r="L199" i="31"/>
  <c r="J200" i="31"/>
  <c r="K200" i="31" s="1"/>
  <c r="N198" i="31"/>
  <c r="P197" i="31"/>
  <c r="O198" i="31" l="1"/>
  <c r="M199" i="31"/>
  <c r="L200" i="31"/>
  <c r="J201" i="31"/>
  <c r="K201" i="31" s="1"/>
  <c r="N199" i="31"/>
  <c r="P198" i="31"/>
  <c r="O199" i="31" l="1"/>
  <c r="M200" i="31"/>
  <c r="L201" i="31"/>
  <c r="J202" i="31"/>
  <c r="K202" i="31" s="1"/>
  <c r="N200" i="31"/>
  <c r="P199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N202" i="31"/>
  <c r="P201" i="31"/>
  <c r="O202" i="31" l="1"/>
  <c r="M203" i="31"/>
  <c r="L204" i="31"/>
  <c r="J205" i="31"/>
  <c r="K205" i="31" s="1"/>
  <c r="N203" i="31"/>
  <c r="P202" i="31"/>
  <c r="O203" i="31" l="1"/>
  <c r="M204" i="31"/>
  <c r="L205" i="31"/>
  <c r="J206" i="31"/>
  <c r="K206" i="31" s="1"/>
  <c r="N204" i="31"/>
  <c r="P203" i="31"/>
  <c r="O204" i="31" l="1"/>
  <c r="M205" i="31"/>
  <c r="L206" i="31"/>
  <c r="J207" i="31"/>
  <c r="K207" i="31" s="1"/>
  <c r="N205" i="31"/>
  <c r="P204" i="31"/>
  <c r="O205" i="31" l="1"/>
  <c r="M206" i="31"/>
  <c r="L207" i="31"/>
  <c r="J208" i="31"/>
  <c r="K208" i="31" s="1"/>
  <c r="N206" i="31"/>
  <c r="P205" i="31"/>
  <c r="O206" i="31" l="1"/>
  <c r="M207" i="31"/>
  <c r="L208" i="31"/>
  <c r="J209" i="31"/>
  <c r="K209" i="31" s="1"/>
  <c r="N207" i="31"/>
  <c r="P206" i="31"/>
  <c r="O207" i="31" l="1"/>
  <c r="M208" i="31"/>
  <c r="L209" i="31"/>
  <c r="J210" i="31"/>
  <c r="K210" i="31" s="1"/>
  <c r="N208" i="31"/>
  <c r="P207" i="31"/>
  <c r="O208" i="31" l="1"/>
  <c r="M209" i="31"/>
  <c r="L210" i="31"/>
  <c r="J211" i="31"/>
  <c r="K211" i="31" s="1"/>
  <c r="N209" i="31"/>
  <c r="P208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N211" i="31"/>
  <c r="P210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N213" i="31"/>
  <c r="P212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N219" i="31"/>
  <c r="P218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N221" i="31"/>
  <c r="P220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N223" i="31"/>
  <c r="P222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N228" i="31"/>
  <c r="P227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4" i="31"/>
  <c r="N233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N236" i="31"/>
  <c r="P235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N243" i="31"/>
  <c r="P242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N246" i="31"/>
  <c r="P245" i="31"/>
  <c r="O246" i="31" l="1"/>
  <c r="M247" i="31"/>
  <c r="L248" i="31"/>
  <c r="J249" i="31"/>
  <c r="K249" i="31" s="1"/>
  <c r="N247" i="31"/>
  <c r="P246" i="31"/>
  <c r="O247" i="31" l="1"/>
  <c r="M248" i="31"/>
  <c r="L249" i="31"/>
  <c r="J250" i="31"/>
  <c r="K250" i="31" s="1"/>
  <c r="N248" i="31"/>
  <c r="P247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49" i="31"/>
  <c r="N250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N254" i="31"/>
  <c r="P253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N256" i="31"/>
  <c r="P255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N258" i="31"/>
  <c r="P257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N271" i="31"/>
  <c r="P270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N280" i="31"/>
  <c r="P279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N307" i="31"/>
  <c r="P306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N309" i="31"/>
  <c r="P308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N313" i="31"/>
  <c r="P312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N315" i="31"/>
  <c r="P314" i="31"/>
  <c r="O315" i="31" l="1"/>
  <c r="M316" i="31"/>
  <c r="L317" i="31"/>
  <c r="J318" i="31"/>
  <c r="K318" i="31" s="1"/>
  <c r="N316" i="31"/>
  <c r="P315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N321" i="31"/>
  <c r="P320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N325" i="31"/>
  <c r="P324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N339" i="31"/>
  <c r="P338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N341" i="31"/>
  <c r="P340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N344" i="31"/>
  <c r="P343" i="31"/>
  <c r="O344" i="31" l="1"/>
  <c r="M345" i="31"/>
  <c r="L346" i="31"/>
  <c r="J347" i="31"/>
  <c r="K347" i="31" s="1"/>
  <c r="N345" i="31"/>
  <c r="P344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N356" i="31"/>
  <c r="P355" i="31"/>
  <c r="O356" i="31" l="1"/>
  <c r="M357" i="31"/>
  <c r="L358" i="31"/>
  <c r="J359" i="31"/>
  <c r="K359" i="31" s="1"/>
  <c r="N357" i="31"/>
  <c r="P356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N361" i="31"/>
  <c r="P360" i="31"/>
  <c r="O361" i="31" l="1"/>
  <c r="M362" i="31"/>
  <c r="L363" i="31"/>
  <c r="J364" i="31"/>
  <c r="K364" i="31" s="1"/>
  <c r="N362" i="31"/>
  <c r="P361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N364" i="31"/>
  <c r="P363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N367" i="31"/>
  <c r="P366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N371" i="31"/>
  <c r="P370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N375" i="31"/>
  <c r="P374" i="31"/>
  <c r="O375" i="31" l="1"/>
  <c r="M376" i="31"/>
  <c r="L377" i="31"/>
  <c r="J378" i="31"/>
  <c r="K378" i="31" s="1"/>
  <c r="N376" i="31"/>
  <c r="P375" i="31"/>
  <c r="O376" i="31" l="1"/>
  <c r="M377" i="31"/>
  <c r="L378" i="31"/>
  <c r="J379" i="31"/>
  <c r="K379" i="31" s="1"/>
  <c r="N377" i="31"/>
  <c r="P376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N388" i="31"/>
  <c r="P387" i="31"/>
  <c r="O388" i="31" l="1"/>
  <c r="M389" i="31"/>
  <c r="L390" i="31"/>
  <c r="J391" i="31"/>
  <c r="K391" i="31" s="1"/>
  <c r="N389" i="31"/>
  <c r="P388" i="31"/>
  <c r="O389" i="31" l="1"/>
  <c r="M390" i="31"/>
  <c r="L391" i="31"/>
  <c r="J392" i="31"/>
  <c r="K392" i="31" s="1"/>
  <c r="N390" i="31"/>
  <c r="P389" i="31"/>
  <c r="O390" i="31" l="1"/>
  <c r="M391" i="31"/>
  <c r="L392" i="31"/>
  <c r="J393" i="31"/>
  <c r="K393" i="31" s="1"/>
  <c r="N391" i="31"/>
  <c r="P390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N405" i="31"/>
  <c r="P404" i="31"/>
  <c r="O405" i="31" l="1"/>
  <c r="M406" i="31"/>
  <c r="L407" i="31"/>
  <c r="J408" i="31"/>
  <c r="K408" i="31" s="1"/>
  <c r="N406" i="31"/>
  <c r="P405" i="31"/>
  <c r="O406" i="31" l="1"/>
  <c r="M407" i="31"/>
  <c r="L408" i="31"/>
  <c r="J409" i="31"/>
  <c r="K409" i="31" s="1"/>
  <c r="N407" i="31"/>
  <c r="P406" i="31"/>
  <c r="O407" i="31" l="1"/>
  <c r="M408" i="31"/>
  <c r="L409" i="31"/>
  <c r="J410" i="31"/>
  <c r="K410" i="31" s="1"/>
  <c r="N408" i="31"/>
  <c r="P407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N411" i="31"/>
  <c r="P410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N422" i="31"/>
  <c r="P421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N424" i="31"/>
  <c r="P423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N429" i="31"/>
  <c r="P428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N434" i="31"/>
  <c r="P433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N437" i="31"/>
  <c r="P436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N454" i="31"/>
  <c r="P453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N474" i="31"/>
  <c r="P473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N480" i="31"/>
  <c r="P479" i="31"/>
  <c r="O480" i="31" l="1"/>
  <c r="M481" i="31"/>
  <c r="L482" i="31"/>
  <c r="J483" i="31"/>
  <c r="K483" i="31" s="1"/>
  <c r="N481" i="31"/>
  <c r="P480" i="31"/>
  <c r="O481" i="31" l="1"/>
  <c r="M482" i="31"/>
  <c r="L483" i="31"/>
  <c r="J484" i="31"/>
  <c r="K484" i="31" s="1"/>
  <c r="N482" i="31"/>
  <c r="P481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N485" i="31"/>
  <c r="P484" i="31"/>
  <c r="O485" i="31" l="1"/>
  <c r="M486" i="31"/>
  <c r="L487" i="31"/>
  <c r="J488" i="31"/>
  <c r="K488" i="31" s="1"/>
  <c r="N486" i="31"/>
  <c r="P485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N488" i="31"/>
  <c r="P487" i="31"/>
  <c r="O488" i="31" l="1"/>
  <c r="M489" i="31"/>
  <c r="L490" i="31"/>
  <c r="J491" i="31"/>
  <c r="K491" i="31" s="1"/>
  <c r="N489" i="31"/>
  <c r="P488" i="31"/>
  <c r="O489" i="31" l="1"/>
  <c r="M490" i="31"/>
  <c r="L491" i="31"/>
  <c r="J492" i="31"/>
  <c r="K492" i="31" s="1"/>
  <c r="N490" i="31"/>
  <c r="P489" i="31"/>
  <c r="O490" i="31" l="1"/>
  <c r="M491" i="31"/>
  <c r="L492" i="31"/>
  <c r="J493" i="31"/>
  <c r="K493" i="31" s="1"/>
  <c r="N491" i="31"/>
  <c r="P490" i="31"/>
  <c r="O491" i="31" l="1"/>
  <c r="M492" i="31"/>
  <c r="L493" i="31"/>
  <c r="J494" i="31"/>
  <c r="K494" i="31" s="1"/>
  <c r="N492" i="31"/>
  <c r="P491" i="31"/>
  <c r="O492" i="31" l="1"/>
  <c r="M493" i="31"/>
  <c r="L494" i="31"/>
  <c r="J495" i="31"/>
  <c r="K495" i="31" s="1"/>
  <c r="N493" i="31"/>
  <c r="P492" i="31"/>
  <c r="O493" i="31" l="1"/>
  <c r="M494" i="31"/>
  <c r="L495" i="31"/>
  <c r="J496" i="31"/>
  <c r="K496" i="31" s="1"/>
  <c r="N494" i="31"/>
  <c r="P493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H5" i="25"/>
  <c r="E5" i="25"/>
  <c r="N5" i="25"/>
  <c r="O5" i="25"/>
  <c r="D5" i="25"/>
  <c r="J5" i="25"/>
  <c r="I5" i="25"/>
  <c r="K5" i="25"/>
  <c r="G5" i="25"/>
  <c r="N501" i="31"/>
  <c r="Q5" i="25"/>
  <c r="P500" i="31"/>
  <c r="M5" i="25"/>
  <c r="L5" i="25"/>
  <c r="F5" i="25"/>
  <c r="P5" i="25"/>
  <c r="O501" i="31" l="1"/>
  <c r="Q13" i="27"/>
  <c r="Q12" i="27"/>
  <c r="Q11" i="27"/>
  <c r="O4" i="27"/>
  <c r="L9" i="25"/>
  <c r="Q16" i="25"/>
  <c r="N15" i="25"/>
  <c r="O14" i="25"/>
  <c r="P13" i="25"/>
  <c r="M12" i="25"/>
  <c r="L12" i="25"/>
  <c r="Q9" i="25"/>
  <c r="Q17" i="25"/>
  <c r="N16" i="25"/>
  <c r="O15" i="25"/>
  <c r="P14" i="25"/>
  <c r="M13" i="25"/>
  <c r="L13" i="25"/>
  <c r="L14" i="25"/>
  <c r="O17" i="25"/>
  <c r="M15" i="25"/>
  <c r="M10" i="25"/>
  <c r="Q10" i="25"/>
  <c r="N9" i="25"/>
  <c r="N17" i="25"/>
  <c r="O16" i="25"/>
  <c r="P15" i="25"/>
  <c r="M14" i="25"/>
  <c r="Q11" i="25"/>
  <c r="N10" i="25"/>
  <c r="O9" i="25"/>
  <c r="P16" i="25"/>
  <c r="L15" i="25"/>
  <c r="L10" i="25"/>
  <c r="Q12" i="25"/>
  <c r="N11" i="25"/>
  <c r="O10" i="25"/>
  <c r="P9" i="25"/>
  <c r="P17" i="25"/>
  <c r="M16" i="25"/>
  <c r="L16" i="25"/>
  <c r="M17" i="25"/>
  <c r="Q13" i="25"/>
  <c r="N12" i="25"/>
  <c r="O11" i="25"/>
  <c r="P10" i="25"/>
  <c r="M9" i="25"/>
  <c r="L17" i="25"/>
  <c r="Q14" i="25"/>
  <c r="N13" i="25"/>
  <c r="O12" i="25"/>
  <c r="P11" i="25"/>
  <c r="Q15" i="25"/>
  <c r="N14" i="25"/>
  <c r="O13" i="25"/>
  <c r="P12" i="25"/>
  <c r="M11" i="25"/>
  <c r="L11" i="25"/>
  <c r="K11" i="25"/>
  <c r="J9" i="25"/>
  <c r="F17" i="25"/>
  <c r="I16" i="25"/>
  <c r="H13" i="25"/>
  <c r="H10" i="25"/>
  <c r="H12" i="25"/>
  <c r="I12" i="25"/>
  <c r="E17" i="25"/>
  <c r="K12" i="25"/>
  <c r="J14" i="25"/>
  <c r="I17" i="25"/>
  <c r="F14" i="25"/>
  <c r="H16" i="25"/>
  <c r="K13" i="25"/>
  <c r="J13" i="25"/>
  <c r="E10" i="25"/>
  <c r="F15" i="25"/>
  <c r="G16" i="25"/>
  <c r="D13" i="25"/>
  <c r="D12" i="25"/>
  <c r="D15" i="25"/>
  <c r="E9" i="25"/>
  <c r="K15" i="25"/>
  <c r="J10" i="25"/>
  <c r="F11" i="25"/>
  <c r="D11" i="25"/>
  <c r="G17" i="25"/>
  <c r="K14" i="25"/>
  <c r="D17" i="25"/>
  <c r="K16" i="25"/>
  <c r="J11" i="25"/>
  <c r="J17" i="25"/>
  <c r="D14" i="25"/>
  <c r="G15" i="25"/>
  <c r="E13" i="25"/>
  <c r="I10" i="25"/>
  <c r="E14" i="25"/>
  <c r="F16" i="25"/>
  <c r="G9" i="25"/>
  <c r="G13" i="25"/>
  <c r="F13" i="25"/>
  <c r="F9" i="25"/>
  <c r="H9" i="25"/>
  <c r="K9" i="25"/>
  <c r="J16" i="25"/>
  <c r="G10" i="25"/>
  <c r="H17" i="25"/>
  <c r="D16" i="25"/>
  <c r="E15" i="25"/>
  <c r="G12" i="25"/>
  <c r="D10" i="25"/>
  <c r="I9" i="25"/>
  <c r="D9" i="25"/>
  <c r="I13" i="25"/>
  <c r="K10" i="25"/>
  <c r="I15" i="25"/>
  <c r="G14" i="25"/>
  <c r="G11" i="25"/>
  <c r="K17" i="25"/>
  <c r="J12" i="25"/>
  <c r="E11" i="25"/>
  <c r="H15" i="25"/>
  <c r="H11" i="25"/>
  <c r="E16" i="25"/>
  <c r="H14" i="25"/>
  <c r="J15" i="25"/>
  <c r="E12" i="25"/>
  <c r="F12" i="25"/>
  <c r="I11" i="25"/>
  <c r="I14" i="25"/>
  <c r="F10" i="25"/>
  <c r="P501" i="31"/>
  <c r="Q26" i="27" l="1"/>
  <c r="Q24" i="27"/>
  <c r="B18" i="25"/>
  <c r="C5" i="25"/>
  <c r="R18" i="25" l="1"/>
  <c r="M18" i="25"/>
  <c r="L18" i="25"/>
  <c r="P18" i="25"/>
  <c r="Q18" i="25"/>
  <c r="N18" i="25"/>
  <c r="O18" i="25"/>
  <c r="J18" i="25"/>
  <c r="I18" i="25"/>
  <c r="F18" i="25"/>
  <c r="E18" i="25"/>
  <c r="C14" i="25"/>
  <c r="K18" i="25"/>
  <c r="H18" i="25"/>
  <c r="G18" i="25"/>
  <c r="C9" i="25"/>
  <c r="C13" i="25"/>
  <c r="C11" i="25"/>
  <c r="C15" i="25"/>
  <c r="B19" i="25"/>
  <c r="C10" i="25"/>
  <c r="D18" i="25"/>
  <c r="C17" i="25"/>
  <c r="C18" i="25"/>
  <c r="C12" i="25"/>
  <c r="C16" i="25"/>
  <c r="R19" i="25" l="1"/>
  <c r="O19" i="25"/>
  <c r="L19" i="25"/>
  <c r="Q19" i="25"/>
  <c r="M19" i="25"/>
  <c r="N19" i="25"/>
  <c r="P19" i="25"/>
  <c r="J19" i="25"/>
  <c r="D19" i="25"/>
  <c r="I19" i="25"/>
  <c r="E19" i="25"/>
  <c r="K19" i="25"/>
  <c r="B20" i="25"/>
  <c r="G19" i="25"/>
  <c r="C19" i="25"/>
  <c r="H19" i="25"/>
  <c r="F19" i="25"/>
  <c r="R20" i="25" l="1"/>
  <c r="Q20" i="25"/>
  <c r="O20" i="25"/>
  <c r="P20" i="25"/>
  <c r="N20" i="25"/>
  <c r="M20" i="25"/>
  <c r="L20" i="25"/>
  <c r="J20" i="25"/>
  <c r="F20" i="25"/>
  <c r="B21" i="25"/>
  <c r="K20" i="25"/>
  <c r="C20" i="25"/>
  <c r="H20" i="25"/>
  <c r="E20" i="25"/>
  <c r="G20" i="25"/>
  <c r="I20" i="25"/>
  <c r="D20" i="25"/>
  <c r="R21" i="25" l="1"/>
  <c r="Q21" i="25"/>
  <c r="N21" i="25"/>
  <c r="M21" i="25"/>
  <c r="O21" i="25"/>
  <c r="P21" i="25"/>
  <c r="L21" i="25"/>
  <c r="J21" i="25"/>
  <c r="B22" i="25"/>
  <c r="C21" i="25"/>
  <c r="I21" i="25"/>
  <c r="E21" i="25"/>
  <c r="G21" i="25"/>
  <c r="F21" i="25"/>
  <c r="D21" i="25"/>
  <c r="H21" i="25"/>
  <c r="K21" i="25"/>
  <c r="R22" i="25" l="1"/>
  <c r="P22" i="25"/>
  <c r="L22" i="25"/>
  <c r="M22" i="25"/>
  <c r="N22" i="25"/>
  <c r="O22" i="25"/>
  <c r="Q22" i="25"/>
  <c r="J22" i="25"/>
  <c r="C22" i="25"/>
  <c r="B23" i="25"/>
  <c r="E22" i="25"/>
  <c r="F22" i="25"/>
  <c r="D22" i="25"/>
  <c r="I22" i="25"/>
  <c r="K22" i="25"/>
  <c r="H22" i="25"/>
  <c r="G22" i="25"/>
  <c r="R23" i="25" l="1"/>
  <c r="L23" i="25"/>
  <c r="Q23" i="25"/>
  <c r="O23" i="25"/>
  <c r="M23" i="25"/>
  <c r="P23" i="25"/>
  <c r="N23" i="25"/>
  <c r="J23" i="25"/>
  <c r="C23" i="25"/>
  <c r="F23" i="25"/>
  <c r="B24" i="25"/>
  <c r="K23" i="25"/>
  <c r="H23" i="25"/>
  <c r="I23" i="25"/>
  <c r="G23" i="25"/>
  <c r="E23" i="25"/>
  <c r="D23" i="25"/>
  <c r="R24" i="25" l="1"/>
  <c r="O24" i="25"/>
  <c r="L24" i="25"/>
  <c r="M24" i="25"/>
  <c r="N24" i="25"/>
  <c r="P24" i="25"/>
  <c r="Q24" i="25"/>
  <c r="J24" i="25"/>
  <c r="I24" i="25"/>
  <c r="C24" i="25"/>
  <c r="H24" i="25"/>
  <c r="E24" i="25"/>
  <c r="F24" i="25"/>
  <c r="B25" i="25"/>
  <c r="D24" i="25"/>
  <c r="K24" i="25"/>
  <c r="G24" i="25"/>
  <c r="R25" i="25" l="1"/>
  <c r="N25" i="25"/>
  <c r="O25" i="25"/>
  <c r="M25" i="25"/>
  <c r="Q25" i="25"/>
  <c r="L25" i="25"/>
  <c r="P25" i="25"/>
  <c r="J25" i="25"/>
  <c r="H25" i="25"/>
  <c r="E25" i="25"/>
  <c r="K25" i="25"/>
  <c r="C25" i="25"/>
  <c r="B26" i="25"/>
  <c r="G25" i="25"/>
  <c r="D25" i="25"/>
  <c r="I25" i="25"/>
  <c r="F25" i="25"/>
  <c r="R26" i="25" l="1"/>
  <c r="O26" i="25"/>
  <c r="L26" i="25"/>
  <c r="P26" i="25"/>
  <c r="Q26" i="25"/>
  <c r="N26" i="25"/>
  <c r="M26" i="25"/>
  <c r="D26" i="25"/>
  <c r="B27" i="25"/>
  <c r="H26" i="25"/>
  <c r="G26" i="25"/>
  <c r="E26" i="25"/>
  <c r="J26" i="25"/>
  <c r="I26" i="25"/>
  <c r="K26" i="25"/>
  <c r="C26" i="25"/>
  <c r="F26" i="25"/>
  <c r="R27" i="25" l="1"/>
  <c r="N27" i="25"/>
  <c r="P27" i="25"/>
  <c r="Q27" i="25"/>
  <c r="L27" i="25"/>
  <c r="M27" i="25"/>
  <c r="O27" i="25"/>
  <c r="F27" i="25"/>
  <c r="E27" i="25"/>
  <c r="G27" i="25"/>
  <c r="B28" i="25"/>
  <c r="K27" i="25"/>
  <c r="C27" i="25"/>
  <c r="H27" i="25"/>
  <c r="D27" i="25"/>
  <c r="J27" i="25"/>
  <c r="I27" i="25"/>
  <c r="R28" i="25" l="1"/>
  <c r="L28" i="25"/>
  <c r="Q28" i="25"/>
  <c r="O28" i="25"/>
  <c r="M28" i="25"/>
  <c r="P28" i="25"/>
  <c r="N28" i="25"/>
  <c r="H28" i="25"/>
  <c r="E28" i="25"/>
  <c r="C28" i="25"/>
  <c r="K28" i="25"/>
  <c r="G28" i="25"/>
  <c r="D28" i="25"/>
  <c r="B29" i="25"/>
  <c r="J28" i="25"/>
  <c r="I28" i="25"/>
  <c r="F28" i="25"/>
  <c r="R29" i="25" l="1"/>
  <c r="O29" i="25"/>
  <c r="M29" i="25"/>
  <c r="Q29" i="25"/>
  <c r="P29" i="25"/>
  <c r="L29" i="25"/>
  <c r="N29" i="25"/>
  <c r="F29" i="25"/>
  <c r="B30" i="25"/>
  <c r="H29" i="25"/>
  <c r="K29" i="25"/>
  <c r="J29" i="25"/>
  <c r="E29" i="25"/>
  <c r="D29" i="25"/>
  <c r="C29" i="25"/>
  <c r="I29" i="25"/>
  <c r="G29" i="25"/>
  <c r="R30" i="25" l="1"/>
  <c r="P30" i="25"/>
  <c r="L30" i="25"/>
  <c r="N30" i="25"/>
  <c r="O30" i="25"/>
  <c r="M30" i="25"/>
  <c r="Q30" i="25"/>
  <c r="H30" i="25"/>
  <c r="C30" i="25"/>
  <c r="G30" i="25"/>
  <c r="I30" i="25"/>
  <c r="F30" i="25"/>
  <c r="D30" i="25"/>
  <c r="E30" i="25"/>
  <c r="B31" i="25"/>
  <c r="J30" i="25"/>
  <c r="K30" i="25"/>
  <c r="R31" i="25" l="1"/>
  <c r="Q31" i="25"/>
  <c r="P31" i="25"/>
  <c r="N31" i="25"/>
  <c r="L31" i="25"/>
  <c r="M31" i="25"/>
  <c r="O31" i="25"/>
  <c r="I31" i="25"/>
  <c r="B32" i="25"/>
  <c r="E31" i="25"/>
  <c r="K31" i="25"/>
  <c r="H31" i="25"/>
  <c r="G31" i="25"/>
  <c r="J31" i="25"/>
  <c r="D31" i="25"/>
  <c r="C31" i="25"/>
  <c r="F31" i="25"/>
  <c r="R32" i="25" l="1"/>
  <c r="N32" i="25"/>
  <c r="M32" i="25"/>
  <c r="Q32" i="25"/>
  <c r="P32" i="25"/>
  <c r="O32" i="25"/>
  <c r="L32" i="25"/>
  <c r="H32" i="25"/>
  <c r="C32" i="25"/>
  <c r="B33" i="25"/>
  <c r="G32" i="25"/>
  <c r="D32" i="25"/>
  <c r="I32" i="25"/>
  <c r="E32" i="25"/>
  <c r="J32" i="25"/>
  <c r="F32" i="25"/>
  <c r="K32" i="25"/>
  <c r="R33" i="25" l="1"/>
  <c r="P33" i="25"/>
  <c r="Q33" i="25"/>
  <c r="O33" i="25"/>
  <c r="L33" i="25"/>
  <c r="N33" i="25"/>
  <c r="M33" i="25"/>
  <c r="B34" i="25"/>
  <c r="J33" i="25"/>
  <c r="D33" i="25"/>
  <c r="H33" i="25"/>
  <c r="G33" i="25"/>
  <c r="C33" i="25"/>
  <c r="I33" i="25"/>
  <c r="E33" i="25"/>
  <c r="K33" i="25"/>
  <c r="F33" i="25"/>
  <c r="R34" i="25" l="1"/>
  <c r="N34" i="25"/>
  <c r="M34" i="25"/>
  <c r="O34" i="25"/>
  <c r="L34" i="25"/>
  <c r="P34" i="25"/>
  <c r="Q34" i="25"/>
  <c r="C34" i="25"/>
  <c r="J34" i="25"/>
  <c r="B35" i="25"/>
  <c r="K34" i="25"/>
  <c r="D34" i="25"/>
  <c r="F34" i="25"/>
  <c r="H34" i="25"/>
  <c r="G34" i="25"/>
  <c r="E34" i="25"/>
  <c r="I34" i="25"/>
  <c r="R35" i="25" l="1"/>
  <c r="M35" i="25"/>
  <c r="L35" i="25"/>
  <c r="O35" i="25"/>
  <c r="Q35" i="25"/>
  <c r="N35" i="25"/>
  <c r="P35" i="25"/>
  <c r="B36" i="25"/>
  <c r="C35" i="25"/>
  <c r="G35" i="25"/>
  <c r="J35" i="25"/>
  <c r="D35" i="25"/>
  <c r="F35" i="25"/>
  <c r="H35" i="25"/>
  <c r="K35" i="25"/>
  <c r="I35" i="25"/>
  <c r="E35" i="25"/>
  <c r="R36" i="25" l="1"/>
  <c r="Q36" i="25"/>
  <c r="P36" i="25"/>
  <c r="N36" i="25"/>
  <c r="M36" i="25"/>
  <c r="L36" i="25"/>
  <c r="O36" i="25"/>
  <c r="C36" i="25"/>
  <c r="E36" i="25"/>
  <c r="J36" i="25"/>
  <c r="B37" i="25"/>
  <c r="I36" i="25"/>
  <c r="G36" i="25"/>
  <c r="F36" i="25"/>
  <c r="H36" i="25"/>
  <c r="K36" i="25"/>
  <c r="D36" i="25"/>
  <c r="R37" i="25" l="1"/>
  <c r="Q37" i="25"/>
  <c r="N37" i="25"/>
  <c r="M37" i="25"/>
  <c r="L37" i="25"/>
  <c r="P37" i="25"/>
  <c r="O37" i="25"/>
  <c r="J37" i="25"/>
  <c r="I37" i="25"/>
  <c r="E37" i="25"/>
  <c r="G37" i="25"/>
  <c r="C37" i="25"/>
  <c r="B38" i="25"/>
  <c r="D37" i="25"/>
  <c r="H37" i="25"/>
  <c r="F37" i="25"/>
  <c r="K37" i="25"/>
  <c r="R38" i="25" l="1"/>
  <c r="N38" i="25"/>
  <c r="L38" i="25"/>
  <c r="M38" i="25"/>
  <c r="O38" i="25"/>
  <c r="Q38" i="25"/>
  <c r="P38" i="25"/>
  <c r="K38" i="25"/>
  <c r="J38" i="25"/>
  <c r="E38" i="25"/>
  <c r="F38" i="25"/>
  <c r="B39" i="25"/>
  <c r="H38" i="25"/>
  <c r="C38" i="25"/>
  <c r="I38" i="25"/>
  <c r="G38" i="25"/>
  <c r="D38" i="25"/>
  <c r="R39" i="25" l="1"/>
  <c r="Q39" i="25"/>
  <c r="O39" i="25"/>
  <c r="M39" i="25"/>
  <c r="L39" i="25"/>
  <c r="P39" i="25"/>
  <c r="N39" i="25"/>
  <c r="K39" i="25"/>
  <c r="J39" i="25"/>
  <c r="E39" i="25"/>
  <c r="B40" i="25"/>
  <c r="G39" i="25"/>
  <c r="D39" i="25"/>
  <c r="C39" i="25"/>
  <c r="H39" i="25"/>
  <c r="I39" i="25"/>
  <c r="F39" i="25"/>
  <c r="M40" i="25" l="1"/>
  <c r="L40" i="25"/>
  <c r="O40" i="25"/>
  <c r="R40" i="25"/>
  <c r="N40" i="25"/>
  <c r="Q40" i="25"/>
  <c r="P40" i="25"/>
  <c r="K40" i="25"/>
  <c r="J40" i="25"/>
  <c r="C40" i="25"/>
  <c r="F40" i="25"/>
  <c r="B41" i="25"/>
  <c r="H40" i="25"/>
  <c r="D40" i="25"/>
  <c r="I40" i="25"/>
  <c r="G40" i="25"/>
  <c r="E40" i="25"/>
  <c r="P41" i="25" l="1"/>
  <c r="M41" i="25"/>
  <c r="Q41" i="25"/>
  <c r="L41" i="25"/>
  <c r="R41" i="25"/>
  <c r="K41" i="25"/>
  <c r="O41" i="25"/>
  <c r="N41" i="25"/>
  <c r="J41" i="25"/>
  <c r="E41" i="25"/>
  <c r="F41" i="25"/>
  <c r="I41" i="25"/>
  <c r="H41" i="25"/>
  <c r="C41" i="25"/>
  <c r="D41" i="25"/>
  <c r="G41" i="25"/>
  <c r="B42" i="25"/>
  <c r="P42" i="25" l="1"/>
  <c r="L42" i="25"/>
  <c r="M42" i="25"/>
  <c r="K42" i="25"/>
  <c r="Q42" i="25"/>
  <c r="R42" i="25"/>
  <c r="O42" i="25"/>
  <c r="N42" i="25"/>
  <c r="J42" i="25"/>
  <c r="B43" i="25"/>
  <c r="D42" i="25"/>
  <c r="C42" i="25"/>
  <c r="H42" i="25"/>
  <c r="F42" i="25"/>
  <c r="G42" i="25"/>
  <c r="E42" i="25"/>
  <c r="I42" i="25"/>
  <c r="L43" i="25" l="1"/>
  <c r="P43" i="25"/>
  <c r="R43" i="25"/>
  <c r="N43" i="25"/>
  <c r="Q43" i="25"/>
  <c r="O43" i="25"/>
  <c r="K43" i="25"/>
  <c r="M43" i="25"/>
  <c r="J43" i="25"/>
  <c r="F43" i="25"/>
  <c r="E43" i="25"/>
  <c r="G43" i="25"/>
  <c r="B44" i="25"/>
  <c r="I43" i="25"/>
  <c r="C43" i="25"/>
  <c r="D43" i="25"/>
  <c r="H43" i="25"/>
  <c r="M44" i="25" l="1"/>
  <c r="R44" i="25"/>
  <c r="P44" i="25"/>
  <c r="O44" i="25"/>
  <c r="N44" i="25"/>
  <c r="K44" i="25"/>
  <c r="Q44" i="25"/>
  <c r="L44" i="25"/>
  <c r="J44" i="25"/>
  <c r="C44" i="25"/>
  <c r="D44" i="25"/>
  <c r="B45" i="25"/>
  <c r="G44" i="25"/>
  <c r="E44" i="25"/>
  <c r="I44" i="25"/>
  <c r="H44" i="25"/>
  <c r="F44" i="25"/>
  <c r="L45" i="25" l="1"/>
  <c r="O45" i="25"/>
  <c r="K45" i="25"/>
  <c r="M45" i="25"/>
  <c r="P45" i="25"/>
  <c r="N45" i="25"/>
  <c r="Q45" i="25"/>
  <c r="R45" i="25"/>
  <c r="J45" i="25"/>
  <c r="E45" i="25"/>
  <c r="F45" i="25"/>
  <c r="B46" i="25"/>
  <c r="I45" i="25"/>
  <c r="D45" i="25"/>
  <c r="C45" i="25"/>
  <c r="H45" i="25"/>
  <c r="G45" i="25"/>
  <c r="R46" i="25" l="1"/>
  <c r="Q46" i="25"/>
  <c r="O46" i="25"/>
  <c r="P46" i="25"/>
  <c r="K46" i="25"/>
  <c r="M46" i="25"/>
  <c r="N46" i="25"/>
  <c r="L46" i="25"/>
  <c r="J46" i="25"/>
  <c r="E46" i="25"/>
  <c r="C46" i="25"/>
  <c r="G46" i="25"/>
  <c r="I46" i="25"/>
  <c r="F46" i="25"/>
  <c r="B47" i="25"/>
  <c r="D46" i="25"/>
  <c r="H46" i="25"/>
  <c r="M47" i="25" l="1"/>
  <c r="R47" i="25"/>
  <c r="P47" i="25"/>
  <c r="O47" i="25"/>
  <c r="N47" i="25"/>
  <c r="Q47" i="25"/>
  <c r="L47" i="25"/>
  <c r="K47" i="25"/>
  <c r="J47" i="25"/>
  <c r="D47" i="25"/>
  <c r="F47" i="25"/>
  <c r="E47" i="25"/>
  <c r="I47" i="25"/>
  <c r="C47" i="25"/>
  <c r="G47" i="25"/>
  <c r="H47" i="25"/>
  <c r="B48" i="25"/>
  <c r="P48" i="25" l="1"/>
  <c r="R48" i="25"/>
  <c r="O48" i="25"/>
  <c r="L48" i="25"/>
  <c r="Q48" i="25"/>
  <c r="M48" i="25"/>
  <c r="K48" i="25"/>
  <c r="N48" i="25"/>
  <c r="J48" i="25"/>
  <c r="C48" i="25"/>
  <c r="B49" i="25"/>
  <c r="F48" i="25"/>
  <c r="I48" i="25"/>
  <c r="E48" i="25"/>
  <c r="D48" i="25"/>
  <c r="G48" i="25"/>
  <c r="H48" i="25"/>
  <c r="Q49" i="25" l="1"/>
  <c r="O49" i="25"/>
  <c r="N49" i="25"/>
  <c r="R49" i="25"/>
  <c r="K49" i="25"/>
  <c r="L49" i="25"/>
  <c r="M49" i="25"/>
  <c r="P49" i="25"/>
  <c r="J49" i="25"/>
  <c r="B50" i="25"/>
  <c r="F49" i="25"/>
  <c r="H49" i="25"/>
  <c r="C49" i="25"/>
  <c r="D49" i="25"/>
  <c r="G49" i="25"/>
  <c r="E49" i="25"/>
  <c r="I49" i="25"/>
  <c r="N50" i="25" l="1"/>
  <c r="O50" i="25"/>
  <c r="L50" i="25"/>
  <c r="J50" i="25"/>
  <c r="K50" i="25"/>
  <c r="P50" i="25"/>
  <c r="R50" i="25"/>
  <c r="M50" i="25"/>
  <c r="Q50" i="25"/>
  <c r="I50" i="25"/>
  <c r="C50" i="25"/>
  <c r="H50" i="25"/>
  <c r="D50" i="25"/>
  <c r="B51" i="25"/>
  <c r="F50" i="25"/>
  <c r="E50" i="25"/>
  <c r="G50" i="25"/>
  <c r="P51" i="25" l="1"/>
  <c r="O51" i="25"/>
  <c r="J51" i="25"/>
  <c r="N51" i="25"/>
  <c r="L51" i="25"/>
  <c r="K51" i="25"/>
  <c r="R51" i="25"/>
  <c r="M51" i="25"/>
  <c r="Q51" i="25"/>
  <c r="C51" i="25"/>
  <c r="F51" i="25"/>
  <c r="D51" i="25"/>
  <c r="E51" i="25"/>
  <c r="G51" i="25"/>
  <c r="I51" i="25"/>
  <c r="B52" i="25"/>
  <c r="H51" i="25"/>
  <c r="J52" i="25" l="1"/>
  <c r="L52" i="25"/>
  <c r="O52" i="25"/>
  <c r="N52" i="25"/>
  <c r="M52" i="25"/>
  <c r="P52" i="25"/>
  <c r="R52" i="25"/>
  <c r="Q52" i="25"/>
  <c r="K52" i="25"/>
  <c r="B53" i="25"/>
  <c r="D52" i="25"/>
  <c r="F52" i="25"/>
  <c r="C52" i="25"/>
  <c r="H52" i="25"/>
  <c r="G52" i="25"/>
  <c r="I52" i="25"/>
  <c r="E52" i="25"/>
  <c r="N53" i="25" l="1"/>
  <c r="R53" i="25"/>
  <c r="L53" i="25"/>
  <c r="O53" i="25"/>
  <c r="Q53" i="25"/>
  <c r="M53" i="25"/>
  <c r="J53" i="25"/>
  <c r="P53" i="25"/>
  <c r="K53" i="25"/>
  <c r="E53" i="25"/>
  <c r="H53" i="25"/>
  <c r="G53" i="25"/>
  <c r="I53" i="25"/>
  <c r="D53" i="25"/>
  <c r="C53" i="25"/>
  <c r="B54" i="25"/>
  <c r="F53" i="25"/>
  <c r="J54" i="25" l="1"/>
  <c r="Q54" i="25"/>
  <c r="N54" i="25"/>
  <c r="M54" i="25"/>
  <c r="K54" i="25"/>
  <c r="L54" i="25"/>
  <c r="R54" i="25"/>
  <c r="P54" i="25"/>
  <c r="O54" i="25"/>
  <c r="H54" i="25"/>
  <c r="D54" i="25"/>
  <c r="F54" i="25"/>
  <c r="E54" i="25"/>
  <c r="I54" i="25"/>
  <c r="C54" i="25"/>
  <c r="B55" i="25"/>
  <c r="G54" i="25"/>
  <c r="M55" i="25" l="1"/>
  <c r="N55" i="25"/>
  <c r="L55" i="25"/>
  <c r="J55" i="25"/>
  <c r="O55" i="25"/>
  <c r="Q55" i="25"/>
  <c r="R55" i="25"/>
  <c r="P55" i="25"/>
  <c r="K55" i="25"/>
  <c r="B56" i="25"/>
  <c r="H55" i="25"/>
  <c r="E55" i="25"/>
  <c r="G55" i="25"/>
  <c r="C55" i="25"/>
  <c r="F55" i="25"/>
  <c r="D55" i="25"/>
  <c r="I55" i="25"/>
  <c r="M56" i="25" l="1"/>
  <c r="Q56" i="25"/>
  <c r="O56" i="25"/>
  <c r="K56" i="25"/>
  <c r="J56" i="25"/>
  <c r="P56" i="25"/>
  <c r="N56" i="25"/>
  <c r="L56" i="25"/>
  <c r="R56" i="25"/>
  <c r="I56" i="25"/>
  <c r="F56" i="25"/>
  <c r="C56" i="25"/>
  <c r="H56" i="25"/>
  <c r="E56" i="25"/>
  <c r="D56" i="25"/>
  <c r="G56" i="25"/>
  <c r="B57" i="25"/>
  <c r="Q57" i="25" l="1"/>
  <c r="O57" i="25"/>
  <c r="M57" i="25"/>
  <c r="R57" i="25"/>
  <c r="L57" i="25"/>
  <c r="P57" i="25"/>
  <c r="K57" i="25"/>
  <c r="J57" i="25"/>
  <c r="N57" i="25"/>
  <c r="G57" i="25"/>
  <c r="B58" i="25"/>
  <c r="E57" i="25"/>
  <c r="D57" i="25"/>
  <c r="F57" i="25"/>
  <c r="H57" i="25"/>
  <c r="I57" i="25"/>
  <c r="C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<sst xmlns="http://schemas.openxmlformats.org/spreadsheetml/2006/main" count="5203" uniqueCount="2011">
  <si>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</si>
  <si>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</si>
  <si>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</si>
  <si>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</si>
  <si>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</si>
  <si>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</si>
  <si>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</si>
  <si>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</si>
  <si>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</si>
  <si>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</si>
  <si>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</si>
  <si>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</si>
  <si>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</si>
  <si>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</si>
  <si>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</si>
  <si>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</si>
  <si>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</si>
  <si>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</si>
  <si>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</si>
  <si>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</si>
  <si>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</si>
  <si>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</si>
  <si>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</si>
  <si>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</si>
  <si>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</si>
  <si>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</si>
  <si>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</si>
  <si>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</si>
  <si>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</si>
  <si>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</si>
  <si>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</si>
  <si>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</si>
  <si>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</si>
  <si>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</si>
  <si>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</si>
  <si>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</si>
  <si>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</si>
  <si>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</si>
  <si>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</si>
  <si>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</si>
  <si>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</si>
  <si>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</si>
  <si>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</si>
  <si>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</si>
  <si>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</si>
  <si>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</si>
  <si>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</si>
  <si>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</si>
  <si>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</si>
  <si>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</si>
  <si>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</si>
  <si>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</si>
  <si>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</si>
  <si>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</si>
  <si>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</si>
  <si>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</si>
  <si>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</si>
  <si>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</si>
  <si>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</si>
  <si>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</si>
  <si>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</si>
  <si>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</si>
  <si>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</si>
  <si>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</si>
  <si>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</si>
  <si>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</si>
  <si>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</si>
  <si>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</si>
  <si>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</si>
  <si>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</si>
  <si>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</si>
  <si>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</si>
  <si>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</si>
  <si>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</si>
  <si>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</si>
  <si>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</si>
  <si>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</si>
  <si>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</si>
  <si>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</si>
  <si>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</si>
  <si>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</si>
  <si>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</si>
  <si>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</si>
  <si>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</si>
  <si>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</si>
  <si>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</si>
  <si>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</si>
  <si>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</si>
  <si>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</si>
  <si>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</si>
  <si>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</si>
  <si>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</si>
  <si>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</si>
  <si>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</si>
  <si>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</si>
  <si>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</si>
  <si>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</si>
  <si>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</si>
  <si>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</si>
  <si>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</si>
  <si>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</si>
  <si>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</si>
  <si>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</si>
  <si>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</si>
  <si>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</si>
  <si>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</si>
  <si>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</si>
  <si>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</si>
  <si>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</si>
  <si>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</si>
  <si>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</si>
  <si>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</si>
  <si>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</si>
  <si>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</si>
  <si>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</si>
  <si>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</si>
  <si>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</si>
  <si>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</si>
  <si>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</si>
  <si>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</si>
  <si>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</si>
  <si>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</si>
  <si>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</si>
  <si>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</si>
  <si>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</si>
  <si>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</si>
  <si>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</si>
  <si>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</si>
  <si>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</si>
  <si>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</si>
  <si>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</si>
  <si>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</si>
  <si>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</si>
  <si>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</si>
  <si>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</si>
  <si>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</si>
  <si>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</si>
  <si>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</si>
  <si>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</si>
  <si>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</si>
  <si>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</si>
  <si>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</si>
  <si>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</si>
  <si>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</si>
  <si>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</si>
  <si>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</si>
  <si>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</si>
  <si>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</si>
  <si>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</si>
  <si>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</si>
  <si>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</si>
  <si>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</si>
  <si>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</si>
  <si>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</si>
  <si>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</si>
  <si>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</si>
  <si>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</si>
  <si>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</si>
  <si>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</si>
  <si>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</si>
  <si>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</si>
  <si>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</si>
  <si>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</si>
  <si>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</si>
  <si>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</si>
  <si>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</si>
  <si>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</si>
  <si>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</si>
  <si>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</si>
  <si>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</si>
  <si>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</si>
  <si>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</si>
  <si>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</si>
  <si>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</si>
  <si>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</si>
  <si>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</si>
  <si>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</si>
  <si>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</si>
  <si>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</si>
  <si>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</si>
  <si>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</si>
  <si>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</si>
  <si>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</si>
  <si>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</si>
  <si>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</si>
  <si>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</si>
  <si>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</si>
  <si>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</si>
  <si>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</si>
  <si>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</si>
  <si>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</si>
  <si>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</si>
  <si>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</si>
  <si>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</si>
  <si>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</si>
  <si>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</si>
  <si>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</si>
  <si>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</si>
  <si>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</si>
  <si>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</si>
  <si>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</si>
  <si>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</si>
  <si>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</si>
  <si>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</si>
  <si>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</si>
  <si>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</si>
  <si>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</si>
  <si>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</si>
  <si>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</si>
  <si>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</si>
  <si>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</si>
  <si>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</si>
  <si>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</si>
  <si>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</si>
  <si>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</si>
  <si>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</si>
  <si>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</si>
  <si>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</si>
  <si>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</si>
  <si>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</si>
  <si>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</si>
  <si>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</si>
  <si>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</si>
  <si>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</si>
  <si>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</si>
  <si>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</si>
  <si>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</si>
  <si>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</si>
  <si>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</si>
  <si>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</si>
  <si>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</si>
  <si>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</si>
  <si>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</si>
  <si>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</si>
  <si>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</si>
  <si>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</si>
  <si>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</si>
  <si>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</si>
  <si>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</si>
  <si>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</si>
  <si>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</si>
  <si>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</si>
  <si>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</si>
  <si>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</si>
  <si>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</si>
  <si>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</si>
  <si>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</si>
  <si>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</si>
  <si>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</si>
  <si>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</si>
  <si>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</si>
  <si>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</si>
  <si>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</si>
  <si>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</si>
  <si>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</si>
  <si>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</si>
  <si>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</si>
  <si>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</si>
  <si>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</si>
  <si>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</si>
  <si>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</si>
  <si>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</si>
  <si>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</si>
  <si>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</si>
  <si>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</si>
  <si>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</si>
  <si>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</si>
  <si>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</si>
  <si>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</si>
  <si>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</si>
  <si>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</si>
  <si>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</si>
  <si>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</si>
  <si>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</si>
  <si>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</si>
  <si>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</si>
  <si>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</si>
  <si>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</si>
  <si>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</si>
  <si>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</si>
  <si>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</si>
  <si>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</si>
  <si>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</si>
  <si>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</si>
  <si>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</si>
  <si>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</si>
  <si>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</si>
  <si>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</si>
  <si>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</si>
  <si>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</si>
  <si>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</si>
  <si>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</si>
  <si>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</si>
  <si>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</si>
  <si>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</si>
  <si>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</si>
  <si>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</si>
  <si>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</si>
  <si>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</si>
  <si>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</si>
  <si>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</si>
  <si>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</si>
  <si>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</si>
  <si>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</si>
  <si>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</si>
  <si>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</si>
  <si>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</si>
  <si>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</si>
  <si>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</si>
  <si>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</si>
  <si>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</si>
  <si>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</si>
  <si>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</si>
  <si>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</si>
  <si>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</si>
  <si>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</si>
  <si>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</si>
  <si>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</si>
  <si>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</si>
  <si>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</si>
  <si>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</si>
  <si>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</si>
  <si>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</si>
  <si>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</si>
  <si>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</si>
  <si>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</si>
  <si>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</si>
  <si>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</si>
  <si>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</si>
  <si>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</si>
  <si>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</si>
  <si>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</si>
  <si>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</si>
  <si>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</si>
  <si>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</si>
  <si>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</si>
  <si>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</si>
  <si>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</si>
  <si>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</si>
  <si>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</si>
  <si>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</si>
  <si>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</si>
  <si>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</si>
  <si>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</si>
  <si>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</si>
  <si>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</si>
  <si>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</si>
  <si>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</si>
  <si>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</si>
  <si>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</si>
  <si>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</si>
  <si>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</si>
  <si>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</si>
  <si>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</si>
  <si>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</si>
  <si>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</si>
  <si>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</si>
  <si>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</si>
  <si>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</si>
  <si>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</si>
  <si>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</si>
  <si>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</si>
  <si>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</si>
  <si>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</si>
  <si>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</si>
  <si>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</si>
  <si>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</si>
  <si>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</si>
  <si>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</si>
  <si>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</si>
  <si>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</si>
  <si>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</si>
  <si>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</si>
  <si>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</si>
  <si>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</si>
  <si>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</si>
  <si>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</si>
  <si>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</si>
  <si>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</si>
  <si>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</si>
  <si>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</si>
  <si>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</si>
  <si>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</si>
  <si>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</si>
  <si>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</si>
  <si>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</si>
  <si>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</si>
  <si>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</si>
  <si>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</si>
  <si>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</si>
  <si>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</si>
  <si>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</si>
  <si>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</si>
  <si>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</si>
  <si>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</si>
  <si>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</si>
  <si>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</si>
  <si>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</si>
  <si>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</si>
  <si>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</si>
  <si>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</si>
  <si>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</si>
  <si>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</si>
  <si>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</si>
  <si>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</si>
  <si>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</si>
  <si>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</si>
  <si>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</si>
  <si>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</si>
  <si>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</si>
  <si>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</si>
  <si>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</si>
  <si>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</si>
  <si>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</si>
  <si>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</si>
  <si>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</si>
  <si>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</si>
  <si>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</si>
  <si>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</si>
  <si>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</si>
  <si>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</si>
  <si>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</si>
  <si>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</si>
  <si>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</si>
  <si>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</si>
  <si>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</si>
  <si>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</si>
  <si>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</si>
  <si>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</si>
  <si>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</si>
  <si>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</si>
  <si>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</si>
  <si>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</si>
  <si>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</si>
  <si>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</si>
  <si>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</si>
  <si>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</si>
  <si>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</si>
  <si>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</si>
  <si>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</si>
  <si>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</si>
  <si>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</si>
  <si>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</si>
  <si>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</si>
  <si>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</si>
  <si>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</si>
  <si>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</si>
  <si>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</si>
  <si>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</si>
  <si>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</si>
  <si>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</si>
  <si>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</si>
  <si>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</si>
  <si>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</si>
  <si>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</si>
  <si>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</si>
  <si>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</si>
  <si>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</si>
  <si>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</si>
  <si>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</si>
  <si>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</si>
  <si>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</si>
  <si>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</si>
  <si>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</si>
  <si>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</si>
  <si>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</si>
  <si>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</si>
  <si>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</si>
  <si>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</si>
  <si>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</si>
  <si>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</si>
  <si>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</si>
  <si>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</si>
  <si>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</si>
  <si>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</si>
  <si>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</si>
  <si>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</si>
  <si>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</si>
  <si>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</si>
  <si>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</si>
  <si>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</si>
  <si>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</si>
  <si>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</si>
  <si>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</si>
  <si>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</si>
  <si>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</si>
  <si>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</si>
  <si>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</si>
  <si>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</si>
  <si>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</si>
  <si>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</si>
  <si>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</si>
  <si>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</si>
  <si>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</si>
  <si>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</si>
  <si>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</si>
  <si>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</si>
  <si>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</si>
  <si>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</si>
  <si>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</si>
  <si>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</si>
  <si>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</si>
  <si>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</si>
  <si>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</si>
  <si>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</si>
  <si>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</si>
  <si>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</si>
  <si>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</si>
  <si>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</si>
  <si>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</si>
  <si>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</si>
  <si>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</si>
  <si>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</si>
  <si>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</si>
  <si>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</si>
  <si>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</si>
  <si>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</si>
  <si>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</si>
  <si>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</si>
  <si>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</si>
  <si>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</si>
  <si>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</si>
  <si>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</si>
  <si>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</si>
  <si>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</si>
  <si>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</si>
  <si>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</si>
  <si>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</si>
  <si>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</si>
  <si>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</si>
  <si>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</si>
  <si>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</si>
  <si>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</si>
  <si>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</si>
  <si>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</si>
  <si>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</si>
  <si>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</si>
  <si>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</si>
  <si>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</si>
  <si>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</si>
  <si>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</si>
  <si>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</si>
  <si>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</si>
  <si>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</si>
  <si>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</si>
  <si>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</si>
  <si>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</si>
  <si>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</si>
  <si>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</si>
  <si>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</si>
  <si>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</si>
  <si>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</si>
  <si>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</si>
  <si>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</si>
  <si>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</si>
  <si>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</si>
  <si>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</si>
  <si>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</si>
  <si>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</si>
  <si>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</si>
  <si>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</si>
  <si>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</si>
  <si>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</si>
  <si>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</si>
  <si>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</si>
  <si>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</si>
  <si>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</si>
  <si>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</si>
  <si>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</si>
  <si>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</si>
  <si>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</si>
  <si>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</si>
  <si>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</si>
  <si>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</si>
  <si>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</si>
  <si>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</si>
  <si>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</si>
  <si>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</si>
  <si>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</si>
  <si>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</si>
  <si>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</si>
  <si>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</si>
  <si>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</si>
  <si>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</si>
  <si>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</si>
  <si>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</si>
  <si>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</si>
  <si>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</si>
  <si>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</si>
  <si>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</si>
  <si>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</si>
  <si>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</si>
  <si>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</si>
  <si>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</si>
  <si>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</si>
  <si>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</si>
  <si>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</si>
  <si>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</si>
  <si>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</si>
  <si>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</si>
  <si>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</si>
  <si>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</si>
  <si>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</si>
  <si>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</si>
  <si>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</si>
  <si>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</si>
  <si>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</si>
  <si>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</si>
  <si>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</si>
  <si>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</si>
  <si>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</si>
  <si>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</si>
  <si>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</si>
  <si>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</si>
  <si>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</si>
  <si>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</si>
  <si>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</si>
  <si>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</si>
  <si>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</si>
  <si>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</si>
  <si>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</si>
  <si>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</si>
  <si>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</si>
  <si>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</si>
  <si>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</si>
  <si>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</si>
  <si>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</si>
  <si>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</si>
  <si>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</si>
  <si>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</si>
  <si>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</si>
  <si>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</si>
  <si>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</si>
  <si>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</si>
  <si>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</si>
  <si>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</si>
  <si>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</si>
  <si>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</si>
  <si>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</si>
  <si>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</si>
  <si>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</si>
  <si>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</si>
  <si>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</si>
  <si>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</si>
  <si>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</si>
  <si>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</si>
  <si>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</si>
  <si>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</si>
  <si>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</si>
  <si>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</si>
  <si>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</si>
  <si>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</si>
  <si>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</si>
  <si>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</si>
  <si>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</si>
  <si>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</si>
  <si>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</si>
  <si>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</si>
  <si>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</si>
  <si>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</si>
  <si>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</si>
  <si>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</si>
  <si>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</si>
  <si>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</si>
  <si>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</si>
  <si>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</si>
  <si>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</si>
  <si>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</si>
  <si>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</si>
  <si>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</si>
  <si>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</si>
  <si>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</si>
  <si>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</si>
  <si>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</si>
  <si>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</si>
  <si>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</si>
  <si>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</si>
  <si>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</si>
  <si>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</si>
  <si>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</si>
  <si>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</si>
  <si>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</si>
  <si>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</si>
  <si>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</si>
  <si>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</si>
  <si>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</si>
  <si>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</si>
  <si>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</si>
  <si>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</si>
  <si>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</si>
  <si>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</si>
  <si>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</si>
  <si>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</si>
  <si>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</si>
  <si>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</si>
  <si>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</si>
  <si>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</si>
  <si>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</si>
  <si>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</si>
  <si>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</si>
  <si>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</si>
  <si>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</si>
  <si>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</si>
  <si>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</si>
  <si>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</si>
  <si>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</si>
  <si>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</si>
  <si>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</si>
  <si>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</si>
  <si>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</si>
  <si>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</si>
  <si>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</si>
  <si>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</si>
  <si>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</si>
  <si>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</si>
  <si>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</si>
  <si>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</si>
  <si>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</si>
  <si>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</si>
  <si>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</si>
  <si>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</si>
  <si>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</si>
  <si>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</si>
  <si>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</si>
  <si>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</si>
  <si>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</si>
  <si>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</si>
  <si>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</si>
  <si>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</si>
  <si>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</si>
  <si>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</si>
  <si>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</si>
  <si>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</si>
  <si>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</si>
  <si>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</si>
  <si>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</si>
  <si>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</si>
  <si>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</si>
  <si>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</si>
  <si>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</si>
  <si>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</si>
  <si>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</si>
  <si>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</si>
  <si>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</si>
  <si>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</si>
  <si>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</si>
  <si>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</si>
  <si>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</si>
  <si>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</si>
  <si>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</si>
  <si>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</si>
  <si>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</si>
  <si>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</si>
  <si>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</si>
  <si>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</si>
  <si>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</si>
  <si>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</si>
  <si>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</si>
  <si>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</si>
  <si>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</si>
  <si>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</si>
  <si>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</si>
  <si>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</si>
  <si>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</si>
  <si>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</si>
  <si>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</si>
  <si>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</si>
  <si>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</si>
  <si>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</si>
  <si>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</si>
  <si>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</si>
  <si>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</si>
  <si>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</si>
  <si>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</si>
  <si>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</si>
  <si>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</si>
  <si>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</si>
  <si>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</si>
  <si>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</si>
  <si>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</si>
  <si>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</si>
  <si>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</si>
  <si>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</si>
  <si>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</si>
  <si>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</si>
  <si>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</si>
  <si>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</si>
  <si>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</si>
  <si>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</si>
  <si>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</si>
  <si>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</si>
  <si>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</si>
  <si>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</si>
  <si>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</si>
  <si>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</si>
  <si>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</si>
  <si>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</si>
  <si>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</si>
  <si>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</si>
  <si>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</si>
  <si>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</si>
  <si>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</si>
  <si>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</si>
  <si>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</si>
  <si>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</si>
  <si>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</si>
  <si>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</si>
  <si>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</si>
  <si>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</si>
  <si>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</si>
  <si>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</si>
  <si>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</si>
  <si>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</si>
  <si>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</si>
  <si>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</si>
  <si>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</si>
  <si>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</si>
  <si>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</si>
  <si>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</si>
  <si>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</si>
  <si>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</si>
  <si>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</si>
  <si>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</si>
  <si>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</si>
  <si>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</si>
  <si>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</si>
  <si>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</si>
  <si>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</si>
  <si>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</si>
  <si>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</si>
  <si>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</si>
  <si>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</si>
  <si>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</si>
  <si>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</si>
  <si>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</si>
  <si>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</si>
  <si>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</si>
  <si>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</si>
  <si>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</si>
  <si>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</si>
  <si>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</si>
  <si>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</si>
  <si>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</si>
  <si>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</si>
  <si>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</si>
  <si>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</si>
  <si>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</si>
  <si>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</si>
  <si>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</si>
  <si>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</si>
  <si>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</si>
  <si>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</si>
  <si>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</si>
  <si>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</si>
  <si>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</si>
  <si>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</si>
  <si>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</si>
  <si>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</si>
  <si>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</si>
  <si>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</si>
  <si>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</si>
  <si>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</si>
  <si>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</si>
  <si>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</si>
  <si>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</si>
  <si>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</si>
  <si>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</si>
  <si>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</si>
  <si>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</si>
  <si>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</si>
  <si>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</si>
  <si>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</si>
  <si>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</si>
  <si>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</si>
  <si>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</si>
  <si>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</si>
  <si>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</si>
  <si>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</si>
  <si>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</si>
  <si>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</si>
  <si>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</si>
  <si>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</si>
  <si>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</si>
  <si>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</si>
  <si>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</si>
  <si>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</si>
  <si>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</si>
  <si>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</si>
  <si>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</si>
  <si>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</si>
  <si>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</si>
  <si>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</si>
  <si>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</si>
  <si>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</si>
  <si>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</si>
  <si>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</si>
  <si>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</si>
  <si>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</si>
  <si>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</si>
  <si>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</si>
  <si>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</si>
  <si>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</si>
  <si>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</si>
  <si>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</si>
  <si>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</si>
  <si>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</si>
  <si>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</si>
  <si>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</si>
  <si>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</si>
  <si>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</si>
  <si>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</si>
  <si>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</si>
  <si>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</si>
  <si>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</si>
  <si>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</si>
  <si>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</si>
  <si>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</si>
  <si>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</si>
  <si>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</si>
  <si>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</si>
  <si>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</si>
  <si>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</si>
  <si>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</si>
  <si>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</si>
  <si>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</si>
  <si>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</si>
  <si>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</si>
  <si>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</si>
  <si>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</si>
  <si>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</si>
  <si>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</si>
  <si>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</si>
  <si>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</si>
  <si>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</si>
  <si>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</si>
  <si>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</si>
  <si>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</si>
  <si>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</si>
  <si>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</si>
  <si>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</si>
  <si>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</si>
  <si>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</si>
  <si>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</si>
  <si>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</si>
  <si>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</si>
  <si>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</si>
  <si>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</si>
  <si>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</si>
  <si>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</si>
  <si>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</si>
  <si>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</si>
  <si>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</si>
  <si>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</si>
  <si>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</si>
  <si>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</si>
  <si>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</si>
  <si>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</si>
  <si>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</si>
  <si>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</si>
  <si>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</si>
  <si>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</si>
  <si>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</si>
  <si>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</si>
  <si>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</si>
  <si>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</si>
  <si>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</si>
  <si>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</si>
  <si>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</si>
  <si>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</si>
  <si>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</si>
  <si>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</si>
  <si>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</si>
  <si>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</si>
  <si>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</si>
  <si>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</si>
  <si>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</si>
  <si>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</si>
  <si>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</si>
  <si>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</si>
  <si>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</si>
  <si>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</si>
  <si>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</si>
  <si>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</si>
  <si>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</si>
  <si>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</si>
  <si>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</si>
  <si>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</si>
  <si>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</si>
  <si>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</si>
  <si>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</si>
  <si>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</si>
  <si>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</si>
  <si>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</si>
  <si>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</si>
  <si>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</si>
  <si>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</si>
  <si>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</si>
  <si>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</si>
  <si>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</si>
  <si>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</si>
  <si>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</si>
  <si>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</si>
  <si>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</si>
  <si>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</si>
  <si>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</si>
  <si>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</si>
  <si>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</si>
  <si>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</si>
  <si>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</si>
  <si>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</si>
  <si>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</si>
  <si>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</si>
  <si>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</si>
  <si>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</si>
  <si>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</si>
  <si>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</si>
  <si>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</si>
  <si>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</si>
  <si>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</si>
  <si>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</si>
  <si>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</si>
  <si>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</si>
  <si>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</si>
  <si>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</si>
  <si>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</si>
  <si>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</si>
  <si>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</si>
  <si>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</si>
  <si>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</si>
  <si>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</si>
  <si>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</si>
  <si>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</si>
  <si>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</si>
  <si>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</si>
  <si>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</si>
  <si>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</si>
  <si>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</si>
  <si>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</si>
  <si>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</si>
  <si>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</si>
  <si>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</si>
  <si>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</si>
  <si>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</si>
  <si>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</si>
  <si>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</si>
  <si>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</si>
  <si>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</si>
  <si>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</si>
  <si>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</si>
  <si>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</si>
  <si>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</si>
  <si>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</si>
  <si>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</si>
  <si>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</si>
  <si>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</si>
  <si>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</si>
  <si>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</si>
  <si>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</si>
  <si>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</si>
  <si>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</si>
  <si>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</si>
  <si>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</si>
  <si>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</si>
  <si>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</si>
  <si>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</si>
  <si>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</si>
  <si>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</si>
  <si>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</si>
  <si>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</si>
  <si>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</si>
  <si>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</si>
  <si>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</si>
  <si>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</si>
  <si>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</si>
  <si>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</si>
  <si>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</si>
  <si>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</si>
  <si>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</si>
  <si>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</si>
  <si>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</si>
  <si>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</si>
  <si>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</si>
  <si>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</si>
  <si>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</si>
  <si>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</si>
  <si>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</si>
  <si>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</si>
  <si>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</si>
  <si>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</si>
  <si>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</si>
  <si>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</si>
  <si>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</si>
  <si>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</si>
  <si>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</si>
  <si>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</si>
  <si>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</si>
  <si>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</si>
  <si>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</si>
  <si>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</si>
  <si>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</si>
  <si>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</si>
  <si>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</si>
  <si>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</si>
  <si>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</si>
  <si>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</si>
  <si>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</si>
  <si>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</si>
  <si>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</si>
  <si>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</si>
  <si>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</si>
  <si>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</si>
  <si>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</si>
  <si>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</si>
  <si>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</si>
  <si>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</si>
  <si>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</si>
  <si>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</si>
  <si>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</si>
  <si>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</si>
  <si>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</si>
  <si>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</si>
  <si>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</si>
  <si>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</si>
  <si>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</si>
  <si>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</si>
  <si>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</si>
  <si>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</si>
  <si>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</si>
  <si>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</si>
  <si>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</si>
  <si>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</si>
  <si>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</si>
  <si>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</si>
  <si>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</si>
  <si>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</si>
  <si>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</si>
  <si>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</si>
  <si>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</si>
  <si>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</si>
  <si>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</si>
  <si>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</si>
  <si>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</si>
  <si>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</si>
  <si>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</si>
  <si>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</si>
  <si>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</si>
  <si>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</si>
  <si>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</si>
  <si>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</si>
  <si>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</si>
  <si>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</si>
  <si>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</si>
  <si>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</si>
  <si>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</si>
  <si>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</si>
  <si>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</si>
  <si>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</si>
  <si>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</si>
  <si>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</si>
  <si>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</si>
  <si>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</si>
  <si>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</si>
  <si>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</si>
  <si>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</si>
  <si>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</si>
  <si>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</si>
  <si>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</si>
  <si>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</si>
  <si>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</si>
  <si>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</si>
  <si>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</si>
  <si>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</si>
  <si>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</si>
  <si>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</si>
  <si>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</si>
  <si>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</si>
  <si>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</si>
  <si>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</si>
  <si>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</si>
  <si>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</si>
  <si>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</si>
  <si>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</si>
  <si>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</si>
  <si>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</si>
  <si>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</si>
  <si>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</si>
  <si>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</si>
  <si>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</si>
  <si>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</si>
  <si>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</si>
  <si>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</si>
  <si>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</si>
  <si>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</si>
  <si>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</si>
  <si>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</si>
  <si>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</si>
  <si>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</si>
  <si>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</si>
  <si>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</si>
  <si>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</si>
  <si>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</si>
  <si>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</si>
  <si>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</si>
  <si>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</si>
  <si>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</si>
  <si>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</si>
  <si>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</si>
  <si>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</si>
  <si>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</si>
  <si>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</si>
  <si>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</si>
  <si>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</si>
  <si>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</si>
  <si>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</si>
  <si>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</si>
  <si>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</si>
  <si>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</si>
  <si>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</si>
  <si>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</si>
  <si>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</si>
  <si>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</si>
  <si>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</si>
  <si>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</si>
  <si>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</si>
  <si>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</si>
  <si>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</si>
  <si>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</si>
  <si>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</si>
  <si>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</si>
  <si>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</si>
  <si>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</si>
  <si>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</si>
  <si>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</si>
  <si>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</si>
  <si>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</si>
  <si>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</si>
  <si>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</si>
  <si>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</si>
  <si>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</si>
  <si>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</si>
  <si>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</si>
  <si>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</si>
  <si>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</si>
  <si>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</si>
  <si>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</si>
  <si>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</si>
  <si>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</si>
  <si>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</si>
  <si>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</si>
  <si>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</si>
  <si>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</si>
  <si>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</si>
  <si>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</si>
  <si>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</si>
  <si>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</si>
  <si>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</si>
  <si>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</si>
  <si>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</si>
  <si>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</si>
  <si>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</si>
  <si>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</si>
  <si>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</si>
  <si>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</si>
  <si>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</si>
  <si>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</si>
  <si>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</si>
  <si>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</si>
  <si>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</si>
  <si>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</si>
  <si>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</si>
  <si>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</si>
  <si>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</si>
  <si>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</si>
  <si>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</si>
  <si>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</si>
  <si>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</si>
  <si>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</si>
  <si>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</si>
  <si>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</si>
  <si>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</si>
  <si>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</si>
  <si>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</si>
  <si>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</si>
  <si>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</si>
  <si>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</si>
  <si>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</si>
  <si>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</si>
  <si>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</si>
  <si>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</si>
  <si>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</si>
  <si>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</si>
  <si>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</si>
  <si>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</si>
  <si>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</si>
  <si>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</si>
  <si>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</si>
  <si>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</si>
  <si>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</si>
  <si>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</si>
  <si>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</si>
  <si>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</si>
  <si>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</si>
  <si>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</si>
  <si>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</si>
  <si>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</si>
  <si>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</si>
  <si>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</si>
  <si>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</si>
  <si>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</si>
  <si>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</si>
  <si>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</si>
  <si>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</si>
  <si>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</si>
  <si>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</si>
  <si>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</si>
  <si>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</si>
  <si>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</si>
  <si>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</si>
  <si>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</si>
  <si>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</si>
  <si>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</si>
  <si>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</si>
  <si>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</si>
  <si>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</si>
  <si>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</si>
  <si>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</si>
  <si>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</si>
  <si>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</si>
  <si>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</si>
  <si>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</si>
  <si>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</si>
  <si>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</si>
  <si>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</si>
  <si>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</si>
  <si>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</si>
  <si>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</si>
  <si>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</si>
  <si>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</si>
  <si>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</si>
  <si>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</si>
  <si>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</si>
  <si>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</si>
  <si>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</si>
  <si>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</si>
  <si>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</si>
  <si>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</si>
  <si>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</si>
  <si>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</si>
  <si>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</si>
  <si>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</si>
  <si>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</si>
  <si>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</si>
  <si>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</si>
  <si>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</si>
  <si>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</si>
  <si>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</si>
  <si>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</si>
  <si>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</si>
  <si>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</si>
  <si>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</si>
  <si>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</si>
  <si>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</si>
  <si>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</si>
  <si>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</si>
  <si>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</si>
  <si>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</si>
  <si>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</si>
  <si>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</si>
  <si>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</si>
  <si>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</si>
  <si>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</si>
  <si>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</si>
  <si>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</si>
  <si>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</si>
  <si>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</si>
  <si>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</si>
  <si>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</si>
  <si>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</si>
  <si>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</si>
  <si>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</si>
  <si>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</si>
  <si>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</si>
  <si>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</si>
  <si>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</si>
  <si>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</si>
  <si>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</si>
  <si>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</si>
  <si>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</si>
  <si>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</si>
  <si>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</si>
  <si>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</si>
  <si>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</si>
  <si>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</si>
  <si>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</si>
  <si>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</si>
  <si>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</si>
  <si>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</si>
  <si>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</si>
  <si>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</si>
  <si>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</si>
  <si>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</si>
  <si>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</si>
  <si>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</si>
  <si>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</si>
  <si>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</si>
  <si>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</si>
  <si>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</si>
  <si>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</si>
  <si>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</si>
  <si>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</si>
  <si>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</si>
  <si>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</si>
  <si>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</si>
  <si>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</si>
  <si>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</si>
  <si>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</si>
  <si>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</si>
  <si>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</si>
  <si>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</si>
  <si>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</si>
  <si>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</si>
  <si>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</si>
  <si>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</si>
  <si>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</si>
  <si>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</si>
  <si>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</si>
  <si>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</si>
  <si>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</si>
  <si>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</si>
  <si>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</si>
  <si>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</si>
  <si>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</si>
  <si>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</si>
  <si>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</si>
  <si>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</si>
  <si>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</si>
  <si>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</si>
  <si>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</si>
  <si>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</si>
  <si>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</si>
  <si>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</si>
  <si>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</si>
  <si>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</si>
  <si>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</si>
  <si>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</si>
  <si>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</si>
  <si>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</si>
  <si>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</si>
  <si>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</si>
  <si>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</si>
  <si>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</si>
  <si>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</si>
  <si>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</si>
  <si>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</si>
  <si>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</si>
  <si>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</si>
  <si>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</si>
  <si>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</si>
  <si>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</si>
  <si>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</si>
  <si>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</si>
  <si>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</si>
  <si>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</si>
  <si>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</si>
  <si>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</si>
  <si>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</si>
  <si>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</si>
  <si>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</si>
  <si>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</si>
  <si>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</si>
  <si>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</si>
  <si>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</si>
  <si>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</si>
  <si>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</si>
  <si>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</si>
  <si>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</si>
  <si>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</si>
  <si>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</si>
  <si>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</si>
  <si>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</si>
  <si>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</si>
  <si>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</si>
  <si>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</si>
  <si>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</si>
  <si>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</si>
  <si>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</si>
  <si>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</si>
  <si>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</si>
  <si>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</si>
  <si>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</si>
  <si>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</si>
  <si>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</si>
  <si>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</si>
  <si>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</si>
  <si>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</si>
  <si>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</si>
  <si>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</si>
  <si>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</si>
  <si>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</si>
  <si>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</si>
  <si>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</si>
  <si>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</si>
  <si>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</si>
  <si>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</si>
  <si>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</si>
  <si>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</si>
  <si>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</si>
  <si>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</si>
  <si>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</si>
  <si>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</si>
  <si>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</si>
  <si>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</si>
  <si>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</si>
  <si>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</si>
  <si>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</si>
  <si>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</si>
  <si>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</si>
  <si>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</si>
  <si>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</si>
  <si>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</si>
  <si>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</si>
  <si>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</si>
  <si>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</si>
  <si>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</si>
  <si>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</si>
  <si>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</si>
  <si>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</si>
  <si>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</si>
  <si>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</si>
  <si>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</si>
  <si>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</si>
  <si>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</si>
  <si>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</si>
  <si>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</si>
  <si>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</si>
  <si>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</si>
  <si>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</si>
  <si>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</si>
  <si>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</si>
  <si>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</si>
  <si>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</si>
  <si>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</si>
  <si>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</si>
  <si>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</si>
  <si>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</si>
  <si>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</si>
  <si>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</si>
  <si>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</si>
  <si>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</si>
  <si>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</si>
  <si>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</si>
  <si>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</si>
  <si>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</si>
  <si>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</si>
  <si>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</si>
  <si>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</si>
  <si>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</si>
  <si>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</si>
  <si>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</si>
  <si>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</si>
  <si>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</si>
  <si>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</si>
  <si>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</si>
  <si>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</si>
  <si>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</si>
  <si>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</si>
  <si>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</si>
  <si>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</si>
  <si>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</si>
  <si>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</si>
  <si>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</si>
  <si>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</si>
  <si>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</si>
  <si>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</si>
  <si>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</si>
  <si>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</si>
  <si>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</si>
  <si>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</si>
  <si>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</si>
  <si>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</si>
  <si>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</si>
  <si>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</si>
  <si>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</si>
  <si>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</si>
  <si>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</si>
  <si>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</si>
  <si>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</si>
  <si>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</si>
  <si>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</si>
  <si>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</si>
  <si>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</si>
  <si>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</si>
  <si>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</si>
  <si>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</si>
  <si>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</si>
  <si>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</si>
  <si>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</si>
  <si>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</si>
  <si>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</si>
  <si>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</si>
  <si>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</si>
  <si>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</si>
  <si>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</si>
  <si>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</si>
  <si>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</si>
  <si>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</si>
  <si>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</si>
  <si>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</si>
  <si>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</si>
  <si>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</si>
  <si>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</si>
  <si>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</si>
  <si>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</si>
  <si>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</si>
  <si>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</si>
  <si>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</si>
  <si>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</si>
  <si>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</si>
  <si>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</si>
  <si>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</si>
  <si>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</si>
  <si>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</si>
  <si>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</si>
  <si>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</si>
  <si>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</si>
  <si>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</si>
  <si>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</si>
  <si>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</si>
  <si>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</si>
  <si>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</si>
  <si>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</si>
  <si>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</si>
  <si>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</si>
  <si>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</si>
  <si>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</si>
  <si>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</si>
  <si>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</si>
  <si>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</si>
  <si>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</si>
  <si>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</si>
  <si>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</si>
  <si>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</si>
  <si>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</si>
  <si>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</si>
  <si>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</si>
  <si>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</si>
  <si>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</si>
  <si>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</si>
  <si>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</si>
  <si>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</si>
  <si>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</si>
  <si>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</si>
  <si>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</si>
  <si>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</si>
  <si>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</si>
  <si>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</si>
  <si>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</si>
  <si>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</si>
  <si>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</si>
  <si>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</si>
  <si>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</si>
  <si>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</si>
  <si>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</si>
  <si>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</si>
  <si>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</si>
  <si>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</si>
  <si>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</si>
  <si>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</si>
  <si>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</si>
  <si>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</si>
  <si>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</si>
  <si>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</si>
  <si>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</si>
  <si>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</si>
  <si>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</si>
  <si>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</si>
  <si>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</si>
  <si>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</si>
  <si>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</si>
  <si>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</si>
  <si>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</si>
  <si>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</si>
  <si>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</si>
  <si>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</si>
  <si>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</si>
  <si>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</si>
  <si>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</si>
  <si>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</si>
  <si>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</si>
  <si>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</si>
  <si>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</si>
  <si>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</si>
  <si>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</si>
  <si>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</si>
  <si>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</si>
  <si>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</si>
  <si>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</si>
  <si>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</si>
  <si>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</si>
  <si>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</si>
  <si>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</si>
  <si>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</si>
  <si>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</si>
  <si>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</si>
  <si>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</si>
  <si>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</si>
  <si>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</si>
  <si>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</si>
  <si>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</si>
  <si>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</si>
  <si>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</si>
  <si>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</si>
  <si>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</si>
  <si>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</si>
  <si>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</si>
  <si>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</si>
  <si>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</si>
  <si>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</si>
  <si>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</si>
  <si>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</si>
  <si>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</si>
  <si>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</si>
  <si>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</si>
  <si>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</si>
  <si>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</si>
  <si>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</si>
  <si>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</si>
  <si>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</si>
  <si>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</si>
  <si>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</si>
  <si>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</si>
  <si>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</si>
  <si>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</si>
  <si>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</si>
  <si>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</si>
  <si>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</si>
  <si>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</si>
  <si>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</si>
  <si>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</si>
  <si>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</si>
  <si>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</si>
  <si>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</si>
  <si>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</si>
  <si>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</si>
  <si>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</si>
  <si>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</si>
  <si>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</si>
  <si>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</si>
  <si>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</si>
  <si>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</si>
  <si>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</si>
  <si>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</si>
  <si>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</si>
  <si>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</si>
  <si>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</si>
  <si>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</si>
  <si>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</si>
  <si>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</si>
  <si>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</si>
  <si>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</si>
  <si>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</si>
  <si>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</si>
  <si>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</si>
  <si>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</si>
  <si>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</si>
  <si>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</si>
  <si>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</si>
  <si>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</si>
  <si>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</si>
  <si>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</si>
  <si>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</si>
  <si>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</si>
  <si>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</si>
  <si>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</si>
  <si>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</si>
  <si>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</si>
  <si>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</si>
  <si>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</si>
  <si>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</si>
  <si>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</si>
  <si>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</si>
  <si>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</si>
  <si>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</si>
  <si>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</si>
  <si>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</si>
  <si>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</si>
  <si>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</si>
  <si>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</si>
  <si>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</si>
  <si>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</si>
  <si>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</si>
  <si>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</si>
  <si>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</si>
  <si>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</si>
  <si>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</si>
  <si>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</si>
  <si>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</si>
  <si>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</si>
  <si>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</si>
  <si>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</si>
  <si>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</si>
  <si>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</si>
  <si>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</si>
  <si>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</si>
  <si>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</si>
  <si>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</si>
  <si>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</si>
  <si>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</si>
  <si>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</si>
  <si>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</si>
  <si>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</si>
  <si>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</si>
  <si>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</si>
  <si>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</si>
  <si>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</si>
  <si>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</si>
  <si>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</si>
  <si>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</si>
  <si>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</si>
  <si>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</si>
  <si>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</si>
  <si>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</si>
  <si>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</si>
  <si>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</si>
  <si>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</si>
  <si>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</si>
  <si>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</si>
  <si>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</si>
  <si>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</si>
  <si>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</si>
  <si>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</si>
  <si>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</si>
  <si>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</si>
  <si>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</si>
  <si>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</si>
  <si>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</si>
  <si>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</si>
  <si>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</si>
  <si>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</si>
  <si>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</si>
  <si>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</si>
  <si>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</si>
  <si>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</si>
  <si>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</si>
  <si>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</si>
  <si>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</si>
  <si>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</si>
  <si>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</si>
  <si>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</si>
  <si>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</si>
  <si>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</si>
  <si>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</si>
  <si>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</si>
  <si>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</si>
  <si>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</si>
  <si>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</si>
  <si>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</si>
  <si>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</si>
  <si>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</si>
  <si>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</si>
  <si>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</si>
  <si>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</si>
  <si>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</si>
  <si>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</si>
  <si>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</si>
  <si>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</si>
  <si>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</si>
  <si>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</si>
  <si>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</si>
  <si>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</si>
  <si>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</si>
  <si>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</si>
  <si>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</si>
  <si>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</si>
  <si>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</si>
  <si>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</si>
  <si>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</si>
  <si>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</si>
  <si>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</si>
  <si>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</si>
  <si>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</si>
  <si>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</si>
  <si>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</si>
  <si>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</si>
  <si>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</si>
  <si>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</si>
  <si>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</si>
  <si>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</si>
  <si>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</si>
  <si>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</si>
  <si>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</si>
  <si>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</si>
  <si>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</si>
  <si>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</si>
  <si>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</si>
  <si>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</si>
  <si>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</si>
  <si>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</si>
  <si>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</si>
  <si>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</si>
  <si>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</si>
  <si>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</si>
  <si>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</si>
  <si>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</si>
  <si>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</si>
  <si>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</si>
  <si>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</si>
  <si>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</si>
  <si>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</si>
  <si>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</si>
  <si>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</si>
  <si>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</si>
  <si>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</si>
  <si>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</si>
  <si>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</si>
  <si>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</si>
  <si>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</si>
  <si>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</si>
  <si>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</si>
  <si>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</si>
  <si>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</si>
  <si>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</si>
  <si>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</si>
  <si>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</si>
  <si>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</si>
  <si>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</si>
  <si>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</si>
  <si>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</si>
  <si>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</si>
  <si>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</si>
  <si>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</si>
  <si>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</si>
  <si>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</si>
  <si>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</si>
  <si>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</si>
  <si>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</si>
  <si>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</si>
  <si>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</si>
  <si>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</si>
  <si>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</si>
  <si>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</si>
  <si>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</si>
  <si>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</si>
  <si>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</si>
  <si>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</si>
  <si>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</si>
  <si>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</si>
  <si>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</si>
  <si>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</si>
  <si>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</si>
  <si>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</si>
  <si>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</si>
  <si>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</si>
  <si>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</si>
  <si>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</si>
  <si>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</si>
  <si>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</si>
  <si>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</si>
  <si>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</si>
  <si>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</si>
  <si>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</si>
  <si>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</si>
  <si>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</si>
  <si>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</si>
  <si>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</si>
  <si>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</si>
  <si>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</si>
  <si>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</si>
  <si>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</si>
  <si>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</si>
  <si>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</si>
  <si>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</si>
  <si>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</si>
  <si>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</si>
  <si>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</si>
  <si>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</si>
  <si>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</si>
  <si>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</si>
  <si>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</si>
  <si>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</si>
  <si>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</si>
  <si>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</si>
  <si>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</si>
  <si>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</si>
  <si>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</si>
  <si>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</si>
  <si>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</si>
  <si>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</si>
  <si>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</si>
  <si>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</si>
  <si>
    <t>query1</t>
  </si>
  <si>
    <t>query2</t>
  </si>
  <si>
    <t>query3</t>
  </si>
  <si>
    <t>header1</t>
  </si>
  <si>
    <t>header2</t>
  </si>
  <si>
    <t>header3</t>
  </si>
  <si>
    <t>query1_props</t>
  </si>
  <si>
    <t>query2_props</t>
  </si>
  <si>
    <t>query3_props</t>
  </si>
  <si>
    <t>footer1</t>
  </si>
  <si>
    <t>footer2</t>
  </si>
  <si>
    <t>footer3</t>
  </si>
  <si>
    <t>object</t>
  </si>
  <si>
    <t>2019_03_28_000072_create_user_executive_table.php</t>
  </si>
  <si>
    <t>printings</t>
  </si>
  <si>
    <t>2019_03_28_000073_create_prints_table.php</t>
  </si>
  <si>
    <t>2019_11_12_125200_create_printings_table.php</t>
  </si>
  <si>
    <t>Printing</t>
  </si>
  <si>
    <t>Printing details</t>
  </si>
  <si>
    <t>Prints</t>
  </si>
  <si>
    <t>ePlus ddata for detailed transaction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</si>
</sst>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80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9">
  <autoFilter ref="A1:J74"/>
  <tableColumns count="10">
    <tableColumn id="2" name="Name" dataDxfId="478"/>
    <tableColumn id="10" name="Table" dataDxfId="477">
      <calculatedColumnFormula>Tables[Name]</calculatedColumnFormula>
    </tableColumn>
    <tableColumn id="5" name="Singular Name" dataDxfId="476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5">
      <calculatedColumnFormula>"Milestone\SS\Model"</calculatedColumnFormula>
    </tableColumn>
    <tableColumn id="4" name="Class Name" dataDxfId="474">
      <calculatedColumnFormula>SUBSTITUTE(PROPER(Tables[Singular Name]),"_","")</calculatedColumnFormula>
    </tableColumn>
    <tableColumn id="1" name="Migration Artisan" dataDxfId="473">
      <calculatedColumnFormula>"php artisan make:migration create_"&amp;Tables[Table]&amp;"_table --create="&amp;Tables[Table]</calculatedColumnFormula>
    </tableColumn>
    <tableColumn id="6" name="Model Artisan" dataDxfId="472">
      <calculatedColumnFormula>"php artisan make:model "&amp;Tables[Class Name]</calculatedColumnFormula>
    </tableColumn>
    <tableColumn id="3" name="Model Statement" dataDxfId="471">
      <calculatedColumnFormula>"protected $table = '"&amp;Tables[Table]&amp;"';"</calculatedColumnFormula>
    </tableColumn>
    <tableColumn id="7" name="Seeder Artisan" dataDxfId="470">
      <calculatedColumnFormula>"php artisan make:seed "&amp;Tables[Class Name]&amp;"TableSeeder"</calculatedColumnFormula>
    </tableColumn>
    <tableColumn id="9" name="Seeder Class" dataDxfId="469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1" totalsRowShown="0" headerRowDxfId="348" dataDxfId="347">
  <autoFilter ref="A1:K11"/>
  <tableColumns count="11">
    <tableColumn id="1" name="Primary" dataDxfId="346">
      <calculatedColumnFormula>'Table Seed Map'!$A$11&amp;"-"&amp;(COUNTA($F$1:ResourceForms[[#This Row],[Resource]])-2)</calculatedColumnFormula>
    </tableColumn>
    <tableColumn id="11" name="FormName" dataDxfId="345">
      <calculatedColumnFormula>ResourceForms[[#This Row],[Resource Name]]&amp;"/"&amp;ResourceForms[[#This Row],[Name]]</calculatedColumnFormula>
    </tableColumn>
    <tableColumn id="10" name="No" dataDxfId="344">
      <calculatedColumnFormula>COUNTA($A$1:ResourceForms[[#This Row],[Primary]])-2</calculatedColumnFormula>
    </tableColumn>
    <tableColumn id="2" name="Resource Name" dataDxfId="343"/>
    <tableColumn id="12" name="ID" dataDxfId="342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41">
      <calculatedColumnFormula>IFERROR(VLOOKUP(ResourceForms[[#This Row],[Resource Name]],ResourceTable[[RName]:[No]],3,0),"resource")</calculatedColumnFormula>
    </tableColumn>
    <tableColumn id="4" name="Name" dataDxfId="340"/>
    <tableColumn id="5" name="Description" dataDxfId="339"/>
    <tableColumn id="6" name="Title" dataDxfId="338"/>
    <tableColumn id="7" name="Action Text" dataDxfId="337"/>
    <tableColumn id="8" name="Form ID" dataDxfId="336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38" headerRowDxfId="335" dataDxfId="334">
  <autoFilter ref="M1:BA38"/>
  <tableColumns count="41">
    <tableColumn id="23" name="Primary" dataDxfId="333">
      <calculatedColumnFormula>'Table Seed Map'!$A$12&amp;"-"&amp;FormFields[[#This Row],[No]]</calculatedColumnFormula>
    </tableColumn>
    <tableColumn id="1" name="Form Name" totalsRowLabel="Total" dataDxfId="332"/>
    <tableColumn id="44" name="No" dataDxfId="331">
      <calculatedColumnFormula>COUNTA($N$1:FormFields[[#This Row],[Form Name]])-1</calculatedColumnFormula>
    </tableColumn>
    <tableColumn id="24" name="Field Name" dataDxfId="330">
      <calculatedColumnFormula>FormFields[[#This Row],[Form Name]]&amp;"/"&amp;FormFields[[#This Row],[Name]]</calculatedColumnFormula>
    </tableColumn>
    <tableColumn id="11" name="ID" dataDxfId="329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28">
      <calculatedColumnFormula>IFERROR(VLOOKUP(FormFields[[#This Row],[Form Name]],ResourceForms[[FormName]:[ID]],4,0),"resource_form")</calculatedColumnFormula>
    </tableColumn>
    <tableColumn id="3" name="Name" dataDxfId="327"/>
    <tableColumn id="4" name="Type" dataDxfId="326"/>
    <tableColumn id="5" name="Label" dataDxfId="325"/>
    <tableColumn id="6" name="Rel" dataDxfId="324"/>
    <tableColumn id="7" name="Rel1" dataDxfId="323"/>
    <tableColumn id="8" name="Rel2" dataDxfId="322"/>
    <tableColumn id="9" name="Rel3" dataDxfId="321"/>
    <tableColumn id="45" name="Primary FD" dataDxfId="320">
      <calculatedColumnFormula>'Table Seed Map'!$A$13&amp;"-"&amp;FormFields[[#This Row],[NO2]]</calculatedColumnFormula>
    </tableColumn>
    <tableColumn id="46" name="NO2" dataDxfId="319">
      <calculatedColumnFormula>COUNTIFS($AB$1:FormFields[[#This Row],[Exists]],1)-1</calculatedColumnFormula>
    </tableColumn>
    <tableColumn id="49" name="Exists" dataDxfId="318">
      <calculatedColumnFormula>IF(AND(FormFields[[#This Row],[Attribute]]="",FormFields[[#This Row],[Rel]]=""),0,1)</calculatedColumnFormula>
    </tableColumn>
    <tableColumn id="47" name="NO3" dataDxfId="317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16">
      <calculatedColumnFormula>IF(FormFields[[#This Row],[ID]]="id","form_field",FormFields[[#This Row],[ID]])</calculatedColumnFormula>
    </tableColumn>
    <tableColumn id="40" name="Attribute" dataDxfId="315">
      <calculatedColumnFormula>IF(FormFields[[#This Row],[No]]=0,"attribute",FormFields[[#This Row],[Name]])</calculatedColumnFormula>
    </tableColumn>
    <tableColumn id="12" name="Relation" dataDxfId="314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13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12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11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10">
      <calculatedColumnFormula>IF(OR(FormFields[[#This Row],[Option Type]]="",FormFields[[#This Row],[Option Type]]="type"),0,1)</calculatedColumnFormula>
    </tableColumn>
    <tableColumn id="50" name="Primary FO" dataDxfId="309">
      <calculatedColumnFormula>'Table Seed Map'!$A$14&amp;"-"&amp;FormFields[[#This Row],[NO4]]</calculatedColumnFormula>
    </tableColumn>
    <tableColumn id="51" name="NO4" dataDxfId="308">
      <calculatedColumnFormula>COUNTIF($AJ$2:FormFields[[#This Row],[Exists FO]],1)</calculatedColumnFormula>
    </tableColumn>
    <tableColumn id="53" name="NO5" dataDxfId="307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06">
      <calculatedColumnFormula>IF(FormFields[[#This Row],[ID]]="id","form_field",FormFields[[#This Row],[ID]])</calculatedColumnFormula>
    </tableColumn>
    <tableColumn id="18" name="Option Type" dataDxfId="305"/>
    <tableColumn id="19" name="Detail" dataDxfId="304"/>
    <tableColumn id="20" name="Value Attr" dataDxfId="303"/>
    <tableColumn id="21" name="Label Attr" dataDxfId="302"/>
    <tableColumn id="22" name="Preload" dataDxfId="301"/>
    <tableColumn id="67" name="Exists FL" dataDxfId="300">
      <calculatedColumnFormula>IF(OR(FormFields[[#This Row],[Colspan]]="",FormFields[[#This Row],[Colspan]]="colspan"),0,1)</calculatedColumnFormula>
    </tableColumn>
    <tableColumn id="68" name="Primary FL" dataDxfId="299">
      <calculatedColumnFormula>'Table Seed Map'!$A$19&amp;"-"&amp;FormFields[[#This Row],[NO8]]</calculatedColumnFormula>
    </tableColumn>
    <tableColumn id="69" name="NO8" dataDxfId="298">
      <calculatedColumnFormula>COUNTIF($AT$1:FormFields[[#This Row],[Exists FL]],1)</calculatedColumnFormula>
    </tableColumn>
    <tableColumn id="70" name="FL ID" dataDxfId="297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96">
      <calculatedColumnFormula>FormFields[Form]</calculatedColumnFormula>
    </tableColumn>
    <tableColumn id="42" name="Layout Field ID" dataDxfId="295">
      <calculatedColumnFormula>IF(FormFields[[#This Row],[ID]]="id","form_field",FormFields[[#This Row],[ID]])</calculatedColumnFormula>
    </tableColumn>
    <tableColumn id="43" name="Colspan" dataDxfId="294"/>
    <tableColumn id="16" name="Field ID" dataDxfId="293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292" dataDxfId="291">
  <autoFilter ref="BC1:BH7"/>
  <tableColumns count="6">
    <tableColumn id="1" name="ATTR Field" dataDxfId="290"/>
    <tableColumn id="5" name="Primary" dataDxfId="289">
      <calculatedColumnFormula>'Table Seed Map'!$A$15&amp;"-"&amp;(-1+COUNTA($BC$1:FieldAttrs[[#This Row],[ATTR Field]]))</calculatedColumnFormula>
    </tableColumn>
    <tableColumn id="6" name="No" dataDxfId="288">
      <calculatedColumnFormula>IF(FieldAttrs[[#This Row],[ATTR Field]]="","id",-1+COUNTA($BC$1:FieldAttrs[[#This Row],[ATTR Field]])+VLOOKUP('Table Seed Map'!$A$15,SeedMap[],9,0))</calculatedColumnFormula>
    </tableColumn>
    <tableColumn id="4" name="Field" dataDxfId="287">
      <calculatedColumnFormula>IFERROR(VLOOKUP(FieldAttrs[ATTR Field],FormFields[[Field Name]:[ID]],2,0),"form_field")</calculatedColumnFormula>
    </tableColumn>
    <tableColumn id="2" name="Name" dataDxfId="286"/>
    <tableColumn id="3" name="Value" dataDxfId="28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84" dataDxfId="283">
  <autoFilter ref="BJ1:BS3"/>
  <tableColumns count="10">
    <tableColumn id="1" name="Validation Field" dataDxfId="282"/>
    <tableColumn id="10" name="ID No" dataDxfId="281">
      <calculatedColumnFormula>COUNTA($BJ$2:FieldValidations[[#This Row],[Validation Field]])</calculatedColumnFormula>
    </tableColumn>
    <tableColumn id="8" name="Primary" dataDxfId="280">
      <calculatedColumnFormula>'Table Seed Map'!$A$17&amp;"-"&amp;FieldValidations[[#This Row],[ID No]]</calculatedColumnFormula>
    </tableColumn>
    <tableColumn id="9" name="No" dataDxfId="279">
      <calculatedColumnFormula>IF(FieldValidations[[#This Row],[ID No]]=0,"id",FieldValidations[[#This Row],[ID No]]+VLOOKUP('Table Seed Map'!$A$17,SeedMap[],9,0))</calculatedColumnFormula>
    </tableColumn>
    <tableColumn id="7" name="Field" dataDxfId="278">
      <calculatedColumnFormula>VLOOKUP(FieldValidations[Validation Field],FormFields[[Field Name]:[ID]],2,0)</calculatedColumnFormula>
    </tableColumn>
    <tableColumn id="2" name="Rule" dataDxfId="277"/>
    <tableColumn id="3" name="Message" dataDxfId="276"/>
    <tableColumn id="4" name="Arg 1" dataDxfId="275"/>
    <tableColumn id="5" name="Arg 2" dataDxfId="274"/>
    <tableColumn id="6" name="Arg 3" dataDxfId="273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72">
  <autoFilter ref="CF1:CZ2"/>
  <tableColumns count="21">
    <tableColumn id="41" name="No" dataDxfId="271">
      <calculatedColumnFormula>COUNTA($CH$1:FormDefault[[#This Row],[Form for Default]])-1</calculatedColumnFormula>
    </tableColumn>
    <tableColumn id="1" name="Primary" dataDxfId="270">
      <calculatedColumnFormula>'Table Seed Map'!$A$21&amp;"-"&amp;FormDefault[[#This Row],[No]]</calculatedColumnFormula>
    </tableColumn>
    <tableColumn id="2" name="Form for Default" dataDxfId="269"/>
    <tableColumn id="3" name="ID" dataDxfId="268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67">
      <calculatedColumnFormula>IFERROR(VLOOKUP(FormDefault[[#This Row],[Form for Default]],ResourceForms[[FormName]:[ID]],4,0),"resource_form")</calculatedColumnFormula>
    </tableColumn>
    <tableColumn id="4" name="Name" dataDxfId="266"/>
    <tableColumn id="5" name="Value" dataDxfId="265"/>
    <tableColumn id="6" name="Relation" dataDxfId="264">
      <calculatedColumnFormula>IFERROR(VLOOKUP(FormDefault[[#This Row],[R]],RelationTable[[Display]:[RELID]],2,0),"")</calculatedColumnFormula>
    </tableColumn>
    <tableColumn id="7" name="Attribute" dataDxfId="263"/>
    <tableColumn id="20" name="REL1" dataDxfId="262">
      <calculatedColumnFormula>IFERROR(VLOOKUP(FormDefault[[#This Row],[R1]],RelationTable[[Display]:[RELID]],2,0),"")</calculatedColumnFormula>
    </tableColumn>
    <tableColumn id="19" name="REL2" dataDxfId="261">
      <calculatedColumnFormula>IFERROR(VLOOKUP(FormDefault[[#This Row],[R2]],RelationTable[[Display]:[RELID]],2,0),"")</calculatedColumnFormula>
    </tableColumn>
    <tableColumn id="18" name="REL3" dataDxfId="260">
      <calculatedColumnFormula>IFERROR(VLOOKUP(FormDefault[[#This Row],[R3]],RelationTable[[Display]:[RELID]],2,0),"")</calculatedColumnFormula>
    </tableColumn>
    <tableColumn id="13" name="Method" dataDxfId="259"/>
    <tableColumn id="17" name="R" dataDxfId="258"/>
    <tableColumn id="14" name="R1" dataDxfId="257"/>
    <tableColumn id="15" name="R2" dataDxfId="256"/>
    <tableColumn id="16" name="R3" dataDxfId="255"/>
    <tableColumn id="8" name="R12" dataDxfId="254"/>
    <tableColumn id="9" name="R22" dataDxfId="253"/>
    <tableColumn id="10" name="R32" dataDxfId="252"/>
    <tableColumn id="11" name="Method2" dataDxfId="251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50" dataDxfId="249">
  <autoFilter ref="BU1:CD2"/>
  <tableColumns count="10">
    <tableColumn id="1" name="Primary" dataDxfId="248">
      <calculatedColumnFormula>'Table Seed Map'!$A$22&amp;"-"&amp;COUNTA($BV$1:FormCollection[[#This Row],[Main Form for Collection]])-1</calculatedColumnFormula>
    </tableColumn>
    <tableColumn id="2" name="Main Form for Collection" dataDxfId="247"/>
    <tableColumn id="3" name="Collection Form" dataDxfId="246"/>
    <tableColumn id="4" name="Relation" dataDxfId="245"/>
    <tableColumn id="5" name="Foreign Field" dataDxfId="244"/>
    <tableColumn id="6" name="No" dataDxfId="243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42">
      <calculatedColumnFormula>IFERROR(VLOOKUP(FormCollection[Main Form for Collection],ResourceForms[[FormName]:[ID]],4,0),"resource_form")</calculatedColumnFormula>
    </tableColumn>
    <tableColumn id="8" name="Collection Form2" dataDxfId="241">
      <calculatedColumnFormula>IFERROR(VLOOKUP(FormCollection[Collection Form],ResourceForms[[FormName]:[ID]],4,0),"collection_form")</calculatedColumnFormula>
    </tableColumn>
    <tableColumn id="9" name="Relation3" dataDxfId="240">
      <calculatedColumnFormula>IFERROR(VLOOKUP(FormCollection[Relation],RelationTable[[Display]:[RELID]],2,0),"")</calculatedColumnFormula>
    </tableColumn>
    <tableColumn id="10" name="Foreign" dataDxfId="239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38" dataDxfId="237">
  <autoFilter ref="DB1:DL2"/>
  <tableColumns count="11">
    <tableColumn id="1" name="Field for Depend" dataDxfId="236"/>
    <tableColumn id="9" name="Primary" dataDxfId="235">
      <calculatedColumnFormula>'Table Seed Map'!$A$18&amp;"-"&amp;COUNTA($DB$2:FieldDepends[[#This Row],[Field for Depend]])</calculatedColumnFormula>
    </tableColumn>
    <tableColumn id="10" name="ID" dataDxfId="234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33">
      <calculatedColumnFormula>IFERROR(VLOOKUP(FieldDepends[[#This Row],[Field for Depend]],FormFields[[Field Name]:[ID]],2,0),"form_field")</calculatedColumnFormula>
    </tableColumn>
    <tableColumn id="2" name="Field name - depends on" dataDxfId="232"/>
    <tableColumn id="3" name="Database Field" dataDxfId="231"/>
    <tableColumn id="4" name="Operator" dataDxfId="230"/>
    <tableColumn id="5" name="Compare Method" dataDxfId="229"/>
    <tableColumn id="11" name="Method" dataDxfId="228"/>
    <tableColumn id="6" name="Value DB Field" dataDxfId="227"/>
    <tableColumn id="7" name="Ignore Null" dataDxfId="226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25" dataDxfId="224">
  <autoFilter ref="DN1:DW2"/>
  <tableColumns count="10">
    <tableColumn id="1" name="Field for Dynamic" dataDxfId="223"/>
    <tableColumn id="9" name="Primary" dataDxfId="222">
      <calculatedColumnFormula>'Table Seed Map'!$A$16&amp;"-"&amp;COUNTA($DN$2:FieldDynamic[[#This Row],[Field for Dynamic]])</calculatedColumnFormula>
    </tableColumn>
    <tableColumn id="10" name="ID" dataDxfId="221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20">
      <calculatedColumnFormula>IFERROR(VLOOKUP(FieldDynamic[[#This Row],[Field for Dynamic]],FormFields[[Field Name]:[ID]],2,0),"form_field")</calculatedColumnFormula>
    </tableColumn>
    <tableColumn id="2" name="Type" dataDxfId="219"/>
    <tableColumn id="3" name="Depend Field" dataDxfId="218"/>
    <tableColumn id="4" name="Alter On" dataDxfId="217"/>
    <tableColumn id="5" name="Value" dataDxfId="216"/>
    <tableColumn id="11" name="Values" dataDxfId="215"/>
    <tableColumn id="6" name="Operator" dataDxfId="214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13" dataDxfId="212">
  <autoFilter ref="DY1:ES2"/>
  <tableColumns count="21">
    <tableColumn id="1" name="Form for Data Mapping" dataDxfId="211"/>
    <tableColumn id="2" name="Resource Data" dataDxfId="210"/>
    <tableColumn id="3" name="Form Field" dataDxfId="209"/>
    <tableColumn id="4" name="Primary" dataDxfId="208">
      <calculatedColumnFormula>'Table Seed Map'!$A$20&amp;"-"&amp;-1+COUNTA($DY$1:FormDataMapping[[#This Row],[Form for Data Mapping]])</calculatedColumnFormula>
    </tableColumn>
    <tableColumn id="5" name="ID" dataDxfId="207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06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05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04">
      <calculatedColumnFormula>IF(FormDataMapping[[#This Row],[Form for Data Mapping]]="","form_field",VLOOKUP(FormDataMapping[Form Field],FormFields[[Field Name]:[ID]],2,0))</calculatedColumnFormula>
    </tableColumn>
    <tableColumn id="9" name="Attribute" dataDxfId="203"/>
    <tableColumn id="10" name="R0" dataDxfId="202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01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00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99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98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97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96"/>
    <tableColumn id="17" name="Rel1" dataDxfId="195"/>
    <tableColumn id="18" name="Rel2" dataDxfId="194"/>
    <tableColumn id="19" name="Rel3" dataDxfId="193"/>
    <tableColumn id="20" name="Rel4" dataDxfId="192"/>
    <tableColumn id="21" name="Rel5" dataDxfId="191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30" totalsRowShown="0" dataDxfId="190">
  <autoFilter ref="A1:H30"/>
  <tableColumns count="8">
    <tableColumn id="1" name="No" dataDxfId="189">
      <calculatedColumnFormula>IFERROR($A1+1,1)</calculatedColumnFormula>
    </tableColumn>
    <tableColumn id="2" name="Filename" dataDxfId="188"/>
    <tableColumn id="9" name="Table" dataDxfId="187">
      <calculatedColumnFormula>MID(MigrationRenamer[Filename],26,LEN(MigrationRenamer[Filename])-35)</calculatedColumnFormula>
    </tableColumn>
    <tableColumn id="3" name="Date Part" dataDxfId="186">
      <calculatedColumnFormula>"2019_03_28_"</calculatedColumnFormula>
    </tableColumn>
    <tableColumn id="4" name="Sequence" dataDxfId="185">
      <calculatedColumnFormula>TEXT(MATCH(MigrationRenamer[[#This Row],[Table]],Tables[Table],0),"000000")</calculatedColumnFormula>
    </tableColumn>
    <tableColumn id="5" name="Name Part" dataDxfId="184">
      <calculatedColumnFormula>RIGHT(MigrationRenamer[Filename],LEN(MigrationRenamer[Filename])-LEN(MigrationRenamer[Date Part])-LEN(MigrationRenamer[Sequence]))</calculatedColumnFormula>
    </tableColumn>
    <tableColumn id="6" name="New Name" dataDxfId="183">
      <calculatedColumnFormula>MigrationRenamer[Date Part]&amp;MigrationRenamer[Sequence]&amp;MigrationRenamer[Name Part]</calculatedColumnFormula>
    </tableColumn>
    <tableColumn id="7" name="CMD" dataDxfId="182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309" totalsRowShown="0" dataDxfId="459">
  <autoFilter ref="A1:J309"/>
  <tableColumns count="10">
    <tableColumn id="1" name="Column" dataDxfId="458"/>
    <tableColumn id="2" name="Type" dataDxfId="457"/>
    <tableColumn id="3" name="Name" dataDxfId="456"/>
    <tableColumn id="4" name="Length/Enum" dataDxfId="455"/>
    <tableColumn id="5" name="Method1" dataDxfId="454"/>
    <tableColumn id="6" name="Method2" dataDxfId="453"/>
    <tableColumn id="7" name="Method3" dataDxfId="452"/>
    <tableColumn id="8" name="Method4" dataDxfId="451"/>
    <tableColumn id="9" name="Method5" dataDxfId="450"/>
    <tableColumn id="10" name="Usage" dataDxfId="449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7" totalsRowShown="0" dataDxfId="181">
  <autoFilter ref="A1:K17"/>
  <tableColumns count="11">
    <tableColumn id="1" name="Primary" dataDxfId="180">
      <calculatedColumnFormula>'Table Seed Map'!$A$24&amp;"-"&amp;COUNTA($B$1:ResourceList[[#This Row],[Resource Name]])-1</calculatedColumnFormula>
    </tableColumn>
    <tableColumn id="2" name="Resource Name" dataDxfId="179"/>
    <tableColumn id="8" name="ListDisplayName" dataDxfId="178">
      <calculatedColumnFormula>ResourceList[[#This Row],[Resource Name]]&amp;"/"&amp;ResourceList[[#This Row],[Name]]</calculatedColumnFormula>
    </tableColumn>
    <tableColumn id="3" name="No" dataDxfId="177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76">
      <calculatedColumnFormula>IFERROR(VLOOKUP(ResourceList[[#This Row],[Resource Name]],ResourceTable[[RName]:[No]],3,0),"resource")</calculatedColumnFormula>
    </tableColumn>
    <tableColumn id="4" name="Name" dataDxfId="175"/>
    <tableColumn id="5" name="Description" dataDxfId="174"/>
    <tableColumn id="6" name="Title" dataDxfId="173"/>
    <tableColumn id="11" name="Identity" dataDxfId="172"/>
    <tableColumn id="10" name="Page" dataDxfId="171"/>
    <tableColumn id="9" name="ID" dataDxfId="170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69" dataDxfId="168">
  <autoFilter ref="M1:AD17"/>
  <tableColumns count="18">
    <tableColumn id="1" name="List Name" dataDxfId="167"/>
    <tableColumn id="2" name="LID" dataDxfId="166">
      <calculatedColumnFormula>VLOOKUP(ListExtras[[#This Row],[List Name]],ResourceList[[ListDisplayName]:[No]],2,0)</calculatedColumnFormula>
    </tableColumn>
    <tableColumn id="3" name="Scope Name" dataDxfId="165"/>
    <tableColumn id="4" name="Relation Name" dataDxfId="164"/>
    <tableColumn id="5" name="R1 Name" dataDxfId="163"/>
    <tableColumn id="6" name="R2 Name" dataDxfId="162"/>
    <tableColumn id="7" name="R3 Name" dataDxfId="161"/>
    <tableColumn id="8" name="Scope Primary" dataDxfId="160">
      <calculatedColumnFormula>'Table Seed Map'!$A$25&amp;"-"&amp;COUNT($W$1:ListExtras[[#This Row],[Scope ID]])</calculatedColumnFormula>
    </tableColumn>
    <tableColumn id="9" name="Scope Table ID" dataDxfId="159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58">
      <calculatedColumnFormula>IF(ListExtras[[#This Row],[LID]]=0,"resource_list",ListExtras[[#This Row],[LID]])</calculatedColumnFormula>
    </tableColumn>
    <tableColumn id="11" name="Scope ID" dataDxfId="157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56">
      <calculatedColumnFormula>'Table Seed Map'!$A$26&amp;"-"&amp;COUNT($AA$1:ListExtras[[#This Row],[Relation]])</calculatedColumnFormula>
    </tableColumn>
    <tableColumn id="13" name="Relation Table ID" dataDxfId="155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54">
      <calculatedColumnFormula>IF(ListExtras[[#This Row],[LID]]=0,"resource_list",ListExtras[[#This Row],[LID]])</calculatedColumnFormula>
    </tableColumn>
    <tableColumn id="15" name="Relation" dataDxfId="153">
      <calculatedColumnFormula>IFERROR(VLOOKUP(ListExtras[[#This Row],[Relation Name]],RelationTable[[Display]:[RELID]],2,0),IF(ListExtras[[#This Row],[LID]]=0,"relation",""))</calculatedColumnFormula>
    </tableColumn>
    <tableColumn id="16" name="R1" dataDxfId="152">
      <calculatedColumnFormula>IFERROR(VLOOKUP(ListExtras[[#This Row],[R1 Name]],RelationTable[[Display]:[RELID]],2,0),IF(ListExtras[[#This Row],[LID]]=0,"nest_relation1",""))</calculatedColumnFormula>
    </tableColumn>
    <tableColumn id="17" name="R2" dataDxfId="151">
      <calculatedColumnFormula>IFERROR(VLOOKUP(ListExtras[[#This Row],[R2 Name]],RelationTable[[Display]:[RELID]],2,0),IF(ListExtras[[#This Row],[LID]]=0,"nest_relation2",""))</calculatedColumnFormula>
    </tableColumn>
    <tableColumn id="18" name="R3" dataDxfId="150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29" totalsRowShown="0" headerRowDxfId="149" dataDxfId="148">
  <autoFilter ref="AF1:AR29"/>
  <tableColumns count="13">
    <tableColumn id="13" name="Primary" dataDxfId="147">
      <calculatedColumnFormula>'Table Seed Map'!$A$28&amp;"-"&amp;COUNTA($AH$1:ListSearch[[#This Row],[No]])-2</calculatedColumnFormula>
    </tableColumn>
    <tableColumn id="1" name="List Name for Search" dataDxfId="146"/>
    <tableColumn id="2" name="No" dataDxfId="145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44">
      <calculatedColumnFormula>IFERROR(VLOOKUP(ListSearch[[#This Row],[List Name for Search]],ResourceList[[ListDisplayName]:[No]],2,0),"resource_list")</calculatedColumnFormula>
    </tableColumn>
    <tableColumn id="4" name="Field" dataDxfId="143"/>
    <tableColumn id="5" name="REL" dataDxfId="142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41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40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39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38"/>
    <tableColumn id="10" name="Relation 1" dataDxfId="137"/>
    <tableColumn id="11" name="Relation 2" dataDxfId="136"/>
    <tableColumn id="12" name="Relation 3" dataDxfId="135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1" totalsRowShown="0" headerRowDxfId="134" dataDxfId="133">
  <autoFilter ref="AT1:BE51"/>
  <tableColumns count="12">
    <tableColumn id="13" name="Primary" dataDxfId="132">
      <calculatedColumnFormula>'Table Seed Map'!$A$27&amp;"-"&amp;COUNTA($AV$1:ListLayout[[#This Row],[No]])-2</calculatedColumnFormula>
    </tableColumn>
    <tableColumn id="1" name="List Name for Layout" dataDxfId="131"/>
    <tableColumn id="2" name="No" dataDxfId="130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29">
      <calculatedColumnFormula>IFERROR(VLOOKUP(ListLayout[[#This Row],[List Name for Layout]],ResourceList[[ListDisplayName]:[No]],2,0),"resource_list")</calculatedColumnFormula>
    </tableColumn>
    <tableColumn id="14" name="Label" dataDxfId="128"/>
    <tableColumn id="4" name="Field" dataDxfId="127"/>
    <tableColumn id="5" name="REL" dataDxfId="126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25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24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23"/>
    <tableColumn id="10" name="Relation 1" dataDxfId="122"/>
    <tableColumn id="11" name="Relation 2" dataDxfId="121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8" totalsRowShown="0" dataDxfId="120">
  <autoFilter ref="A1:J8"/>
  <tableColumns count="10">
    <tableColumn id="1" name="Primary" dataDxfId="119">
      <calculatedColumnFormula>'Table Seed Map'!$A$29&amp;"-"&amp;COUNTA($E$1:ResourceData[[#This Row],[Resource]])-2</calculatedColumnFormula>
    </tableColumn>
    <tableColumn id="2" name="Resource Name" dataDxfId="118"/>
    <tableColumn id="8" name="DataDisplayName" dataDxfId="117">
      <calculatedColumnFormula>ResourceData[[#This Row],[Resource Name]]&amp;"/"&amp;ResourceData[[#This Row],[Name]]</calculatedColumnFormula>
    </tableColumn>
    <tableColumn id="3" name="No" dataDxfId="116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15">
      <calculatedColumnFormula>IFERROR(VLOOKUP(ResourceData[[#This Row],[Resource Name]],ResourceTable[[RName]:[No]],3,0),"resource")</calculatedColumnFormula>
    </tableColumn>
    <tableColumn id="4" name="Name" dataDxfId="114"/>
    <tableColumn id="5" name="Description" dataDxfId="113"/>
    <tableColumn id="6" name="Title Field" dataDxfId="112"/>
    <tableColumn id="9" name="Method" dataDxfId="111"/>
    <tableColumn id="10" name="ID" dataDxfId="110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09" dataDxfId="108">
  <autoFilter ref="L1:AC10"/>
  <tableColumns count="18">
    <tableColumn id="1" name="Data Name" dataDxfId="107"/>
    <tableColumn id="2" name="DID" dataDxfId="106">
      <calculatedColumnFormula>VLOOKUP(DataExtra[[#This Row],[Data Name]],ResourceData[[DataDisplayName]:[No]],2,0)</calculatedColumnFormula>
    </tableColumn>
    <tableColumn id="3" name="Scope Name" dataDxfId="105"/>
    <tableColumn id="4" name="Relation Name" dataDxfId="104"/>
    <tableColumn id="5" name="R1 Name" dataDxfId="103"/>
    <tableColumn id="6" name="R2 Name" dataDxfId="102"/>
    <tableColumn id="7" name="R3 Name" dataDxfId="101"/>
    <tableColumn id="8" name="Scope Primary" dataDxfId="100">
      <calculatedColumnFormula>'Table Seed Map'!$A$30&amp;"-"&amp;COUNT($V$1:DataExtra[[#This Row],[Scope ID]])</calculatedColumnFormula>
    </tableColumn>
    <tableColumn id="9" name="Scope Table ID" dataDxfId="99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98">
      <calculatedColumnFormula>IF(DataExtra[[#This Row],[DID]]=0,"resource_data",DataExtra[[#This Row],[DID]])</calculatedColumnFormula>
    </tableColumn>
    <tableColumn id="11" name="Scope ID" dataDxfId="97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96">
      <calculatedColumnFormula>'Table Seed Map'!$A$31&amp;"-"&amp;COUNT($Z$1:DataExtra[[#This Row],[Relation]])</calculatedColumnFormula>
    </tableColumn>
    <tableColumn id="13" name="Relation Table ID" dataDxfId="95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94">
      <calculatedColumnFormula>IF(DataExtra[[#This Row],[DID]]=0,"resource_data",DataExtra[[#This Row],[DID]])</calculatedColumnFormula>
    </tableColumn>
    <tableColumn id="15" name="Relation" dataDxfId="93">
      <calculatedColumnFormula>IFERROR(VLOOKUP(DataExtra[[#This Row],[Relation Name]],RelationTable[[Display]:[RELID]],2,0),IF(DataExtra[[#This Row],[DID]]=0,"relation",""))</calculatedColumnFormula>
    </tableColumn>
    <tableColumn id="16" name="R1" dataDxfId="92">
      <calculatedColumnFormula>IFERROR(VLOOKUP(DataExtra[[#This Row],[R1 Name]],RelationTable[[Display]:[RELID]],2,0),IF(DataExtra[[#This Row],[DID]]=0,"nest_relation1",""))</calculatedColumnFormula>
    </tableColumn>
    <tableColumn id="17" name="R2" dataDxfId="91">
      <calculatedColumnFormula>IFERROR(VLOOKUP(DataExtra[[#This Row],[R2 Name]],RelationTable[[Display]:[RELID]],2,0),IF(DataExtra[[#This Row],[DID]]=0,"nest_relation2",""))</calculatedColumnFormula>
    </tableColumn>
    <tableColumn id="18" name="R3" dataDxfId="90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0" totalsRowShown="0" headerRowDxfId="89" dataDxfId="88">
  <autoFilter ref="AE1:AN10"/>
  <tableColumns count="10">
    <tableColumn id="13" name="Primary" dataDxfId="87">
      <calculatedColumnFormula>'Table Seed Map'!$A$32&amp;"-"&amp;COUNTA($AF$1:DataViewSection[[#This Row],[Data Name for Layout]])-1</calculatedColumnFormula>
    </tableColumn>
    <tableColumn id="1" name="Data Name for Layout" dataDxfId="86"/>
    <tableColumn id="17" name="DataSectionDisplayName" dataDxfId="85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84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83">
      <calculatedColumnFormula>IFERROR(VLOOKUP(DataViewSection[[#This Row],[Data Name for Layout]],ResourceData[[DataDisplayName]:[No]],2,0),"resource_data")</calculatedColumnFormula>
    </tableColumn>
    <tableColumn id="14" name="Title" dataDxfId="82"/>
    <tableColumn id="15" name="Title Field" dataDxfId="81"/>
    <tableColumn id="16" name="Rel" dataDxfId="80">
      <calculatedColumnFormula>IFERROR(VLOOKUP(DataViewSection[[#This Row],[Relation]],RelationTable[[Display]:[RELID]],2,0),"")</calculatedColumnFormula>
    </tableColumn>
    <tableColumn id="4" name="Colspan" dataDxfId="79"/>
    <tableColumn id="9" name="Relation" dataDxfId="78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34" totalsRowShown="0" headerRowDxfId="77" dataDxfId="76">
  <autoFilter ref="AP1:AW34"/>
  <tableColumns count="8">
    <tableColumn id="13" name="Primary" dataDxfId="75">
      <calculatedColumnFormula>'Table Seed Map'!$A$33&amp;"-"&amp;-1+COUNTA($AQ$1:DataViewSectionItem[[#This Row],[Data Section for Items]])</calculatedColumnFormula>
    </tableColumn>
    <tableColumn id="1" name="Data Section for Items" dataDxfId="74"/>
    <tableColumn id="2" name="No" dataDxfId="73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72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71"/>
    <tableColumn id="4" name="Attribute" dataDxfId="70"/>
    <tableColumn id="5" name="REL" dataDxfId="69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68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3" totalsRowShown="0" headerRowDxfId="67" dataDxfId="66">
  <autoFilter ref="A1:Y43"/>
  <tableColumns count="25">
    <tableColumn id="10" name="Primary" dataDxfId="65">
      <calculatedColumnFormula>'Table Seed Map'!$A$34&amp;"-"&amp;(COUNTA($E$1:ResourceAction[[#This Row],[Resource]])-2)</calculatedColumnFormula>
    </tableColumn>
    <tableColumn id="13" name="Display" dataDxfId="64">
      <calculatedColumnFormula>ResourceAction[[#This Row],[Resource Name]]&amp;"/"&amp;ResourceAction[[#This Row],[Name]]</calculatedColumnFormula>
    </tableColumn>
    <tableColumn id="2" name="Resource Name" dataDxfId="63"/>
    <tableColumn id="11" name="No" dataDxfId="62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61">
      <calculatedColumnFormula>IFERROR(VLOOKUP(ResourceAction[[#This Row],[Resource Name]],ResourceTable[[RName]:[No]],3,0),"resource")</calculatedColumnFormula>
    </tableColumn>
    <tableColumn id="4" name="Name" dataDxfId="60"/>
    <tableColumn id="6" name="Description" dataDxfId="59"/>
    <tableColumn id="7" name="Title" dataDxfId="58"/>
    <tableColumn id="8" name="Type" dataDxfId="57"/>
    <tableColumn id="9" name="Menu" dataDxfId="56"/>
    <tableColumn id="20" name="Primary Method" dataDxfId="55">
      <calculatedColumnFormula>'Table Seed Map'!$A$35&amp;"-"&amp;(COUNTA($E$1:ResourceAction[[#This Row],[Resource]])-2)</calculatedColumnFormula>
    </tableColumn>
    <tableColumn id="12" name="Method ID" dataDxfId="54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53">
      <calculatedColumnFormula>IF(ResourceAction[[#This Row],[No]]="id","resource_action",ResourceAction[[#This Row],[No]])</calculatedColumnFormula>
    </tableColumn>
    <tableColumn id="15" name="Method Type" dataDxfId="52"/>
    <tableColumn id="16" name="IDN 1" dataDxfId="51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50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49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48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47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46"/>
    <tableColumn id="22" name="IDN2" dataDxfId="45"/>
    <tableColumn id="24" name="IDN3" dataDxfId="44"/>
    <tableColumn id="25" name="IDN4" dataDxfId="43"/>
    <tableColumn id="23" name="IDN5" dataDxfId="42"/>
    <tableColumn id="1" name="AID" dataDxfId="41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5" totalsRowShown="0" headerRowDxfId="40" dataDxfId="39">
  <autoFilter ref="AA1:AL25"/>
  <tableColumns count="12">
    <tableColumn id="1" name="Action Name" dataDxfId="38"/>
    <tableColumn id="3" name="Action" dataDxfId="37">
      <calculatedColumnFormula>VLOOKUP(ActionListNData[[#This Row],[Action Name]],ResourceAction[[Display]:[No]],3,0)</calculatedColumnFormula>
    </tableColumn>
    <tableColumn id="5" name="Resource List" dataDxfId="36"/>
    <tableColumn id="6" name="Resource Data" dataDxfId="35"/>
    <tableColumn id="9" name="Primary List" dataDxfId="34">
      <calculatedColumnFormula>'Table Seed Map'!$A$37&amp;"-"&amp;-1+COUNTA($AC$1:ActionListNData[[#This Row],[Resource List]])</calculatedColumnFormula>
    </tableColumn>
    <tableColumn id="10" name="List ID" dataDxfId="33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">
      <calculatedColumnFormula>ActionListNData[[#This Row],[Action]]</calculatedColumnFormula>
    </tableColumn>
    <tableColumn id="4" name="List" dataDxfId="31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">
      <calculatedColumnFormula>'Table Seed Map'!$A$38&amp;"-"&amp;-1+COUNTA($AD$1:ActionListNData[[#This Row],[Resource Data]])</calculatedColumnFormula>
    </tableColumn>
    <tableColumn id="12" name="Data ID" dataDxfId="29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28">
      <calculatedColumnFormula>ActionListNData[[#This Row],[Action]]</calculatedColumnFormula>
    </tableColumn>
    <tableColumn id="2" name="Data" dataDxfId="27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4" totalsRowShown="0" dataDxfId="443">
  <autoFilter ref="A1:K364"/>
  <tableColumns count="11">
    <tableColumn id="2" name="Table" dataDxfId="442"/>
    <tableColumn id="3" name="Field" dataDxfId="441"/>
    <tableColumn id="5" name="Type" dataDxfId="440">
      <calculatedColumnFormula>VLOOKUP(TableFields[Field],Columns[],2,0)&amp;"("</calculatedColumnFormula>
    </tableColumn>
    <tableColumn id="4" name="Name" dataDxfId="439">
      <calculatedColumnFormula>IF(VLOOKUP(TableFields[Field],Columns[],3,0)&lt;&gt;"","'"&amp;VLOOKUP(TableFields[Field],Columns[],3,0)&amp;"'","")</calculatedColumnFormula>
    </tableColumn>
    <tableColumn id="6" name="Arg2" dataDxfId="438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7">
      <calculatedColumnFormula>IF(VLOOKUP(TableFields[Field],Columns[],5,0)=0,"","-&gt;"&amp;VLOOKUP(TableFields[Field],Columns[],5,0))</calculatedColumnFormula>
    </tableColumn>
    <tableColumn id="8" name="Method2" dataDxfId="436">
      <calculatedColumnFormula>IF(VLOOKUP(TableFields[Field],Columns[],6,0)=0,"","-&gt;"&amp;VLOOKUP(TableFields[Field],Columns[],6,0))</calculatedColumnFormula>
    </tableColumn>
    <tableColumn id="9" name="Method3" dataDxfId="435">
      <calculatedColumnFormula>IF(VLOOKUP(TableFields[Field],Columns[],7,0)=0,"","-&gt;"&amp;VLOOKUP(TableFields[Field],Columns[],7,0))</calculatedColumnFormula>
    </tableColumn>
    <tableColumn id="10" name="Method4" dataDxfId="434">
      <calculatedColumnFormula>IF(VLOOKUP(TableFields[Field],Columns[],8,0)=0,"","-&gt;"&amp;VLOOKUP(TableFields[Field],Columns[],8,0))</calculatedColumnFormula>
    </tableColumn>
    <tableColumn id="11" name="Method5" dataDxfId="433">
      <calculatedColumnFormula>IF(VLOOKUP(TableFields[Field],Columns[],9,0)=0,"","-&gt;"&amp;VLOOKUP(TableFields[Field],Columns[],9,0))</calculatedColumnFormula>
    </tableColumn>
    <tableColumn id="12" name="Statement" dataDxfId="43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26" dataDxfId="25">
  <autoFilter ref="AN1:AS2"/>
  <tableColumns count="6">
    <tableColumn id="1" name="Action Name for Attr" dataDxfId="24"/>
    <tableColumn id="5" name="Primary" dataDxfId="23">
      <calculatedColumnFormula>'Table Seed Map'!$A$36&amp;"-"&amp;(COUNTA($AN$2:ActionAttr[[#This Row],[Action Name for Attr]]))</calculatedColumnFormula>
    </tableColumn>
    <tableColumn id="6" name="No" dataDxfId="22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21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0"/>
    <tableColumn id="3" name="Value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1" totalsRowShown="0" headerRowDxfId="431" dataDxfId="430">
  <autoFilter ref="A1:R61"/>
  <tableColumns count="18">
    <tableColumn id="19" name="TRCode" dataDxfId="429">
      <calculatedColumnFormula>TableData[Table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0" totalsRowShown="0" dataDxfId="411">
  <autoFilter ref="A1:K70"/>
  <tableColumns count="11">
    <tableColumn id="1" name="Name" dataDxfId="410"/>
    <tableColumn id="3" name="Table Name" dataDxfId="409"/>
    <tableColumn id="20" name="NS" dataDxfId="408">
      <calculatedColumnFormula>VLOOKUP(SeedMap[Table Name],Tables[],4,0)</calculatedColumnFormula>
    </tableColumn>
    <tableColumn id="21" name="Model" dataDxfId="407">
      <calculatedColumnFormula>VLOOKUP(SeedMap[Table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399">
  <autoFilter ref="A1:M31"/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85">
  <autoFilter ref="O1:Z5"/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3" totalsRowShown="0" dataDxfId="372">
  <autoFilter ref="A1:N43"/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Row],[No]]="id","resource",VLOOKUP(RelationTable[Resource],CHOOSE({1,2},ResourceTable[Name],ResourceTable[No]),2,0))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VLOOKUP(RelationTable[Relate Resource],CHOOSE({1,2},ResourceTable[Name],ResourceTable[No]),2,0)</calculatedColumnFormula>
    </tableColumn>
    <tableColumn id="9" name="RID" dataDxfId="35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3" totalsRowShown="0" dataDxfId="357">
  <autoFilter ref="P1:W13"/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G61" workbookViewId="0">
      <selection activeCell="I74" sqref="I74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1073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1835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1272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1681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1695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1702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1273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949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950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898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899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1054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906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1614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1624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1944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  <row r="74" spans="1:10" x14ac:dyDescent="0.25">
      <c r="A74" s="5" t="s">
        <v>2004</v>
      </c>
      <c r="B74" s="8" t="str">
        <f>Tables[Name]</f>
        <v>printings</v>
      </c>
      <c r="C74" s="8" t="str">
        <f>IF(RIGHT(Tables[Name],3)="ies",MID(Tables[Name],1,LEN(Tables[Name])-3)&amp;"y",IF(RIGHT(Tables[Name],1)="s",MID(Tables[Name],1,LEN(Tables[Name])-1),Tables[Name]))</f>
        <v>printing</v>
      </c>
      <c r="D74" s="8" t="str">
        <f>"Milestone\SS\Model"</f>
        <v>Milestone\SS\Model</v>
      </c>
      <c r="E74" s="8" t="str">
        <f>SUBSTITUTE(PROPER(Tables[Singular Name]),"_","")</f>
        <v>Printing</v>
      </c>
      <c r="F74" s="8" t="str">
        <f>"php artisan make:migration create_"&amp;Tables[Table]&amp;"_table --create="&amp;Tables[Table]</f>
        <v>php artisan make:migration create_printings_table --create=printings</v>
      </c>
      <c r="G74" s="8" t="str">
        <f>"php artisan make:model "&amp;Tables[Class Name]</f>
        <v>php artisan make:model Printing</v>
      </c>
      <c r="H74" s="8" t="str">
        <f>"protected $table = '"&amp;Tables[Table]&amp;"';"</f>
        <v>protected $table = 'printings';</v>
      </c>
      <c r="I74" s="8" t="str">
        <f>"php artisan make:seed "&amp;Tables[Class Name]&amp;"TableSeeder"</f>
        <v>php artisan make:seed PrintingTableSeeder</v>
      </c>
      <c r="J74" s="8" t="str">
        <f>Tables[Class Name]&amp;"TableSeeder"&amp;"::class,"</f>
        <v>PrintingTableSeeder::class,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2" sqref="H2:H30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8" si="0">IFERROR($A1+1,1)</f>
        <v>1</v>
      </c>
      <c r="B2" s="1" t="s">
        <v>1622</v>
      </c>
      <c r="C2" s="8" t="str">
        <f>MID(MigrationRenamer[Filename],26,LEN(MigrationRenamer[Filename])-35)</f>
        <v>setup</v>
      </c>
      <c r="D2" s="8" t="str">
        <f t="shared" ref="D2:D28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1861</v>
      </c>
      <c r="C3" s="8" t="str">
        <f>MID(MigrationRenamer[Filename],26,LEN(MigrationRenamer[Filename])-35)</f>
        <v>menu_types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2019_03_28_000047_create_menu_types_table.php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2019_03_28_000047_create_menu_types_table.php</v>
      </c>
    </row>
    <row r="4" spans="1:8" x14ac:dyDescent="0.25">
      <c r="A4" s="32">
        <f t="shared" si="0"/>
        <v>3</v>
      </c>
      <c r="B4" s="1" t="s">
        <v>1862</v>
      </c>
      <c r="C4" s="8" t="str">
        <f>MID(MigrationRenamer[Filename],26,LEN(MigrationRenamer[Filename])-35)</f>
        <v>menu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2019_03_28_000048_create_menu_table.php</v>
      </c>
      <c r="H4" s="8" t="str">
        <f>IFERROR("ren "&amp;MigrationRenamer[Filename]&amp;" "&amp;MigrationRenamer[New Name],"del "&amp;MigrationRenamer[Filename])</f>
        <v>ren 2019_03_28_000048_create_menu_table.php 2019_03_28_000048_create_menu_table.php</v>
      </c>
    </row>
    <row r="5" spans="1:8" x14ac:dyDescent="0.25">
      <c r="A5" s="32">
        <f t="shared" si="0"/>
        <v>4</v>
      </c>
      <c r="B5" s="1" t="s">
        <v>1863</v>
      </c>
      <c r="C5" s="8" t="str">
        <f>MID(MigrationRenamer[Filename],26,LEN(MigrationRenamer[Filename])-35)</f>
        <v>settings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2019_03_28_000049_create_settings_table.php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2019_03_28_000049_create_settings_table.php</v>
      </c>
    </row>
    <row r="6" spans="1:8" x14ac:dyDescent="0.25">
      <c r="A6" s="32">
        <f t="shared" si="0"/>
        <v>5</v>
      </c>
      <c r="B6" s="1" t="s">
        <v>1864</v>
      </c>
      <c r="C6" s="8" t="str">
        <f>MID(MigrationRenamer[Filename],26,LEN(MigrationRenamer[Filename])-35)</f>
        <v>fiscalyearmaster</v>
      </c>
      <c r="D6" s="8" t="str">
        <f t="shared" si="1"/>
        <v>2019_03_28_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2019_03_28_000050_create_fiscalyearmaster_table.php</v>
      </c>
    </row>
    <row r="7" spans="1:8" x14ac:dyDescent="0.25">
      <c r="A7" s="32">
        <f t="shared" si="0"/>
        <v>6</v>
      </c>
      <c r="B7" s="1" t="s">
        <v>1947</v>
      </c>
      <c r="C7" s="8" t="str">
        <f>MID(MigrationRenamer[Filename],26,LEN(MigrationRenamer[Filename])-35)</f>
        <v>product_group_master</v>
      </c>
      <c r="D7" s="8" t="str">
        <f t="shared" si="1"/>
        <v>2019_03_28_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2019_03_28_000051_create_product_group_master_table.php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2019_03_28_000051_create_product_group_master_table.php</v>
      </c>
    </row>
    <row r="8" spans="1:8" x14ac:dyDescent="0.25">
      <c r="A8" s="32">
        <f t="shared" si="0"/>
        <v>7</v>
      </c>
      <c r="B8" s="1" t="s">
        <v>1948</v>
      </c>
      <c r="C8" s="8" t="str">
        <f>MID(MigrationRenamer[Filename],26,LEN(MigrationRenamer[Filename])-35)</f>
        <v>products</v>
      </c>
      <c r="D8" s="8" t="str">
        <f t="shared" si="1"/>
        <v>2019_03_28_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2019_03_28_000052_create_products_table.php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2019_03_28_000052_create_products_table.php</v>
      </c>
    </row>
    <row r="9" spans="1:8" x14ac:dyDescent="0.25">
      <c r="A9" s="32">
        <f t="shared" si="0"/>
        <v>8</v>
      </c>
      <c r="B9" s="1" t="s">
        <v>1949</v>
      </c>
      <c r="C9" s="8" t="str">
        <f>MID(MigrationRenamer[Filename],26,LEN(MigrationRenamer[Filename])-35)</f>
        <v>product_groups</v>
      </c>
      <c r="D9" s="8" t="str">
        <f t="shared" si="1"/>
        <v>2019_03_28_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2019_03_28_000053_create_product_groups_table.php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2019_03_28_000053_create_product_groups_table.php</v>
      </c>
    </row>
    <row r="10" spans="1:8" x14ac:dyDescent="0.25">
      <c r="A10" s="32">
        <f t="shared" si="0"/>
        <v>9</v>
      </c>
      <c r="B10" s="1" t="s">
        <v>1950</v>
      </c>
      <c r="C10" s="8" t="str">
        <f>MID(MigrationRenamer[Filename],26,LEN(MigrationRenamer[Filename])-35)</f>
        <v>product_images</v>
      </c>
      <c r="D10" s="8" t="str">
        <f t="shared" si="1"/>
        <v>2019_03_28_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2019_03_28_000054_create_product_images_table.php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2019_03_28_000054_create_product_images_table.php</v>
      </c>
    </row>
    <row r="11" spans="1:8" x14ac:dyDescent="0.25">
      <c r="A11" s="32">
        <f t="shared" si="0"/>
        <v>10</v>
      </c>
      <c r="B11" s="1" t="s">
        <v>1951</v>
      </c>
      <c r="C11" s="8" t="str">
        <f>MID(MigrationRenamer[Filename],26,LEN(MigrationRenamer[Filename])-35)</f>
        <v>pricelist</v>
      </c>
      <c r="D11" s="8" t="str">
        <f t="shared" si="1"/>
        <v>2019_03_28_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2019_03_28_000055_create_pricelist_table.php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2019_03_28_000055_create_pricelist_table.php</v>
      </c>
    </row>
    <row r="12" spans="1:8" x14ac:dyDescent="0.25">
      <c r="A12" s="32">
        <f t="shared" si="0"/>
        <v>11</v>
      </c>
      <c r="B12" s="1" t="s">
        <v>1952</v>
      </c>
      <c r="C12" s="8" t="str">
        <f>MID(MigrationRenamer[Filename],26,LEN(MigrationRenamer[Filename])-35)</f>
        <v>pricelist_products</v>
      </c>
      <c r="D12" s="8" t="str">
        <f t="shared" si="1"/>
        <v>2019_03_28_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2019_03_28_000056_create_pricelist_products_table.php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2019_03_28_000056_create_pricelist_products_table.php</v>
      </c>
    </row>
    <row r="13" spans="1:8" x14ac:dyDescent="0.25">
      <c r="A13" s="32">
        <f t="shared" si="0"/>
        <v>12</v>
      </c>
      <c r="B13" s="1" t="s">
        <v>1953</v>
      </c>
      <c r="C13" s="8" t="str">
        <f>MID(MigrationRenamer[Filename],26,LEN(MigrationRenamer[Filename])-35)</f>
        <v>functiondetails</v>
      </c>
      <c r="D13" s="8" t="str">
        <f t="shared" si="1"/>
        <v>2019_03_28_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2019_03_28_000057_create_functiondetails_table.php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2019_03_28_000057_create_functiondetails_table.php</v>
      </c>
    </row>
    <row r="14" spans="1:8" x14ac:dyDescent="0.25">
      <c r="A14" s="32">
        <f t="shared" si="0"/>
        <v>13</v>
      </c>
      <c r="B14" s="1" t="s">
        <v>1865</v>
      </c>
      <c r="C14" s="8" t="str">
        <f>MID(MigrationRenamer[Filename],26,LEN(MigrationRenamer[Filename])-35)</f>
        <v>stores</v>
      </c>
      <c r="D14" s="8" t="str">
        <f t="shared" si="1"/>
        <v>2019_03_28_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2019_03_28_000058_create_stores_table.php</v>
      </c>
      <c r="H14" s="8" t="str">
        <f>IFERROR("ren "&amp;MigrationRenamer[Filename]&amp;" "&amp;MigrationRenamer[New Name],"del "&amp;MigrationRenamer[Filename])</f>
        <v>ren 2019_03_28_000058_create_stores_table.php 2019_03_28_000058_create_stores_table.php</v>
      </c>
    </row>
    <row r="15" spans="1:8" x14ac:dyDescent="0.25">
      <c r="A15" s="32">
        <f t="shared" si="0"/>
        <v>14</v>
      </c>
      <c r="B15" s="1" t="s">
        <v>1866</v>
      </c>
      <c r="C15" s="8" t="str">
        <f>MID(MigrationRenamer[Filename],26,LEN(MigrationRenamer[Filename])-35)</f>
        <v>areas</v>
      </c>
      <c r="D15" s="8" t="str">
        <f t="shared" si="1"/>
        <v>2019_03_28_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2019_03_28_000059_create_areas_table.php</v>
      </c>
      <c r="H15" s="8" t="str">
        <f>IFERROR("ren "&amp;MigrationRenamer[Filename]&amp;" "&amp;MigrationRenamer[New Name],"del "&amp;MigrationRenamer[Filename])</f>
        <v>ren 2019_03_28_000059_create_areas_table.php 2019_03_28_000059_create_areas_table.php</v>
      </c>
    </row>
    <row r="16" spans="1:8" x14ac:dyDescent="0.25">
      <c r="A16" s="32">
        <f t="shared" si="0"/>
        <v>15</v>
      </c>
      <c r="B16" s="1" t="s">
        <v>1867</v>
      </c>
      <c r="C16" s="8" t="str">
        <f>MID(MigrationRenamer[Filename],26,LEN(MigrationRenamer[Filename])-35)</f>
        <v>area_users</v>
      </c>
      <c r="D16" s="8" t="str">
        <f t="shared" si="1"/>
        <v>2019_03_28_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2019_03_28_000060_create_area_users_table.php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2019_03_28_000060_create_area_users_table.php</v>
      </c>
    </row>
    <row r="17" spans="1:8" x14ac:dyDescent="0.25">
      <c r="A17" s="32">
        <f t="shared" si="0"/>
        <v>16</v>
      </c>
      <c r="B17" s="1" t="s">
        <v>1868</v>
      </c>
      <c r="C17" s="8" t="str">
        <f>MID(MigrationRenamer[Filename],26,LEN(MigrationRenamer[Filename])-35)</f>
        <v>user_settings</v>
      </c>
      <c r="D17" s="8" t="str">
        <f t="shared" si="1"/>
        <v>2019_03_28_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2019_03_28_000061_create_user_settings_table.php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2019_03_28_000061_create_user_settings_table.php</v>
      </c>
    </row>
    <row r="18" spans="1:8" x14ac:dyDescent="0.25">
      <c r="A18" s="32">
        <f t="shared" si="0"/>
        <v>17</v>
      </c>
      <c r="B18" s="1" t="s">
        <v>1869</v>
      </c>
      <c r="C18" s="8" t="str">
        <f>MID(MigrationRenamer[Filename],26,LEN(MigrationRenamer[Filename])-35)</f>
        <v>user_store_area</v>
      </c>
      <c r="D18" s="8" t="str">
        <f t="shared" si="1"/>
        <v>2019_03_28_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2019_03_28_000062_create_user_store_area_table.php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2019_03_28_000062_create_user_store_area_table.php</v>
      </c>
    </row>
    <row r="19" spans="1:8" x14ac:dyDescent="0.25">
      <c r="A19" s="32">
        <f t="shared" si="0"/>
        <v>18</v>
      </c>
      <c r="B19" s="1" t="s">
        <v>1954</v>
      </c>
      <c r="C19" s="8" t="str">
        <f>MID(MigrationRenamer[Filename],26,LEN(MigrationRenamer[Filename])-35)</f>
        <v>sales_order</v>
      </c>
      <c r="D19" s="8" t="str">
        <f t="shared" si="1"/>
        <v>2019_03_28_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2019_03_28_000063_create_sales_order_table.php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2019_03_28_000063_create_sales_order_table.php</v>
      </c>
    </row>
    <row r="20" spans="1:8" x14ac:dyDescent="0.25">
      <c r="A20" s="32">
        <f t="shared" si="0"/>
        <v>19</v>
      </c>
      <c r="B20" s="1" t="s">
        <v>1955</v>
      </c>
      <c r="C20" s="8" t="str">
        <f>MID(MigrationRenamer[Filename],26,LEN(MigrationRenamer[Filename])-35)</f>
        <v>sales_order_items</v>
      </c>
      <c r="D20" s="8" t="str">
        <f t="shared" si="1"/>
        <v>2019_03_28_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2019_03_28_000064_create_sales_order_items_table.php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2019_03_28_000064_create_sales_order_items_table.php</v>
      </c>
    </row>
    <row r="21" spans="1:8" x14ac:dyDescent="0.25">
      <c r="A21" s="32">
        <f t="shared" si="0"/>
        <v>20</v>
      </c>
      <c r="B21" s="1" t="s">
        <v>1956</v>
      </c>
      <c r="C21" s="8" t="str">
        <f>MID(MigrationRenamer[Filename],26,LEN(MigrationRenamer[Filename])-35)</f>
        <v>transactions</v>
      </c>
      <c r="D21" s="8" t="str">
        <f t="shared" si="1"/>
        <v>2019_03_28_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2019_03_28_000065_create_transactions_table.php</v>
      </c>
    </row>
    <row r="22" spans="1:8" x14ac:dyDescent="0.25">
      <c r="A22" s="32">
        <f t="shared" si="0"/>
        <v>21</v>
      </c>
      <c r="B22" s="1" t="s">
        <v>1957</v>
      </c>
      <c r="C22" s="8" t="str">
        <f>MID(MigrationRenamer[Filename],26,LEN(MigrationRenamer[Filename])-35)</f>
        <v>transaction_details</v>
      </c>
      <c r="D22" s="8" t="str">
        <f t="shared" si="1"/>
        <v>2019_03_28_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2019_03_28_000066_create_transaction_details_table.php</v>
      </c>
    </row>
    <row r="23" spans="1:8" x14ac:dyDescent="0.25">
      <c r="A23" s="32">
        <f t="shared" si="0"/>
        <v>22</v>
      </c>
      <c r="B23" s="1" t="s">
        <v>1958</v>
      </c>
      <c r="C23" s="8" t="str">
        <f>MID(MigrationRenamer[Filename],26,LEN(MigrationRenamer[Filename])-35)</f>
        <v>d_data</v>
      </c>
      <c r="D23" s="8" t="str">
        <f t="shared" si="1"/>
        <v>2019_03_28_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2019_03_28_000067_create_d_data_table.php</v>
      </c>
      <c r="H23" s="8" t="str">
        <f>IFERROR("ren "&amp;MigrationRenamer[Filename]&amp;" "&amp;MigrationRenamer[New Name],"del "&amp;MigrationRenamer[Filename])</f>
        <v>ren 2019_03_28_000067_create_d_data_table.php 2019_03_28_000067_create_d_data_table.php</v>
      </c>
    </row>
    <row r="24" spans="1:8" x14ac:dyDescent="0.25">
      <c r="A24" s="32">
        <f t="shared" si="0"/>
        <v>23</v>
      </c>
      <c r="B24" s="1" t="s">
        <v>1870</v>
      </c>
      <c r="C24" s="8" t="str">
        <f>MID(MigrationRenamer[Filename],26,LEN(MigrationRenamer[Filename])-35)</f>
        <v>stock_transfer</v>
      </c>
      <c r="D24" s="8" t="str">
        <f t="shared" si="1"/>
        <v>2019_03_28_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2019_03_28_000068_create_stock_transfer_table.php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2019_03_28_000068_create_stock_transfer_table.php</v>
      </c>
    </row>
    <row r="25" spans="1:8" x14ac:dyDescent="0.25">
      <c r="A25" s="32">
        <f t="shared" si="0"/>
        <v>24</v>
      </c>
      <c r="B25" s="1" t="s">
        <v>1871</v>
      </c>
      <c r="C25" s="8" t="str">
        <f>MID(MigrationRenamer[Filename],26,LEN(MigrationRenamer[Filename])-35)</f>
        <v>receipts</v>
      </c>
      <c r="D25" s="8" t="str">
        <f t="shared" si="1"/>
        <v>2019_03_28_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2019_03_28_000069_create_receipts_table.php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2019_03_28_000069_create_receipts_table.php</v>
      </c>
    </row>
    <row r="26" spans="1:8" x14ac:dyDescent="0.25">
      <c r="A26" s="32">
        <f t="shared" si="0"/>
        <v>25</v>
      </c>
      <c r="B26" s="1" t="s">
        <v>1872</v>
      </c>
      <c r="C26" s="8" t="str">
        <f>MID(MigrationRenamer[Filename],26,LEN(MigrationRenamer[Filename])-35)</f>
        <v>fn_reserves</v>
      </c>
      <c r="D26" s="8" t="str">
        <f t="shared" si="1"/>
        <v>2019_03_28_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2019_03_28_000070_create_fn_reserves_table.php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2019_03_28_000070_create_fn_reserves_table.php</v>
      </c>
    </row>
    <row r="27" spans="1:8" x14ac:dyDescent="0.25">
      <c r="A27" s="32">
        <f t="shared" si="0"/>
        <v>26</v>
      </c>
      <c r="B27" s="1" t="s">
        <v>1873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2019_03_28_000071_create_w_bin_table.php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2019_03_28_000071_create_w_bin_table.php</v>
      </c>
    </row>
    <row r="28" spans="1:8" x14ac:dyDescent="0.25">
      <c r="A28" s="32">
        <f t="shared" si="0"/>
        <v>27</v>
      </c>
      <c r="B28" s="1" t="s">
        <v>2003</v>
      </c>
      <c r="C28" s="8" t="str">
        <f>MID(MigrationRenamer[Filename],26,LEN(MigrationRenamer[Filename])-35)</f>
        <v>user_executive</v>
      </c>
      <c r="D28" s="8" t="str">
        <f t="shared" si="1"/>
        <v>2019_03_28_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2019_03_28_000072_create_user_executive_table.php</v>
      </c>
      <c r="H28" s="8" t="str">
        <f>IFERROR("ren "&amp;MigrationRenamer[Filename]&amp;" "&amp;MigrationRenamer[New Name],"del "&amp;MigrationRenamer[Filename])</f>
        <v>ren 2019_03_28_000072_create_user_executive_table.php 2019_03_28_000072_create_user_executive_table.php</v>
      </c>
    </row>
    <row r="29" spans="1:8" x14ac:dyDescent="0.25">
      <c r="A29" s="32">
        <f>IFERROR($A28+1,1)</f>
        <v>28</v>
      </c>
      <c r="B29" s="5" t="s">
        <v>2005</v>
      </c>
      <c r="C29" s="8" t="str">
        <f>MID(MigrationRenamer[Filename],26,LEN(MigrationRenamer[Filename])-35)</f>
        <v>prints</v>
      </c>
      <c r="D29" s="8" t="str">
        <f>"2019_03_28_"</f>
        <v>2019_03_28_</v>
      </c>
      <c r="E29" s="8" t="e">
        <f>TEXT(MATCH(MigrationRenamer[[#This Row],[Table]],Tables[Table],0),"000000")</f>
        <v>#N/A</v>
      </c>
      <c r="F29" s="8" t="e">
        <f>RIGHT(MigrationRenamer[Filename],LEN(MigrationRenamer[Filename])-LEN(MigrationRenamer[Date Part])-LEN(MigrationRenamer[Sequence]))</f>
        <v>#N/A</v>
      </c>
      <c r="G29" s="8" t="e">
        <f>MigrationRenamer[Date Part]&amp;MigrationRenamer[Sequence]&amp;MigrationRenamer[Name Part]</f>
        <v>#N/A</v>
      </c>
      <c r="H29" s="8" t="str">
        <f>IFERROR("ren "&amp;MigrationRenamer[Filename]&amp;" "&amp;MigrationRenamer[New Name],"del "&amp;MigrationRenamer[Filename])</f>
        <v>del 2019_03_28_000073_create_prints_table.php</v>
      </c>
    </row>
    <row r="30" spans="1:8" x14ac:dyDescent="0.25">
      <c r="A30" s="32">
        <f>IFERROR($A29+1,1)</f>
        <v>29</v>
      </c>
      <c r="B30" s="5" t="s">
        <v>2006</v>
      </c>
      <c r="C30" s="8" t="str">
        <f>MID(MigrationRenamer[Filename],26,LEN(MigrationRenamer[Filename])-35)</f>
        <v>printings</v>
      </c>
      <c r="D30" s="8" t="str">
        <f>"2019_03_28_"</f>
        <v>2019_03_28_</v>
      </c>
      <c r="E30" s="8" t="str">
        <f>TEXT(MATCH(MigrationRenamer[[#This Row],[Table]],Tables[Table],0),"000000")</f>
        <v>000073</v>
      </c>
      <c r="F30" s="8" t="str">
        <f>RIGHT(MigrationRenamer[Filename],LEN(MigrationRenamer[Filename])-LEN(MigrationRenamer[Date Part])-LEN(MigrationRenamer[Sequence]))</f>
        <v>_create_printings_table.php</v>
      </c>
      <c r="G30" s="8" t="str">
        <f>MigrationRenamer[Date Part]&amp;MigrationRenamer[Sequence]&amp;MigrationRenamer[Name Part]</f>
        <v>2019_03_28_000073_create_printings_table.php</v>
      </c>
      <c r="H30" s="8" t="str">
        <f>IFERROR("ren "&amp;MigrationRenamer[Filename]&amp;" "&amp;MigrationRenamer[New Name],"del "&amp;MigrationRenamer[Filename])</f>
        <v>ren 2019_11_12_125200_create_printings_table.php 2019_03_28_000073_create_printings_table.php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1"/>
  <sheetViews>
    <sheetView topLeftCell="O1" workbookViewId="0">
      <selection activeCell="O12" sqref="O12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1279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1297</v>
      </c>
      <c r="G3" s="64" t="s">
        <v>1378</v>
      </c>
      <c r="H3" s="64" t="s">
        <v>1297</v>
      </c>
      <c r="I3" s="64" t="s">
        <v>23</v>
      </c>
      <c r="J3" s="64">
        <v>20</v>
      </c>
      <c r="K3" s="58">
        <f>ResourceList[No]</f>
        <v>322101</v>
      </c>
      <c r="M3" s="4" t="s">
        <v>1419</v>
      </c>
      <c r="N3" s="7">
        <f>VLOOKUP(ListExtras[[#This Row],[List Name]],ResourceList[[ListDisplayName]:[No]],2,0)</f>
        <v>322103</v>
      </c>
      <c r="O3" s="4"/>
      <c r="P3" s="4" t="s">
        <v>1405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1379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1379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1408</v>
      </c>
      <c r="G4" s="64" t="s">
        <v>1409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1419</v>
      </c>
      <c r="N4" s="7">
        <f>VLOOKUP(ListExtras[[#This Row],[List Name]],ResourceList[[ListDisplayName]:[No]],2,0)</f>
        <v>322103</v>
      </c>
      <c r="O4" s="4"/>
      <c r="P4" s="4" t="s">
        <v>1406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1379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1379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1376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1288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1417</v>
      </c>
      <c r="G5" s="64" t="s">
        <v>1418</v>
      </c>
      <c r="H5" s="64" t="s">
        <v>1306</v>
      </c>
      <c r="I5" s="64" t="s">
        <v>1449</v>
      </c>
      <c r="J5" s="64">
        <v>50</v>
      </c>
      <c r="K5" s="58">
        <f>ResourceList[No]</f>
        <v>322103</v>
      </c>
      <c r="M5" s="4" t="s">
        <v>1438</v>
      </c>
      <c r="N5" s="7">
        <f>VLOOKUP(ListExtras[[#This Row],[List Name]],ResourceList[[ListDisplayName]:[No]],2,0)</f>
        <v>322104</v>
      </c>
      <c r="O5" s="4" t="s">
        <v>1439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1410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1379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1358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1435</v>
      </c>
      <c r="G6" s="64" t="s">
        <v>1436</v>
      </c>
      <c r="H6" s="64" t="s">
        <v>1437</v>
      </c>
      <c r="I6" s="64" t="s">
        <v>23</v>
      </c>
      <c r="J6" s="64">
        <v>50</v>
      </c>
      <c r="K6" s="58">
        <f>ResourceList[No]</f>
        <v>322104</v>
      </c>
      <c r="M6" s="4" t="s">
        <v>1500</v>
      </c>
      <c r="N6" s="7">
        <f>VLOOKUP(ListExtras[[#This Row],[List Name]],ResourceList[[ListDisplayName]:[No]],2,0)</f>
        <v>322105</v>
      </c>
      <c r="O6" s="4"/>
      <c r="P6" s="4" t="s">
        <v>1501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1410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1411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1410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1498</v>
      </c>
      <c r="G7" s="64" t="s">
        <v>1499</v>
      </c>
      <c r="H7" s="64" t="s">
        <v>1495</v>
      </c>
      <c r="I7" s="64" t="s">
        <v>1449</v>
      </c>
      <c r="J7" s="64">
        <v>50</v>
      </c>
      <c r="K7" s="58">
        <f>ResourceList[No]</f>
        <v>322105</v>
      </c>
      <c r="M7" s="4" t="s">
        <v>1500</v>
      </c>
      <c r="N7" s="7">
        <f>VLOOKUP(ListExtras[[#This Row],[List Name]],ResourceList[[ListDisplayName]:[No]],2,0)</f>
        <v>322105</v>
      </c>
      <c r="O7" s="4"/>
      <c r="P7" s="4" t="s">
        <v>1502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1410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1414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1410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1412</v>
      </c>
      <c r="AY7" s="64" t="s">
        <v>1411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1286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1529</v>
      </c>
      <c r="G8" s="64" t="s">
        <v>1530</v>
      </c>
      <c r="H8" s="64" t="s">
        <v>1286</v>
      </c>
      <c r="I8" s="64" t="s">
        <v>23</v>
      </c>
      <c r="J8" s="64">
        <v>50</v>
      </c>
      <c r="K8" s="58">
        <f>ResourceList[No]</f>
        <v>322106</v>
      </c>
      <c r="M8" s="4" t="s">
        <v>1500</v>
      </c>
      <c r="N8" s="7">
        <f>VLOOKUP(ListExtras[[#This Row],[List Name]],ResourceList[[ListDisplayName]:[No]],2,0)</f>
        <v>322105</v>
      </c>
      <c r="O8" s="4"/>
      <c r="P8" s="4" t="s">
        <v>1503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1419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1406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1410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1413</v>
      </c>
      <c r="AY8" s="64" t="s">
        <v>1414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1285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1533</v>
      </c>
      <c r="G9" s="64" t="s">
        <v>1534</v>
      </c>
      <c r="H9" s="64" t="s">
        <v>1303</v>
      </c>
      <c r="I9" s="64" t="s">
        <v>23</v>
      </c>
      <c r="J9" s="64">
        <v>50</v>
      </c>
      <c r="K9" s="58">
        <f>ResourceList[No]</f>
        <v>322107</v>
      </c>
      <c r="M9" s="4" t="s">
        <v>1750</v>
      </c>
      <c r="N9" s="8">
        <f>VLOOKUP(ListExtras[[#This Row],[List Name]],ResourceList[[ListDisplayName]:[No]],2,0)</f>
        <v>322108</v>
      </c>
      <c r="O9" s="5"/>
      <c r="P9" s="4" t="s">
        <v>1742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1419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1405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1419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1406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1718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1749</v>
      </c>
      <c r="G10" s="78" t="s">
        <v>1757</v>
      </c>
      <c r="H10" s="78" t="s">
        <v>1720</v>
      </c>
      <c r="I10" s="78" t="s">
        <v>1751</v>
      </c>
      <c r="J10" s="78">
        <v>15</v>
      </c>
      <c r="K10" s="32">
        <f>ResourceList[No]</f>
        <v>322108</v>
      </c>
      <c r="M10" s="4" t="s">
        <v>1786</v>
      </c>
      <c r="N10" s="8">
        <f>VLOOKUP(ListExtras[[#This Row],[List Name]],ResourceList[[ListDisplayName]:[No]],2,0)</f>
        <v>322110</v>
      </c>
      <c r="O10" s="5"/>
      <c r="P10" s="4" t="s">
        <v>1780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1438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1419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1297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1405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1281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1756</v>
      </c>
      <c r="G11" s="78" t="s">
        <v>1758</v>
      </c>
      <c r="H11" s="78" t="s">
        <v>1759</v>
      </c>
      <c r="I11" s="78" t="s">
        <v>768</v>
      </c>
      <c r="J11" s="78">
        <v>50</v>
      </c>
      <c r="K11" s="32">
        <f>ResourceList[No]</f>
        <v>322109</v>
      </c>
      <c r="M11" s="4" t="s">
        <v>1786</v>
      </c>
      <c r="N11" s="8">
        <f>VLOOKUP(ListExtras[[#This Row],[List Name]],ResourceList[[ListDisplayName]:[No]],2,0)</f>
        <v>322110</v>
      </c>
      <c r="O11" s="5"/>
      <c r="P11" s="4" t="s">
        <v>1781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1500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1501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1419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1637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1784</v>
      </c>
      <c r="G12" s="78" t="s">
        <v>1785</v>
      </c>
      <c r="H12" s="78" t="s">
        <v>1638</v>
      </c>
      <c r="I12" s="78" t="s">
        <v>858</v>
      </c>
      <c r="J12" s="78">
        <v>50</v>
      </c>
      <c r="K12" s="32">
        <f>ResourceList[No]</f>
        <v>322110</v>
      </c>
      <c r="M12" s="4" t="s">
        <v>1810</v>
      </c>
      <c r="N12" s="8">
        <f>VLOOKUP(ListExtras[[#This Row],[List Name]],ResourceList[[ListDisplayName]:[No]],2,0)</f>
        <v>322111</v>
      </c>
      <c r="O12" s="5" t="s">
        <v>1811</v>
      </c>
      <c r="P12" s="4" t="s">
        <v>1780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1500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1502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1419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1358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1637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1808</v>
      </c>
      <c r="G13" s="78" t="s">
        <v>1809</v>
      </c>
      <c r="H13" s="78" t="s">
        <v>1638</v>
      </c>
      <c r="I13" s="78" t="s">
        <v>858</v>
      </c>
      <c r="J13" s="78">
        <v>50</v>
      </c>
      <c r="K13" s="32">
        <f>ResourceList[No]</f>
        <v>322111</v>
      </c>
      <c r="M13" s="4" t="s">
        <v>1810</v>
      </c>
      <c r="N13" s="8">
        <f>VLOOKUP(ListExtras[[#This Row],[List Name]],ResourceList[[ListDisplayName]:[No]],2,0)</f>
        <v>322111</v>
      </c>
      <c r="O13" s="5"/>
      <c r="P13" s="4" t="s">
        <v>1781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308135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1500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1503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1438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1892</v>
      </c>
      <c r="G14" s="78" t="s">
        <v>1898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1901</v>
      </c>
      <c r="N14" s="8">
        <f>VLOOKUP(ListExtras[[#This Row],[List Name]],ResourceList[[ListDisplayName]:[No]],2,0)</f>
        <v>322112</v>
      </c>
      <c r="O14" s="4" t="s">
        <v>1901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1531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1438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1413</v>
      </c>
      <c r="AY14" s="64" t="s">
        <v>1414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1899</v>
      </c>
      <c r="G15" s="78" t="s">
        <v>1900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1902</v>
      </c>
      <c r="N15" s="8">
        <f>VLOOKUP(ListExtras[[#This Row],[List Name]],ResourceList[[ListDisplayName]:[No]],2,0)</f>
        <v>322113</v>
      </c>
      <c r="O15" s="4" t="s">
        <v>1903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1535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1438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1412</v>
      </c>
      <c r="AY15" s="64" t="s">
        <v>1411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1930</v>
      </c>
      <c r="G16" s="78" t="s">
        <v>1931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1969</v>
      </c>
      <c r="N16" s="6">
        <f>VLOOKUP(ListExtras[[#This Row],[List Name]],ResourceList[[ListDisplayName]:[No]],2,0)</f>
        <v>322115</v>
      </c>
      <c r="O16" s="1"/>
      <c r="P16" s="1" t="s">
        <v>1970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1750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1742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1500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1504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1503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1959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1966</v>
      </c>
      <c r="G17" s="13" t="s">
        <v>1967</v>
      </c>
      <c r="H17" s="13" t="s">
        <v>1961</v>
      </c>
      <c r="I17" s="13" t="s">
        <v>1968</v>
      </c>
      <c r="J17" s="78">
        <v>50</v>
      </c>
      <c r="K17" s="3">
        <f>ResourceList[No]</f>
        <v>322115</v>
      </c>
      <c r="M17" s="2" t="s">
        <v>1969</v>
      </c>
      <c r="N17" s="6">
        <f>VLOOKUP(ListExtras[[#This Row],[List Name]],ResourceList[[ListDisplayName]:[No]],2,0)</f>
        <v>322115</v>
      </c>
      <c r="O17" s="1"/>
      <c r="P17" s="1" t="s">
        <v>1971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1760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1500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1285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1502</v>
      </c>
      <c r="BD17" s="64"/>
      <c r="BE17" s="64"/>
    </row>
    <row r="18" spans="1:57" x14ac:dyDescent="0.25">
      <c r="AF18" s="30" t="str">
        <f>'Table Seed Map'!$A$28&amp;"-"&amp;COUNTA($AH$1:ListSearch[[#This Row],[No]])-2</f>
        <v>List Search-16</v>
      </c>
      <c r="AG18" s="4" t="s">
        <v>1786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1500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1286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1501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1786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1780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1500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1358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1786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1781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1531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1532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1810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1531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1810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1780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1531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1810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1781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1531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1358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1901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1535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1532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1901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1904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1535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1901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1411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1535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1536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1902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1535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1537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1902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1904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1750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1282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1742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1902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1411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1760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1532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T30" s="30" t="str">
        <f>'Table Seed Map'!$A$27&amp;"-"&amp;COUNTA($AV$1:ListLayout[[#This Row],[No]])-2</f>
        <v>List Layout-28</v>
      </c>
      <c r="AU30" s="4" t="s">
        <v>1760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1812</v>
      </c>
      <c r="AY30" s="78" t="s">
        <v>1631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T31" s="30" t="str">
        <f>'Table Seed Map'!$A$27&amp;"-"&amp;COUNTA($AV$1:ListLayout[[#This Row],[No]])-2</f>
        <v>List Layout-29</v>
      </c>
      <c r="AU31" s="4" t="s">
        <v>1760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1761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T32" s="30" t="str">
        <f>'Table Seed Map'!$A$27&amp;"-"&amp;COUNTA($AV$1:ListLayout[[#This Row],[No]])-2</f>
        <v>List Layout-30</v>
      </c>
      <c r="AU32" s="4" t="s">
        <v>1786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1532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1786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1780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1786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1285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1781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1786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1772</v>
      </c>
      <c r="AY35" s="78" t="s">
        <v>952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1810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1532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1810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1780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1810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1285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1781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1810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1772</v>
      </c>
      <c r="AY39" s="78" t="s">
        <v>952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1901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1901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1905</v>
      </c>
      <c r="AY41" s="78" t="s">
        <v>1904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1902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1902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1905</v>
      </c>
      <c r="AY43" s="78" t="s">
        <v>1904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1932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1925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1932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1932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1933</v>
      </c>
      <c r="AY46" s="78" t="s">
        <v>1876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1932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1934</v>
      </c>
      <c r="AY47" s="78" t="s">
        <v>1832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1932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1358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1969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1972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1971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1969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1973</v>
      </c>
      <c r="AY50" s="13" t="s">
        <v>1904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1971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1969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1412</v>
      </c>
      <c r="AY51" s="13" t="s">
        <v>1411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1971</v>
      </c>
      <c r="BD51" s="13"/>
      <c r="BE51" s="13"/>
    </row>
  </sheetData>
  <dataValidations count="4">
    <dataValidation type="list" allowBlank="1" showInputMessage="1" showErrorMessage="1" sqref="P2:S17 AO2:AR29 BC2:BE51">
      <formula1>Relations</formula1>
    </dataValidation>
    <dataValidation type="list" allowBlank="1" showInputMessage="1" showErrorMessage="1" sqref="AU2:AU51 AG2:AG29 M2:M17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7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opLeftCell="B1" workbookViewId="0">
      <selection activeCell="J6" sqref="J6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1279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1380</v>
      </c>
      <c r="G3" s="64" t="s">
        <v>1381</v>
      </c>
      <c r="H3" s="64" t="s">
        <v>23</v>
      </c>
      <c r="I3" s="88"/>
      <c r="J3" s="63">
        <f>ResourceData[No]</f>
        <v>327101</v>
      </c>
      <c r="L3" s="2" t="s">
        <v>1481</v>
      </c>
      <c r="M3" s="9">
        <f>VLOOKUP(DataExtra[[#This Row],[Data Name]],ResourceData[[DataDisplayName]:[No]],2,0)</f>
        <v>327102</v>
      </c>
      <c r="N3" s="2"/>
      <c r="O3" s="2" t="s">
        <v>1406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1382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1383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1384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1288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1479</v>
      </c>
      <c r="G4" s="14" t="s">
        <v>1480</v>
      </c>
      <c r="H4" s="14" t="s">
        <v>1449</v>
      </c>
      <c r="I4" s="105"/>
      <c r="J4" s="106">
        <f>ResourceData[No]</f>
        <v>327102</v>
      </c>
      <c r="L4" s="2" t="s">
        <v>1481</v>
      </c>
      <c r="M4" s="9">
        <f>VLOOKUP(DataExtra[[#This Row],[Data Name]],ResourceData[[DataDisplayName]:[No]],2,0)</f>
        <v>327102</v>
      </c>
      <c r="N4" s="2"/>
      <c r="O4" s="2" t="s">
        <v>1405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1382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1384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1376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1289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1516</v>
      </c>
      <c r="G5" s="64" t="s">
        <v>1517</v>
      </c>
      <c r="H5" s="14" t="s">
        <v>1449</v>
      </c>
      <c r="I5" s="88"/>
      <c r="J5" s="63">
        <f>ResourceData[No]</f>
        <v>327103</v>
      </c>
      <c r="L5" s="2" t="s">
        <v>1518</v>
      </c>
      <c r="M5" s="7">
        <f>VLOOKUP(DataExtra[[#This Row],[Data Name]],ResourceData[[DataDisplayName]:[No]],2,0)</f>
        <v>327103</v>
      </c>
      <c r="N5" s="4"/>
      <c r="O5" s="2" t="s">
        <v>1501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1481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1482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1358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1718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1736</v>
      </c>
      <c r="G6" s="78" t="s">
        <v>1737</v>
      </c>
      <c r="H6" s="78" t="s">
        <v>1738</v>
      </c>
      <c r="I6" s="117"/>
      <c r="J6" s="116">
        <f>ResourceData[No]</f>
        <v>327104</v>
      </c>
      <c r="L6" s="2" t="s">
        <v>1518</v>
      </c>
      <c r="M6" s="7">
        <f>VLOOKUP(DataExtra[[#This Row],[Data Name]],ResourceData[[DataDisplayName]:[No]],2,0)</f>
        <v>327103</v>
      </c>
      <c r="N6" s="4"/>
      <c r="O6" s="2" t="s">
        <v>1502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1518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1350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1385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1350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1637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1768</v>
      </c>
      <c r="G7" s="78" t="s">
        <v>1769</v>
      </c>
      <c r="H7" s="78" t="s">
        <v>768</v>
      </c>
      <c r="I7" s="117"/>
      <c r="J7" s="116">
        <f>ResourceData[No]</f>
        <v>327105</v>
      </c>
      <c r="L7" s="2" t="s">
        <v>1518</v>
      </c>
      <c r="M7" s="7">
        <f>VLOOKUP(DataExtra[[#This Row],[Data Name]],ResourceData[[DataDisplayName]:[No]],2,0)</f>
        <v>327103</v>
      </c>
      <c r="N7" s="4"/>
      <c r="O7" s="2" t="s">
        <v>1503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1739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1738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1483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1406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1922</v>
      </c>
      <c r="G8" s="78" t="s">
        <v>1923</v>
      </c>
      <c r="H8" s="78" t="s">
        <v>23</v>
      </c>
      <c r="I8" s="117"/>
      <c r="J8" s="116">
        <f>ResourceData[No]</f>
        <v>327106</v>
      </c>
      <c r="L8" s="4" t="s">
        <v>1739</v>
      </c>
      <c r="M8" s="8">
        <f>VLOOKUP(DataExtra[[#This Row],[Data Name]],ResourceData[[DataDisplayName]:[No]],2,0)</f>
        <v>327104</v>
      </c>
      <c r="N8" s="5"/>
      <c r="O8" s="2" t="s">
        <v>1742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1770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1483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1484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1405</v>
      </c>
    </row>
    <row r="9" spans="1:49" x14ac:dyDescent="0.25">
      <c r="L9" s="4" t="s">
        <v>1770</v>
      </c>
      <c r="M9" s="8">
        <f>VLOOKUP(DataExtra[[#This Row],[Data Name]],ResourceData[[DataDisplayName]:[No]],2,0)</f>
        <v>327105</v>
      </c>
      <c r="N9" s="5"/>
      <c r="O9" s="2" t="s">
        <v>1780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1770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1772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1483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1770</v>
      </c>
      <c r="M10" s="8">
        <f>VLOOKUP(DataExtra[[#This Row],[Data Name]],ResourceData[[DataDisplayName]:[No]],2,0)</f>
        <v>327105</v>
      </c>
      <c r="N10" s="5"/>
      <c r="O10" s="4" t="s">
        <v>1781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1924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1483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1358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P11" s="60" t="str">
        <f>'Table Seed Map'!$A$33&amp;"-"&amp;-1+COUNTA($AQ$1:DataViewSectionItem[[#This Row],[Data Section for Items]])</f>
        <v>Data View Section Items-9</v>
      </c>
      <c r="AQ11" s="4" t="s">
        <v>1519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1504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1503</v>
      </c>
    </row>
    <row r="12" spans="1:49" x14ac:dyDescent="0.25">
      <c r="AP12" s="60" t="str">
        <f>'Table Seed Map'!$A$33&amp;"-"&amp;-1+COUNTA($AQ$1:DataViewSectionItem[[#This Row],[Data Section for Items]])</f>
        <v>Data View Section Items-10</v>
      </c>
      <c r="AQ12" s="4" t="s">
        <v>1519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1285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1502</v>
      </c>
    </row>
    <row r="13" spans="1:49" x14ac:dyDescent="0.25">
      <c r="AP13" s="60" t="str">
        <f>'Table Seed Map'!$A$33&amp;"-"&amp;-1+COUNTA($AQ$1:DataViewSectionItem[[#This Row],[Data Section for Items]])</f>
        <v>Data View Section Items-11</v>
      </c>
      <c r="AQ13" s="4" t="s">
        <v>1519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1286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1501</v>
      </c>
    </row>
    <row r="14" spans="1:49" x14ac:dyDescent="0.25">
      <c r="AP14" s="60" t="str">
        <f>'Table Seed Map'!$A$33&amp;"-"&amp;-1+COUNTA($AQ$1:DataViewSectionItem[[#This Row],[Data Section for Items]])</f>
        <v>Data View Section Items-12</v>
      </c>
      <c r="AQ14" s="4" t="s">
        <v>1519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1358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P15" s="30" t="str">
        <f>'Table Seed Map'!$A$33&amp;"-"&amp;-1+COUNTA($AQ$1:DataViewSectionItem[[#This Row],[Data Section for Items]])</f>
        <v>Data View Section Items-13</v>
      </c>
      <c r="AQ15" s="4" t="s">
        <v>1743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1725</v>
      </c>
      <c r="AU15" s="78" t="s">
        <v>1703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P16" s="30" t="str">
        <f>'Table Seed Map'!$A$33&amp;"-"&amp;-1+COUNTA($AQ$1:DataViewSectionItem[[#This Row],[Data Section for Items]])</f>
        <v>Data View Section Items-14</v>
      </c>
      <c r="AQ16" s="4" t="s">
        <v>1743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1726</v>
      </c>
      <c r="AU16" s="78" t="s">
        <v>1704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1743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1727</v>
      </c>
      <c r="AU17" s="78" t="s">
        <v>1705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1743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1728</v>
      </c>
      <c r="AU18" s="78" t="s">
        <v>1706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1743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1729</v>
      </c>
      <c r="AU19" s="78" t="s">
        <v>1707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1771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1532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1771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1780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1771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1285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1781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1771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1773</v>
      </c>
      <c r="AU23" s="78" t="s">
        <v>1625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1771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1774</v>
      </c>
      <c r="AU24" s="78" t="s">
        <v>1626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1782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1775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1782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1783</v>
      </c>
      <c r="AU26" s="78" t="s">
        <v>1643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1782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1772</v>
      </c>
      <c r="AU27" s="78" t="s">
        <v>952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1782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1358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1929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1929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1926</v>
      </c>
      <c r="AU30" s="78" t="s">
        <v>1830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1929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1927</v>
      </c>
      <c r="AU31" s="78" t="s">
        <v>1876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1929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1928</v>
      </c>
      <c r="AU32" s="78" t="s">
        <v>1832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1929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1921</v>
      </c>
      <c r="AU33" s="78" t="s">
        <v>1834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1929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1358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</sheetData>
  <dataValidations count="5">
    <dataValidation type="list" allowBlank="1" showInputMessage="1" showErrorMessage="1" sqref="O2:R10 AN2:AN10 AW2:AW34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0">
      <formula1>DataNames</formula1>
    </dataValidation>
    <dataValidation type="list" allowBlank="1" showInputMessage="1" showErrorMessage="1" sqref="B2:B8">
      <formula1>Resources</formula1>
    </dataValidation>
    <dataValidation type="list" allowBlank="1" showInputMessage="1" showErrorMessage="1" sqref="AQ2:AQ34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opLeftCell="C25" workbookViewId="0">
      <selection activeCell="T31" sqref="T31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1279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1386</v>
      </c>
      <c r="G3" s="67" t="s">
        <v>1387</v>
      </c>
      <c r="H3" s="67"/>
      <c r="I3" s="67"/>
      <c r="J3" s="67" t="s">
        <v>1367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1388</v>
      </c>
      <c r="U3" s="87"/>
      <c r="V3" s="87"/>
      <c r="W3" s="87"/>
      <c r="X3" s="87"/>
      <c r="Y3" s="73">
        <f>ResourceAction[No]</f>
        <v>332101</v>
      </c>
      <c r="Z3"/>
      <c r="AA3" s="4" t="s">
        <v>1399</v>
      </c>
      <c r="AB3" s="60">
        <f>VLOOKUP(ActionListNData[[#This Row],[Action Name]],ResourceAction[[Display]:[No]],3,0)</f>
        <v>332103</v>
      </c>
      <c r="AC3" s="60" t="s">
        <v>1379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1279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1389</v>
      </c>
      <c r="G4" s="67" t="s">
        <v>1390</v>
      </c>
      <c r="H4" s="67"/>
      <c r="I4" s="67"/>
      <c r="J4" s="67" t="s">
        <v>1391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1392</v>
      </c>
      <c r="U4" s="87"/>
      <c r="V4" s="87"/>
      <c r="W4" s="87"/>
      <c r="X4" s="87"/>
      <c r="Y4" s="73">
        <f>ResourceAction[No]</f>
        <v>332102</v>
      </c>
      <c r="Z4"/>
      <c r="AA4" s="4" t="s">
        <v>1400</v>
      </c>
      <c r="AB4" s="60">
        <f>VLOOKUP(ActionListNData[[#This Row],[Action Name]],ResourceAction[[Display]:[No]],3,0)</f>
        <v>332104</v>
      </c>
      <c r="AC4" s="60" t="s">
        <v>1379</v>
      </c>
      <c r="AD4" s="60" t="s">
        <v>1382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1279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1393</v>
      </c>
      <c r="G5" s="67" t="s">
        <v>1394</v>
      </c>
      <c r="H5" s="67" t="s">
        <v>1350</v>
      </c>
      <c r="I5" s="67" t="s">
        <v>1368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1395</v>
      </c>
      <c r="U5" s="87"/>
      <c r="V5" s="87"/>
      <c r="W5" s="87"/>
      <c r="X5" s="87"/>
      <c r="Y5" s="73">
        <f>ResourceAction[No]</f>
        <v>332103</v>
      </c>
      <c r="Z5"/>
      <c r="AA5" s="4" t="s">
        <v>1424</v>
      </c>
      <c r="AB5" s="60">
        <f>VLOOKUP(ActionListNData[[#This Row],[Action Name]],ResourceAction[[Display]:[No]],3,0)</f>
        <v>332106</v>
      </c>
      <c r="AC5" s="60" t="s">
        <v>1438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1279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1396</v>
      </c>
      <c r="G6" s="67" t="s">
        <v>1397</v>
      </c>
      <c r="H6" s="67" t="s">
        <v>1398</v>
      </c>
      <c r="I6" s="67" t="s">
        <v>1368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1388</v>
      </c>
      <c r="U6" s="87" t="s">
        <v>1395</v>
      </c>
      <c r="V6" s="87"/>
      <c r="W6" s="87"/>
      <c r="X6" s="87"/>
      <c r="Y6" s="73">
        <f>ResourceAction[No]</f>
        <v>332104</v>
      </c>
      <c r="Z6"/>
      <c r="AA6" s="2" t="s">
        <v>1455</v>
      </c>
      <c r="AB6" s="16">
        <f>VLOOKUP(ActionListNData[[#This Row],[Action Name]],ResourceAction[[Display]:[No]],3,0)</f>
        <v>332109</v>
      </c>
      <c r="AC6" s="60" t="s">
        <v>1438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1415</v>
      </c>
      <c r="G7" s="67" t="s">
        <v>1409</v>
      </c>
      <c r="H7" s="67"/>
      <c r="I7" s="67"/>
      <c r="J7" s="67" t="s">
        <v>1391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1416</v>
      </c>
      <c r="U7" s="87"/>
      <c r="V7" s="87"/>
      <c r="W7" s="87"/>
      <c r="X7" s="87"/>
      <c r="Y7" s="73">
        <f>ResourceAction[No]</f>
        <v>332105</v>
      </c>
      <c r="Z7"/>
      <c r="AA7" s="2" t="s">
        <v>1463</v>
      </c>
      <c r="AB7" s="16">
        <f>VLOOKUP(ActionListNData[[#This Row],[Action Name]],ResourceAction[[Display]:[No]],3,0)</f>
        <v>332110</v>
      </c>
      <c r="AC7" s="60" t="s">
        <v>1379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1420</v>
      </c>
      <c r="G8" s="67" t="s">
        <v>1421</v>
      </c>
      <c r="H8" s="67" t="s">
        <v>1450</v>
      </c>
      <c r="I8" s="67" t="s">
        <v>1368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1407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1422</v>
      </c>
      <c r="U8" s="87" t="s">
        <v>1423</v>
      </c>
      <c r="V8" s="87"/>
      <c r="W8" s="87"/>
      <c r="X8" s="87"/>
      <c r="Y8" s="73">
        <f>ResourceAction[No]</f>
        <v>332106</v>
      </c>
      <c r="Z8"/>
      <c r="AA8" s="2" t="s">
        <v>1464</v>
      </c>
      <c r="AB8" s="16">
        <f>VLOOKUP(ActionListNData[[#This Row],[Action Name]],ResourceAction[[Display]:[No]],3,0)</f>
        <v>332111</v>
      </c>
      <c r="AC8" s="60" t="s">
        <v>1379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1440</v>
      </c>
      <c r="G9" s="67" t="s">
        <v>1441</v>
      </c>
      <c r="H9" s="67"/>
      <c r="I9" s="67"/>
      <c r="J9" s="67" t="s">
        <v>1437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1442</v>
      </c>
      <c r="U9" s="87"/>
      <c r="V9" s="87"/>
      <c r="W9" s="87"/>
      <c r="X9" s="87"/>
      <c r="Y9" s="73">
        <f>ResourceAction[No]</f>
        <v>332107</v>
      </c>
      <c r="Z9"/>
      <c r="AA9" s="2" t="s">
        <v>1489</v>
      </c>
      <c r="AB9" s="16">
        <f>VLOOKUP(ActionListNData[[#This Row],[Action Name]],ResourceAction[[Display]:[No]],3,0)</f>
        <v>332114</v>
      </c>
      <c r="AC9" s="60" t="s">
        <v>1419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1288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1445</v>
      </c>
      <c r="G10" s="67" t="s">
        <v>1446</v>
      </c>
      <c r="H10" s="67"/>
      <c r="I10" s="67"/>
      <c r="J10" s="67" t="s">
        <v>1447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1448</v>
      </c>
      <c r="U10" s="87"/>
      <c r="V10" s="87"/>
      <c r="W10" s="87"/>
      <c r="X10" s="87"/>
      <c r="Y10" s="73">
        <f>ResourceAction[No]</f>
        <v>332108</v>
      </c>
      <c r="Z10"/>
      <c r="AA10" s="2" t="s">
        <v>1490</v>
      </c>
      <c r="AB10" s="16">
        <f>VLOOKUP(ActionListNData[[#This Row],[Action Name]],ResourceAction[[Display]:[No]],3,0)</f>
        <v>332113</v>
      </c>
      <c r="AC10" s="16" t="s">
        <v>1419</v>
      </c>
      <c r="AD10" s="16" t="s">
        <v>1481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1451</v>
      </c>
      <c r="G11" s="67" t="s">
        <v>1452</v>
      </c>
      <c r="H11" s="67" t="s">
        <v>1453</v>
      </c>
      <c r="I11" s="67" t="s">
        <v>1368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1454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1422</v>
      </c>
      <c r="U11" s="87" t="s">
        <v>1448</v>
      </c>
      <c r="V11" s="87" t="s">
        <v>1467</v>
      </c>
      <c r="W11" s="87"/>
      <c r="X11" s="87"/>
      <c r="Y11" s="73">
        <f>ResourceAction[No]</f>
        <v>332109</v>
      </c>
      <c r="Z11"/>
      <c r="AA11" s="2" t="s">
        <v>1525</v>
      </c>
      <c r="AB11" s="60">
        <f>VLOOKUP(ActionListNData[[#This Row],[Action Name]],ResourceAction[[Display]:[No]],3,0)</f>
        <v>332117</v>
      </c>
      <c r="AC11" s="16" t="s">
        <v>1500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1279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1459</v>
      </c>
      <c r="G12" s="38" t="s">
        <v>1460</v>
      </c>
      <c r="H12" s="38" t="s">
        <v>1461</v>
      </c>
      <c r="I12" s="67" t="s">
        <v>1368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1407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1462</v>
      </c>
      <c r="U12" s="96" t="s">
        <v>1423</v>
      </c>
      <c r="V12" s="87"/>
      <c r="W12" s="96"/>
      <c r="X12" s="96"/>
      <c r="Y12" s="55">
        <f>ResourceAction[No]</f>
        <v>332110</v>
      </c>
      <c r="Z12"/>
      <c r="AA12" s="2" t="s">
        <v>1526</v>
      </c>
      <c r="AB12" s="60">
        <f>VLOOKUP(ActionListNData[[#This Row],[Action Name]],ResourceAction[[Display]:[No]],3,0)</f>
        <v>332118</v>
      </c>
      <c r="AC12" s="16" t="s">
        <v>1500</v>
      </c>
      <c r="AD12" s="60" t="s">
        <v>1518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1279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1456</v>
      </c>
      <c r="G13" s="38" t="s">
        <v>1457</v>
      </c>
      <c r="H13" s="38" t="s">
        <v>1458</v>
      </c>
      <c r="I13" s="67" t="s">
        <v>1368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1454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1462</v>
      </c>
      <c r="U13" s="96" t="s">
        <v>1448</v>
      </c>
      <c r="V13" s="87" t="s">
        <v>1468</v>
      </c>
      <c r="W13" s="96"/>
      <c r="X13" s="96"/>
      <c r="Y13" s="55">
        <f>ResourceAction[No]</f>
        <v>332111</v>
      </c>
      <c r="AA13" s="2" t="s">
        <v>1548</v>
      </c>
      <c r="AB13" s="60">
        <f>VLOOKUP(ActionListNData[[#This Row],[Action Name]],ResourceAction[[Display]:[No]],3,0)</f>
        <v>332121</v>
      </c>
      <c r="AC13" s="60" t="s">
        <v>1438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1288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1469</v>
      </c>
      <c r="G14" s="38" t="s">
        <v>1470</v>
      </c>
      <c r="H14" s="38"/>
      <c r="I14" s="38"/>
      <c r="J14" s="38" t="s">
        <v>1391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1423</v>
      </c>
      <c r="U14" s="96"/>
      <c r="V14" s="96"/>
      <c r="W14" s="96"/>
      <c r="X14" s="96"/>
      <c r="Y14" s="55">
        <f>ResourceAction[No]</f>
        <v>332112</v>
      </c>
      <c r="AA14" s="2" t="s">
        <v>1552</v>
      </c>
      <c r="AB14" s="60">
        <f>VLOOKUP(ActionListNData[[#This Row],[Action Name]],ResourceAction[[Display]:[No]],3,0)</f>
        <v>332122</v>
      </c>
      <c r="AC14" s="60" t="s">
        <v>1438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1288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1476</v>
      </c>
      <c r="G15" s="38" t="s">
        <v>1477</v>
      </c>
      <c r="H15" s="38" t="s">
        <v>1473</v>
      </c>
      <c r="I15" s="38" t="s">
        <v>1368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1478</v>
      </c>
      <c r="U15" s="96" t="s">
        <v>1485</v>
      </c>
      <c r="V15" s="96"/>
      <c r="W15" s="96"/>
      <c r="X15" s="96"/>
      <c r="Y15" s="55">
        <f>ResourceAction[No]</f>
        <v>332113</v>
      </c>
      <c r="AA15" s="2" t="s">
        <v>1562</v>
      </c>
      <c r="AB15" s="60">
        <f>VLOOKUP(ActionListNData[[#This Row],[Action Name]],ResourceAction[[Display]:[No]],3,0)</f>
        <v>332123</v>
      </c>
      <c r="AC15" s="60" t="s">
        <v>1531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1288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1486</v>
      </c>
      <c r="G16" s="38" t="s">
        <v>1487</v>
      </c>
      <c r="H16" s="38" t="s">
        <v>1488</v>
      </c>
      <c r="I16" s="38" t="s">
        <v>1368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1485</v>
      </c>
      <c r="U16" s="96"/>
      <c r="V16" s="96"/>
      <c r="W16" s="96"/>
      <c r="X16" s="96"/>
      <c r="Y16" s="55">
        <f>ResourceAction[No]</f>
        <v>332114</v>
      </c>
      <c r="AA16" s="2" t="s">
        <v>1563</v>
      </c>
      <c r="AB16" s="60">
        <f>VLOOKUP(ActionListNData[[#This Row],[Action Name]],ResourceAction[[Display]:[No]],3,0)</f>
        <v>332124</v>
      </c>
      <c r="AC16" s="60" t="s">
        <v>1531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1289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1505</v>
      </c>
      <c r="G17" s="67" t="s">
        <v>1506</v>
      </c>
      <c r="H17" s="67"/>
      <c r="I17" s="67"/>
      <c r="J17" s="67" t="s">
        <v>1367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1507</v>
      </c>
      <c r="U17" s="87"/>
      <c r="V17" s="87"/>
      <c r="W17" s="87"/>
      <c r="X17" s="87"/>
      <c r="Y17" s="73">
        <f>ResourceAction[No]</f>
        <v>332115</v>
      </c>
      <c r="AA17" s="2" t="s">
        <v>1569</v>
      </c>
      <c r="AB17" s="60">
        <f>VLOOKUP(ActionListNData[[#This Row],[Action Name]],ResourceAction[[Display]:[No]],3,0)</f>
        <v>332125</v>
      </c>
      <c r="AC17" s="60" t="s">
        <v>1535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1289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1508</v>
      </c>
      <c r="G18" s="67" t="s">
        <v>1509</v>
      </c>
      <c r="H18" s="67"/>
      <c r="I18" s="67"/>
      <c r="J18" s="67" t="s">
        <v>1391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1510</v>
      </c>
      <c r="U18" s="87"/>
      <c r="V18" s="87"/>
      <c r="W18" s="87"/>
      <c r="X18" s="87"/>
      <c r="Y18" s="73">
        <f>ResourceAction[No]</f>
        <v>332116</v>
      </c>
      <c r="AA18" s="4" t="s">
        <v>1755</v>
      </c>
      <c r="AB18" s="30">
        <f>VLOOKUP(ActionListNData[[#This Row],[Action Name]],ResourceAction[[Display]:[No]],3,0)</f>
        <v>332127</v>
      </c>
      <c r="AC18" s="60" t="s">
        <v>1750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1289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1520</v>
      </c>
      <c r="G19" s="67" t="s">
        <v>1521</v>
      </c>
      <c r="H19" s="67" t="s">
        <v>1488</v>
      </c>
      <c r="I19" s="67" t="s">
        <v>1368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1522</v>
      </c>
      <c r="U19" s="87"/>
      <c r="V19" s="87"/>
      <c r="W19" s="87"/>
      <c r="X19" s="87"/>
      <c r="Y19" s="73">
        <f>ResourceAction[No]</f>
        <v>332117</v>
      </c>
      <c r="AA19" s="4" t="s">
        <v>1825</v>
      </c>
      <c r="AB19" s="30">
        <f>VLOOKUP(ActionListNData[[#This Row],[Action Name]],ResourceAction[[Display]:[No]],3,0)</f>
        <v>332129</v>
      </c>
      <c r="AC19" s="60" t="s">
        <v>1750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1289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1523</v>
      </c>
      <c r="G20" s="67" t="s">
        <v>1524</v>
      </c>
      <c r="H20" s="67" t="s">
        <v>1398</v>
      </c>
      <c r="I20" s="67" t="s">
        <v>1368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1507</v>
      </c>
      <c r="U20" s="87" t="s">
        <v>1522</v>
      </c>
      <c r="V20" s="87"/>
      <c r="W20" s="87"/>
      <c r="X20" s="87"/>
      <c r="Y20" s="73">
        <f>ResourceAction[No]</f>
        <v>332118</v>
      </c>
      <c r="AA20" s="4" t="s">
        <v>1796</v>
      </c>
      <c r="AB20" s="30">
        <f>VLOOKUP(ActionListNData[[#This Row],[Action Name]],ResourceAction[[Display]:[No]],3,0)</f>
        <v>332132</v>
      </c>
      <c r="AC20" s="60" t="s">
        <v>1786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1286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1538</v>
      </c>
      <c r="G21" s="67" t="s">
        <v>1539</v>
      </c>
      <c r="H21" s="67"/>
      <c r="I21" s="67"/>
      <c r="J21" s="67" t="s">
        <v>1391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1540</v>
      </c>
      <c r="U21" s="87"/>
      <c r="V21" s="87"/>
      <c r="W21" s="87"/>
      <c r="X21" s="87"/>
      <c r="Y21" s="73">
        <f>ResourceAction[No]</f>
        <v>332119</v>
      </c>
      <c r="AA21" s="4" t="s">
        <v>1804</v>
      </c>
      <c r="AB21" s="30">
        <f>VLOOKUP(ActionListNData[[#This Row],[Action Name]],ResourceAction[[Display]:[No]],3,0)</f>
        <v>332133</v>
      </c>
      <c r="AC21" s="60" t="s">
        <v>1786</v>
      </c>
      <c r="AD21" s="30" t="s">
        <v>1770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1285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1541</v>
      </c>
      <c r="G22" s="67" t="s">
        <v>1542</v>
      </c>
      <c r="H22" s="67"/>
      <c r="I22" s="67"/>
      <c r="J22" s="67" t="s">
        <v>1391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1543</v>
      </c>
      <c r="U22" s="87"/>
      <c r="V22" s="87"/>
      <c r="W22" s="87"/>
      <c r="X22" s="87"/>
      <c r="Y22" s="73">
        <f>ResourceAction[No]</f>
        <v>332120</v>
      </c>
      <c r="AA22" s="4" t="s">
        <v>1796</v>
      </c>
      <c r="AB22" s="30">
        <f>VLOOKUP(ActionListNData[[#This Row],[Action Name]],ResourceAction[[Display]:[No]],3,0)</f>
        <v>332132</v>
      </c>
      <c r="AC22" s="60" t="s">
        <v>1810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1544</v>
      </c>
      <c r="G23" s="67" t="s">
        <v>1545</v>
      </c>
      <c r="H23" s="67" t="s">
        <v>1546</v>
      </c>
      <c r="I23" s="67" t="s">
        <v>1368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1407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1547</v>
      </c>
      <c r="U23" s="87" t="s">
        <v>1510</v>
      </c>
      <c r="V23" s="87"/>
      <c r="W23" s="87"/>
      <c r="X23" s="87"/>
      <c r="Y23" s="73">
        <f>ResourceAction[No]</f>
        <v>332121</v>
      </c>
      <c r="AA23" s="4" t="s">
        <v>1804</v>
      </c>
      <c r="AB23" s="30">
        <f>VLOOKUP(ActionListNData[[#This Row],[Action Name]],ResourceAction[[Display]:[No]],3,0)</f>
        <v>332133</v>
      </c>
      <c r="AC23" s="60" t="s">
        <v>1810</v>
      </c>
      <c r="AD23" s="30" t="s">
        <v>1770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1549</v>
      </c>
      <c r="G24" s="67" t="s">
        <v>1550</v>
      </c>
      <c r="H24" s="67" t="s">
        <v>1551</v>
      </c>
      <c r="I24" s="67" t="s">
        <v>1368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1454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310109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1547</v>
      </c>
      <c r="U24" s="87" t="s">
        <v>1507</v>
      </c>
      <c r="V24" s="87" t="s">
        <v>1553</v>
      </c>
      <c r="W24" s="87"/>
      <c r="X24" s="87"/>
      <c r="Y24" s="73">
        <f>ResourceAction[No]</f>
        <v>332122</v>
      </c>
      <c r="AA24" s="4" t="s">
        <v>1917</v>
      </c>
      <c r="AB24" s="30">
        <f>VLOOKUP(ActionListNData[[#This Row],[Action Name]],ResourceAction[[Display]:[No]],3,0)</f>
        <v>332138</v>
      </c>
      <c r="AC24" s="60" t="s">
        <v>1932</v>
      </c>
      <c r="AD24" s="30" t="s">
        <v>1924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1286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1554</v>
      </c>
      <c r="G25" s="67" t="s">
        <v>1555</v>
      </c>
      <c r="H25" s="67" t="s">
        <v>1556</v>
      </c>
      <c r="I25" s="67" t="s">
        <v>1368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1407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1557</v>
      </c>
      <c r="U25" s="87" t="s">
        <v>1510</v>
      </c>
      <c r="V25" s="87"/>
      <c r="W25" s="87"/>
      <c r="X25" s="87"/>
      <c r="Y25" s="73">
        <f>ResourceAction[No]</f>
        <v>332123</v>
      </c>
      <c r="AA25" s="4" t="s">
        <v>1924</v>
      </c>
      <c r="AB25" s="30">
        <f>VLOOKUP(ActionListNData[[#This Row],[Action Name]],ResourceAction[[Display]:[No]],3,0)</f>
        <v>332139</v>
      </c>
      <c r="AC25" s="60" t="s">
        <v>1932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1286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1558</v>
      </c>
      <c r="G26" s="67" t="s">
        <v>1559</v>
      </c>
      <c r="H26" s="67" t="s">
        <v>1560</v>
      </c>
      <c r="I26" s="67" t="s">
        <v>1368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1454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310111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1557</v>
      </c>
      <c r="U26" s="87" t="s">
        <v>1507</v>
      </c>
      <c r="V26" s="87" t="s">
        <v>1561</v>
      </c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1285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1565</v>
      </c>
      <c r="G27" s="67" t="s">
        <v>1566</v>
      </c>
      <c r="H27" s="67" t="s">
        <v>1567</v>
      </c>
      <c r="I27" s="67" t="s">
        <v>1368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1568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1564</v>
      </c>
      <c r="U27" s="87" t="s">
        <v>1442</v>
      </c>
      <c r="V27" s="87"/>
      <c r="W27" s="87"/>
      <c r="X27" s="87"/>
      <c r="Y27" s="73">
        <f>ResourceAction[No]</f>
        <v>332125</v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1718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1733</v>
      </c>
      <c r="G28" s="79" t="s">
        <v>1734</v>
      </c>
      <c r="H28" s="79"/>
      <c r="I28" s="67" t="s">
        <v>1368</v>
      </c>
      <c r="J28" s="79" t="s">
        <v>1746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1735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1718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1744</v>
      </c>
      <c r="G29" s="79" t="s">
        <v>1745</v>
      </c>
      <c r="H29" s="79" t="s">
        <v>1747</v>
      </c>
      <c r="I29" s="67" t="s">
        <v>1368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1735</v>
      </c>
      <c r="U29" s="87" t="s">
        <v>1748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1718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1752</v>
      </c>
      <c r="G30" s="79" t="s">
        <v>1753</v>
      </c>
      <c r="H30" s="79"/>
      <c r="I30" s="79"/>
      <c r="J30" s="79" t="s">
        <v>1391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1754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1718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1823</v>
      </c>
      <c r="G31" s="79" t="s">
        <v>1824</v>
      </c>
      <c r="H31" s="79" t="s">
        <v>1350</v>
      </c>
      <c r="I31" s="79" t="s">
        <v>1368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327104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1748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1637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1787</v>
      </c>
      <c r="G32" s="79" t="s">
        <v>1788</v>
      </c>
      <c r="H32" s="79"/>
      <c r="I32" s="79"/>
      <c r="J32" s="79" t="s">
        <v>1391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1789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1637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1790</v>
      </c>
      <c r="G33" s="79" t="s">
        <v>1791</v>
      </c>
      <c r="H33" s="79"/>
      <c r="I33" s="79"/>
      <c r="J33" s="79" t="s">
        <v>1746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1792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1637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1793</v>
      </c>
      <c r="G34" s="79" t="s">
        <v>1794</v>
      </c>
      <c r="H34" s="79" t="s">
        <v>1350</v>
      </c>
      <c r="I34" s="79" t="s">
        <v>1368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1795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1637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1801</v>
      </c>
      <c r="G35" s="79" t="s">
        <v>1802</v>
      </c>
      <c r="H35" s="79" t="s">
        <v>335</v>
      </c>
      <c r="I35" s="79" t="s">
        <v>1368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1803</v>
      </c>
      <c r="U35" s="83" t="s">
        <v>1795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1637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1813</v>
      </c>
      <c r="G36" s="79" t="s">
        <v>1814</v>
      </c>
      <c r="H36" s="79"/>
      <c r="I36" s="79"/>
      <c r="J36" s="79" t="s">
        <v>1815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1816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1906</v>
      </c>
      <c r="G37" s="79" t="s">
        <v>1907</v>
      </c>
      <c r="H37" s="79"/>
      <c r="I37" s="79"/>
      <c r="J37" s="79" t="s">
        <v>1908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1909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1910</v>
      </c>
      <c r="G38" s="79" t="s">
        <v>1912</v>
      </c>
      <c r="H38" s="79"/>
      <c r="I38" s="79"/>
      <c r="J38" s="79" t="s">
        <v>1911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1913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1935</v>
      </c>
      <c r="G39" s="79" t="s">
        <v>1936</v>
      </c>
      <c r="H39" s="79"/>
      <c r="I39" s="79"/>
      <c r="J39" s="79" t="s">
        <v>1391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1937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1914</v>
      </c>
      <c r="G40" s="79" t="s">
        <v>1938</v>
      </c>
      <c r="H40" s="79" t="s">
        <v>335</v>
      </c>
      <c r="I40" s="79" t="s">
        <v>1368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1939</v>
      </c>
      <c r="U40" s="83" t="s">
        <v>1940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1922</v>
      </c>
      <c r="G41" s="79" t="s">
        <v>1941</v>
      </c>
      <c r="H41" s="79" t="s">
        <v>1350</v>
      </c>
      <c r="I41" s="79" t="s">
        <v>1368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1940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1959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1984</v>
      </c>
      <c r="G42" s="37" t="s">
        <v>1981</v>
      </c>
      <c r="H42" s="37"/>
      <c r="I42" s="37"/>
      <c r="J42" s="37" t="s">
        <v>1391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1982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1959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1983</v>
      </c>
      <c r="G43" s="37" t="s">
        <v>1985</v>
      </c>
      <c r="H43" s="37"/>
      <c r="I43" s="37"/>
      <c r="J43" s="37" t="s">
        <v>1986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1987</v>
      </c>
      <c r="U43" s="57"/>
      <c r="V43" s="57"/>
      <c r="W43" s="57"/>
      <c r="X43" s="57"/>
      <c r="Y43" s="54">
        <f>ResourceAction[No]</f>
        <v>332141</v>
      </c>
    </row>
  </sheetData>
  <dataValidations count="7">
    <dataValidation type="list" allowBlank="1" showInputMessage="1" showErrorMessage="1" sqref="AN2 AA2:AA25">
      <formula1>ActionsName</formula1>
    </dataValidation>
    <dataValidation type="list" allowBlank="1" showInputMessage="1" showErrorMessage="1" sqref="I2:I4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3">
      <formula1>Resources</formula1>
    </dataValidation>
    <dataValidation type="list" allowBlank="1" showInputMessage="1" showErrorMessage="1" sqref="T2:X43">
      <formula1>IDNs</formula1>
    </dataValidation>
    <dataValidation type="list" allowBlank="1" showInputMessage="1" showErrorMessage="1" sqref="N2:N43">
      <formula1>"type,Method,Dashboard,Form,List,Data,FormWithData,ListRelation,AddRelation,ManageRelation"</formula1>
    </dataValidation>
    <dataValidation type="list" allowBlank="1" showInputMessage="1" showErrorMessage="1" sqref="AC2:AC25">
      <formula1>ListNames</formula1>
    </dataValidation>
    <dataValidation type="list" allowBlank="1" showInputMessage="1" showErrorMessage="1" sqref="AD2:AD25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9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15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6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41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1466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36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1</v>
      </c>
      <c r="M11" s="6" t="str">
        <f ca="1">IFERROR(VLOOKUP(IDNMaps[[#This Row],[Type]],RecordCount[],6,0)&amp;"-"&amp;IDNMaps[[#This Row],[Type Count]],"")</f>
        <v>Resource Lists-1</v>
      </c>
      <c r="N11" s="6" t="str">
        <f ca="1">IFERROR(VLOOKUP(IDNMaps[[#This Row],[Primary]],INDIRECT(VLOOKUP(IDNMaps[[#This Row],[Type]],RecordCount[],2,0)),VLOOKUP(IDNMaps[[#This Row],[Type]],RecordCount[],7,0),0),"")</f>
        <v>Setting/Settings</v>
      </c>
      <c r="O11" s="6" t="str">
        <f ca="1">IF(IDNMaps[[#This Row],[Name]]="","","("&amp;IDNMaps[[#This Row],[Type]]&amp;") "&amp;IDNMaps[[#This Row],[Name]])</f>
        <v>(Lists) Setting/Settings</v>
      </c>
      <c r="P11" s="6">
        <f ca="1">IFERROR(VLOOKUP(IDNMaps[[#This Row],[Primary]],INDIRECT(VLOOKUP(IDNMaps[[#This Row],[Type]],RecordCount[],2,0)),VLOOKUP(IDNMaps[[#This Row],[Type]],RecordCount[],8,0),0),"")</f>
        <v>322101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2</v>
      </c>
      <c r="M12" s="6" t="str">
        <f ca="1">IFERROR(VLOOKUP(IDNMaps[[#This Row],[Type]],RecordCount[],6,0)&amp;"-"&amp;IDNMaps[[#This Row],[Type Count]],"")</f>
        <v>Resource Lists-2</v>
      </c>
      <c r="N12" s="6" t="str">
        <f ca="1">IFERROR(VLOOKUP(IDNMaps[[#This Row],[Primary]],INDIRECT(VLOOKUP(IDNMaps[[#This Row],[Type]],RecordCount[],2,0)),VLOOKUP(IDNMaps[[#This Row],[Type]],RecordCount[],7,0),0),"")</f>
        <v>User/ListAllUsers</v>
      </c>
      <c r="O12" s="6" t="str">
        <f ca="1">IF(IDNMaps[[#This Row],[Name]]="","","("&amp;IDNMaps[[#This Row],[Type]]&amp;") "&amp;IDNMaps[[#This Row],[Name]])</f>
        <v>(Lists) User/ListAllUsers</v>
      </c>
      <c r="P12" s="6">
        <f ca="1">IFERROR(VLOOKUP(IDNMaps[[#This Row],[Primary]],INDIRECT(VLOOKUP(IDNMaps[[#This Row],[Type]],RecordCount[],2,0)),VLOOKUP(IDNMaps[[#This Row],[Type]],RecordCount[],8,0),0),"")</f>
        <v>322102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3</v>
      </c>
      <c r="M13" s="6" t="str">
        <f ca="1">IFERROR(VLOOKUP(IDNMaps[[#This Row],[Type]],RecordCount[],6,0)&amp;"-"&amp;IDNMaps[[#This Row],[Type Count]],"")</f>
        <v>Resource Lists-3</v>
      </c>
      <c r="N13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3" s="6" t="str">
        <f ca="1">IF(IDNMaps[[#This Row],[Name]]="","","("&amp;IDNMaps[[#This Row],[Type]]&amp;") "&amp;IDNMaps[[#This Row],[Name]])</f>
        <v>(Lists) UserSetting/ListAllUserSetting</v>
      </c>
      <c r="P13" s="6">
        <f ca="1">IFERROR(VLOOKUP(IDNMaps[[#This Row],[Primary]],INDIRECT(VLOOKUP(IDNMaps[[#This Row],[Type]],RecordCount[],2,0)),VLOOKUP(IDNMaps[[#This Row],[Type]],RecordCount[],8,0),0),"")</f>
        <v>322103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4</v>
      </c>
      <c r="M14" s="6" t="str">
        <f ca="1">IFERROR(VLOOKUP(IDNMaps[[#This Row],[Type]],RecordCount[],6,0)&amp;"-"&amp;IDNMaps[[#This Row],[Type Count]],"")</f>
        <v>Resource Lists-4</v>
      </c>
      <c r="N14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4" s="6" t="str">
        <f ca="1">IF(IDNMaps[[#This Row],[Name]]="","","("&amp;IDNMaps[[#This Row],[Type]]&amp;") "&amp;IDNMaps[[#This Row],[Name]])</f>
        <v>(Lists) User/SalesExecutiveUserList</v>
      </c>
      <c r="P14" s="6">
        <f ca="1">IFERROR(VLOOKUP(IDNMaps[[#This Row],[Primary]],INDIRECT(VLOOKUP(IDNMaps[[#This Row],[Type]],RecordCount[],2,0)),VLOOKUP(IDNMaps[[#This Row],[Type]],RecordCount[],8,0),0),"")</f>
        <v>322104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5</v>
      </c>
      <c r="M15" s="6" t="str">
        <f ca="1">IFERROR(VLOOKUP(IDNMaps[[#This Row],[Type]],RecordCount[],6,0)&amp;"-"&amp;IDNMaps[[#This Row],[Type Count]],"")</f>
        <v>Resource Lists-5</v>
      </c>
      <c r="N15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5" s="6" t="str">
        <f ca="1">IF(IDNMaps[[#This Row],[Name]]="","","("&amp;IDNMaps[[#This Row],[Type]]&amp;") "&amp;IDNMaps[[#This Row],[Name]])</f>
        <v>(Lists) UserStoreArea/UserStoreAreaList</v>
      </c>
      <c r="P15" s="6">
        <f ca="1">IFERROR(VLOOKUP(IDNMaps[[#This Row],[Primary]],INDIRECT(VLOOKUP(IDNMaps[[#This Row],[Type]],RecordCount[],2,0)),VLOOKUP(IDNMaps[[#This Row],[Type]],RecordCount[],8,0),0),"")</f>
        <v>322105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6</v>
      </c>
      <c r="M16" s="6" t="str">
        <f ca="1">IFERROR(VLOOKUP(IDNMaps[[#This Row],[Type]],RecordCount[],6,0)&amp;"-"&amp;IDNMaps[[#This Row],[Type Count]],"")</f>
        <v>Resource Lists-6</v>
      </c>
      <c r="N16" s="6" t="str">
        <f ca="1">IFERROR(VLOOKUP(IDNMaps[[#This Row],[Primary]],INDIRECT(VLOOKUP(IDNMaps[[#This Row],[Type]],RecordCount[],2,0)),VLOOKUP(IDNMaps[[#This Row],[Type]],RecordCount[],7,0),0),"")</f>
        <v>Area/AreaList</v>
      </c>
      <c r="O16" s="6" t="str">
        <f ca="1">IF(IDNMaps[[#This Row],[Name]]="","","("&amp;IDNMaps[[#This Row],[Type]]&amp;") "&amp;IDNMaps[[#This Row],[Name]])</f>
        <v>(Lists) Area/AreaList</v>
      </c>
      <c r="P16" s="6">
        <f ca="1">IFERROR(VLOOKUP(IDNMaps[[#This Row],[Primary]],INDIRECT(VLOOKUP(IDNMaps[[#This Row],[Type]],RecordCount[],2,0)),VLOOKUP(IDNMaps[[#This Row],[Type]],RecordCount[],8,0),0),"")</f>
        <v>322106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7</v>
      </c>
      <c r="M17" s="6" t="str">
        <f ca="1">IFERROR(VLOOKUP(IDNMaps[[#This Row],[Type]],RecordCount[],6,0)&amp;"-"&amp;IDNMaps[[#This Row],[Type Count]],"")</f>
        <v>Resource Lists-7</v>
      </c>
      <c r="N17" s="6" t="str">
        <f ca="1">IFERROR(VLOOKUP(IDNMaps[[#This Row],[Primary]],INDIRECT(VLOOKUP(IDNMaps[[#This Row],[Type]],RecordCount[],2,0)),VLOOKUP(IDNMaps[[#This Row],[Type]],RecordCount[],7,0),0),"")</f>
        <v>Store/StoresList</v>
      </c>
      <c r="O17" s="6" t="str">
        <f ca="1">IF(IDNMaps[[#This Row],[Name]]="","","("&amp;IDNMaps[[#This Row],[Type]]&amp;") "&amp;IDNMaps[[#This Row],[Name]])</f>
        <v>(Lists) Store/StoresList</v>
      </c>
      <c r="P17" s="6">
        <f ca="1">IFERROR(VLOOKUP(IDNMaps[[#This Row],[Primary]],INDIRECT(VLOOKUP(IDNMaps[[#This Row],[Type]],RecordCount[],2,0)),VLOOKUP(IDNMaps[[#This Row],[Type]],RecordCount[],8,0),0),"")</f>
        <v>322107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8</v>
      </c>
      <c r="M18" s="6" t="str">
        <f ca="1">IFERROR(VLOOKUP(IDNMaps[[#This Row],[Type]],RecordCount[],6,0)&amp;"-"&amp;IDNMaps[[#This Row],[Type Count]],"")</f>
        <v>Resource Lists-8</v>
      </c>
      <c r="N18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18" s="6" t="str">
        <f ca="1">IF(IDNMaps[[#This Row],[Name]]="","","("&amp;IDNMaps[[#This Row],[Type]]&amp;") "&amp;IDNMaps[[#This Row],[Name]])</f>
        <v>(Lists) ProductImage/ProductImageList</v>
      </c>
      <c r="P18" s="6">
        <f ca="1">IFERROR(VLOOKUP(IDNMaps[[#This Row],[Primary]],INDIRECT(VLOOKUP(IDNMaps[[#This Row],[Type]],RecordCount[],2,0)),VLOOKUP(IDNMaps[[#This Row],[Type]],RecordCount[],8,0),0),"")</f>
        <v>322108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9</v>
      </c>
      <c r="M19" s="6" t="str">
        <f ca="1">IFERROR(VLOOKUP(IDNMaps[[#This Row],[Type]],RecordCount[],6,0)&amp;"-"&amp;IDNMaps[[#This Row],[Type Count]],"")</f>
        <v>Resource Lists-9</v>
      </c>
      <c r="N19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19" s="6" t="str">
        <f ca="1">IF(IDNMaps[[#This Row],[Name]]="","","("&amp;IDNMaps[[#This Row],[Type]]&amp;") "&amp;IDNMaps[[#This Row],[Name]])</f>
        <v>(Lists) Functiondetail/FunctionDetailList</v>
      </c>
      <c r="P19" s="6">
        <f ca="1">IFERROR(VLOOKUP(IDNMaps[[#This Row],[Primary]],INDIRECT(VLOOKUP(IDNMaps[[#This Row],[Type]],RecordCount[],2,0)),VLOOKUP(IDNMaps[[#This Row],[Type]],RecordCount[],8,0),0),"")</f>
        <v>322109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10</v>
      </c>
      <c r="M20" s="6" t="str">
        <f ca="1">IFERROR(VLOOKUP(IDNMaps[[#This Row],[Type]],RecordCount[],6,0)&amp;"-"&amp;IDNMaps[[#This Row],[Type Count]],"")</f>
        <v>Resource Lists-10</v>
      </c>
      <c r="N20" s="6" t="str">
        <f ca="1">IFERROR(VLOOKUP(IDNMaps[[#This Row],[Primary]],INDIRECT(VLOOKUP(IDNMaps[[#This Row],[Type]],RecordCount[],2,0)),VLOOKUP(IDNMaps[[#This Row],[Type]],RecordCount[],7,0),0),"")</f>
        <v>FnReserve/ReservesList</v>
      </c>
      <c r="O20" s="6" t="str">
        <f ca="1">IF(IDNMaps[[#This Row],[Name]]="","","("&amp;IDNMaps[[#This Row],[Type]]&amp;") "&amp;IDNMaps[[#This Row],[Name]])</f>
        <v>(Lists) FnReserve/ReservesList</v>
      </c>
      <c r="P20" s="6">
        <f ca="1">IFERROR(VLOOKUP(IDNMaps[[#This Row],[Primary]],INDIRECT(VLOOKUP(IDNMaps[[#This Row],[Type]],RecordCount[],2,0)),VLOOKUP(IDNMaps[[#This Row],[Type]],RecordCount[],8,0),0),"")</f>
        <v>322110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11</v>
      </c>
      <c r="M21" s="6" t="str">
        <f ca="1">IFERROR(VLOOKUP(IDNMaps[[#This Row],[Type]],RecordCount[],6,0)&amp;"-"&amp;IDNMaps[[#This Row],[Type Count]],"")</f>
        <v>Resource Lists-11</v>
      </c>
      <c r="N21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1" s="6" t="str">
        <f ca="1">IF(IDNMaps[[#This Row],[Name]]="","","("&amp;IDNMaps[[#This Row],[Type]]&amp;") "&amp;IDNMaps[[#This Row],[Name]])</f>
        <v>(Lists) FnReserve/UncompletedReservesList</v>
      </c>
      <c r="P21" s="6">
        <f ca="1">IFERROR(VLOOKUP(IDNMaps[[#This Row],[Primary]],INDIRECT(VLOOKUP(IDNMaps[[#This Row],[Type]],RecordCount[],2,0)),VLOOKUP(IDNMaps[[#This Row],[Type]],RecordCount[],8,0),0),"")</f>
        <v>322111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12</v>
      </c>
      <c r="M22" s="6" t="str">
        <f ca="1">IFERROR(VLOOKUP(IDNMaps[[#This Row],[Type]],RecordCount[],6,0)&amp;"-"&amp;IDNMaps[[#This Row],[Type Count]],"")</f>
        <v>Resource Lists-12</v>
      </c>
      <c r="N22" s="6" t="str">
        <f ca="1">IFERROR(VLOOKUP(IDNMaps[[#This Row],[Primary]],INDIRECT(VLOOKUP(IDNMaps[[#This Row],[Type]],RecordCount[],2,0)),VLOOKUP(IDNMaps[[#This Row],[Type]],RecordCount[],7,0),0),"")</f>
        <v>User/LoginUsers</v>
      </c>
      <c r="O22" s="6" t="str">
        <f ca="1">IF(IDNMaps[[#This Row],[Name]]="","","("&amp;IDNMaps[[#This Row],[Type]]&amp;") "&amp;IDNMaps[[#This Row],[Name]])</f>
        <v>(Lists) User/LoginUsers</v>
      </c>
      <c r="P22" s="6">
        <f ca="1">IFERROR(VLOOKUP(IDNMaps[[#This Row],[Primary]],INDIRECT(VLOOKUP(IDNMaps[[#This Row],[Type]],RecordCount[],2,0)),VLOOKUP(IDNMaps[[#This Row],[Type]],RecordCount[],8,0),0),"")</f>
        <v>322112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13</v>
      </c>
      <c r="M23" s="6" t="str">
        <f ca="1">IFERROR(VLOOKUP(IDNMaps[[#This Row],[Type]],RecordCount[],6,0)&amp;"-"&amp;IDNMaps[[#This Row],[Type Count]],"")</f>
        <v>Resource Lists-13</v>
      </c>
      <c r="N23" s="6" t="str">
        <f ca="1">IFERROR(VLOOKUP(IDNMaps[[#This Row],[Primary]],INDIRECT(VLOOKUP(IDNMaps[[#This Row],[Type]],RecordCount[],2,0)),VLOOKUP(IDNMaps[[#This Row],[Type]],RecordCount[],7,0),0),"")</f>
        <v>User/LoginSalesExecutives</v>
      </c>
      <c r="O23" s="6" t="str">
        <f ca="1">IF(IDNMaps[[#This Row],[Name]]="","","("&amp;IDNMaps[[#This Row],[Type]]&amp;") "&amp;IDNMaps[[#This Row],[Name]])</f>
        <v>(Lists) User/LoginSalesExecutives</v>
      </c>
      <c r="P23" s="6">
        <f ca="1">IFERROR(VLOOKUP(IDNMaps[[#This Row],[Primary]],INDIRECT(VLOOKUP(IDNMaps[[#This Row],[Type]],RecordCount[],2,0)),VLOOKUP(IDNMaps[[#This Row],[Type]],RecordCount[],8,0),0),"")</f>
        <v>322113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14</v>
      </c>
      <c r="M24" s="6" t="str">
        <f ca="1">IFERROR(VLOOKUP(IDNMaps[[#This Row],[Type]],RecordCount[],6,0)&amp;"-"&amp;IDNMaps[[#This Row],[Type Count]],"")</f>
        <v>Resource Lists-14</v>
      </c>
      <c r="N24" s="6" t="str">
        <f ca="1">IFERROR(VLOOKUP(IDNMaps[[#This Row],[Primary]],INDIRECT(VLOOKUP(IDNMaps[[#This Row],[Type]],RecordCount[],2,0)),VLOOKUP(IDNMaps[[#This Row],[Type]],RecordCount[],7,0),0),"")</f>
        <v>Menu/MenuList</v>
      </c>
      <c r="O24" s="6" t="str">
        <f ca="1">IF(IDNMaps[[#This Row],[Name]]="","","("&amp;IDNMaps[[#This Row],[Type]]&amp;") "&amp;IDNMaps[[#This Row],[Name]])</f>
        <v>(Lists) Menu/MenuList</v>
      </c>
      <c r="P24" s="6">
        <f ca="1">IFERROR(VLOOKUP(IDNMaps[[#This Row],[Primary]],INDIRECT(VLOOKUP(IDNMaps[[#This Row],[Type]],RecordCount[],2,0)),VLOOKUP(IDNMaps[[#This Row],[Type]],RecordCount[],8,0),0),"")</f>
        <v>322114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15</v>
      </c>
      <c r="M25" s="6" t="str">
        <f ca="1">IFERROR(VLOOKUP(IDNMaps[[#This Row],[Type]],RecordCount[],6,0)&amp;"-"&amp;IDNMaps[[#This Row],[Type Count]],"")</f>
        <v>Resource Lists-15</v>
      </c>
      <c r="N25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5" s="6" t="str">
        <f ca="1">IF(IDNMaps[[#This Row],[Name]]="","","("&amp;IDNMaps[[#This Row],[Type]]&amp;") "&amp;IDNMaps[[#This Row],[Name]])</f>
        <v>(Lists) UserExecutive/UserToExecutiveMapList</v>
      </c>
      <c r="P25" s="6">
        <f ca="1">IFERROR(VLOOKUP(IDNMaps[[#This Row],[Primary]],INDIRECT(VLOOKUP(IDNMaps[[#This Row],[Type]],RecordCount[],2,0)),VLOOKUP(IDNMaps[[#This Row],[Type]],RecordCount[],8,0),0),"")</f>
        <v>322115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6" s="6">
        <f ca="1">IF(IDNMaps[[#This Row],[Type]]="","",COUNTIF($K$1:IDNMaps[[#This Row],[Type]],IDNMaps[[#This Row],[Type]]))</f>
        <v>1</v>
      </c>
      <c r="M26" s="6" t="str">
        <f ca="1">IFERROR(VLOOKUP(IDNMaps[[#This Row],[Type]],RecordCount[],6,0)&amp;"-"&amp;IDNMaps[[#This Row],[Type Count]],"")</f>
        <v>Resource Data-1</v>
      </c>
      <c r="N26" s="6" t="str">
        <f ca="1">IFERROR(VLOOKUP(IDNMaps[[#This Row],[Primary]],INDIRECT(VLOOKUP(IDNMaps[[#This Row],[Type]],RecordCount[],2,0)),VLOOKUP(IDNMaps[[#This Row],[Type]],RecordCount[],7,0),0),"")</f>
        <v>Setting/SettingsView</v>
      </c>
      <c r="O26" s="6" t="str">
        <f ca="1">IF(IDNMaps[[#This Row],[Name]]="","","("&amp;IDNMaps[[#This Row],[Type]]&amp;") "&amp;IDNMaps[[#This Row],[Name]])</f>
        <v>(Data) Setting/SettingsView</v>
      </c>
      <c r="P26" s="6">
        <f ca="1">IFERROR(VLOOKUP(IDNMaps[[#This Row],[Primary]],INDIRECT(VLOOKUP(IDNMaps[[#This Row],[Type]],RecordCount[],2,0)),VLOOKUP(IDNMaps[[#This Row],[Type]],RecordCount[],8,0),0),"")</f>
        <v>327101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7" s="6">
        <f ca="1">IF(IDNMaps[[#This Row],[Type]]="","",COUNTIF($K$1:IDNMaps[[#This Row],[Type]],IDNMaps[[#This Row],[Type]]))</f>
        <v>2</v>
      </c>
      <c r="M27" s="6" t="str">
        <f ca="1">IFERROR(VLOOKUP(IDNMaps[[#This Row],[Type]],RecordCount[],6,0)&amp;"-"&amp;IDNMaps[[#This Row],[Type Count]],"")</f>
        <v>Resource Data-2</v>
      </c>
      <c r="N27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7" s="6" t="str">
        <f ca="1">IF(IDNMaps[[#This Row],[Name]]="","","("&amp;IDNMaps[[#This Row],[Type]]&amp;") "&amp;IDNMaps[[#This Row],[Name]])</f>
        <v>(Data) UserSetting/UserSettingsView</v>
      </c>
      <c r="P27" s="6">
        <f ca="1">IFERROR(VLOOKUP(IDNMaps[[#This Row],[Primary]],INDIRECT(VLOOKUP(IDNMaps[[#This Row],[Type]],RecordCount[],2,0)),VLOOKUP(IDNMaps[[#This Row],[Type]],RecordCount[],8,0),0),"")</f>
        <v>327102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8" s="6">
        <f ca="1">IF(IDNMaps[[#This Row],[Type]]="","",COUNTIF($K$1:IDNMaps[[#This Row],[Type]],IDNMaps[[#This Row],[Type]]))</f>
        <v>3</v>
      </c>
      <c r="M28" s="6" t="str">
        <f ca="1">IFERROR(VLOOKUP(IDNMaps[[#This Row],[Type]],RecordCount[],6,0)&amp;"-"&amp;IDNMaps[[#This Row],[Type Count]],"")</f>
        <v>Resource Data-3</v>
      </c>
      <c r="N28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8" s="6" t="str">
        <f ca="1">IF(IDNMaps[[#This Row],[Name]]="","","("&amp;IDNMaps[[#This Row],[Type]]&amp;") "&amp;IDNMaps[[#This Row],[Name]])</f>
        <v>(Data) UserStoreArea/UserStoreAreaView</v>
      </c>
      <c r="P28" s="6">
        <f ca="1">IFERROR(VLOOKUP(IDNMaps[[#This Row],[Primary]],INDIRECT(VLOOKUP(IDNMaps[[#This Row],[Type]],RecordCount[],2,0)),VLOOKUP(IDNMaps[[#This Row],[Type]],RecordCount[],8,0),0),"")</f>
        <v>327103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4</v>
      </c>
      <c r="M29" s="6" t="str">
        <f ca="1">IFERROR(VLOOKUP(IDNMaps[[#This Row],[Type]],RecordCount[],6,0)&amp;"-"&amp;IDNMaps[[#This Row],[Type Count]],"")</f>
        <v>Resource Data-4</v>
      </c>
      <c r="N29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29" s="6" t="str">
        <f ca="1">IF(IDNMaps[[#This Row],[Name]]="","","("&amp;IDNMaps[[#This Row],[Type]]&amp;") "&amp;IDNMaps[[#This Row],[Name]])</f>
        <v>(Data) ProductImage/ProductImageView</v>
      </c>
      <c r="P29" s="6">
        <f ca="1">IFERROR(VLOOKUP(IDNMaps[[#This Row],[Primary]],INDIRECT(VLOOKUP(IDNMaps[[#This Row],[Type]],RecordCount[],2,0)),VLOOKUP(IDNMaps[[#This Row],[Type]],RecordCount[],8,0),0),"")</f>
        <v>327104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5</v>
      </c>
      <c r="M30" s="6" t="str">
        <f ca="1">IFERROR(VLOOKUP(IDNMaps[[#This Row],[Type]],RecordCount[],6,0)&amp;"-"&amp;IDNMaps[[#This Row],[Type Count]],"")</f>
        <v>Resource Data-5</v>
      </c>
      <c r="N30" s="6" t="str">
        <f ca="1">IFERROR(VLOOKUP(IDNMaps[[#This Row],[Primary]],INDIRECT(VLOOKUP(IDNMaps[[#This Row],[Type]],RecordCount[],2,0)),VLOOKUP(IDNMaps[[#This Row],[Type]],RecordCount[],7,0),0),"")</f>
        <v>FnReserve/ReserveView</v>
      </c>
      <c r="O30" s="6" t="str">
        <f ca="1">IF(IDNMaps[[#This Row],[Name]]="","","("&amp;IDNMaps[[#This Row],[Type]]&amp;") "&amp;IDNMaps[[#This Row],[Name]])</f>
        <v>(Data) FnReserve/ReserveView</v>
      </c>
      <c r="P30" s="6">
        <f ca="1">IFERROR(VLOOKUP(IDNMaps[[#This Row],[Primary]],INDIRECT(VLOOKUP(IDNMaps[[#This Row],[Type]],RecordCount[],2,0)),VLOOKUP(IDNMaps[[#This Row],[Type]],RecordCount[],8,0),0),"")</f>
        <v>327105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6</v>
      </c>
      <c r="M31" s="6" t="str">
        <f ca="1">IFERROR(VLOOKUP(IDNMaps[[#This Row],[Type]],RecordCount[],6,0)&amp;"-"&amp;IDNMaps[[#This Row],[Type Count]],"")</f>
        <v>Resource Data-6</v>
      </c>
      <c r="N31" s="6" t="str">
        <f ca="1">IFERROR(VLOOKUP(IDNMaps[[#This Row],[Primary]],INDIRECT(VLOOKUP(IDNMaps[[#This Row],[Type]],RecordCount[],2,0)),VLOOKUP(IDNMaps[[#This Row],[Type]],RecordCount[],7,0),0),"")</f>
        <v>Menu/MenuView</v>
      </c>
      <c r="O31" s="6" t="str">
        <f ca="1">IF(IDNMaps[[#This Row],[Name]]="","","("&amp;IDNMaps[[#This Row],[Type]]&amp;") "&amp;IDNMaps[[#This Row],[Name]])</f>
        <v>(Data) Menu/MenuView</v>
      </c>
      <c r="P31" s="6">
        <f ca="1">IFERROR(VLOOKUP(IDNMaps[[#This Row],[Primary]],INDIRECT(VLOOKUP(IDNMaps[[#This Row],[Type]],RecordCount[],2,0)),VLOOKUP(IDNMaps[[#This Row],[Type]],RecordCount[],8,0),0),"")</f>
        <v>327106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</v>
      </c>
      <c r="M32" s="6" t="str">
        <f ca="1">IFERROR(VLOOKUP(IDNMaps[[#This Row],[Type]],RecordCount[],6,0)&amp;"-"&amp;IDNMaps[[#This Row],[Type Count]],"")</f>
        <v>Resource Relations-1</v>
      </c>
      <c r="N32" s="6" t="str">
        <f ca="1">IFERROR(VLOOKUP(IDNMaps[[#This Row],[Primary]],INDIRECT(VLOOKUP(IDNMaps[[#This Row],[Type]],RecordCount[],2,0)),VLOOKUP(IDNMaps[[#This Row],[Type]],RecordCount[],7,0),0),"")</f>
        <v>Pricelist/Items</v>
      </c>
      <c r="O32" s="6" t="str">
        <f ca="1">IF(IDNMaps[[#This Row],[Name]]="","","("&amp;IDNMaps[[#This Row],[Type]]&amp;") "&amp;IDNMaps[[#This Row],[Name]])</f>
        <v>(Relation) Pricelist/Items</v>
      </c>
      <c r="P32" s="6">
        <f ca="1">IFERROR(VLOOKUP(IDNMaps[[#This Row],[Primary]],INDIRECT(VLOOKUP(IDNMaps[[#This Row],[Type]],RecordCount[],2,0)),VLOOKUP(IDNMaps[[#This Row],[Type]],RecordCount[],8,0),0),"")</f>
        <v>308101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2</v>
      </c>
      <c r="M33" s="6" t="str">
        <f ca="1">IFERROR(VLOOKUP(IDNMaps[[#This Row],[Type]],RecordCount[],6,0)&amp;"-"&amp;IDNMaps[[#This Row],[Type Count]],"")</f>
        <v>Resource Relations-2</v>
      </c>
      <c r="N33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3" s="6" t="str">
        <f ca="1">IF(IDNMaps[[#This Row],[Name]]="","","("&amp;IDNMaps[[#This Row],[Type]]&amp;") "&amp;IDNMaps[[#This Row],[Name]])</f>
        <v>(Relation) PricelistProduct/Pricelist</v>
      </c>
      <c r="P33" s="6">
        <f ca="1">IFERROR(VLOOKUP(IDNMaps[[#This Row],[Primary]],INDIRECT(VLOOKUP(IDNMaps[[#This Row],[Type]],RecordCount[],2,0)),VLOOKUP(IDNMaps[[#This Row],[Type]],RecordCount[],8,0),0),"")</f>
        <v>308102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3</v>
      </c>
      <c r="M34" s="6" t="str">
        <f ca="1">IFERROR(VLOOKUP(IDNMaps[[#This Row],[Type]],RecordCount[],6,0)&amp;"-"&amp;IDNMaps[[#This Row],[Type Count]],"")</f>
        <v>Resource Relations-3</v>
      </c>
      <c r="N34" s="6" t="str">
        <f ca="1">IFERROR(VLOOKUP(IDNMaps[[#This Row],[Primary]],INDIRECT(VLOOKUP(IDNMaps[[#This Row],[Type]],RecordCount[],2,0)),VLOOKUP(IDNMaps[[#This Row],[Type]],RecordCount[],7,0),0),"")</f>
        <v>PricelistProduct/Product</v>
      </c>
      <c r="O34" s="6" t="str">
        <f ca="1">IF(IDNMaps[[#This Row],[Name]]="","","("&amp;IDNMaps[[#This Row],[Type]]&amp;") "&amp;IDNMaps[[#This Row],[Name]])</f>
        <v>(Relation) PricelistProduct/Product</v>
      </c>
      <c r="P34" s="6">
        <f ca="1">IFERROR(VLOOKUP(IDNMaps[[#This Row],[Primary]],INDIRECT(VLOOKUP(IDNMaps[[#This Row],[Type]],RecordCount[],2,0)),VLOOKUP(IDNMaps[[#This Row],[Type]],RecordCount[],8,0),0),"")</f>
        <v>308103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4</v>
      </c>
      <c r="M35" s="6" t="str">
        <f ca="1">IFERROR(VLOOKUP(IDNMaps[[#This Row],[Type]],RecordCount[],6,0)&amp;"-"&amp;IDNMaps[[#This Row],[Type Count]],"")</f>
        <v>Resource Relations-4</v>
      </c>
      <c r="N35" s="6" t="str">
        <f ca="1">IFERROR(VLOOKUP(IDNMaps[[#This Row],[Primary]],INDIRECT(VLOOKUP(IDNMaps[[#This Row],[Type]],RecordCount[],2,0)),VLOOKUP(IDNMaps[[#This Row],[Type]],RecordCount[],7,0),0),"")</f>
        <v>AreaUser/Area</v>
      </c>
      <c r="O35" s="6" t="str">
        <f ca="1">IF(IDNMaps[[#This Row],[Name]]="","","("&amp;IDNMaps[[#This Row],[Type]]&amp;") "&amp;IDNMaps[[#This Row],[Name]])</f>
        <v>(Relation) AreaUser/Area</v>
      </c>
      <c r="P35" s="6">
        <f ca="1">IFERROR(VLOOKUP(IDNMaps[[#This Row],[Primary]],INDIRECT(VLOOKUP(IDNMaps[[#This Row],[Type]],RecordCount[],2,0)),VLOOKUP(IDNMaps[[#This Row],[Type]],RecordCount[],8,0),0),"")</f>
        <v>308104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5</v>
      </c>
      <c r="M36" s="6" t="str">
        <f ca="1">IFERROR(VLOOKUP(IDNMaps[[#This Row],[Type]],RecordCount[],6,0)&amp;"-"&amp;IDNMaps[[#This Row],[Type Count]],"")</f>
        <v>Resource Relations-5</v>
      </c>
      <c r="N36" s="6" t="str">
        <f ca="1">IFERROR(VLOOKUP(IDNMaps[[#This Row],[Primary]],INDIRECT(VLOOKUP(IDNMaps[[#This Row],[Type]],RecordCount[],2,0)),VLOOKUP(IDNMaps[[#This Row],[Type]],RecordCount[],7,0),0),"")</f>
        <v>AreaUser/Customer</v>
      </c>
      <c r="O36" s="6" t="str">
        <f ca="1">IF(IDNMaps[[#This Row],[Name]]="","","("&amp;IDNMaps[[#This Row],[Type]]&amp;") "&amp;IDNMaps[[#This Row],[Name]])</f>
        <v>(Relation) AreaUser/Customer</v>
      </c>
      <c r="P36" s="6">
        <f ca="1">IFERROR(VLOOKUP(IDNMaps[[#This Row],[Primary]],INDIRECT(VLOOKUP(IDNMaps[[#This Row],[Type]],RecordCount[],2,0)),VLOOKUP(IDNMaps[[#This Row],[Type]],RecordCount[],8,0),0),"")</f>
        <v>308105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6</v>
      </c>
      <c r="M37" s="6" t="str">
        <f ca="1">IFERROR(VLOOKUP(IDNMaps[[#This Row],[Type]],RecordCount[],6,0)&amp;"-"&amp;IDNMaps[[#This Row],[Type Count]],"")</f>
        <v>Resource Relations-6</v>
      </c>
      <c r="N37" s="6" t="str">
        <f ca="1">IFERROR(VLOOKUP(IDNMaps[[#This Row],[Primary]],INDIRECT(VLOOKUP(IDNMaps[[#This Row],[Type]],RecordCount[],2,0)),VLOOKUP(IDNMaps[[#This Row],[Type]],RecordCount[],7,0),0),"")</f>
        <v>Area/User</v>
      </c>
      <c r="O37" s="6" t="str">
        <f ca="1">IF(IDNMaps[[#This Row],[Name]]="","","("&amp;IDNMaps[[#This Row],[Type]]&amp;") "&amp;IDNMaps[[#This Row],[Name]])</f>
        <v>(Relation) Area/User</v>
      </c>
      <c r="P37" s="6">
        <f ca="1">IFERROR(VLOOKUP(IDNMaps[[#This Row],[Primary]],INDIRECT(VLOOKUP(IDNMaps[[#This Row],[Type]],RecordCount[],2,0)),VLOOKUP(IDNMaps[[#This Row],[Type]],RecordCount[],8,0),0),"")</f>
        <v>308106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7</v>
      </c>
      <c r="M38" s="6" t="str">
        <f ca="1">IFERROR(VLOOKUP(IDNMaps[[#This Row],[Type]],RecordCount[],6,0)&amp;"-"&amp;IDNMaps[[#This Row],[Type Count]],"")</f>
        <v>Resource Relations-7</v>
      </c>
      <c r="N38" s="6" t="str">
        <f ca="1">IFERROR(VLOOKUP(IDNMaps[[#This Row],[Primary]],INDIRECT(VLOOKUP(IDNMaps[[#This Row],[Type]],RecordCount[],2,0)),VLOOKUP(IDNMaps[[#This Row],[Type]],RecordCount[],7,0),0),"")</f>
        <v>Setting/Users</v>
      </c>
      <c r="O38" s="6" t="str">
        <f ca="1">IF(IDNMaps[[#This Row],[Name]]="","","("&amp;IDNMaps[[#This Row],[Type]]&amp;") "&amp;IDNMaps[[#This Row],[Name]])</f>
        <v>(Relation) Setting/Users</v>
      </c>
      <c r="P38" s="6">
        <f ca="1">IFERROR(VLOOKUP(IDNMaps[[#This Row],[Primary]],INDIRECT(VLOOKUP(IDNMaps[[#This Row],[Type]],RecordCount[],2,0)),VLOOKUP(IDNMaps[[#This Row],[Type]],RecordCount[],8,0),0),"")</f>
        <v>308107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8</v>
      </c>
      <c r="M39" s="6" t="str">
        <f ca="1">IFERROR(VLOOKUP(IDNMaps[[#This Row],[Type]],RecordCount[],6,0)&amp;"-"&amp;IDNMaps[[#This Row],[Type Count]],"")</f>
        <v>Resource Relations-8</v>
      </c>
      <c r="N39" s="6" t="str">
        <f ca="1">IFERROR(VLOOKUP(IDNMaps[[#This Row],[Primary]],INDIRECT(VLOOKUP(IDNMaps[[#This Row],[Type]],RecordCount[],2,0)),VLOOKUP(IDNMaps[[#This Row],[Type]],RecordCount[],7,0),0),"")</f>
        <v>User/Area</v>
      </c>
      <c r="O39" s="6" t="str">
        <f ca="1">IF(IDNMaps[[#This Row],[Name]]="","","("&amp;IDNMaps[[#This Row],[Type]]&amp;") "&amp;IDNMaps[[#This Row],[Name]])</f>
        <v>(Relation) User/Area</v>
      </c>
      <c r="P39" s="6">
        <f ca="1">IFERROR(VLOOKUP(IDNMaps[[#This Row],[Primary]],INDIRECT(VLOOKUP(IDNMaps[[#This Row],[Type]],RecordCount[],2,0)),VLOOKUP(IDNMaps[[#This Row],[Type]],RecordCount[],8,0),0),"")</f>
        <v>308108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9</v>
      </c>
      <c r="M40" s="6" t="str">
        <f ca="1">IFERROR(VLOOKUP(IDNMaps[[#This Row],[Type]],RecordCount[],6,0)&amp;"-"&amp;IDNMaps[[#This Row],[Type Count]],"")</f>
        <v>Resource Relations-9</v>
      </c>
      <c r="N40" s="6" t="str">
        <f ca="1">IFERROR(VLOOKUP(IDNMaps[[#This Row],[Primary]],INDIRECT(VLOOKUP(IDNMaps[[#This Row],[Type]],RecordCount[],2,0)),VLOOKUP(IDNMaps[[#This Row],[Type]],RecordCount[],7,0),0),"")</f>
        <v>UserSetting/Settings</v>
      </c>
      <c r="O40" s="6" t="str">
        <f ca="1">IF(IDNMaps[[#This Row],[Name]]="","","("&amp;IDNMaps[[#This Row],[Type]]&amp;") "&amp;IDNMaps[[#This Row],[Name]])</f>
        <v>(Relation) UserSetting/Settings</v>
      </c>
      <c r="P40" s="6">
        <f ca="1">IFERROR(VLOOKUP(IDNMaps[[#This Row],[Primary]],INDIRECT(VLOOKUP(IDNMaps[[#This Row],[Type]],RecordCount[],2,0)),VLOOKUP(IDNMaps[[#This Row],[Type]],RecordCount[],8,0),0),"")</f>
        <v>308109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10</v>
      </c>
      <c r="M41" s="6" t="str">
        <f ca="1">IFERROR(VLOOKUP(IDNMaps[[#This Row],[Type]],RecordCount[],6,0)&amp;"-"&amp;IDNMaps[[#This Row],[Type Count]],"")</f>
        <v>Resource Relations-10</v>
      </c>
      <c r="N41" s="6" t="str">
        <f ca="1">IFERROR(VLOOKUP(IDNMaps[[#This Row],[Primary]],INDIRECT(VLOOKUP(IDNMaps[[#This Row],[Type]],RecordCount[],2,0)),VLOOKUP(IDNMaps[[#This Row],[Type]],RecordCount[],7,0),0),"")</f>
        <v>User/Settings</v>
      </c>
      <c r="O41" s="6" t="str">
        <f ca="1">IF(IDNMaps[[#This Row],[Name]]="","","("&amp;IDNMaps[[#This Row],[Type]]&amp;") "&amp;IDNMaps[[#This Row],[Name]])</f>
        <v>(Relation) User/Settings</v>
      </c>
      <c r="P41" s="6">
        <f ca="1">IFERROR(VLOOKUP(IDNMaps[[#This Row],[Primary]],INDIRECT(VLOOKUP(IDNMaps[[#This Row],[Type]],RecordCount[],2,0)),VLOOKUP(IDNMaps[[#This Row],[Type]],RecordCount[],8,0),0),"")</f>
        <v>308110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11</v>
      </c>
      <c r="M42" s="6" t="str">
        <f ca="1">IFERROR(VLOOKUP(IDNMaps[[#This Row],[Type]],RecordCount[],6,0)&amp;"-"&amp;IDNMaps[[#This Row],[Type Count]],"")</f>
        <v>Resource Relations-11</v>
      </c>
      <c r="N42" s="6" t="str">
        <f ca="1">IFERROR(VLOOKUP(IDNMaps[[#This Row],[Primary]],INDIRECT(VLOOKUP(IDNMaps[[#This Row],[Type]],RecordCount[],2,0)),VLOOKUP(IDNMaps[[#This Row],[Type]],RecordCount[],7,0),0),"")</f>
        <v>UserSetting/User</v>
      </c>
      <c r="O42" s="6" t="str">
        <f ca="1">IF(IDNMaps[[#This Row],[Name]]="","","("&amp;IDNMaps[[#This Row],[Type]]&amp;") "&amp;IDNMaps[[#This Row],[Name]])</f>
        <v>(Relation) UserSetting/User</v>
      </c>
      <c r="P42" s="6">
        <f ca="1">IFERROR(VLOOKUP(IDNMaps[[#This Row],[Primary]],INDIRECT(VLOOKUP(IDNMaps[[#This Row],[Type]],RecordCount[],2,0)),VLOOKUP(IDNMaps[[#This Row],[Type]],RecordCount[],8,0),0),"")</f>
        <v>308111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12</v>
      </c>
      <c r="M43" s="6" t="str">
        <f ca="1">IFERROR(VLOOKUP(IDNMaps[[#This Row],[Type]],RecordCount[],6,0)&amp;"-"&amp;IDNMaps[[#This Row],[Type Count]],"")</f>
        <v>Resource Relations-12</v>
      </c>
      <c r="N43" s="6" t="str">
        <f ca="1">IFERROR(VLOOKUP(IDNMaps[[#This Row],[Primary]],INDIRECT(VLOOKUP(IDNMaps[[#This Row],[Type]],RecordCount[],2,0)),VLOOKUP(IDNMaps[[#This Row],[Type]],RecordCount[],7,0),0),"")</f>
        <v>User/StoreAndArea</v>
      </c>
      <c r="O43" s="6" t="str">
        <f ca="1">IF(IDNMaps[[#This Row],[Name]]="","","("&amp;IDNMaps[[#This Row],[Type]]&amp;") "&amp;IDNMaps[[#This Row],[Name]])</f>
        <v>(Relation) User/StoreAndArea</v>
      </c>
      <c r="P43" s="6">
        <f ca="1">IFERROR(VLOOKUP(IDNMaps[[#This Row],[Primary]],INDIRECT(VLOOKUP(IDNMaps[[#This Row],[Type]],RecordCount[],2,0)),VLOOKUP(IDNMaps[[#This Row],[Type]],RecordCount[],8,0),0),"")</f>
        <v>308112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13</v>
      </c>
      <c r="M44" s="6" t="str">
        <f ca="1">IFERROR(VLOOKUP(IDNMaps[[#This Row],[Type]],RecordCount[],6,0)&amp;"-"&amp;IDNMaps[[#This Row],[Type Count]],"")</f>
        <v>Resource Relations-13</v>
      </c>
      <c r="N44" s="6" t="str">
        <f ca="1">IFERROR(VLOOKUP(IDNMaps[[#This Row],[Primary]],INDIRECT(VLOOKUP(IDNMaps[[#This Row],[Type]],RecordCount[],2,0)),VLOOKUP(IDNMaps[[#This Row],[Type]],RecordCount[],7,0),0),"")</f>
        <v>UserStoreArea/Area</v>
      </c>
      <c r="O44" s="6" t="str">
        <f ca="1">IF(IDNMaps[[#This Row],[Name]]="","","("&amp;IDNMaps[[#This Row],[Type]]&amp;") "&amp;IDNMaps[[#This Row],[Name]])</f>
        <v>(Relation) UserStoreArea/Area</v>
      </c>
      <c r="P44" s="6">
        <f ca="1">IFERROR(VLOOKUP(IDNMaps[[#This Row],[Primary]],INDIRECT(VLOOKUP(IDNMaps[[#This Row],[Type]],RecordCount[],2,0)),VLOOKUP(IDNMaps[[#This Row],[Type]],RecordCount[],8,0),0),"")</f>
        <v>308113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14</v>
      </c>
      <c r="M45" s="6" t="str">
        <f ca="1">IFERROR(VLOOKUP(IDNMaps[[#This Row],[Type]],RecordCount[],6,0)&amp;"-"&amp;IDNMaps[[#This Row],[Type Count]],"")</f>
        <v>Resource Relations-14</v>
      </c>
      <c r="N45" s="6" t="str">
        <f ca="1">IFERROR(VLOOKUP(IDNMaps[[#This Row],[Primary]],INDIRECT(VLOOKUP(IDNMaps[[#This Row],[Type]],RecordCount[],2,0)),VLOOKUP(IDNMaps[[#This Row],[Type]],RecordCount[],7,0),0),"")</f>
        <v>UserStoreArea/Store</v>
      </c>
      <c r="O45" s="6" t="str">
        <f ca="1">IF(IDNMaps[[#This Row],[Name]]="","","("&amp;IDNMaps[[#This Row],[Type]]&amp;") "&amp;IDNMaps[[#This Row],[Name]])</f>
        <v>(Relation) UserStoreArea/Store</v>
      </c>
      <c r="P45" s="6">
        <f ca="1">IFERROR(VLOOKUP(IDNMaps[[#This Row],[Primary]],INDIRECT(VLOOKUP(IDNMaps[[#This Row],[Type]],RecordCount[],2,0)),VLOOKUP(IDNMaps[[#This Row],[Type]],RecordCount[],8,0),0),"")</f>
        <v>308114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15</v>
      </c>
      <c r="M46" s="6" t="str">
        <f ca="1">IFERROR(VLOOKUP(IDNMaps[[#This Row],[Type]],RecordCount[],6,0)&amp;"-"&amp;IDNMaps[[#This Row],[Type Count]],"")</f>
        <v>Resource Relations-15</v>
      </c>
      <c r="N46" s="6" t="str">
        <f ca="1">IFERROR(VLOOKUP(IDNMaps[[#This Row],[Primary]],INDIRECT(VLOOKUP(IDNMaps[[#This Row],[Type]],RecordCount[],2,0)),VLOOKUP(IDNMaps[[#This Row],[Type]],RecordCount[],7,0),0),"")</f>
        <v>UserStoreArea/User</v>
      </c>
      <c r="O46" s="6" t="str">
        <f ca="1">IF(IDNMaps[[#This Row],[Name]]="","","("&amp;IDNMaps[[#This Row],[Type]]&amp;") "&amp;IDNMaps[[#This Row],[Name]])</f>
        <v>(Relation) UserStoreArea/User</v>
      </c>
      <c r="P46" s="6">
        <f ca="1">IFERROR(VLOOKUP(IDNMaps[[#This Row],[Primary]],INDIRECT(VLOOKUP(IDNMaps[[#This Row],[Type]],RecordCount[],2,0)),VLOOKUP(IDNMaps[[#This Row],[Type]],RecordCount[],8,0),0),"")</f>
        <v>308115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16</v>
      </c>
      <c r="M47" s="6" t="str">
        <f ca="1">IFERROR(VLOOKUP(IDNMaps[[#This Row],[Type]],RecordCount[],6,0)&amp;"-"&amp;IDNMaps[[#This Row],[Type Count]],"")</f>
        <v>Resource Relations-16</v>
      </c>
      <c r="N47" s="6" t="str">
        <f ca="1">IFERROR(VLOOKUP(IDNMaps[[#This Row],[Primary]],INDIRECT(VLOOKUP(IDNMaps[[#This Row],[Type]],RecordCount[],2,0)),VLOOKUP(IDNMaps[[#This Row],[Type]],RecordCount[],7,0),0),"")</f>
        <v>Store/Users</v>
      </c>
      <c r="O47" s="6" t="str">
        <f ca="1">IF(IDNMaps[[#This Row],[Name]]="","","("&amp;IDNMaps[[#This Row],[Type]]&amp;") "&amp;IDNMaps[[#This Row],[Name]])</f>
        <v>(Relation) Store/Users</v>
      </c>
      <c r="P47" s="6">
        <f ca="1">IFERROR(VLOOKUP(IDNMaps[[#This Row],[Primary]],INDIRECT(VLOOKUP(IDNMaps[[#This Row],[Type]],RecordCount[],2,0)),VLOOKUP(IDNMaps[[#This Row],[Type]],RecordCount[],8,0),0),"")</f>
        <v>308116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17</v>
      </c>
      <c r="M48" s="6" t="str">
        <f ca="1">IFERROR(VLOOKUP(IDNMaps[[#This Row],[Type]],RecordCount[],6,0)&amp;"-"&amp;IDNMaps[[#This Row],[Type Count]],"")</f>
        <v>Resource Relations-17</v>
      </c>
      <c r="N48" s="6" t="str">
        <f ca="1">IFERROR(VLOOKUP(IDNMaps[[#This Row],[Primary]],INDIRECT(VLOOKUP(IDNMaps[[#This Row],[Type]],RecordCount[],2,0)),VLOOKUP(IDNMaps[[#This Row],[Type]],RecordCount[],7,0),0),"")</f>
        <v>Area/StoreAndUser</v>
      </c>
      <c r="O48" s="6" t="str">
        <f ca="1">IF(IDNMaps[[#This Row],[Name]]="","","("&amp;IDNMaps[[#This Row],[Type]]&amp;") "&amp;IDNMaps[[#This Row],[Name]])</f>
        <v>(Relation) Area/StoreAndUser</v>
      </c>
      <c r="P48" s="6">
        <f ca="1">IFERROR(VLOOKUP(IDNMaps[[#This Row],[Primary]],INDIRECT(VLOOKUP(IDNMaps[[#This Row],[Type]],RecordCount[],2,0)),VLOOKUP(IDNMaps[[#This Row],[Type]],RecordCount[],8,0),0),"")</f>
        <v>308117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18</v>
      </c>
      <c r="M49" s="6" t="str">
        <f ca="1">IFERROR(VLOOKUP(IDNMaps[[#This Row],[Type]],RecordCount[],6,0)&amp;"-"&amp;IDNMaps[[#This Row],[Type Count]],"")</f>
        <v>Resource Relations-18</v>
      </c>
      <c r="N49" s="6" t="str">
        <f ca="1">IFERROR(VLOOKUP(IDNMaps[[#This Row],[Primary]],INDIRECT(VLOOKUP(IDNMaps[[#This Row],[Type]],RecordCount[],2,0)),VLOOKUP(IDNMaps[[#This Row],[Type]],RecordCount[],7,0),0),"")</f>
        <v>Transaction/Details</v>
      </c>
      <c r="O49" s="6" t="str">
        <f ca="1">IF(IDNMaps[[#This Row],[Name]]="","","("&amp;IDNMaps[[#This Row],[Type]]&amp;") "&amp;IDNMaps[[#This Row],[Name]])</f>
        <v>(Relation) Transaction/Details</v>
      </c>
      <c r="P49" s="6">
        <f ca="1">IFERROR(VLOOKUP(IDNMaps[[#This Row],[Primary]],INDIRECT(VLOOKUP(IDNMaps[[#This Row],[Type]],RecordCount[],2,0)),VLOOKUP(IDNMaps[[#This Row],[Type]],RecordCount[],8,0),0),"")</f>
        <v>308118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19</v>
      </c>
      <c r="M50" s="6" t="str">
        <f ca="1">IFERROR(VLOOKUP(IDNMaps[[#This Row],[Type]],RecordCount[],6,0)&amp;"-"&amp;IDNMaps[[#This Row],[Type Count]],"")</f>
        <v>Resource Relations-19</v>
      </c>
      <c r="N50" s="6" t="str">
        <f ca="1">IFERROR(VLOOKUP(IDNMaps[[#This Row],[Primary]],INDIRECT(VLOOKUP(IDNMaps[[#This Row],[Type]],RecordCount[],2,0)),VLOOKUP(IDNMaps[[#This Row],[Type]],RecordCount[],7,0),0),"")</f>
        <v>SalesOrder/Items</v>
      </c>
      <c r="O50" s="6" t="str">
        <f ca="1">IF(IDNMaps[[#This Row],[Name]]="","","("&amp;IDNMaps[[#This Row],[Type]]&amp;") "&amp;IDNMaps[[#This Row],[Name]])</f>
        <v>(Relation) SalesOrder/Items</v>
      </c>
      <c r="P50" s="6">
        <f ca="1">IFERROR(VLOOKUP(IDNMaps[[#This Row],[Primary]],INDIRECT(VLOOKUP(IDNMaps[[#This Row],[Type]],RecordCount[],2,0)),VLOOKUP(IDNMaps[[#This Row],[Type]],RecordCount[],8,0),0),"")</f>
        <v>308119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20</v>
      </c>
      <c r="M51" s="6" t="str">
        <f ca="1">IFERROR(VLOOKUP(IDNMaps[[#This Row],[Type]],RecordCount[],6,0)&amp;"-"&amp;IDNMaps[[#This Row],[Type Count]],"")</f>
        <v>Resource Relations-20</v>
      </c>
      <c r="N51" s="6" t="str">
        <f ca="1">IFERROR(VLOOKUP(IDNMaps[[#This Row],[Primary]],INDIRECT(VLOOKUP(IDNMaps[[#This Row],[Type]],RecordCount[],2,0)),VLOOKUP(IDNMaps[[#This Row],[Type]],RecordCount[],7,0),0),"")</f>
        <v>SalesOrderItem/Product</v>
      </c>
      <c r="O51" s="6" t="str">
        <f ca="1">IF(IDNMaps[[#This Row],[Name]]="","","("&amp;IDNMaps[[#This Row],[Type]]&amp;") "&amp;IDNMaps[[#This Row],[Name]])</f>
        <v>(Relation) SalesOrderItem/Product</v>
      </c>
      <c r="P51" s="6">
        <f ca="1">IFERROR(VLOOKUP(IDNMaps[[#This Row],[Primary]],INDIRECT(VLOOKUP(IDNMaps[[#This Row],[Type]],RecordCount[],2,0)),VLOOKUP(IDNMaps[[#This Row],[Type]],RecordCount[],8,0),0),"")</f>
        <v>308120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21</v>
      </c>
      <c r="M52" s="6" t="str">
        <f ca="1">IFERROR(VLOOKUP(IDNMaps[[#This Row],[Type]],RecordCount[],6,0)&amp;"-"&amp;IDNMaps[[#This Row],[Type Count]],"")</f>
        <v>Resource Relations-21</v>
      </c>
      <c r="N52" s="6" t="str">
        <f ca="1">IFERROR(VLOOKUP(IDNMaps[[#This Row],[Primary]],INDIRECT(VLOOKUP(IDNMaps[[#This Row],[Type]],RecordCount[],2,0)),VLOOKUP(IDNMaps[[#This Row],[Type]],RecordCount[],7,0),0),"")</f>
        <v>StockTransfer/IN</v>
      </c>
      <c r="O52" s="6" t="str">
        <f ca="1">IF(IDNMaps[[#This Row],[Name]]="","","("&amp;IDNMaps[[#This Row],[Type]]&amp;") "&amp;IDNMaps[[#This Row],[Name]])</f>
        <v>(Relation) StockTransfer/IN</v>
      </c>
      <c r="P52" s="6">
        <f ca="1">IFERROR(VLOOKUP(IDNMaps[[#This Row],[Primary]],INDIRECT(VLOOKUP(IDNMaps[[#This Row],[Type]],RecordCount[],2,0)),VLOOKUP(IDNMaps[[#This Row],[Type]],RecordCount[],8,0),0),"")</f>
        <v>308121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22</v>
      </c>
      <c r="M53" s="6" t="str">
        <f ca="1">IFERROR(VLOOKUP(IDNMaps[[#This Row],[Type]],RecordCount[],6,0)&amp;"-"&amp;IDNMaps[[#This Row],[Type Count]],"")</f>
        <v>Resource Relations-22</v>
      </c>
      <c r="N53" s="6" t="str">
        <f ca="1">IFERROR(VLOOKUP(IDNMaps[[#This Row],[Primary]],INDIRECT(VLOOKUP(IDNMaps[[#This Row],[Type]],RecordCount[],2,0)),VLOOKUP(IDNMaps[[#This Row],[Type]],RecordCount[],7,0),0),"")</f>
        <v>StockTransfer/OUT</v>
      </c>
      <c r="O53" s="6" t="str">
        <f ca="1">IF(IDNMaps[[#This Row],[Name]]="","","("&amp;IDNMaps[[#This Row],[Type]]&amp;") "&amp;IDNMaps[[#This Row],[Name]])</f>
        <v>(Relation) StockTransfer/OUT</v>
      </c>
      <c r="P53" s="6">
        <f ca="1">IFERROR(VLOOKUP(IDNMaps[[#This Row],[Primary]],INDIRECT(VLOOKUP(IDNMaps[[#This Row],[Type]],RecordCount[],2,0)),VLOOKUP(IDNMaps[[#This Row],[Type]],RecordCount[],8,0),0),"")</f>
        <v>308122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23</v>
      </c>
      <c r="M54" s="6" t="str">
        <f ca="1">IFERROR(VLOOKUP(IDNMaps[[#This Row],[Type]],RecordCount[],6,0)&amp;"-"&amp;IDNMaps[[#This Row],[Type Count]],"")</f>
        <v>Resource Relations-23</v>
      </c>
      <c r="N54" s="6" t="str">
        <f ca="1">IFERROR(VLOOKUP(IDNMaps[[#This Row],[Primary]],INDIRECT(VLOOKUP(IDNMaps[[#This Row],[Type]],RecordCount[],2,0)),VLOOKUP(IDNMaps[[#This Row],[Type]],RecordCount[],7,0),0),"")</f>
        <v>SalesOrder/Customer</v>
      </c>
      <c r="O54" s="6" t="str">
        <f ca="1">IF(IDNMaps[[#This Row],[Name]]="","","("&amp;IDNMaps[[#This Row],[Type]]&amp;") "&amp;IDNMaps[[#This Row],[Name]])</f>
        <v>(Relation) SalesOrder/Customer</v>
      </c>
      <c r="P54" s="6">
        <f ca="1">IFERROR(VLOOKUP(IDNMaps[[#This Row],[Primary]],INDIRECT(VLOOKUP(IDNMaps[[#This Row],[Type]],RecordCount[],2,0)),VLOOKUP(IDNMaps[[#This Row],[Type]],RecordCount[],8,0),0),"")</f>
        <v>308123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24</v>
      </c>
      <c r="M55" s="6" t="str">
        <f ca="1">IFERROR(VLOOKUP(IDNMaps[[#This Row],[Type]],RecordCount[],6,0)&amp;"-"&amp;IDNMaps[[#This Row],[Type Count]],"")</f>
        <v>Resource Relations-24</v>
      </c>
      <c r="N55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5" s="6" t="str">
        <f ca="1">IF(IDNMaps[[#This Row],[Name]]="","","("&amp;IDNMaps[[#This Row],[Type]]&amp;") "&amp;IDNMaps[[#This Row],[Name]])</f>
        <v>(Relation) UserStoreArea/AssignedAreas</v>
      </c>
      <c r="P55" s="6">
        <f ca="1">IFERROR(VLOOKUP(IDNMaps[[#This Row],[Primary]],INDIRECT(VLOOKUP(IDNMaps[[#This Row],[Type]],RecordCount[],2,0)),VLOOKUP(IDNMaps[[#This Row],[Type]],RecordCount[],8,0),0),"")</f>
        <v>308124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25</v>
      </c>
      <c r="M56" s="6" t="str">
        <f ca="1">IFERROR(VLOOKUP(IDNMaps[[#This Row],[Type]],RecordCount[],6,0)&amp;"-"&amp;IDNMaps[[#This Row],[Type Count]],"")</f>
        <v>Resource Relations-25</v>
      </c>
      <c r="N56" s="6" t="str">
        <f ca="1">IFERROR(VLOOKUP(IDNMaps[[#This Row],[Primary]],INDIRECT(VLOOKUP(IDNMaps[[#This Row],[Type]],RecordCount[],2,0)),VLOOKUP(IDNMaps[[#This Row],[Type]],RecordCount[],7,0),0),"")</f>
        <v>AreaUser/Users</v>
      </c>
      <c r="O56" s="6" t="str">
        <f ca="1">IF(IDNMaps[[#This Row],[Name]]="","","("&amp;IDNMaps[[#This Row],[Type]]&amp;") "&amp;IDNMaps[[#This Row],[Name]])</f>
        <v>(Relation) AreaUser/Users</v>
      </c>
      <c r="P56" s="6">
        <f ca="1">IFERROR(VLOOKUP(IDNMaps[[#This Row],[Primary]],INDIRECT(VLOOKUP(IDNMaps[[#This Row],[Type]],RecordCount[],2,0)),VLOOKUP(IDNMaps[[#This Row],[Type]],RecordCount[],8,0),0),"")</f>
        <v>308125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26</v>
      </c>
      <c r="M57" s="6" t="str">
        <f ca="1">IFERROR(VLOOKUP(IDNMaps[[#This Row],[Type]],RecordCount[],6,0)&amp;"-"&amp;IDNMaps[[#This Row],[Type Count]],"")</f>
        <v>Resource Relations-26</v>
      </c>
      <c r="N57" s="6" t="str">
        <f ca="1">IFERROR(VLOOKUP(IDNMaps[[#This Row],[Primary]],INDIRECT(VLOOKUP(IDNMaps[[#This Row],[Type]],RecordCount[],2,0)),VLOOKUP(IDNMaps[[#This Row],[Type]],RecordCount[],7,0),0),"")</f>
        <v>UserStoreArea/Customers</v>
      </c>
      <c r="O57" s="6" t="str">
        <f ca="1">IF(IDNMaps[[#This Row],[Name]]="","","("&amp;IDNMaps[[#This Row],[Type]]&amp;") "&amp;IDNMaps[[#This Row],[Name]])</f>
        <v>(Relation) UserStoreArea/Customers</v>
      </c>
      <c r="P57" s="6">
        <f ca="1">IFERROR(VLOOKUP(IDNMaps[[#This Row],[Primary]],INDIRECT(VLOOKUP(IDNMaps[[#This Row],[Type]],RecordCount[],2,0)),VLOOKUP(IDNMaps[[#This Row],[Type]],RecordCount[],8,0),0),"")</f>
        <v>308126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27</v>
      </c>
      <c r="M58" s="6" t="str">
        <f ca="1">IFERROR(VLOOKUP(IDNMaps[[#This Row],[Type]],RecordCount[],6,0)&amp;"-"&amp;IDNMaps[[#This Row],[Type Count]],"")</f>
        <v>Resource Relations-27</v>
      </c>
      <c r="N58" s="6" t="str">
        <f ca="1">IFERROR(VLOOKUP(IDNMaps[[#This Row],[Primary]],INDIRECT(VLOOKUP(IDNMaps[[#This Row],[Type]],RecordCount[],2,0)),VLOOKUP(IDNMaps[[#This Row],[Type]],RecordCount[],7,0),0),"")</f>
        <v>User/AreaCustomers</v>
      </c>
      <c r="O58" s="6" t="str">
        <f ca="1">IF(IDNMaps[[#This Row],[Name]]="","","("&amp;IDNMaps[[#This Row],[Type]]&amp;") "&amp;IDNMaps[[#This Row],[Name]])</f>
        <v>(Relation) User/AreaCustomers</v>
      </c>
      <c r="P58" s="6">
        <f ca="1">IFERROR(VLOOKUP(IDNMaps[[#This Row],[Primary]],INDIRECT(VLOOKUP(IDNMaps[[#This Row],[Type]],RecordCount[],2,0)),VLOOKUP(IDNMaps[[#This Row],[Type]],RecordCount[],8,0),0),"")</f>
        <v>308127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28</v>
      </c>
      <c r="M59" s="6" t="str">
        <f ca="1">IFERROR(VLOOKUP(IDNMaps[[#This Row],[Type]],RecordCount[],6,0)&amp;"-"&amp;IDNMaps[[#This Row],[Type Count]],"")</f>
        <v>Resource Relations-28</v>
      </c>
      <c r="N59" s="6" t="str">
        <f ca="1">IFERROR(VLOOKUP(IDNMaps[[#This Row],[Primary]],INDIRECT(VLOOKUP(IDNMaps[[#This Row],[Type]],RecordCount[],2,0)),VLOOKUP(IDNMaps[[#This Row],[Type]],RecordCount[],7,0),0),"")</f>
        <v>SalesOrderItem/SalesOrder</v>
      </c>
      <c r="O59" s="6" t="str">
        <f ca="1">IF(IDNMaps[[#This Row],[Name]]="","","("&amp;IDNMaps[[#This Row],[Type]]&amp;") "&amp;IDNMaps[[#This Row],[Name]])</f>
        <v>(Relation) SalesOrderItem/SalesOrder</v>
      </c>
      <c r="P59" s="6">
        <f ca="1">IFERROR(VLOOKUP(IDNMaps[[#This Row],[Primary]],INDIRECT(VLOOKUP(IDNMaps[[#This Row],[Type]],RecordCount[],2,0)),VLOOKUP(IDNMaps[[#This Row],[Type]],RecordCount[],8,0),0),"")</f>
        <v>308128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29</v>
      </c>
      <c r="M60" s="6" t="str">
        <f ca="1">IFERROR(VLOOKUP(IDNMaps[[#This Row],[Type]],RecordCount[],6,0)&amp;"-"&amp;IDNMaps[[#This Row],[Type Count]],"")</f>
        <v>Resource Relations-29</v>
      </c>
      <c r="N60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0" s="6" t="str">
        <f ca="1">IF(IDNMaps[[#This Row],[Name]]="","","("&amp;IDNMaps[[#This Row],[Type]]&amp;") "&amp;IDNMaps[[#This Row],[Name]])</f>
        <v>(Relation) TransactionDetail/Transaction</v>
      </c>
      <c r="P60" s="6">
        <f ca="1">IFERROR(VLOOKUP(IDNMaps[[#This Row],[Primary]],INDIRECT(VLOOKUP(IDNMaps[[#This Row],[Type]],RecordCount[],2,0)),VLOOKUP(IDNMaps[[#This Row],[Type]],RecordCount[],8,0),0),"")</f>
        <v>308129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30</v>
      </c>
      <c r="M61" s="6" t="str">
        <f ca="1">IFERROR(VLOOKUP(IDNMaps[[#This Row],[Type]],RecordCount[],6,0)&amp;"-"&amp;IDNMaps[[#This Row],[Type Count]],"")</f>
        <v>Resource Relations-30</v>
      </c>
      <c r="N61" s="6" t="str">
        <f ca="1">IFERROR(VLOOKUP(IDNMaps[[#This Row],[Primary]],INDIRECT(VLOOKUP(IDNMaps[[#This Row],[Type]],RecordCount[],2,0)),VLOOKUP(IDNMaps[[#This Row],[Type]],RecordCount[],7,0),0),"")</f>
        <v>Transaction/STOut</v>
      </c>
      <c r="O61" s="6" t="str">
        <f ca="1">IF(IDNMaps[[#This Row],[Name]]="","","("&amp;IDNMaps[[#This Row],[Type]]&amp;") "&amp;IDNMaps[[#This Row],[Name]])</f>
        <v>(Relation) Transaction/STOut</v>
      </c>
      <c r="P61" s="6">
        <f ca="1">IFERROR(VLOOKUP(IDNMaps[[#This Row],[Primary]],INDIRECT(VLOOKUP(IDNMaps[[#This Row],[Type]],RecordCount[],2,0)),VLOOKUP(IDNMaps[[#This Row],[Type]],RecordCount[],8,0),0),"")</f>
        <v>308130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31</v>
      </c>
      <c r="M62" s="6" t="str">
        <f ca="1">IFERROR(VLOOKUP(IDNMaps[[#This Row],[Type]],RecordCount[],6,0)&amp;"-"&amp;IDNMaps[[#This Row],[Type Count]],"")</f>
        <v>Resource Relations-31</v>
      </c>
      <c r="N62" s="6" t="str">
        <f ca="1">IFERROR(VLOOKUP(IDNMaps[[#This Row],[Primary]],INDIRECT(VLOOKUP(IDNMaps[[#This Row],[Type]],RecordCount[],2,0)),VLOOKUP(IDNMaps[[#This Row],[Type]],RecordCount[],7,0),0),"")</f>
        <v>Transaction/STIn</v>
      </c>
      <c r="O62" s="6" t="str">
        <f ca="1">IF(IDNMaps[[#This Row],[Name]]="","","("&amp;IDNMaps[[#This Row],[Type]]&amp;") "&amp;IDNMaps[[#This Row],[Name]])</f>
        <v>(Relation) Transaction/STIn</v>
      </c>
      <c r="P62" s="6">
        <f ca="1">IFERROR(VLOOKUP(IDNMaps[[#This Row],[Primary]],INDIRECT(VLOOKUP(IDNMaps[[#This Row],[Type]],RecordCount[],2,0)),VLOOKUP(IDNMaps[[#This Row],[Type]],RecordCount[],8,0),0),"")</f>
        <v>308131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32</v>
      </c>
      <c r="M63" s="6" t="str">
        <f ca="1">IFERROR(VLOOKUP(IDNMaps[[#This Row],[Type]],RecordCount[],6,0)&amp;"-"&amp;IDNMaps[[#This Row],[Type Count]],"")</f>
        <v>Resource Relations-32</v>
      </c>
      <c r="N63" s="6" t="str">
        <f ca="1">IFERROR(VLOOKUP(IDNMaps[[#This Row],[Primary]],INDIRECT(VLOOKUP(IDNMaps[[#This Row],[Type]],RecordCount[],2,0)),VLOOKUP(IDNMaps[[#This Row],[Type]],RecordCount[],7,0),0),"")</f>
        <v>Product/Images</v>
      </c>
      <c r="O63" s="6" t="str">
        <f ca="1">IF(IDNMaps[[#This Row],[Name]]="","","("&amp;IDNMaps[[#This Row],[Type]]&amp;") "&amp;IDNMaps[[#This Row],[Name]])</f>
        <v>(Relation) Product/Images</v>
      </c>
      <c r="P63" s="6">
        <f ca="1">IFERROR(VLOOKUP(IDNMaps[[#This Row],[Primary]],INDIRECT(VLOOKUP(IDNMaps[[#This Row],[Type]],RecordCount[],2,0)),VLOOKUP(IDNMaps[[#This Row],[Type]],RecordCount[],8,0),0),"")</f>
        <v>308132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33</v>
      </c>
      <c r="M64" s="6" t="str">
        <f ca="1">IFERROR(VLOOKUP(IDNMaps[[#This Row],[Type]],RecordCount[],6,0)&amp;"-"&amp;IDNMaps[[#This Row],[Type Count]],"")</f>
        <v>Resource Relations-33</v>
      </c>
      <c r="N64" s="6" t="str">
        <f ca="1">IFERROR(VLOOKUP(IDNMaps[[#This Row],[Primary]],INDIRECT(VLOOKUP(IDNMaps[[#This Row],[Type]],RecordCount[],2,0)),VLOOKUP(IDNMaps[[#This Row],[Type]],RecordCount[],7,0),0),"")</f>
        <v>ProductImage/Product</v>
      </c>
      <c r="O64" s="6" t="str">
        <f ca="1">IF(IDNMaps[[#This Row],[Name]]="","","("&amp;IDNMaps[[#This Row],[Type]]&amp;") "&amp;IDNMaps[[#This Row],[Name]])</f>
        <v>(Relation) ProductImage/Product</v>
      </c>
      <c r="P64" s="6">
        <f ca="1">IFERROR(VLOOKUP(IDNMaps[[#This Row],[Primary]],INDIRECT(VLOOKUP(IDNMaps[[#This Row],[Type]],RecordCount[],2,0)),VLOOKUP(IDNMaps[[#This Row],[Type]],RecordCount[],8,0),0),"")</f>
        <v>308133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34</v>
      </c>
      <c r="M65" s="6" t="str">
        <f ca="1">IFERROR(VLOOKUP(IDNMaps[[#This Row],[Type]],RecordCount[],6,0)&amp;"-"&amp;IDNMaps[[#This Row],[Type Count]],"")</f>
        <v>Resource Relations-34</v>
      </c>
      <c r="N65" s="6" t="str">
        <f ca="1">IFERROR(VLOOKUP(IDNMaps[[#This Row],[Primary]],INDIRECT(VLOOKUP(IDNMaps[[#This Row],[Type]],RecordCount[],2,0)),VLOOKUP(IDNMaps[[#This Row],[Type]],RecordCount[],7,0),0),"")</f>
        <v>FnReserve/User</v>
      </c>
      <c r="O65" s="6" t="str">
        <f ca="1">IF(IDNMaps[[#This Row],[Name]]="","","("&amp;IDNMaps[[#This Row],[Type]]&amp;") "&amp;IDNMaps[[#This Row],[Name]])</f>
        <v>(Relation) FnReserve/User</v>
      </c>
      <c r="P65" s="6">
        <f ca="1">IFERROR(VLOOKUP(IDNMaps[[#This Row],[Primary]],INDIRECT(VLOOKUP(IDNMaps[[#This Row],[Type]],RecordCount[],2,0)),VLOOKUP(IDNMaps[[#This Row],[Type]],RecordCount[],8,0),0),"")</f>
        <v>308134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35</v>
      </c>
      <c r="M66" s="6" t="str">
        <f ca="1">IFERROR(VLOOKUP(IDNMaps[[#This Row],[Type]],RecordCount[],6,0)&amp;"-"&amp;IDNMaps[[#This Row],[Type Count]],"")</f>
        <v>Resource Relations-35</v>
      </c>
      <c r="N66" s="6" t="str">
        <f ca="1">IFERROR(VLOOKUP(IDNMaps[[#This Row],[Primary]],INDIRECT(VLOOKUP(IDNMaps[[#This Row],[Type]],RecordCount[],2,0)),VLOOKUP(IDNMaps[[#This Row],[Type]],RecordCount[],7,0),0),"")</f>
        <v>FnReserve/Store</v>
      </c>
      <c r="O66" s="6" t="str">
        <f ca="1">IF(IDNMaps[[#This Row],[Name]]="","","("&amp;IDNMaps[[#This Row],[Type]]&amp;") "&amp;IDNMaps[[#This Row],[Name]])</f>
        <v>(Relation) FnReserve/Store</v>
      </c>
      <c r="P66" s="6">
        <f ca="1">IFERROR(VLOOKUP(IDNMaps[[#This Row],[Primary]],INDIRECT(VLOOKUP(IDNMaps[[#This Row],[Type]],RecordCount[],2,0)),VLOOKUP(IDNMaps[[#This Row],[Type]],RecordCount[],8,0),0),"")</f>
        <v>308135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36</v>
      </c>
      <c r="M67" s="6" t="str">
        <f ca="1">IFERROR(VLOOKUP(IDNMaps[[#This Row],[Type]],RecordCount[],6,0)&amp;"-"&amp;IDNMaps[[#This Row],[Type Count]],"")</f>
        <v>Resource Relations-36</v>
      </c>
      <c r="N67" s="6" t="str">
        <f ca="1">IFERROR(VLOOKUP(IDNMaps[[#This Row],[Primary]],INDIRECT(VLOOKUP(IDNMaps[[#This Row],[Type]],RecordCount[],2,0)),VLOOKUP(IDNMaps[[#This Row],[Type]],RecordCount[],7,0),0),"")</f>
        <v>TransactionDetail/Product</v>
      </c>
      <c r="O67" s="6" t="str">
        <f ca="1">IF(IDNMaps[[#This Row],[Name]]="","","("&amp;IDNMaps[[#This Row],[Type]]&amp;") "&amp;IDNMaps[[#This Row],[Name]])</f>
        <v>(Relation) TransactionDetail/Product</v>
      </c>
      <c r="P67" s="6">
        <f ca="1">IFERROR(VLOOKUP(IDNMaps[[#This Row],[Primary]],INDIRECT(VLOOKUP(IDNMaps[[#This Row],[Type]],RecordCount[],2,0)),VLOOKUP(IDNMaps[[#This Row],[Type]],RecordCount[],8,0),0),"")</f>
        <v>308136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37</v>
      </c>
      <c r="M68" s="6" t="str">
        <f ca="1">IFERROR(VLOOKUP(IDNMaps[[#This Row],[Type]],RecordCount[],6,0)&amp;"-"&amp;IDNMaps[[#This Row],[Type Count]],"")</f>
        <v>Resource Relations-37</v>
      </c>
      <c r="N68" s="6" t="str">
        <f ca="1">IFERROR(VLOOKUP(IDNMaps[[#This Row],[Primary]],INDIRECT(VLOOKUP(IDNMaps[[#This Row],[Type]],RecordCount[],2,0)),VLOOKUP(IDNMaps[[#This Row],[Type]],RecordCount[],7,0),0),"")</f>
        <v>TransactionDetail/Store</v>
      </c>
      <c r="O68" s="6" t="str">
        <f ca="1">IF(IDNMaps[[#This Row],[Name]]="","","("&amp;IDNMaps[[#This Row],[Type]]&amp;") "&amp;IDNMaps[[#This Row],[Name]])</f>
        <v>(Relation) TransactionDetail/Store</v>
      </c>
      <c r="P68" s="6">
        <f ca="1">IFERROR(VLOOKUP(IDNMaps[[#This Row],[Primary]],INDIRECT(VLOOKUP(IDNMaps[[#This Row],[Type]],RecordCount[],2,0)),VLOOKUP(IDNMaps[[#This Row],[Type]],RecordCount[],8,0),0),"")</f>
        <v>308137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38</v>
      </c>
      <c r="M69" s="6" t="str">
        <f ca="1">IFERROR(VLOOKUP(IDNMaps[[#This Row],[Type]],RecordCount[],6,0)&amp;"-"&amp;IDNMaps[[#This Row],[Type Count]],"")</f>
        <v>Resource Relations-38</v>
      </c>
      <c r="N69" s="6" t="str">
        <f ca="1">IFERROR(VLOOKUP(IDNMaps[[#This Row],[Primary]],INDIRECT(VLOOKUP(IDNMaps[[#This Row],[Type]],RecordCount[],2,0)),VLOOKUP(IDNMaps[[#This Row],[Type]],RecordCount[],7,0),0),"")</f>
        <v>SalesOrderItem/Store</v>
      </c>
      <c r="O69" s="6" t="str">
        <f ca="1">IF(IDNMaps[[#This Row],[Name]]="","","("&amp;IDNMaps[[#This Row],[Type]]&amp;") "&amp;IDNMaps[[#This Row],[Name]])</f>
        <v>(Relation) SalesOrderItem/Store</v>
      </c>
      <c r="P69" s="6">
        <f ca="1">IFERROR(VLOOKUP(IDNMaps[[#This Row],[Primary]],INDIRECT(VLOOKUP(IDNMaps[[#This Row],[Type]],RecordCount[],2,0)),VLOOKUP(IDNMaps[[#This Row],[Type]],RecordCount[],8,0),0),"")</f>
        <v>308138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39</v>
      </c>
      <c r="M70" s="6" t="str">
        <f ca="1">IFERROR(VLOOKUP(IDNMaps[[#This Row],[Type]],RecordCount[],6,0)&amp;"-"&amp;IDNMaps[[#This Row],[Type Count]],"")</f>
        <v>Resource Relations-39</v>
      </c>
      <c r="N70" s="6" t="str">
        <f ca="1">IFERROR(VLOOKUP(IDNMaps[[#This Row],[Primary]],INDIRECT(VLOOKUP(IDNMaps[[#This Row],[Type]],RecordCount[],2,0)),VLOOKUP(IDNMaps[[#This Row],[Type]],RecordCount[],7,0),0),"")</f>
        <v>SalesOrder/Store</v>
      </c>
      <c r="O70" s="6" t="str">
        <f ca="1">IF(IDNMaps[[#This Row],[Name]]="","","("&amp;IDNMaps[[#This Row],[Type]]&amp;") "&amp;IDNMaps[[#This Row],[Name]])</f>
        <v>(Relation) SalesOrder/Store</v>
      </c>
      <c r="P70" s="6">
        <f ca="1">IFERROR(VLOOKUP(IDNMaps[[#This Row],[Primary]],INDIRECT(VLOOKUP(IDNMaps[[#This Row],[Type]],RecordCount[],2,0)),VLOOKUP(IDNMaps[[#This Row],[Type]],RecordCount[],8,0),0),"")</f>
        <v>308139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40</v>
      </c>
      <c r="M71" s="6" t="str">
        <f ca="1">IFERROR(VLOOKUP(IDNMaps[[#This Row],[Type]],RecordCount[],6,0)&amp;"-"&amp;IDNMaps[[#This Row],[Type Count]],"")</f>
        <v>Resource Relations-40</v>
      </c>
      <c r="N71" s="6" t="str">
        <f ca="1">IFERROR(VLOOKUP(IDNMaps[[#This Row],[Primary]],INDIRECT(VLOOKUP(IDNMaps[[#This Row],[Type]],RecordCount[],2,0)),VLOOKUP(IDNMaps[[#This Row],[Type]],RecordCount[],7,0),0),"")</f>
        <v>UserExecutive/User</v>
      </c>
      <c r="O71" s="6" t="str">
        <f ca="1">IF(IDNMaps[[#This Row],[Name]]="","","("&amp;IDNMaps[[#This Row],[Type]]&amp;") "&amp;IDNMaps[[#This Row],[Name]])</f>
        <v>(Relation) UserExecutive/User</v>
      </c>
      <c r="P71" s="6">
        <f ca="1">IFERROR(VLOOKUP(IDNMaps[[#This Row],[Primary]],INDIRECT(VLOOKUP(IDNMaps[[#This Row],[Type]],RecordCount[],2,0)),VLOOKUP(IDNMaps[[#This Row],[Type]],RecordCount[],8,0),0),"")</f>
        <v>308140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41</v>
      </c>
      <c r="M72" s="6" t="str">
        <f ca="1">IFERROR(VLOOKUP(IDNMaps[[#This Row],[Type]],RecordCount[],6,0)&amp;"-"&amp;IDNMaps[[#This Row],[Type Count]],"")</f>
        <v>Resource Relations-41</v>
      </c>
      <c r="N72" s="6" t="str">
        <f ca="1">IFERROR(VLOOKUP(IDNMaps[[#This Row],[Primary]],INDIRECT(VLOOKUP(IDNMaps[[#This Row],[Type]],RecordCount[],2,0)),VLOOKUP(IDNMaps[[#This Row],[Type]],RecordCount[],7,0),0),"")</f>
        <v>UserExecutive/Executive</v>
      </c>
      <c r="O72" s="6" t="str">
        <f ca="1">IF(IDNMaps[[#This Row],[Name]]="","","("&amp;IDNMaps[[#This Row],[Type]]&amp;") "&amp;IDNMaps[[#This Row],[Name]])</f>
        <v>(Relation) UserExecutive/Executive</v>
      </c>
      <c r="P72" s="6">
        <f ca="1">IFERROR(VLOOKUP(IDNMaps[[#This Row],[Primary]],INDIRECT(VLOOKUP(IDNMaps[[#This Row],[Type]],RecordCount[],2,0)),VLOOKUP(IDNMaps[[#This Row],[Type]],RecordCount[],8,0),0),"")</f>
        <v>308141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</v>
      </c>
      <c r="M73" s="6" t="str">
        <f ca="1">IFERROR(VLOOKUP(IDNMaps[[#This Row],[Type]],RecordCount[],6,0)&amp;"-"&amp;IDNMaps[[#This Row],[Type Count]],"")</f>
        <v>Form Fields-1</v>
      </c>
      <c r="N73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3" s="6" t="str">
        <f ca="1">IF(IDNMaps[[#This Row],[Name]]="","","("&amp;IDNMaps[[#This Row],[Type]]&amp;") "&amp;IDNMaps[[#This Row],[Name]])</f>
        <v>(Fields) Setting/AddNewSetting/name</v>
      </c>
      <c r="P73" s="6">
        <f ca="1">IFERROR(VLOOKUP(IDNMaps[[#This Row],[Primary]],INDIRECT(VLOOKUP(IDNMaps[[#This Row],[Type]],RecordCount[],2,0)),VLOOKUP(IDNMaps[[#This Row],[Type]],RecordCount[],8,0),0),"")</f>
        <v>310101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2</v>
      </c>
      <c r="M74" s="6" t="str">
        <f ca="1">IFERROR(VLOOKUP(IDNMaps[[#This Row],[Type]],RecordCount[],6,0)&amp;"-"&amp;IDNMaps[[#This Row],[Type Count]],"")</f>
        <v>Form Fields-2</v>
      </c>
      <c r="N74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74" s="6" t="str">
        <f ca="1">IF(IDNMaps[[#This Row],[Name]]="","","("&amp;IDNMaps[[#This Row],[Type]]&amp;") "&amp;IDNMaps[[#This Row],[Name]])</f>
        <v>(Fields) Setting/AddNewSetting/value</v>
      </c>
      <c r="P74" s="6">
        <f ca="1">IFERROR(VLOOKUP(IDNMaps[[#This Row],[Primary]],INDIRECT(VLOOKUP(IDNMaps[[#This Row],[Type]],RecordCount[],2,0)),VLOOKUP(IDNMaps[[#This Row],[Type]],RecordCount[],8,0),0),"")</f>
        <v>310102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3</v>
      </c>
      <c r="M75" s="6" t="str">
        <f ca="1">IFERROR(VLOOKUP(IDNMaps[[#This Row],[Type]],RecordCount[],6,0)&amp;"-"&amp;IDNMaps[[#This Row],[Type Count]],"")</f>
        <v>Form Fields-3</v>
      </c>
      <c r="N75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5" s="6" t="str">
        <f ca="1">IF(IDNMaps[[#This Row],[Name]]="","","("&amp;IDNMaps[[#This Row],[Type]]&amp;") "&amp;IDNMaps[[#This Row],[Name]])</f>
        <v>(Fields) Setting/AddNewSetting/status</v>
      </c>
      <c r="P75" s="6">
        <f ca="1">IFERROR(VLOOKUP(IDNMaps[[#This Row],[Primary]],INDIRECT(VLOOKUP(IDNMaps[[#This Row],[Type]],RecordCount[],2,0)),VLOOKUP(IDNMaps[[#This Row],[Type]],RecordCount[],8,0),0),"")</f>
        <v>310103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4</v>
      </c>
      <c r="M76" s="6" t="str">
        <f ca="1">IFERROR(VLOOKUP(IDNMaps[[#This Row],[Type]],RecordCount[],6,0)&amp;"-"&amp;IDNMaps[[#This Row],[Type Count]],"")</f>
        <v>Form Fields-4</v>
      </c>
      <c r="N76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76" s="6" t="str">
        <f ca="1">IF(IDNMaps[[#This Row],[Name]]="","","("&amp;IDNMaps[[#This Row],[Type]]&amp;") "&amp;IDNMaps[[#This Row],[Name]])</f>
        <v>(Fields) Setting/AddNewSetting/description</v>
      </c>
      <c r="P76" s="6">
        <f ca="1">IFERROR(VLOOKUP(IDNMaps[[#This Row],[Primary]],INDIRECT(VLOOKUP(IDNMaps[[#This Row],[Type]],RecordCount[],2,0)),VLOOKUP(IDNMaps[[#This Row],[Type]],RecordCount[],8,0),0),"")</f>
        <v>310104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5</v>
      </c>
      <c r="M77" s="6" t="str">
        <f ca="1">IFERROR(VLOOKUP(IDNMaps[[#This Row],[Type]],RecordCount[],6,0)&amp;"-"&amp;IDNMaps[[#This Row],[Type Count]],"")</f>
        <v>Form Fields-5</v>
      </c>
      <c r="N77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77" s="6" t="str">
        <f ca="1">IF(IDNMaps[[#This Row],[Name]]="","","("&amp;IDNMaps[[#This Row],[Type]]&amp;") "&amp;IDNMaps[[#This Row],[Name]])</f>
        <v>(Fields) UserSetting/AddNewUserSetting/user</v>
      </c>
      <c r="P77" s="6">
        <f ca="1">IFERROR(VLOOKUP(IDNMaps[[#This Row],[Primary]],INDIRECT(VLOOKUP(IDNMaps[[#This Row],[Type]],RecordCount[],2,0)),VLOOKUP(IDNMaps[[#This Row],[Type]],RecordCount[],8,0),0),"")</f>
        <v>310105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6</v>
      </c>
      <c r="M78" s="6" t="str">
        <f ca="1">IFERROR(VLOOKUP(IDNMaps[[#This Row],[Type]],RecordCount[],6,0)&amp;"-"&amp;IDNMaps[[#This Row],[Type Count]],"")</f>
        <v>Form Fields-6</v>
      </c>
      <c r="N78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78" s="6" t="str">
        <f ca="1">IF(IDNMaps[[#This Row],[Name]]="","","("&amp;IDNMaps[[#This Row],[Type]]&amp;") "&amp;IDNMaps[[#This Row],[Name]])</f>
        <v>(Fields) UserSetting/AddNewUserSetting/setting</v>
      </c>
      <c r="P78" s="6">
        <f ca="1">IFERROR(VLOOKUP(IDNMaps[[#This Row],[Primary]],INDIRECT(VLOOKUP(IDNMaps[[#This Row],[Type]],RecordCount[],2,0)),VLOOKUP(IDNMaps[[#This Row],[Type]],RecordCount[],8,0),0),"")</f>
        <v>310106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7</v>
      </c>
      <c r="M79" s="6" t="str">
        <f ca="1">IFERROR(VLOOKUP(IDNMaps[[#This Row],[Type]],RecordCount[],6,0)&amp;"-"&amp;IDNMaps[[#This Row],[Type Count]],"")</f>
        <v>Form Fields-7</v>
      </c>
      <c r="N79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79" s="6" t="str">
        <f ca="1">IF(IDNMaps[[#This Row],[Name]]="","","("&amp;IDNMaps[[#This Row],[Type]]&amp;") "&amp;IDNMaps[[#This Row],[Name]])</f>
        <v>(Fields) UserSetting/AddNewUserSetting/value</v>
      </c>
      <c r="P79" s="6">
        <f ca="1">IFERROR(VLOOKUP(IDNMaps[[#This Row],[Primary]],INDIRECT(VLOOKUP(IDNMaps[[#This Row],[Type]],RecordCount[],2,0)),VLOOKUP(IDNMaps[[#This Row],[Type]],RecordCount[],8,0),0),"")</f>
        <v>310107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8</v>
      </c>
      <c r="M80" s="6" t="str">
        <f ca="1">IFERROR(VLOOKUP(IDNMaps[[#This Row],[Type]],RecordCount[],6,0)&amp;"-"&amp;IDNMaps[[#This Row],[Type Count]],"")</f>
        <v>Form Fields-8</v>
      </c>
      <c r="N80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0" s="6" t="str">
        <f ca="1">IF(IDNMaps[[#This Row],[Name]]="","","("&amp;IDNMaps[[#This Row],[Type]]&amp;") "&amp;IDNMaps[[#This Row],[Name]])</f>
        <v>(Fields) UserSetting/ChangeUserSettingStatus/status</v>
      </c>
      <c r="P80" s="6">
        <f ca="1">IFERROR(VLOOKUP(IDNMaps[[#This Row],[Primary]],INDIRECT(VLOOKUP(IDNMaps[[#This Row],[Type]],RecordCount[],2,0)),VLOOKUP(IDNMaps[[#This Row],[Type]],RecordCount[],8,0),0),"")</f>
        <v>310108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9</v>
      </c>
      <c r="M81" s="6" t="str">
        <f ca="1">IFERROR(VLOOKUP(IDNMaps[[#This Row],[Type]],RecordCount[],6,0)&amp;"-"&amp;IDNMaps[[#This Row],[Type Count]],"")</f>
        <v>Form Fields-9</v>
      </c>
      <c r="N81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1" s="6" t="str">
        <f ca="1">IF(IDNMaps[[#This Row],[Name]]="","","("&amp;IDNMaps[[#This Row],[Type]]&amp;") "&amp;IDNMaps[[#This Row],[Name]])</f>
        <v>(Fields) UserStoreArea/AddUserStoreAreaForm/user</v>
      </c>
      <c r="P81" s="6">
        <f ca="1">IFERROR(VLOOKUP(IDNMaps[[#This Row],[Primary]],INDIRECT(VLOOKUP(IDNMaps[[#This Row],[Type]],RecordCount[],2,0)),VLOOKUP(IDNMaps[[#This Row],[Type]],RecordCount[],8,0),0),"")</f>
        <v>310109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10</v>
      </c>
      <c r="M82" s="6" t="str">
        <f ca="1">IFERROR(VLOOKUP(IDNMaps[[#This Row],[Type]],RecordCount[],6,0)&amp;"-"&amp;IDNMaps[[#This Row],[Type Count]],"")</f>
        <v>Form Fields-10</v>
      </c>
      <c r="N82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2" s="6" t="str">
        <f ca="1">IF(IDNMaps[[#This Row],[Name]]="","","("&amp;IDNMaps[[#This Row],[Type]]&amp;") "&amp;IDNMaps[[#This Row],[Name]])</f>
        <v>(Fields) UserStoreArea/AddUserStoreAreaForm/store</v>
      </c>
      <c r="P82" s="6">
        <f ca="1">IFERROR(VLOOKUP(IDNMaps[[#This Row],[Primary]],INDIRECT(VLOOKUP(IDNMaps[[#This Row],[Type]],RecordCount[],2,0)),VLOOKUP(IDNMaps[[#This Row],[Type]],RecordCount[],8,0),0),"")</f>
        <v>310110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11</v>
      </c>
      <c r="M83" s="6" t="str">
        <f ca="1">IFERROR(VLOOKUP(IDNMaps[[#This Row],[Type]],RecordCount[],6,0)&amp;"-"&amp;IDNMaps[[#This Row],[Type Count]],"")</f>
        <v>Form Fields-11</v>
      </c>
      <c r="N83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83" s="6" t="str">
        <f ca="1">IF(IDNMaps[[#This Row],[Name]]="","","("&amp;IDNMaps[[#This Row],[Type]]&amp;") "&amp;IDNMaps[[#This Row],[Name]])</f>
        <v>(Fields) UserStoreArea/AddUserStoreAreaForm/area</v>
      </c>
      <c r="P83" s="6">
        <f ca="1">IFERROR(VLOOKUP(IDNMaps[[#This Row],[Primary]],INDIRECT(VLOOKUP(IDNMaps[[#This Row],[Type]],RecordCount[],2,0)),VLOOKUP(IDNMaps[[#This Row],[Type]],RecordCount[],8,0),0),"")</f>
        <v>310111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12</v>
      </c>
      <c r="M84" s="6" t="str">
        <f ca="1">IFERROR(VLOOKUP(IDNMaps[[#This Row],[Type]],RecordCount[],6,0)&amp;"-"&amp;IDNMaps[[#This Row],[Type Count]],"")</f>
        <v>Form Fields-12</v>
      </c>
      <c r="N84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84" s="6" t="str">
        <f ca="1">IF(IDNMaps[[#This Row],[Name]]="","","("&amp;IDNMaps[[#This Row],[Type]]&amp;") "&amp;IDNMaps[[#This Row],[Name]])</f>
        <v>(Fields) UserStoreArea/AddUserStoreAreaForm/status</v>
      </c>
      <c r="P84" s="6">
        <f ca="1">IFERROR(VLOOKUP(IDNMaps[[#This Row],[Primary]],INDIRECT(VLOOKUP(IDNMaps[[#This Row],[Type]],RecordCount[],2,0)),VLOOKUP(IDNMaps[[#This Row],[Type]],RecordCount[],8,0),0),"")</f>
        <v>310112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13</v>
      </c>
      <c r="M85" s="6" t="str">
        <f ca="1">IFERROR(VLOOKUP(IDNMaps[[#This Row],[Type]],RecordCount[],6,0)&amp;"-"&amp;IDNMaps[[#This Row],[Type Count]],"")</f>
        <v>Form Fields-13</v>
      </c>
      <c r="N85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85" s="6" t="str">
        <f ca="1">IF(IDNMaps[[#This Row],[Name]]="","","("&amp;IDNMaps[[#This Row],[Type]]&amp;") "&amp;IDNMaps[[#This Row],[Name]])</f>
        <v>(Fields) ProductImage/AddProductImage/product</v>
      </c>
      <c r="P85" s="6">
        <f ca="1">IFERROR(VLOOKUP(IDNMaps[[#This Row],[Primary]],INDIRECT(VLOOKUP(IDNMaps[[#This Row],[Type]],RecordCount[],2,0)),VLOOKUP(IDNMaps[[#This Row],[Type]],RecordCount[],8,0),0),"")</f>
        <v>310113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14</v>
      </c>
      <c r="M86" s="6" t="str">
        <f ca="1">IFERROR(VLOOKUP(IDNMaps[[#This Row],[Type]],RecordCount[],6,0)&amp;"-"&amp;IDNMaps[[#This Row],[Type Count]],"")</f>
        <v>Form Fields-14</v>
      </c>
      <c r="N86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86" s="6" t="str">
        <f ca="1">IF(IDNMaps[[#This Row],[Name]]="","","("&amp;IDNMaps[[#This Row],[Type]]&amp;") "&amp;IDNMaps[[#This Row],[Name]])</f>
        <v>(Fields) ProductImage/AddProductImage/image01</v>
      </c>
      <c r="P86" s="6">
        <f ca="1">IFERROR(VLOOKUP(IDNMaps[[#This Row],[Primary]],INDIRECT(VLOOKUP(IDNMaps[[#This Row],[Type]],RecordCount[],2,0)),VLOOKUP(IDNMaps[[#This Row],[Type]],RecordCount[],8,0),0),"")</f>
        <v>310114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15</v>
      </c>
      <c r="M87" s="6" t="str">
        <f ca="1">IFERROR(VLOOKUP(IDNMaps[[#This Row],[Type]],RecordCount[],6,0)&amp;"-"&amp;IDNMaps[[#This Row],[Type Count]],"")</f>
        <v>Form Fields-15</v>
      </c>
      <c r="N87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87" s="6" t="str">
        <f ca="1">IF(IDNMaps[[#This Row],[Name]]="","","("&amp;IDNMaps[[#This Row],[Type]]&amp;") "&amp;IDNMaps[[#This Row],[Name]])</f>
        <v>(Fields) ProductImage/AddProductImage/image02</v>
      </c>
      <c r="P87" s="6">
        <f ca="1">IFERROR(VLOOKUP(IDNMaps[[#This Row],[Primary]],INDIRECT(VLOOKUP(IDNMaps[[#This Row],[Type]],RecordCount[],2,0)),VLOOKUP(IDNMaps[[#This Row],[Type]],RecordCount[],8,0),0),"")</f>
        <v>310115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16</v>
      </c>
      <c r="M88" s="6" t="str">
        <f ca="1">IFERROR(VLOOKUP(IDNMaps[[#This Row],[Type]],RecordCount[],6,0)&amp;"-"&amp;IDNMaps[[#This Row],[Type Count]],"")</f>
        <v>Form Fields-16</v>
      </c>
      <c r="N88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88" s="6" t="str">
        <f ca="1">IF(IDNMaps[[#This Row],[Name]]="","","("&amp;IDNMaps[[#This Row],[Type]]&amp;") "&amp;IDNMaps[[#This Row],[Name]])</f>
        <v>(Fields) ProductImage/AddProductImage/image03</v>
      </c>
      <c r="P88" s="6">
        <f ca="1">IFERROR(VLOOKUP(IDNMaps[[#This Row],[Primary]],INDIRECT(VLOOKUP(IDNMaps[[#This Row],[Type]],RecordCount[],2,0)),VLOOKUP(IDNMaps[[#This Row],[Type]],RecordCount[],8,0),0),"")</f>
        <v>310116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17</v>
      </c>
      <c r="M89" s="6" t="str">
        <f ca="1">IFERROR(VLOOKUP(IDNMaps[[#This Row],[Type]],RecordCount[],6,0)&amp;"-"&amp;IDNMaps[[#This Row],[Type Count]],"")</f>
        <v>Form Fields-17</v>
      </c>
      <c r="N89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89" s="6" t="str">
        <f ca="1">IF(IDNMaps[[#This Row],[Name]]="","","("&amp;IDNMaps[[#This Row],[Type]]&amp;") "&amp;IDNMaps[[#This Row],[Name]])</f>
        <v>(Fields) ProductImage/AddProductImage/image04</v>
      </c>
      <c r="P89" s="6">
        <f ca="1">IFERROR(VLOOKUP(IDNMaps[[#This Row],[Primary]],INDIRECT(VLOOKUP(IDNMaps[[#This Row],[Type]],RecordCount[],2,0)),VLOOKUP(IDNMaps[[#This Row],[Type]],RecordCount[],8,0),0),"")</f>
        <v>310117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18</v>
      </c>
      <c r="M90" s="6" t="str">
        <f ca="1">IFERROR(VLOOKUP(IDNMaps[[#This Row],[Type]],RecordCount[],6,0)&amp;"-"&amp;IDNMaps[[#This Row],[Type Count]],"")</f>
        <v>Form Fields-18</v>
      </c>
      <c r="N90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0" s="6" t="str">
        <f ca="1">IF(IDNMaps[[#This Row],[Name]]="","","("&amp;IDNMaps[[#This Row],[Type]]&amp;") "&amp;IDNMaps[[#This Row],[Name]])</f>
        <v>(Fields) ProductImage/AddProductImage/image05</v>
      </c>
      <c r="P90" s="6">
        <f ca="1">IFERROR(VLOOKUP(IDNMaps[[#This Row],[Primary]],INDIRECT(VLOOKUP(IDNMaps[[#This Row],[Type]],RecordCount[],2,0)),VLOOKUP(IDNMaps[[#This Row],[Type]],RecordCount[],8,0),0),"")</f>
        <v>310118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19</v>
      </c>
      <c r="M91" s="6" t="str">
        <f ca="1">IFERROR(VLOOKUP(IDNMaps[[#This Row],[Type]],RecordCount[],6,0)&amp;"-"&amp;IDNMaps[[#This Row],[Type Count]],"")</f>
        <v>Form Fields-19</v>
      </c>
      <c r="N91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1" s="6" t="str">
        <f ca="1">IF(IDNMaps[[#This Row],[Name]]="","","("&amp;IDNMaps[[#This Row],[Type]]&amp;") "&amp;IDNMaps[[#This Row],[Name]])</f>
        <v>(Fields) ProductImage/AddProductImage/default</v>
      </c>
      <c r="P91" s="6">
        <f ca="1">IFERROR(VLOOKUP(IDNMaps[[#This Row],[Primary]],INDIRECT(VLOOKUP(IDNMaps[[#This Row],[Type]],RecordCount[],2,0)),VLOOKUP(IDNMaps[[#This Row],[Type]],RecordCount[],8,0),0),"")</f>
        <v>310119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20</v>
      </c>
      <c r="M92" s="6" t="str">
        <f ca="1">IFERROR(VLOOKUP(IDNMaps[[#This Row],[Type]],RecordCount[],6,0)&amp;"-"&amp;IDNMaps[[#This Row],[Type Count]],"")</f>
        <v>Form Fields-20</v>
      </c>
      <c r="N92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2" s="6" t="str">
        <f ca="1">IF(IDNMaps[[#This Row],[Name]]="","","("&amp;IDNMaps[[#This Row],[Type]]&amp;") "&amp;IDNMaps[[#This Row],[Name]])</f>
        <v>(Fields) FnReserve/AddFNReserves/fncode</v>
      </c>
      <c r="P92" s="6">
        <f ca="1">IFERROR(VLOOKUP(IDNMaps[[#This Row],[Primary]],INDIRECT(VLOOKUP(IDNMaps[[#This Row],[Type]],RecordCount[],2,0)),VLOOKUP(IDNMaps[[#This Row],[Type]],RecordCount[],8,0),0),"")</f>
        <v>310120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21</v>
      </c>
      <c r="M93" s="6" t="str">
        <f ca="1">IFERROR(VLOOKUP(IDNMaps[[#This Row],[Type]],RecordCount[],6,0)&amp;"-"&amp;IDNMaps[[#This Row],[Type Count]],"")</f>
        <v>Form Fields-21</v>
      </c>
      <c r="N93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93" s="6" t="str">
        <f ca="1">IF(IDNMaps[[#This Row],[Name]]="","","("&amp;IDNMaps[[#This Row],[Type]]&amp;") "&amp;IDNMaps[[#This Row],[Name]])</f>
        <v>(Fields) FnReserve/AddFNReserves/store</v>
      </c>
      <c r="P93" s="6">
        <f ca="1">IFERROR(VLOOKUP(IDNMaps[[#This Row],[Primary]],INDIRECT(VLOOKUP(IDNMaps[[#This Row],[Type]],RecordCount[],2,0)),VLOOKUP(IDNMaps[[#This Row],[Type]],RecordCount[],8,0),0),"")</f>
        <v>310121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22</v>
      </c>
      <c r="M94" s="6" t="str">
        <f ca="1">IFERROR(VLOOKUP(IDNMaps[[#This Row],[Type]],RecordCount[],6,0)&amp;"-"&amp;IDNMaps[[#This Row],[Type Count]],"")</f>
        <v>Form Fields-22</v>
      </c>
      <c r="N94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94" s="6" t="str">
        <f ca="1">IF(IDNMaps[[#This Row],[Name]]="","","("&amp;IDNMaps[[#This Row],[Type]]&amp;") "&amp;IDNMaps[[#This Row],[Name]])</f>
        <v>(Fields) FnReserve/AddFNReserves/start_num</v>
      </c>
      <c r="P94" s="6">
        <f ca="1">IFERROR(VLOOKUP(IDNMaps[[#This Row],[Primary]],INDIRECT(VLOOKUP(IDNMaps[[#This Row],[Type]],RecordCount[],2,0)),VLOOKUP(IDNMaps[[#This Row],[Type]],RecordCount[],8,0),0),"")</f>
        <v>310122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23</v>
      </c>
      <c r="M95" s="6" t="str">
        <f ca="1">IFERROR(VLOOKUP(IDNMaps[[#This Row],[Type]],RecordCount[],6,0)&amp;"-"&amp;IDNMaps[[#This Row],[Type Count]],"")</f>
        <v>Form Fields-23</v>
      </c>
      <c r="N95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95" s="6" t="str">
        <f ca="1">IF(IDNMaps[[#This Row],[Name]]="","","("&amp;IDNMaps[[#This Row],[Type]]&amp;") "&amp;IDNMaps[[#This Row],[Name]])</f>
        <v>(Fields) FnReserve/AddFNReserves/end_num</v>
      </c>
      <c r="P95" s="6">
        <f ca="1">IFERROR(VLOOKUP(IDNMaps[[#This Row],[Primary]],INDIRECT(VLOOKUP(IDNMaps[[#This Row],[Type]],RecordCount[],2,0)),VLOOKUP(IDNMaps[[#This Row],[Type]],RecordCount[],8,0),0),"")</f>
        <v>310123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24</v>
      </c>
      <c r="M96" s="6" t="str">
        <f ca="1">IFERROR(VLOOKUP(IDNMaps[[#This Row],[Type]],RecordCount[],6,0)&amp;"-"&amp;IDNMaps[[#This Row],[Type Count]],"")</f>
        <v>Form Fields-24</v>
      </c>
      <c r="N96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96" s="6" t="str">
        <f ca="1">IF(IDNMaps[[#This Row],[Name]]="","","("&amp;IDNMaps[[#This Row],[Type]]&amp;") "&amp;IDNMaps[[#This Row],[Name]])</f>
        <v>(Fields) FnReserve/UpdateReserves/start_num</v>
      </c>
      <c r="P96" s="6">
        <f ca="1">IFERROR(VLOOKUP(IDNMaps[[#This Row],[Primary]],INDIRECT(VLOOKUP(IDNMaps[[#This Row],[Type]],RecordCount[],2,0)),VLOOKUP(IDNMaps[[#This Row],[Type]],RecordCount[],8,0),0),"")</f>
        <v>310124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25</v>
      </c>
      <c r="M97" s="6" t="str">
        <f ca="1">IFERROR(VLOOKUP(IDNMaps[[#This Row],[Type]],RecordCount[],6,0)&amp;"-"&amp;IDNMaps[[#This Row],[Type Count]],"")</f>
        <v>Form Fields-25</v>
      </c>
      <c r="N97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97" s="6" t="str">
        <f ca="1">IF(IDNMaps[[#This Row],[Name]]="","","("&amp;IDNMaps[[#This Row],[Type]]&amp;") "&amp;IDNMaps[[#This Row],[Name]])</f>
        <v>(Fields) FnReserve/UpdateReserves/end_num</v>
      </c>
      <c r="P97" s="6">
        <f ca="1">IFERROR(VLOOKUP(IDNMaps[[#This Row],[Primary]],INDIRECT(VLOOKUP(IDNMaps[[#This Row],[Type]],RecordCount[],2,0)),VLOOKUP(IDNMaps[[#This Row],[Type]],RecordCount[],8,0),0),"")</f>
        <v>310125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26</v>
      </c>
      <c r="M98" s="6" t="str">
        <f ca="1">IFERROR(VLOOKUP(IDNMaps[[#This Row],[Type]],RecordCount[],6,0)&amp;"-"&amp;IDNMaps[[#This Row],[Type Count]],"")</f>
        <v>Form Fields-26</v>
      </c>
      <c r="N98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98" s="6" t="str">
        <f ca="1">IF(IDNMaps[[#This Row],[Name]]="","","("&amp;IDNMaps[[#This Row],[Type]]&amp;") "&amp;IDNMaps[[#This Row],[Name]])</f>
        <v>(Fields) FnReserve/UpdateReserves/current</v>
      </c>
      <c r="P98" s="6">
        <f ca="1">IFERROR(VLOOKUP(IDNMaps[[#This Row],[Primary]],INDIRECT(VLOOKUP(IDNMaps[[#This Row],[Type]],RecordCount[],2,0)),VLOOKUP(IDNMaps[[#This Row],[Type]],RecordCount[],8,0),0),"")</f>
        <v>310126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27</v>
      </c>
      <c r="M99" s="6" t="str">
        <f ca="1">IFERROR(VLOOKUP(IDNMaps[[#This Row],[Type]],RecordCount[],6,0)&amp;"-"&amp;IDNMaps[[#This Row],[Type Count]],"")</f>
        <v>Form Fields-27</v>
      </c>
      <c r="N99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99" s="6" t="str">
        <f ca="1">IF(IDNMaps[[#This Row],[Name]]="","","("&amp;IDNMaps[[#This Row],[Type]]&amp;") "&amp;IDNMaps[[#This Row],[Name]])</f>
        <v>(Fields) FnReserve/UpdateReserves/progress</v>
      </c>
      <c r="P99" s="6">
        <f ca="1">IFERROR(VLOOKUP(IDNMaps[[#This Row],[Primary]],INDIRECT(VLOOKUP(IDNMaps[[#This Row],[Type]],RecordCount[],2,0)),VLOOKUP(IDNMaps[[#This Row],[Type]],RecordCount[],8,0),0),"")</f>
        <v>310127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28</v>
      </c>
      <c r="M100" s="6" t="str">
        <f ca="1">IFERROR(VLOOKUP(IDNMaps[[#This Row],[Type]],RecordCount[],6,0)&amp;"-"&amp;IDNMaps[[#This Row],[Type Count]],"")</f>
        <v>Form Fields-28</v>
      </c>
      <c r="N100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0" s="6" t="str">
        <f ca="1">IF(IDNMaps[[#This Row],[Name]]="","","("&amp;IDNMaps[[#This Row],[Type]]&amp;") "&amp;IDNMaps[[#This Row],[Name]])</f>
        <v>(Fields) FnReserve/UpdateReserves/status</v>
      </c>
      <c r="P100" s="6">
        <f ca="1">IFERROR(VLOOKUP(IDNMaps[[#This Row],[Primary]],INDIRECT(VLOOKUP(IDNMaps[[#This Row],[Type]],RecordCount[],2,0)),VLOOKUP(IDNMaps[[#This Row],[Type]],RecordCount[],8,0),0),"")</f>
        <v>310128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29</v>
      </c>
      <c r="M101" s="6" t="str">
        <f ca="1">IFERROR(VLOOKUP(IDNMaps[[#This Row],[Type]],RecordCount[],6,0)&amp;"-"&amp;IDNMaps[[#This Row],[Type Count]],"")</f>
        <v>Form Fields-29</v>
      </c>
      <c r="N101" s="6" t="str">
        <f ca="1">IFERROR(VLOOKUP(IDNMaps[[#This Row],[Primary]],INDIRECT(VLOOKUP(IDNMaps[[#This Row],[Type]],RecordCount[],2,0)),VLOOKUP(IDNMaps[[#This Row],[Type]],RecordCount[],7,0),0),"")</f>
        <v>Menu/UpdateMenu/name</v>
      </c>
      <c r="O101" s="6" t="str">
        <f ca="1">IF(IDNMaps[[#This Row],[Name]]="","","("&amp;IDNMaps[[#This Row],[Type]]&amp;") "&amp;IDNMaps[[#This Row],[Name]])</f>
        <v>(Fields) Menu/UpdateMenu/name</v>
      </c>
      <c r="P101" s="6">
        <f ca="1">IFERROR(VLOOKUP(IDNMaps[[#This Row],[Primary]],INDIRECT(VLOOKUP(IDNMaps[[#This Row],[Type]],RecordCount[],2,0)),VLOOKUP(IDNMaps[[#This Row],[Type]],RecordCount[],8,0),0),"")</f>
        <v>310129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30</v>
      </c>
      <c r="M102" s="6" t="str">
        <f ca="1">IFERROR(VLOOKUP(IDNMaps[[#This Row],[Type]],RecordCount[],6,0)&amp;"-"&amp;IDNMaps[[#This Row],[Type Count]],"")</f>
        <v>Form Fields-30</v>
      </c>
      <c r="N102" s="6" t="str">
        <f ca="1">IFERROR(VLOOKUP(IDNMaps[[#This Row],[Primary]],INDIRECT(VLOOKUP(IDNMaps[[#This Row],[Type]],RecordCount[],2,0)),VLOOKUP(IDNMaps[[#This Row],[Type]],RecordCount[],7,0),0),"")</f>
        <v>Menu/UpdateMenu/icon</v>
      </c>
      <c r="O102" s="6" t="str">
        <f ca="1">IF(IDNMaps[[#This Row],[Name]]="","","("&amp;IDNMaps[[#This Row],[Type]]&amp;") "&amp;IDNMaps[[#This Row],[Name]])</f>
        <v>(Fields) Menu/UpdateMenu/icon</v>
      </c>
      <c r="P102" s="6">
        <f ca="1">IFERROR(VLOOKUP(IDNMaps[[#This Row],[Primary]],INDIRECT(VLOOKUP(IDNMaps[[#This Row],[Type]],RecordCount[],2,0)),VLOOKUP(IDNMaps[[#This Row],[Type]],RecordCount[],8,0),0),"")</f>
        <v>310130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31</v>
      </c>
      <c r="M103" s="6" t="str">
        <f ca="1">IFERROR(VLOOKUP(IDNMaps[[#This Row],[Type]],RecordCount[],6,0)&amp;"-"&amp;IDNMaps[[#This Row],[Type Count]],"")</f>
        <v>Form Fields-31</v>
      </c>
      <c r="N103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03" s="6" t="str">
        <f ca="1">IF(IDNMaps[[#This Row],[Name]]="","","("&amp;IDNMaps[[#This Row],[Type]]&amp;") "&amp;IDNMaps[[#This Row],[Name]])</f>
        <v>(Fields) Menu/UpdateMenu/home_display</v>
      </c>
      <c r="P103" s="6">
        <f ca="1">IFERROR(VLOOKUP(IDNMaps[[#This Row],[Primary]],INDIRECT(VLOOKUP(IDNMaps[[#This Row],[Type]],RecordCount[],2,0)),VLOOKUP(IDNMaps[[#This Row],[Type]],RecordCount[],8,0),0),"")</f>
        <v>310131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32</v>
      </c>
      <c r="M104" s="6" t="str">
        <f ca="1">IFERROR(VLOOKUP(IDNMaps[[#This Row],[Type]],RecordCount[],6,0)&amp;"-"&amp;IDNMaps[[#This Row],[Type Count]],"")</f>
        <v>Form Fields-32</v>
      </c>
      <c r="N104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04" s="6" t="str">
        <f ca="1">IF(IDNMaps[[#This Row],[Name]]="","","("&amp;IDNMaps[[#This Row],[Type]]&amp;") "&amp;IDNMaps[[#This Row],[Name]])</f>
        <v>(Fields) Menu/UpdateMenu/drawer_display</v>
      </c>
      <c r="P104" s="6">
        <f ca="1">IFERROR(VLOOKUP(IDNMaps[[#This Row],[Primary]],INDIRECT(VLOOKUP(IDNMaps[[#This Row],[Type]],RecordCount[],2,0)),VLOOKUP(IDNMaps[[#This Row],[Type]],RecordCount[],8,0),0),"")</f>
        <v>310132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33</v>
      </c>
      <c r="M105" s="6" t="str">
        <f ca="1">IFERROR(VLOOKUP(IDNMaps[[#This Row],[Type]],RecordCount[],6,0)&amp;"-"&amp;IDNMaps[[#This Row],[Type Count]],"")</f>
        <v>Form Fields-33</v>
      </c>
      <c r="N105" s="6" t="str">
        <f ca="1">IFERROR(VLOOKUP(IDNMaps[[#This Row],[Primary]],INDIRECT(VLOOKUP(IDNMaps[[#This Row],[Type]],RecordCount[],2,0)),VLOOKUP(IDNMaps[[#This Row],[Type]],RecordCount[],7,0),0),"")</f>
        <v>Menu/UpdateMenu/order</v>
      </c>
      <c r="O105" s="6" t="str">
        <f ca="1">IF(IDNMaps[[#This Row],[Name]]="","","("&amp;IDNMaps[[#This Row],[Type]]&amp;") "&amp;IDNMaps[[#This Row],[Name]])</f>
        <v>(Fields) Menu/UpdateMenu/order</v>
      </c>
      <c r="P105" s="6">
        <f ca="1">IFERROR(VLOOKUP(IDNMaps[[#This Row],[Primary]],INDIRECT(VLOOKUP(IDNMaps[[#This Row],[Type]],RecordCount[],2,0)),VLOOKUP(IDNMaps[[#This Row],[Type]],RecordCount[],8,0),0),"")</f>
        <v>310133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34</v>
      </c>
      <c r="M106" s="6" t="str">
        <f ca="1">IFERROR(VLOOKUP(IDNMaps[[#This Row],[Type]],RecordCount[],6,0)&amp;"-"&amp;IDNMaps[[#This Row],[Type Count]],"")</f>
        <v>Form Fields-34</v>
      </c>
      <c r="N106" s="6" t="str">
        <f ca="1">IFERROR(VLOOKUP(IDNMaps[[#This Row],[Primary]],INDIRECT(VLOOKUP(IDNMaps[[#This Row],[Type]],RecordCount[],2,0)),VLOOKUP(IDNMaps[[#This Row],[Type]],RecordCount[],7,0),0),"")</f>
        <v>Menu/UpdateMenu/status</v>
      </c>
      <c r="O106" s="6" t="str">
        <f ca="1">IF(IDNMaps[[#This Row],[Name]]="","","("&amp;IDNMaps[[#This Row],[Type]]&amp;") "&amp;IDNMaps[[#This Row],[Name]])</f>
        <v>(Fields) Menu/UpdateMenu/status</v>
      </c>
      <c r="P106" s="6">
        <f ca="1">IFERROR(VLOOKUP(IDNMaps[[#This Row],[Primary]],INDIRECT(VLOOKUP(IDNMaps[[#This Row],[Type]],RecordCount[],2,0)),VLOOKUP(IDNMaps[[#This Row],[Type]],RecordCount[],8,0),0),"")</f>
        <v>310134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35</v>
      </c>
      <c r="M107" s="6" t="str">
        <f ca="1">IFERROR(VLOOKUP(IDNMaps[[#This Row],[Type]],RecordCount[],6,0)&amp;"-"&amp;IDNMaps[[#This Row],[Type Count]],"")</f>
        <v>Form Fields-35</v>
      </c>
      <c r="N107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07" s="6" t="str">
        <f ca="1">IF(IDNMaps[[#This Row],[Name]]="","","("&amp;IDNMaps[[#This Row],[Type]]&amp;") "&amp;IDNMaps[[#This Row],[Name]])</f>
        <v>(Fields) UserExecutive/NewExecutiveLoginMap/login_user</v>
      </c>
      <c r="P107" s="6">
        <f ca="1">IFERROR(VLOOKUP(IDNMaps[[#This Row],[Primary]],INDIRECT(VLOOKUP(IDNMaps[[#This Row],[Type]],RecordCount[],2,0)),VLOOKUP(IDNMaps[[#This Row],[Type]],RecordCount[],8,0),0),"")</f>
        <v>310135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36</v>
      </c>
      <c r="M108" s="6" t="str">
        <f ca="1">IFERROR(VLOOKUP(IDNMaps[[#This Row],[Type]],RecordCount[],6,0)&amp;"-"&amp;IDNMaps[[#This Row],[Type Count]],"")</f>
        <v>Form Fields-36</v>
      </c>
      <c r="N108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08" s="6" t="str">
        <f ca="1">IF(IDNMaps[[#This Row],[Name]]="","","("&amp;IDNMaps[[#This Row],[Type]]&amp;") "&amp;IDNMaps[[#This Row],[Name]])</f>
        <v>(Fields) UserExecutive/NewExecutiveLoginMap/executive_user</v>
      </c>
      <c r="P108" s="6">
        <f ca="1">IFERROR(VLOOKUP(IDNMaps[[#This Row],[Primary]],INDIRECT(VLOOKUP(IDNMaps[[#This Row],[Type]],RecordCount[],2,0)),VLOOKUP(IDNMaps[[#This Row],[Type]],RecordCount[],8,0),0),"")</f>
        <v>310136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9"/>
  <sheetViews>
    <sheetView topLeftCell="A164" workbookViewId="0">
      <selection activeCell="D177" sqref="D17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28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9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1880</v>
      </c>
      <c r="B14" s="4" t="s">
        <v>773</v>
      </c>
      <c r="C14" s="4" t="s">
        <v>1881</v>
      </c>
      <c r="D14" s="4" t="s">
        <v>1882</v>
      </c>
      <c r="E14" s="4" t="s">
        <v>771</v>
      </c>
      <c r="F14" s="4" t="s">
        <v>1883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1859</v>
      </c>
      <c r="B15" s="2" t="s">
        <v>797</v>
      </c>
      <c r="C15" s="2" t="s">
        <v>1859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1830</v>
      </c>
      <c r="B16" s="2" t="s">
        <v>797</v>
      </c>
      <c r="C16" s="2" t="s">
        <v>1830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1875</v>
      </c>
      <c r="B17" s="2" t="s">
        <v>797</v>
      </c>
      <c r="C17" s="4" t="s">
        <v>1876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1831</v>
      </c>
      <c r="B18" s="2" t="s">
        <v>797</v>
      </c>
      <c r="C18" s="2" t="s">
        <v>1832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1833</v>
      </c>
      <c r="B19" s="2" t="s">
        <v>1860</v>
      </c>
      <c r="C19" s="2" t="s">
        <v>1834</v>
      </c>
      <c r="D19" s="2"/>
      <c r="E19" s="4" t="s">
        <v>771</v>
      </c>
      <c r="F19" s="2" t="s">
        <v>1659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1683</v>
      </c>
      <c r="B43" s="4" t="s">
        <v>793</v>
      </c>
      <c r="C43" s="4" t="s">
        <v>1683</v>
      </c>
      <c r="D43" s="4" t="s">
        <v>1681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1684</v>
      </c>
      <c r="B44" s="4" t="s">
        <v>793</v>
      </c>
      <c r="C44" s="4" t="s">
        <v>1684</v>
      </c>
      <c r="D44" s="4" t="s">
        <v>1681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1685</v>
      </c>
      <c r="B45" s="4" t="s">
        <v>793</v>
      </c>
      <c r="C45" s="5" t="s">
        <v>1685</v>
      </c>
      <c r="D45" s="4" t="s">
        <v>1681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1686</v>
      </c>
      <c r="B46" s="4" t="s">
        <v>793</v>
      </c>
      <c r="C46" s="5" t="s">
        <v>1686</v>
      </c>
      <c r="D46" s="4" t="s">
        <v>1681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1687</v>
      </c>
      <c r="B47" s="4" t="s">
        <v>793</v>
      </c>
      <c r="C47" s="5" t="s">
        <v>1687</v>
      </c>
      <c r="D47" s="4" t="s">
        <v>1681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1688</v>
      </c>
      <c r="B48" s="4" t="s">
        <v>793</v>
      </c>
      <c r="C48" s="5" t="s">
        <v>1688</v>
      </c>
      <c r="D48" s="4" t="s">
        <v>1681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1689</v>
      </c>
      <c r="B49" s="4" t="s">
        <v>793</v>
      </c>
      <c r="C49" s="5" t="s">
        <v>1689</v>
      </c>
      <c r="D49" s="4" t="s">
        <v>1681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1690</v>
      </c>
      <c r="B50" s="4" t="s">
        <v>793</v>
      </c>
      <c r="C50" s="5" t="s">
        <v>1690</v>
      </c>
      <c r="D50" s="4" t="s">
        <v>1681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1691</v>
      </c>
      <c r="B51" s="4" t="s">
        <v>793</v>
      </c>
      <c r="C51" s="5" t="s">
        <v>1691</v>
      </c>
      <c r="D51" s="4" t="s">
        <v>1681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1692</v>
      </c>
      <c r="B52" s="4" t="s">
        <v>793</v>
      </c>
      <c r="C52" s="5" t="s">
        <v>1692</v>
      </c>
      <c r="D52" s="4" t="s">
        <v>1681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1699</v>
      </c>
      <c r="B53" s="4" t="s">
        <v>817</v>
      </c>
      <c r="C53" s="5" t="s">
        <v>1699</v>
      </c>
      <c r="D53" s="4" t="s">
        <v>818</v>
      </c>
      <c r="E53" s="5" t="s">
        <v>1256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1700</v>
      </c>
      <c r="B54" s="4" t="s">
        <v>817</v>
      </c>
      <c r="C54" s="5" t="s">
        <v>1700</v>
      </c>
      <c r="D54" s="4" t="s">
        <v>818</v>
      </c>
      <c r="E54" s="5" t="s">
        <v>1256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1677</v>
      </c>
      <c r="B55" s="4" t="s">
        <v>817</v>
      </c>
      <c r="C55" s="5" t="s">
        <v>1677</v>
      </c>
      <c r="D55" s="4" t="s">
        <v>818</v>
      </c>
      <c r="E55" s="5" t="s">
        <v>1256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1678</v>
      </c>
      <c r="B56" s="4" t="s">
        <v>817</v>
      </c>
      <c r="C56" s="5" t="s">
        <v>1678</v>
      </c>
      <c r="D56" s="4" t="s">
        <v>818</v>
      </c>
      <c r="E56" s="5" t="s">
        <v>1256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1829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3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2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1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900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891</v>
      </c>
      <c r="B96" s="4" t="s">
        <v>831</v>
      </c>
      <c r="C96" s="4" t="s">
        <v>892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893</v>
      </c>
      <c r="B97" s="4" t="s">
        <v>831</v>
      </c>
      <c r="C97" s="4" t="s">
        <v>894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895</v>
      </c>
      <c r="B98" s="4" t="s">
        <v>773</v>
      </c>
      <c r="C98" s="4" t="s">
        <v>776</v>
      </c>
      <c r="D98" s="4" t="s">
        <v>896</v>
      </c>
      <c r="E98" s="4" t="s">
        <v>897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901</v>
      </c>
      <c r="B99" s="4" t="s">
        <v>781</v>
      </c>
      <c r="C99" s="4" t="s">
        <v>902</v>
      </c>
      <c r="D99" s="4" t="s">
        <v>898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903</v>
      </c>
      <c r="B100" s="4" t="s">
        <v>817</v>
      </c>
      <c r="C100" s="4" t="s">
        <v>903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904</v>
      </c>
      <c r="B101" s="4" t="s">
        <v>817</v>
      </c>
      <c r="C101" s="4" t="s">
        <v>904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936</v>
      </c>
      <c r="B102" s="4" t="s">
        <v>817</v>
      </c>
      <c r="C102" s="4" t="s">
        <v>936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935</v>
      </c>
      <c r="B103" s="4" t="s">
        <v>817</v>
      </c>
      <c r="C103" s="4" t="s">
        <v>935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967</v>
      </c>
      <c r="B104" s="4" t="s">
        <v>817</v>
      </c>
      <c r="C104" s="4" t="s">
        <v>967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905</v>
      </c>
      <c r="B105" s="4" t="s">
        <v>769</v>
      </c>
      <c r="C105" s="4" t="s">
        <v>905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4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7</v>
      </c>
    </row>
    <row r="107" spans="1:10" x14ac:dyDescent="0.25">
      <c r="A107" s="4" t="s">
        <v>907</v>
      </c>
      <c r="B107" s="4" t="s">
        <v>793</v>
      </c>
      <c r="C107" s="4" t="s">
        <v>908</v>
      </c>
      <c r="D107" s="4" t="s">
        <v>898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909</v>
      </c>
      <c r="B108" s="4" t="s">
        <v>793</v>
      </c>
      <c r="C108" s="4" t="s">
        <v>910</v>
      </c>
      <c r="D108" s="4" t="s">
        <v>898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911</v>
      </c>
      <c r="B109" s="4" t="s">
        <v>793</v>
      </c>
      <c r="C109" s="4" t="s">
        <v>913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912</v>
      </c>
      <c r="B110" s="4" t="s">
        <v>832</v>
      </c>
      <c r="C110" s="4" t="s">
        <v>914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915</v>
      </c>
      <c r="B111" s="4" t="s">
        <v>817</v>
      </c>
      <c r="C111" s="4" t="s">
        <v>915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1701</v>
      </c>
      <c r="B112" s="4" t="s">
        <v>769</v>
      </c>
      <c r="C112" s="4" t="s">
        <v>1701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1698</v>
      </c>
      <c r="B113" s="4" t="s">
        <v>769</v>
      </c>
      <c r="C113" s="4" t="s">
        <v>1698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917</v>
      </c>
      <c r="B114" s="4" t="s">
        <v>817</v>
      </c>
      <c r="C114" s="4" t="s">
        <v>917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1828</v>
      </c>
      <c r="B115" s="4" t="s">
        <v>797</v>
      </c>
      <c r="C115" s="4" t="s">
        <v>1828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918</v>
      </c>
      <c r="B116" s="4" t="s">
        <v>769</v>
      </c>
      <c r="C116" s="4" t="s">
        <v>919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920</v>
      </c>
      <c r="B117" s="4" t="s">
        <v>773</v>
      </c>
      <c r="C117" s="4" t="s">
        <v>903</v>
      </c>
      <c r="D117" s="4" t="s">
        <v>943</v>
      </c>
      <c r="E117" s="4" t="s">
        <v>771</v>
      </c>
      <c r="F117" s="4" t="s">
        <v>947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921</v>
      </c>
      <c r="B118" s="4" t="s">
        <v>773</v>
      </c>
      <c r="C118" s="4" t="s">
        <v>945</v>
      </c>
      <c r="D118" s="4" t="s">
        <v>944</v>
      </c>
      <c r="E118" s="4" t="s">
        <v>771</v>
      </c>
      <c r="F118" s="4" t="s">
        <v>948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923</v>
      </c>
      <c r="B119" s="4" t="s">
        <v>773</v>
      </c>
      <c r="C119" s="4" t="s">
        <v>922</v>
      </c>
      <c r="D119" s="4" t="s">
        <v>943</v>
      </c>
      <c r="E119" s="4" t="s">
        <v>771</v>
      </c>
      <c r="F119" s="4" t="s">
        <v>947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924</v>
      </c>
      <c r="B120" s="4" t="s">
        <v>793</v>
      </c>
      <c r="C120" s="4" t="s">
        <v>916</v>
      </c>
      <c r="D120" s="4" t="s">
        <v>903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925</v>
      </c>
      <c r="B121" s="4" t="s">
        <v>773</v>
      </c>
      <c r="C121" s="4" t="s">
        <v>946</v>
      </c>
      <c r="D121" s="4" t="s">
        <v>943</v>
      </c>
      <c r="E121" s="4" t="s">
        <v>771</v>
      </c>
      <c r="F121" s="4" t="s">
        <v>947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926</v>
      </c>
      <c r="B122" s="4" t="s">
        <v>773</v>
      </c>
      <c r="C122" s="4" t="s">
        <v>936</v>
      </c>
      <c r="D122" s="4" t="s">
        <v>937</v>
      </c>
      <c r="E122" s="4" t="s">
        <v>771</v>
      </c>
      <c r="F122" s="4" t="s">
        <v>940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927</v>
      </c>
      <c r="B123" s="4" t="s">
        <v>773</v>
      </c>
      <c r="C123" s="4" t="s">
        <v>935</v>
      </c>
      <c r="D123" s="4" t="s">
        <v>937</v>
      </c>
      <c r="E123" s="4" t="s">
        <v>771</v>
      </c>
      <c r="F123" s="4" t="s">
        <v>940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928</v>
      </c>
      <c r="B124" s="4" t="s">
        <v>773</v>
      </c>
      <c r="C124" s="4" t="s">
        <v>934</v>
      </c>
      <c r="D124" s="4" t="s">
        <v>938</v>
      </c>
      <c r="E124" s="4" t="s">
        <v>771</v>
      </c>
      <c r="F124" s="4" t="s">
        <v>942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929</v>
      </c>
      <c r="B125" s="4" t="s">
        <v>773</v>
      </c>
      <c r="C125" s="4" t="s">
        <v>933</v>
      </c>
      <c r="D125" s="4" t="s">
        <v>937</v>
      </c>
      <c r="E125" s="4" t="s">
        <v>771</v>
      </c>
      <c r="F125" s="4" t="s">
        <v>940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930</v>
      </c>
      <c r="B126" s="4" t="s">
        <v>773</v>
      </c>
      <c r="C126" s="4" t="s">
        <v>932</v>
      </c>
      <c r="D126" s="4" t="s">
        <v>939</v>
      </c>
      <c r="E126" s="4" t="s">
        <v>771</v>
      </c>
      <c r="F126" s="4" t="s">
        <v>941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931</v>
      </c>
      <c r="B127" s="4" t="s">
        <v>769</v>
      </c>
      <c r="C127" s="4" t="s">
        <v>915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1693</v>
      </c>
      <c r="B128" s="4" t="s">
        <v>769</v>
      </c>
      <c r="C128" s="4" t="s">
        <v>1682</v>
      </c>
      <c r="D128" s="4">
        <v>15</v>
      </c>
      <c r="E128" s="4" t="s">
        <v>771</v>
      </c>
      <c r="F128" s="4" t="s">
        <v>1694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951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953</v>
      </c>
      <c r="B130" s="4" t="s">
        <v>773</v>
      </c>
      <c r="C130" s="4" t="s">
        <v>952</v>
      </c>
      <c r="D130" s="4" t="s">
        <v>954</v>
      </c>
      <c r="E130" s="4" t="s">
        <v>771</v>
      </c>
      <c r="F130" s="4" t="s">
        <v>955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956</v>
      </c>
      <c r="B131" s="4" t="s">
        <v>793</v>
      </c>
      <c r="C131" s="4" t="s">
        <v>957</v>
      </c>
      <c r="D131" s="4" t="s">
        <v>949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958</v>
      </c>
      <c r="B132" s="4" t="s">
        <v>817</v>
      </c>
      <c r="C132" s="4" t="s">
        <v>958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959</v>
      </c>
      <c r="B133" s="4" t="s">
        <v>781</v>
      </c>
      <c r="C133" s="4" t="s">
        <v>903</v>
      </c>
      <c r="D133" s="4" t="s">
        <v>903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1259</v>
      </c>
      <c r="B134" s="2" t="s">
        <v>797</v>
      </c>
      <c r="C134" s="2" t="s">
        <v>1259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960</v>
      </c>
      <c r="B135" s="4" t="s">
        <v>773</v>
      </c>
      <c r="C135" s="2" t="s">
        <v>1268</v>
      </c>
      <c r="D135" s="4" t="s">
        <v>961</v>
      </c>
      <c r="E135" s="5" t="s">
        <v>771</v>
      </c>
      <c r="F135" s="4" t="s">
        <v>962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963</v>
      </c>
      <c r="B136" s="4" t="s">
        <v>773</v>
      </c>
      <c r="C136" s="2" t="s">
        <v>1269</v>
      </c>
      <c r="D136" s="4" t="s">
        <v>964</v>
      </c>
      <c r="E136" s="4" t="s">
        <v>771</v>
      </c>
      <c r="F136" s="4" t="s">
        <v>965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966</v>
      </c>
      <c r="B137" s="4" t="s">
        <v>817</v>
      </c>
      <c r="C137" s="4" t="s">
        <v>967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1260</v>
      </c>
      <c r="B138" s="2" t="s">
        <v>769</v>
      </c>
      <c r="C138" s="2" t="s">
        <v>1264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1261</v>
      </c>
      <c r="B139" s="2" t="s">
        <v>769</v>
      </c>
      <c r="C139" s="2" t="s">
        <v>1265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1262</v>
      </c>
      <c r="B140" s="2" t="s">
        <v>769</v>
      </c>
      <c r="C140" s="2" t="s">
        <v>1266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1263</v>
      </c>
      <c r="B141" s="2" t="s">
        <v>867</v>
      </c>
      <c r="C141" s="2" t="s">
        <v>1267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968</v>
      </c>
      <c r="B142" s="4" t="s">
        <v>793</v>
      </c>
      <c r="C142" s="4" t="s">
        <v>970</v>
      </c>
      <c r="D142" s="4" t="s">
        <v>903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969</v>
      </c>
      <c r="B143" s="4" t="s">
        <v>793</v>
      </c>
      <c r="C143" s="4" t="s">
        <v>971</v>
      </c>
      <c r="D143" s="4" t="s">
        <v>903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1874</v>
      </c>
      <c r="B144" s="4" t="s">
        <v>793</v>
      </c>
      <c r="C144" s="2" t="s">
        <v>1836</v>
      </c>
      <c r="D144" s="2" t="s">
        <v>950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1631</v>
      </c>
      <c r="B145" s="4" t="s">
        <v>797</v>
      </c>
      <c r="C145" s="4" t="s">
        <v>1631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1632</v>
      </c>
      <c r="B146" s="4" t="s">
        <v>797</v>
      </c>
      <c r="C146" s="4" t="s">
        <v>1632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1633</v>
      </c>
      <c r="B147" s="4" t="s">
        <v>797</v>
      </c>
      <c r="C147" s="4" t="s">
        <v>1633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1588</v>
      </c>
      <c r="B148" s="4" t="s">
        <v>769</v>
      </c>
      <c r="C148" s="4" t="s">
        <v>1588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4</v>
      </c>
    </row>
    <row r="149" spans="1:10" x14ac:dyDescent="0.25">
      <c r="A149" s="4" t="s">
        <v>1612</v>
      </c>
      <c r="B149" s="4" t="s">
        <v>769</v>
      </c>
      <c r="C149" s="4" t="s">
        <v>1612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1613</v>
      </c>
      <c r="B150" s="4" t="s">
        <v>769</v>
      </c>
      <c r="C150" s="4" t="s">
        <v>1613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1616</v>
      </c>
      <c r="B151" s="4" t="s">
        <v>773</v>
      </c>
      <c r="C151" s="4" t="s">
        <v>1615</v>
      </c>
      <c r="D151" s="4" t="s">
        <v>1617</v>
      </c>
      <c r="E151" s="4" t="s">
        <v>771</v>
      </c>
      <c r="F151" s="4" t="s">
        <v>1618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1634</v>
      </c>
      <c r="B152" s="4" t="s">
        <v>773</v>
      </c>
      <c r="C152" s="4" t="s">
        <v>1634</v>
      </c>
      <c r="D152" s="4" t="s">
        <v>1635</v>
      </c>
      <c r="E152" s="4" t="s">
        <v>771</v>
      </c>
      <c r="F152" s="4" t="s">
        <v>1618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1619</v>
      </c>
      <c r="B153" s="4" t="s">
        <v>797</v>
      </c>
      <c r="C153" s="4" t="s">
        <v>1619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1620</v>
      </c>
      <c r="B154" s="4" t="s">
        <v>797</v>
      </c>
      <c r="C154" s="4" t="s">
        <v>1620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1621</v>
      </c>
      <c r="B155" s="4" t="s">
        <v>831</v>
      </c>
      <c r="C155" s="4" t="s">
        <v>1621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1625</v>
      </c>
      <c r="B156" s="4" t="s">
        <v>1627</v>
      </c>
      <c r="C156" s="4" t="s">
        <v>1625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1626</v>
      </c>
      <c r="B157" s="4" t="s">
        <v>1627</v>
      </c>
      <c r="C157" s="4" t="s">
        <v>1626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1642</v>
      </c>
      <c r="B158" s="4" t="s">
        <v>1627</v>
      </c>
      <c r="C158" s="4" t="s">
        <v>1643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1628</v>
      </c>
      <c r="B159" s="4" t="s">
        <v>773</v>
      </c>
      <c r="C159" s="4" t="s">
        <v>952</v>
      </c>
      <c r="D159" s="4" t="s">
        <v>1629</v>
      </c>
      <c r="E159" s="4" t="s">
        <v>771</v>
      </c>
      <c r="F159" s="4" t="s">
        <v>1630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1644</v>
      </c>
      <c r="B160" s="4" t="s">
        <v>793</v>
      </c>
      <c r="C160" s="4" t="s">
        <v>902</v>
      </c>
      <c r="D160" s="4" t="s">
        <v>898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1645</v>
      </c>
      <c r="B161" s="4" t="s">
        <v>817</v>
      </c>
      <c r="C161" s="4" t="s">
        <v>1646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1650</v>
      </c>
      <c r="B162" s="4" t="s">
        <v>769</v>
      </c>
      <c r="C162" s="4" t="s">
        <v>1649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1651</v>
      </c>
      <c r="B163" s="4" t="s">
        <v>797</v>
      </c>
      <c r="C163" s="4" t="s">
        <v>1652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1676</v>
      </c>
      <c r="B164" s="4" t="s">
        <v>797</v>
      </c>
      <c r="C164" s="4" t="s">
        <v>1676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1682</v>
      </c>
      <c r="B165" s="5" t="s">
        <v>769</v>
      </c>
      <c r="C165" s="4" t="s">
        <v>1682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916</v>
      </c>
      <c r="B166" s="5" t="s">
        <v>769</v>
      </c>
      <c r="C166" s="4" t="s">
        <v>916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1703</v>
      </c>
      <c r="B167" s="5" t="s">
        <v>797</v>
      </c>
      <c r="C167" s="4" t="s">
        <v>1703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1704</v>
      </c>
      <c r="B168" s="5" t="s">
        <v>797</v>
      </c>
      <c r="C168" s="4" t="s">
        <v>1704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1705</v>
      </c>
      <c r="B169" s="5" t="s">
        <v>797</v>
      </c>
      <c r="C169" s="4" t="s">
        <v>1705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1706</v>
      </c>
      <c r="B170" s="5" t="s">
        <v>797</v>
      </c>
      <c r="C170" s="4" t="s">
        <v>1706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1707</v>
      </c>
      <c r="B171" s="5" t="s">
        <v>797</v>
      </c>
      <c r="C171" s="4" t="s">
        <v>1707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1708</v>
      </c>
      <c r="B172" s="5" t="s">
        <v>773</v>
      </c>
      <c r="C172" s="4" t="s">
        <v>1709</v>
      </c>
      <c r="D172" s="4" t="s">
        <v>1710</v>
      </c>
      <c r="E172" s="4" t="s">
        <v>771</v>
      </c>
      <c r="F172" s="4" t="s">
        <v>1711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1945</v>
      </c>
      <c r="B173" s="4" t="s">
        <v>793</v>
      </c>
      <c r="C173" s="4" t="s">
        <v>1945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1946</v>
      </c>
      <c r="B174" s="4" t="s">
        <v>793</v>
      </c>
      <c r="C174" s="4" t="s">
        <v>1946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4" t="s">
        <v>1990</v>
      </c>
      <c r="B175" s="4" t="s">
        <v>797</v>
      </c>
      <c r="C175" s="4" t="s">
        <v>1990</v>
      </c>
      <c r="D175" s="4">
        <v>1024</v>
      </c>
      <c r="E175" s="4" t="s">
        <v>771</v>
      </c>
      <c r="F175" s="4"/>
      <c r="G175" s="4"/>
      <c r="H175" s="4"/>
      <c r="I175" s="4"/>
      <c r="J175" s="58">
        <f>COUNTIF(TableFields[Field],Columns[[#This Row],[Column]])</f>
        <v>1</v>
      </c>
    </row>
    <row r="176" spans="1:10" x14ac:dyDescent="0.25">
      <c r="A176" s="4" t="s">
        <v>1991</v>
      </c>
      <c r="B176" s="4" t="s">
        <v>797</v>
      </c>
      <c r="C176" s="4" t="s">
        <v>1991</v>
      </c>
      <c r="D176" s="4">
        <v>1024</v>
      </c>
      <c r="E176" s="4" t="s">
        <v>771</v>
      </c>
      <c r="F176" s="4"/>
      <c r="G176" s="4"/>
      <c r="H176" s="4"/>
      <c r="I176" s="4"/>
      <c r="J176" s="58">
        <f>COUNTIF(TableFields[Field],Columns[[#This Row],[Column]])</f>
        <v>1</v>
      </c>
    </row>
    <row r="177" spans="1:10" x14ac:dyDescent="0.25">
      <c r="A177" s="4" t="s">
        <v>1992</v>
      </c>
      <c r="B177" s="4" t="s">
        <v>797</v>
      </c>
      <c r="C177" s="4" t="s">
        <v>1992</v>
      </c>
      <c r="D177" s="4">
        <v>1024</v>
      </c>
      <c r="E177" s="4" t="s">
        <v>771</v>
      </c>
      <c r="F177" s="4"/>
      <c r="G177" s="4"/>
      <c r="H177" s="4"/>
      <c r="I177" s="4"/>
      <c r="J177" s="58">
        <f>COUNTIF(TableFields[Field],Columns[[#This Row],[Column]])</f>
        <v>1</v>
      </c>
    </row>
    <row r="178" spans="1:10" x14ac:dyDescent="0.25">
      <c r="A178" s="4" t="s">
        <v>1996</v>
      </c>
      <c r="B178" s="4" t="s">
        <v>797</v>
      </c>
      <c r="C178" s="4" t="s">
        <v>1996</v>
      </c>
      <c r="D178" s="4">
        <v>512</v>
      </c>
      <c r="E178" s="4" t="s">
        <v>771</v>
      </c>
      <c r="F178" s="4"/>
      <c r="G178" s="4"/>
      <c r="H178" s="4"/>
      <c r="I178" s="4"/>
      <c r="J178" s="58">
        <f>COUNTIF(TableFields[Field],Columns[[#This Row],[Column]])</f>
        <v>1</v>
      </c>
    </row>
    <row r="179" spans="1:10" x14ac:dyDescent="0.25">
      <c r="A179" s="4" t="s">
        <v>1997</v>
      </c>
      <c r="B179" s="4" t="s">
        <v>797</v>
      </c>
      <c r="C179" s="4" t="s">
        <v>1997</v>
      </c>
      <c r="D179" s="4">
        <v>512</v>
      </c>
      <c r="E179" s="4" t="s">
        <v>771</v>
      </c>
      <c r="F179" s="4"/>
      <c r="G179" s="4"/>
      <c r="H179" s="4"/>
      <c r="I179" s="4"/>
      <c r="J179" s="58">
        <f>COUNTIF(TableFields[Field],Columns[[#This Row],[Column]])</f>
        <v>1</v>
      </c>
    </row>
    <row r="180" spans="1:10" x14ac:dyDescent="0.25">
      <c r="A180" s="4" t="s">
        <v>1998</v>
      </c>
      <c r="B180" s="4" t="s">
        <v>797</v>
      </c>
      <c r="C180" s="4" t="s">
        <v>1998</v>
      </c>
      <c r="D180" s="4">
        <v>512</v>
      </c>
      <c r="E180" s="4" t="s">
        <v>771</v>
      </c>
      <c r="F180" s="4"/>
      <c r="G180" s="4"/>
      <c r="H180" s="4"/>
      <c r="I180" s="4"/>
      <c r="J180" s="58">
        <f>COUNTIF(TableFields[Field],Columns[[#This Row],[Column]])</f>
        <v>1</v>
      </c>
    </row>
    <row r="181" spans="1:10" x14ac:dyDescent="0.25">
      <c r="A181" s="4" t="s">
        <v>1993</v>
      </c>
      <c r="B181" s="4" t="s">
        <v>797</v>
      </c>
      <c r="C181" s="4" t="s">
        <v>1993</v>
      </c>
      <c r="D181" s="4">
        <v>512</v>
      </c>
      <c r="E181" s="4" t="s">
        <v>771</v>
      </c>
      <c r="F181" s="4"/>
      <c r="G181" s="4"/>
      <c r="H181" s="4"/>
      <c r="I181" s="4"/>
      <c r="J181" s="58">
        <f>COUNTIF(TableFields[Field],Columns[[#This Row],[Column]])</f>
        <v>1</v>
      </c>
    </row>
    <row r="182" spans="1:10" x14ac:dyDescent="0.25">
      <c r="A182" s="4" t="s">
        <v>1994</v>
      </c>
      <c r="B182" s="4" t="s">
        <v>797</v>
      </c>
      <c r="C182" s="4" t="s">
        <v>1994</v>
      </c>
      <c r="D182" s="4">
        <v>512</v>
      </c>
      <c r="E182" s="4" t="s">
        <v>771</v>
      </c>
      <c r="F182" s="4"/>
      <c r="G182" s="4"/>
      <c r="H182" s="4"/>
      <c r="I182" s="4"/>
      <c r="J182" s="58">
        <f>COUNTIF(TableFields[Field],Columns[[#This Row],[Column]])</f>
        <v>1</v>
      </c>
    </row>
    <row r="183" spans="1:10" x14ac:dyDescent="0.25">
      <c r="A183" s="4" t="s">
        <v>1995</v>
      </c>
      <c r="B183" s="4" t="s">
        <v>797</v>
      </c>
      <c r="C183" s="4" t="s">
        <v>1995</v>
      </c>
      <c r="D183" s="4">
        <v>512</v>
      </c>
      <c r="E183" s="4" t="s">
        <v>771</v>
      </c>
      <c r="F183" s="4"/>
      <c r="G183" s="4"/>
      <c r="H183" s="4"/>
      <c r="I183" s="4"/>
      <c r="J183" s="58">
        <f>COUNTIF(TableFields[Field],Columns[[#This Row],[Column]])</f>
        <v>1</v>
      </c>
    </row>
    <row r="184" spans="1:10" x14ac:dyDescent="0.25">
      <c r="A184" s="4" t="s">
        <v>1999</v>
      </c>
      <c r="B184" s="4" t="s">
        <v>797</v>
      </c>
      <c r="C184" s="4" t="s">
        <v>1999</v>
      </c>
      <c r="D184" s="4">
        <v>512</v>
      </c>
      <c r="E184" s="4" t="s">
        <v>771</v>
      </c>
      <c r="F184" s="4"/>
      <c r="G184" s="4"/>
      <c r="H184" s="4"/>
      <c r="I184" s="4"/>
      <c r="J184" s="58">
        <f>COUNTIF(TableFields[Field],Columns[[#This Row],[Column]])</f>
        <v>1</v>
      </c>
    </row>
    <row r="185" spans="1:10" x14ac:dyDescent="0.25">
      <c r="A185" s="4" t="s">
        <v>2000</v>
      </c>
      <c r="B185" s="4" t="s">
        <v>797</v>
      </c>
      <c r="C185" s="4" t="s">
        <v>2000</v>
      </c>
      <c r="D185" s="4">
        <v>512</v>
      </c>
      <c r="E185" s="4" t="s">
        <v>771</v>
      </c>
      <c r="F185" s="4"/>
      <c r="G185" s="4"/>
      <c r="H185" s="4"/>
      <c r="I185" s="4"/>
      <c r="J185" s="58">
        <f>COUNTIF(TableFields[Field],Columns[[#This Row],[Column]])</f>
        <v>1</v>
      </c>
    </row>
    <row r="186" spans="1:10" x14ac:dyDescent="0.25">
      <c r="A186" s="4" t="s">
        <v>2001</v>
      </c>
      <c r="B186" s="4" t="s">
        <v>797</v>
      </c>
      <c r="C186" s="4" t="s">
        <v>2001</v>
      </c>
      <c r="D186" s="4">
        <v>512</v>
      </c>
      <c r="E186" s="4" t="s">
        <v>771</v>
      </c>
      <c r="F186" s="4"/>
      <c r="G186" s="4"/>
      <c r="H186" s="4"/>
      <c r="I186" s="4"/>
      <c r="J186" s="58">
        <f>COUNTIF(TableFields[Field],Columns[[#This Row],[Column]])</f>
        <v>1</v>
      </c>
    </row>
    <row r="187" spans="1:10" x14ac:dyDescent="0.25">
      <c r="A187" s="4" t="s">
        <v>2002</v>
      </c>
      <c r="B187" s="4" t="s">
        <v>1372</v>
      </c>
      <c r="C187" s="4" t="s">
        <v>2002</v>
      </c>
      <c r="D187" s="4"/>
      <c r="E187" s="4" t="s">
        <v>771</v>
      </c>
      <c r="F187" s="4"/>
      <c r="G187" s="4"/>
      <c r="H187" s="4"/>
      <c r="I187" s="4"/>
      <c r="J187" s="58">
        <f>COUNTIF(TableFields[Field],Columns[[#This Row],[Column]])</f>
        <v>1</v>
      </c>
    </row>
    <row r="188" spans="1:10" x14ac:dyDescent="0.25">
      <c r="A188" s="5" t="s">
        <v>972</v>
      </c>
      <c r="B188" s="5" t="s">
        <v>769</v>
      </c>
      <c r="C188" s="5" t="s">
        <v>973</v>
      </c>
      <c r="D188" s="5">
        <v>5</v>
      </c>
      <c r="E188" s="5" t="s">
        <v>771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974</v>
      </c>
      <c r="B189" s="5" t="s">
        <v>769</v>
      </c>
      <c r="C189" s="5" t="s">
        <v>975</v>
      </c>
      <c r="D189" s="5">
        <v>5</v>
      </c>
      <c r="E189" s="5" t="s">
        <v>771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976</v>
      </c>
      <c r="B190" s="5" t="s">
        <v>769</v>
      </c>
      <c r="C190" s="5" t="s">
        <v>977</v>
      </c>
      <c r="D190" s="5">
        <v>5</v>
      </c>
      <c r="E190" s="5" t="s">
        <v>771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978</v>
      </c>
      <c r="B191" s="5" t="s">
        <v>769</v>
      </c>
      <c r="C191" s="5" t="s">
        <v>979</v>
      </c>
      <c r="D191" s="5">
        <v>5</v>
      </c>
      <c r="E191" s="5" t="s">
        <v>771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980</v>
      </c>
      <c r="B192" s="5" t="s">
        <v>769</v>
      </c>
      <c r="C192" s="5" t="s">
        <v>981</v>
      </c>
      <c r="D192" s="5">
        <v>20</v>
      </c>
      <c r="E192" s="5" t="s">
        <v>771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982</v>
      </c>
      <c r="B193" s="5" t="s">
        <v>817</v>
      </c>
      <c r="C193" s="5" t="s">
        <v>983</v>
      </c>
      <c r="D193" s="5" t="s">
        <v>1018</v>
      </c>
      <c r="E193" s="5" t="s">
        <v>771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984</v>
      </c>
      <c r="B194" s="5" t="s">
        <v>817</v>
      </c>
      <c r="C194" s="5" t="s">
        <v>985</v>
      </c>
      <c r="D194" s="5" t="s">
        <v>1018</v>
      </c>
      <c r="E194" s="5" t="s">
        <v>771</v>
      </c>
      <c r="F194" s="5"/>
      <c r="G194" s="5"/>
      <c r="H194" s="5"/>
      <c r="I194" s="5"/>
      <c r="J194" s="32">
        <f>COUNTIF(TableFields[Field],Columns[[#This Row],[Column]])</f>
        <v>0</v>
      </c>
    </row>
    <row r="195" spans="1:10" x14ac:dyDescent="0.25">
      <c r="A195" s="5" t="s">
        <v>986</v>
      </c>
      <c r="B195" s="5" t="s">
        <v>831</v>
      </c>
      <c r="C195" s="5" t="s">
        <v>987</v>
      </c>
      <c r="D195" s="5"/>
      <c r="E195" s="5" t="s">
        <v>771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988</v>
      </c>
      <c r="B196" s="5" t="s">
        <v>769</v>
      </c>
      <c r="C196" s="5" t="s">
        <v>989</v>
      </c>
      <c r="D196" s="5">
        <v>5</v>
      </c>
      <c r="E196" s="5" t="s">
        <v>771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 x14ac:dyDescent="0.25">
      <c r="A197" s="5" t="s">
        <v>990</v>
      </c>
      <c r="B197" s="5" t="s">
        <v>769</v>
      </c>
      <c r="C197" s="5" t="s">
        <v>991</v>
      </c>
      <c r="D197" s="5">
        <v>5</v>
      </c>
      <c r="E197" s="5" t="s">
        <v>771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992</v>
      </c>
      <c r="B198" s="5" t="s">
        <v>769</v>
      </c>
      <c r="C198" s="5" t="s">
        <v>993</v>
      </c>
      <c r="D198" s="5">
        <v>15</v>
      </c>
      <c r="E198" s="5" t="s">
        <v>771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994</v>
      </c>
      <c r="B199" s="5" t="s">
        <v>797</v>
      </c>
      <c r="C199" s="5" t="s">
        <v>1017</v>
      </c>
      <c r="D199" s="5">
        <v>60</v>
      </c>
      <c r="E199" s="5" t="s">
        <v>771</v>
      </c>
      <c r="F199" s="5"/>
      <c r="G199" s="5"/>
      <c r="H199" s="5"/>
      <c r="I199" s="5"/>
      <c r="J199" s="32">
        <f>COUNTIF(TableFields[Field],Columns[[#This Row],[Column]])</f>
        <v>0</v>
      </c>
    </row>
    <row r="200" spans="1:10" x14ac:dyDescent="0.25">
      <c r="A200" s="5" t="s">
        <v>995</v>
      </c>
      <c r="B200" s="5" t="s">
        <v>831</v>
      </c>
      <c r="C200" s="5" t="s">
        <v>996</v>
      </c>
      <c r="D200" s="5"/>
      <c r="E200" s="5" t="s">
        <v>771</v>
      </c>
      <c r="F200" s="5"/>
      <c r="G200" s="5"/>
      <c r="H200" s="5"/>
      <c r="I200" s="5"/>
      <c r="J200" s="32">
        <f>COUNTIF(TableFields[Field],Columns[[#This Row],[Column]])</f>
        <v>0</v>
      </c>
    </row>
    <row r="201" spans="1:10" x14ac:dyDescent="0.25">
      <c r="A201" s="5" t="s">
        <v>997</v>
      </c>
      <c r="B201" s="5" t="s">
        <v>831</v>
      </c>
      <c r="C201" s="5" t="s">
        <v>998</v>
      </c>
      <c r="D201" s="5"/>
      <c r="E201" s="5" t="s">
        <v>771</v>
      </c>
      <c r="F201" s="5"/>
      <c r="G201" s="5"/>
      <c r="H201" s="5"/>
      <c r="I201" s="5"/>
      <c r="J201" s="32">
        <f>COUNTIF(TableFields[Field],Columns[[#This Row],[Column]])</f>
        <v>0</v>
      </c>
    </row>
    <row r="202" spans="1:10" x14ac:dyDescent="0.25">
      <c r="A202" s="5" t="s">
        <v>999</v>
      </c>
      <c r="B202" s="5" t="s">
        <v>817</v>
      </c>
      <c r="C202" s="5" t="s">
        <v>1000</v>
      </c>
      <c r="D202" s="5" t="s">
        <v>818</v>
      </c>
      <c r="E202" s="5" t="s">
        <v>819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1001</v>
      </c>
      <c r="B203" s="5" t="s">
        <v>817</v>
      </c>
      <c r="C203" s="5" t="s">
        <v>1002</v>
      </c>
      <c r="D203" s="5" t="s">
        <v>855</v>
      </c>
      <c r="E203" s="5" t="s">
        <v>827</v>
      </c>
      <c r="F203" s="5"/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1003</v>
      </c>
      <c r="B204" s="5" t="s">
        <v>773</v>
      </c>
      <c r="C204" s="5" t="s">
        <v>1004</v>
      </c>
      <c r="D204" s="5" t="s">
        <v>1019</v>
      </c>
      <c r="E204" s="5" t="s">
        <v>1020</v>
      </c>
      <c r="F204" s="5"/>
      <c r="G204" s="5"/>
      <c r="H204" s="5"/>
      <c r="I204" s="5"/>
      <c r="J204" s="32">
        <f>COUNTIF(TableFields[Field],Columns[[#This Row],[Column]])</f>
        <v>0</v>
      </c>
    </row>
    <row r="205" spans="1:10" x14ac:dyDescent="0.25">
      <c r="A205" s="5" t="s">
        <v>1005</v>
      </c>
      <c r="B205" s="5" t="s">
        <v>773</v>
      </c>
      <c r="C205" s="5" t="s">
        <v>1006</v>
      </c>
      <c r="D205" s="5" t="s">
        <v>1021</v>
      </c>
      <c r="E205" s="5" t="s">
        <v>1022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1015</v>
      </c>
      <c r="B206" s="5" t="s">
        <v>817</v>
      </c>
      <c r="C206" s="5" t="s">
        <v>1016</v>
      </c>
      <c r="D206" s="5" t="s">
        <v>1018</v>
      </c>
      <c r="E206" s="5" t="s">
        <v>827</v>
      </c>
      <c r="F206" s="5"/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1023</v>
      </c>
      <c r="B207" s="5" t="s">
        <v>769</v>
      </c>
      <c r="C207" s="5" t="s">
        <v>1024</v>
      </c>
      <c r="D207" s="5">
        <v>15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0</v>
      </c>
    </row>
    <row r="208" spans="1:10" x14ac:dyDescent="0.25">
      <c r="A208" s="5" t="s">
        <v>1025</v>
      </c>
      <c r="B208" s="5" t="s">
        <v>769</v>
      </c>
      <c r="C208" s="5" t="s">
        <v>1026</v>
      </c>
      <c r="D208" s="5">
        <v>15</v>
      </c>
      <c r="E208" s="5" t="s">
        <v>771</v>
      </c>
      <c r="F208" s="5"/>
      <c r="G208" s="5"/>
      <c r="H208" s="5"/>
      <c r="I208" s="5"/>
      <c r="J208" s="32">
        <f>COUNTIF(TableFields[Field],Columns[[#This Row],[Column]])</f>
        <v>0</v>
      </c>
    </row>
    <row r="209" spans="1:10" x14ac:dyDescent="0.25">
      <c r="A209" s="5" t="s">
        <v>1027</v>
      </c>
      <c r="B209" s="5" t="s">
        <v>797</v>
      </c>
      <c r="C209" s="5" t="s">
        <v>1028</v>
      </c>
      <c r="D209" s="5">
        <v>60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0</v>
      </c>
    </row>
    <row r="210" spans="1:10" x14ac:dyDescent="0.25">
      <c r="A210" s="5" t="s">
        <v>1029</v>
      </c>
      <c r="B210" s="5" t="s">
        <v>831</v>
      </c>
      <c r="C210" s="5" t="s">
        <v>1030</v>
      </c>
      <c r="D210" s="5"/>
      <c r="E210" s="5" t="s">
        <v>771</v>
      </c>
      <c r="F210" s="5"/>
      <c r="G210" s="5"/>
      <c r="H210" s="5"/>
      <c r="I210" s="5"/>
      <c r="J210" s="32">
        <f>COUNTIF(TableFields[Field],Columns[[#This Row],[Column]])</f>
        <v>0</v>
      </c>
    </row>
    <row r="211" spans="1:10" x14ac:dyDescent="0.25">
      <c r="A211" s="5" t="s">
        <v>1031</v>
      </c>
      <c r="B211" s="5" t="s">
        <v>831</v>
      </c>
      <c r="C211" s="5" t="s">
        <v>1032</v>
      </c>
      <c r="D211" s="5"/>
      <c r="E211" s="5" t="s">
        <v>771</v>
      </c>
      <c r="F211" s="5"/>
      <c r="G211" s="5"/>
      <c r="H211" s="5"/>
      <c r="I211" s="5"/>
      <c r="J211" s="32">
        <f>COUNTIF(TableFields[Field],Columns[[#This Row],[Column]])</f>
        <v>0</v>
      </c>
    </row>
    <row r="212" spans="1:10" x14ac:dyDescent="0.25">
      <c r="A212" s="5" t="s">
        <v>1033</v>
      </c>
      <c r="B212" s="5" t="s">
        <v>831</v>
      </c>
      <c r="C212" s="5" t="s">
        <v>1034</v>
      </c>
      <c r="D212" s="5"/>
      <c r="E212" s="5" t="s">
        <v>771</v>
      </c>
      <c r="F212" s="5"/>
      <c r="G212" s="5"/>
      <c r="H212" s="5"/>
      <c r="I212" s="5"/>
      <c r="J212" s="32">
        <f>COUNTIF(TableFields[Field],Columns[[#This Row],[Column]])</f>
        <v>0</v>
      </c>
    </row>
    <row r="213" spans="1:10" x14ac:dyDescent="0.25">
      <c r="A213" s="5" t="s">
        <v>1035</v>
      </c>
      <c r="B213" s="5" t="s">
        <v>773</v>
      </c>
      <c r="C213" s="5" t="s">
        <v>1036</v>
      </c>
      <c r="D213" s="5" t="s">
        <v>1051</v>
      </c>
      <c r="E213" s="5" t="s">
        <v>1052</v>
      </c>
      <c r="F213" s="5"/>
      <c r="G213" s="5"/>
      <c r="H213" s="5"/>
      <c r="I213" s="5"/>
      <c r="J213" s="32">
        <f>COUNTIF(TableFields[Field],Columns[[#This Row],[Column]])</f>
        <v>0</v>
      </c>
    </row>
    <row r="214" spans="1:10" x14ac:dyDescent="0.25">
      <c r="A214" s="5" t="s">
        <v>1013</v>
      </c>
      <c r="B214" s="5" t="s">
        <v>773</v>
      </c>
      <c r="C214" s="5" t="s">
        <v>1014</v>
      </c>
      <c r="D214" s="5" t="s">
        <v>943</v>
      </c>
      <c r="E214" s="5" t="s">
        <v>947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1037</v>
      </c>
      <c r="B215" s="5" t="s">
        <v>773</v>
      </c>
      <c r="C215" s="5" t="s">
        <v>1038</v>
      </c>
      <c r="D215" s="5" t="s">
        <v>1053</v>
      </c>
      <c r="E215" s="5" t="s">
        <v>1055</v>
      </c>
      <c r="F215" s="5"/>
      <c r="G215" s="5"/>
      <c r="H215" s="5"/>
      <c r="I215" s="5"/>
      <c r="J215" s="32">
        <f>COUNTIF(TableFields[Field],Columns[[#This Row],[Column]])</f>
        <v>0</v>
      </c>
    </row>
    <row r="216" spans="1:10" x14ac:dyDescent="0.25">
      <c r="A216" s="5" t="s">
        <v>1039</v>
      </c>
      <c r="B216" s="5" t="s">
        <v>831</v>
      </c>
      <c r="C216" s="5" t="s">
        <v>1040</v>
      </c>
      <c r="D216" s="5"/>
      <c r="E216" s="5" t="s">
        <v>771</v>
      </c>
      <c r="F216" s="5"/>
      <c r="G216" s="5"/>
      <c r="H216" s="5"/>
      <c r="I216" s="5"/>
      <c r="J216" s="32">
        <f>COUNTIF(TableFields[Field],Columns[[#This Row],[Column]])</f>
        <v>0</v>
      </c>
    </row>
    <row r="217" spans="1:10" x14ac:dyDescent="0.25">
      <c r="A217" s="5" t="s">
        <v>1041</v>
      </c>
      <c r="B217" s="5" t="s">
        <v>769</v>
      </c>
      <c r="C217" s="5" t="s">
        <v>1042</v>
      </c>
      <c r="D217" s="5">
        <v>5</v>
      </c>
      <c r="E217" s="5" t="s">
        <v>771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1043</v>
      </c>
      <c r="B218" s="5" t="s">
        <v>769</v>
      </c>
      <c r="C218" s="5" t="s">
        <v>1044</v>
      </c>
      <c r="D218" s="5">
        <v>5</v>
      </c>
      <c r="E218" s="5" t="s">
        <v>771</v>
      </c>
      <c r="F218" s="5"/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1045</v>
      </c>
      <c r="B219" s="5" t="s">
        <v>769</v>
      </c>
      <c r="C219" s="5" t="s">
        <v>1046</v>
      </c>
      <c r="D219" s="5">
        <v>5</v>
      </c>
      <c r="E219" s="5" t="s">
        <v>771</v>
      </c>
      <c r="F219" s="5"/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1047</v>
      </c>
      <c r="B220" s="5" t="s">
        <v>769</v>
      </c>
      <c r="C220" s="5" t="s">
        <v>1048</v>
      </c>
      <c r="D220" s="5">
        <v>5</v>
      </c>
      <c r="E220" s="5" t="s">
        <v>771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1049</v>
      </c>
      <c r="B221" s="5" t="s">
        <v>769</v>
      </c>
      <c r="C221" s="5" t="s">
        <v>1050</v>
      </c>
      <c r="D221" s="5">
        <v>20</v>
      </c>
      <c r="E221" s="5" t="s">
        <v>771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1057</v>
      </c>
      <c r="B222" s="5" t="s">
        <v>817</v>
      </c>
      <c r="C222" s="5" t="s">
        <v>1058</v>
      </c>
      <c r="D222" s="5" t="s">
        <v>1056</v>
      </c>
      <c r="E222" s="5" t="s">
        <v>771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1059</v>
      </c>
      <c r="B223" s="5" t="s">
        <v>797</v>
      </c>
      <c r="C223" s="5" t="s">
        <v>1060</v>
      </c>
      <c r="D223" s="5">
        <v>60</v>
      </c>
      <c r="E223" s="5" t="s">
        <v>771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1061</v>
      </c>
      <c r="B224" s="5" t="s">
        <v>831</v>
      </c>
      <c r="C224" s="5" t="s">
        <v>1062</v>
      </c>
      <c r="D224" s="5"/>
      <c r="E224" s="5" t="s">
        <v>771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1063</v>
      </c>
      <c r="B225" s="5" t="s">
        <v>797</v>
      </c>
      <c r="C225" s="5" t="s">
        <v>1064</v>
      </c>
      <c r="D225" s="5">
        <v>255</v>
      </c>
      <c r="E225" s="5" t="s">
        <v>771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1065</v>
      </c>
      <c r="B226" s="5" t="s">
        <v>797</v>
      </c>
      <c r="C226" s="5" t="s">
        <v>1066</v>
      </c>
      <c r="D226" s="5">
        <v>255</v>
      </c>
      <c r="E226" s="5" t="s">
        <v>771</v>
      </c>
      <c r="F226" s="5"/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1067</v>
      </c>
      <c r="B227" s="5" t="s">
        <v>817</v>
      </c>
      <c r="C227" s="5" t="s">
        <v>1068</v>
      </c>
      <c r="D227" s="5" t="s">
        <v>1056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1007</v>
      </c>
      <c r="B228" s="5" t="s">
        <v>773</v>
      </c>
      <c r="C228" s="5" t="s">
        <v>1008</v>
      </c>
      <c r="D228" s="5" t="s">
        <v>1051</v>
      </c>
      <c r="E228" s="5" t="s">
        <v>771</v>
      </c>
      <c r="F228" s="5" t="s">
        <v>1052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1009</v>
      </c>
      <c r="B229" s="5" t="s">
        <v>773</v>
      </c>
      <c r="C229" s="5" t="s">
        <v>1010</v>
      </c>
      <c r="D229" s="5" t="s">
        <v>1069</v>
      </c>
      <c r="E229" s="5" t="s">
        <v>771</v>
      </c>
      <c r="F229" s="5" t="s">
        <v>1071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1011</v>
      </c>
      <c r="B230" s="5" t="s">
        <v>773</v>
      </c>
      <c r="C230" s="5" t="s">
        <v>1012</v>
      </c>
      <c r="D230" s="5" t="s">
        <v>1070</v>
      </c>
      <c r="E230" s="5" t="s">
        <v>771</v>
      </c>
      <c r="F230" s="5" t="s">
        <v>1072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1074</v>
      </c>
      <c r="B231" s="5" t="s">
        <v>769</v>
      </c>
      <c r="C231" s="5" t="s">
        <v>1075</v>
      </c>
      <c r="D231" s="5">
        <v>15</v>
      </c>
      <c r="E231" s="5" t="s">
        <v>771</v>
      </c>
      <c r="F231" s="5"/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1076</v>
      </c>
      <c r="B232" s="5" t="s">
        <v>773</v>
      </c>
      <c r="C232" s="5" t="s">
        <v>1077</v>
      </c>
      <c r="D232" s="5" t="s">
        <v>1078</v>
      </c>
      <c r="E232" s="5" t="s">
        <v>771</v>
      </c>
      <c r="F232" s="5" t="s">
        <v>1022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1079</v>
      </c>
      <c r="B233" s="5" t="s">
        <v>817</v>
      </c>
      <c r="C233" s="5" t="s">
        <v>1080</v>
      </c>
      <c r="D233" s="5" t="s">
        <v>1018</v>
      </c>
      <c r="E233" s="5" t="s">
        <v>771</v>
      </c>
      <c r="F233" s="5" t="s">
        <v>1256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1081</v>
      </c>
      <c r="B234" s="5" t="s">
        <v>817</v>
      </c>
      <c r="C234" s="5" t="s">
        <v>1082</v>
      </c>
      <c r="D234" s="5" t="s">
        <v>1018</v>
      </c>
      <c r="E234" s="5" t="s">
        <v>771</v>
      </c>
      <c r="F234" s="5" t="s">
        <v>1257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1083</v>
      </c>
      <c r="B235" s="5" t="s">
        <v>817</v>
      </c>
      <c r="C235" s="5" t="s">
        <v>1084</v>
      </c>
      <c r="D235" s="5" t="s">
        <v>1018</v>
      </c>
      <c r="E235" s="5" t="s">
        <v>771</v>
      </c>
      <c r="F235" s="5" t="s">
        <v>1257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1085</v>
      </c>
      <c r="B236" s="5" t="s">
        <v>817</v>
      </c>
      <c r="C236" s="5" t="s">
        <v>1086</v>
      </c>
      <c r="D236" s="5" t="s">
        <v>1018</v>
      </c>
      <c r="E236" s="5" t="s">
        <v>771</v>
      </c>
      <c r="F236" s="5" t="s">
        <v>1258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1087</v>
      </c>
      <c r="B237" s="5" t="s">
        <v>773</v>
      </c>
      <c r="C237" s="5" t="s">
        <v>1088</v>
      </c>
      <c r="D237" s="5" t="s">
        <v>943</v>
      </c>
      <c r="E237" s="5" t="s">
        <v>771</v>
      </c>
      <c r="F237" s="5"/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1089</v>
      </c>
      <c r="B238" s="5" t="s">
        <v>773</v>
      </c>
      <c r="C238" s="5" t="s">
        <v>1090</v>
      </c>
      <c r="D238" s="5" t="s">
        <v>943</v>
      </c>
      <c r="E238" s="5" t="s">
        <v>771</v>
      </c>
      <c r="F238" s="5"/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1091</v>
      </c>
      <c r="B239" s="5" t="s">
        <v>773</v>
      </c>
      <c r="C239" s="5" t="s">
        <v>1092</v>
      </c>
      <c r="D239" s="5" t="s">
        <v>943</v>
      </c>
      <c r="E239" s="5" t="s">
        <v>771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1093</v>
      </c>
      <c r="B240" s="5" t="s">
        <v>773</v>
      </c>
      <c r="C240" s="5" t="s">
        <v>1094</v>
      </c>
      <c r="D240" s="5" t="s">
        <v>943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1095</v>
      </c>
      <c r="B241" s="5" t="s">
        <v>797</v>
      </c>
      <c r="C241" s="5" t="s">
        <v>1096</v>
      </c>
      <c r="D241" s="5">
        <v>30</v>
      </c>
      <c r="E241" s="5" t="s">
        <v>771</v>
      </c>
      <c r="F241" s="5" t="s">
        <v>1097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1098</v>
      </c>
      <c r="B242" s="5" t="s">
        <v>797</v>
      </c>
      <c r="C242" s="5" t="s">
        <v>1099</v>
      </c>
      <c r="D242" s="5">
        <v>30</v>
      </c>
      <c r="E242" s="5" t="s">
        <v>771</v>
      </c>
      <c r="F242" s="5" t="s">
        <v>1097</v>
      </c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1100</v>
      </c>
      <c r="B243" s="5" t="s">
        <v>797</v>
      </c>
      <c r="C243" s="5" t="s">
        <v>1101</v>
      </c>
      <c r="D243" s="5">
        <v>30</v>
      </c>
      <c r="E243" s="5" t="s">
        <v>771</v>
      </c>
      <c r="F243" s="5" t="s">
        <v>1097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1102</v>
      </c>
      <c r="B244" s="5" t="s">
        <v>797</v>
      </c>
      <c r="C244" s="5" t="s">
        <v>1103</v>
      </c>
      <c r="D244" s="5">
        <v>30</v>
      </c>
      <c r="E244" s="5" t="s">
        <v>771</v>
      </c>
      <c r="F244" s="5" t="s">
        <v>1097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1104</v>
      </c>
      <c r="B245" s="5" t="s">
        <v>797</v>
      </c>
      <c r="C245" s="5" t="s">
        <v>1105</v>
      </c>
      <c r="D245" s="5">
        <v>200</v>
      </c>
      <c r="E245" s="5" t="s">
        <v>771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1106</v>
      </c>
      <c r="B246" s="5" t="s">
        <v>773</v>
      </c>
      <c r="C246" s="5" t="s">
        <v>1107</v>
      </c>
      <c r="D246" s="5" t="s">
        <v>943</v>
      </c>
      <c r="E246" s="5" t="s">
        <v>771</v>
      </c>
      <c r="F246" s="5" t="s">
        <v>947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1108</v>
      </c>
      <c r="B247" s="5" t="s">
        <v>773</v>
      </c>
      <c r="C247" s="5" t="s">
        <v>1109</v>
      </c>
      <c r="D247" s="5" t="s">
        <v>943</v>
      </c>
      <c r="E247" s="5" t="s">
        <v>771</v>
      </c>
      <c r="F247" s="5" t="s">
        <v>947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1110</v>
      </c>
      <c r="B248" s="5" t="s">
        <v>773</v>
      </c>
      <c r="C248" s="5" t="s">
        <v>1111</v>
      </c>
      <c r="D248" s="5" t="s">
        <v>943</v>
      </c>
      <c r="E248" s="5" t="s">
        <v>771</v>
      </c>
      <c r="F248" s="5" t="s">
        <v>947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1112</v>
      </c>
      <c r="B249" s="5" t="s">
        <v>773</v>
      </c>
      <c r="C249" s="5" t="s">
        <v>1113</v>
      </c>
      <c r="D249" s="5" t="s">
        <v>943</v>
      </c>
      <c r="E249" s="5" t="s">
        <v>771</v>
      </c>
      <c r="F249" s="5" t="s">
        <v>947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1114</v>
      </c>
      <c r="B250" s="5" t="s">
        <v>773</v>
      </c>
      <c r="C250" s="5" t="s">
        <v>1115</v>
      </c>
      <c r="D250" s="5" t="s">
        <v>943</v>
      </c>
      <c r="E250" s="5" t="s">
        <v>771</v>
      </c>
      <c r="F250" s="5" t="s">
        <v>947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1116</v>
      </c>
      <c r="B251" s="5" t="s">
        <v>773</v>
      </c>
      <c r="C251" s="5" t="s">
        <v>1117</v>
      </c>
      <c r="D251" s="5" t="s">
        <v>943</v>
      </c>
      <c r="E251" s="5" t="s">
        <v>771</v>
      </c>
      <c r="F251" s="5" t="s">
        <v>947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1118</v>
      </c>
      <c r="B252" s="5" t="s">
        <v>773</v>
      </c>
      <c r="C252" s="5" t="s">
        <v>1119</v>
      </c>
      <c r="D252" s="5" t="s">
        <v>943</v>
      </c>
      <c r="E252" s="5" t="s">
        <v>771</v>
      </c>
      <c r="F252" s="5" t="s">
        <v>947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1120</v>
      </c>
      <c r="B253" s="5" t="s">
        <v>797</v>
      </c>
      <c r="C253" s="5" t="s">
        <v>1121</v>
      </c>
      <c r="D253" s="5">
        <v>60</v>
      </c>
      <c r="E253" s="5" t="s">
        <v>771</v>
      </c>
      <c r="F253" s="5"/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1122</v>
      </c>
      <c r="B254" s="5" t="s">
        <v>773</v>
      </c>
      <c r="C254" s="5" t="s">
        <v>1123</v>
      </c>
      <c r="D254" s="5" t="s">
        <v>1124</v>
      </c>
      <c r="E254" s="5" t="s">
        <v>771</v>
      </c>
      <c r="F254" s="5" t="s">
        <v>1125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1126</v>
      </c>
      <c r="B255" s="5" t="s">
        <v>773</v>
      </c>
      <c r="C255" s="5" t="s">
        <v>1127</v>
      </c>
      <c r="D255" s="5" t="s">
        <v>943</v>
      </c>
      <c r="E255" s="5" t="s">
        <v>771</v>
      </c>
      <c r="F255" s="5" t="s">
        <v>947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1128</v>
      </c>
      <c r="B256" s="5" t="s">
        <v>773</v>
      </c>
      <c r="C256" s="5" t="s">
        <v>1129</v>
      </c>
      <c r="D256" s="5" t="s">
        <v>1130</v>
      </c>
      <c r="E256" s="5" t="s">
        <v>771</v>
      </c>
      <c r="F256" s="5" t="s">
        <v>1131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1132</v>
      </c>
      <c r="B257" s="5" t="s">
        <v>797</v>
      </c>
      <c r="C257" s="5" t="s">
        <v>1133</v>
      </c>
      <c r="D257" s="5">
        <v>200</v>
      </c>
      <c r="E257" s="5" t="s">
        <v>771</v>
      </c>
      <c r="F257" s="5"/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1134</v>
      </c>
      <c r="B258" s="5" t="s">
        <v>797</v>
      </c>
      <c r="C258" s="5" t="s">
        <v>1135</v>
      </c>
      <c r="D258" s="5">
        <v>200</v>
      </c>
      <c r="E258" s="5" t="s">
        <v>771</v>
      </c>
      <c r="F258" s="5"/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1136</v>
      </c>
      <c r="B259" s="5" t="s">
        <v>773</v>
      </c>
      <c r="C259" s="5" t="s">
        <v>1137</v>
      </c>
      <c r="D259" s="5" t="s">
        <v>1138</v>
      </c>
      <c r="E259" s="5" t="s">
        <v>771</v>
      </c>
      <c r="F259" s="5" t="s">
        <v>941</v>
      </c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1139</v>
      </c>
      <c r="B260" s="5" t="s">
        <v>773</v>
      </c>
      <c r="C260" s="5" t="s">
        <v>1140</v>
      </c>
      <c r="D260" s="5" t="s">
        <v>1141</v>
      </c>
      <c r="E260" s="5" t="s">
        <v>771</v>
      </c>
      <c r="F260" s="5" t="s">
        <v>941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1142</v>
      </c>
      <c r="B261" s="5" t="s">
        <v>773</v>
      </c>
      <c r="C261" s="5" t="s">
        <v>1143</v>
      </c>
      <c r="D261" s="5" t="s">
        <v>1144</v>
      </c>
      <c r="E261" s="5" t="s">
        <v>771</v>
      </c>
      <c r="F261" s="5" t="s">
        <v>1145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1146</v>
      </c>
      <c r="B262" s="5" t="s">
        <v>769</v>
      </c>
      <c r="C262" s="5" t="s">
        <v>1147</v>
      </c>
      <c r="D262" s="5">
        <v>15</v>
      </c>
      <c r="E262" s="5" t="s">
        <v>771</v>
      </c>
      <c r="F262" s="5" t="s">
        <v>1148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1149</v>
      </c>
      <c r="B263" s="5" t="s">
        <v>769</v>
      </c>
      <c r="C263" s="5" t="s">
        <v>1150</v>
      </c>
      <c r="D263" s="5">
        <v>15</v>
      </c>
      <c r="E263" s="5" t="s">
        <v>771</v>
      </c>
      <c r="F263" s="5" t="s">
        <v>1151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1152</v>
      </c>
      <c r="B264" s="5" t="s">
        <v>773</v>
      </c>
      <c r="C264" s="5" t="s">
        <v>1153</v>
      </c>
      <c r="D264" s="5" t="s">
        <v>943</v>
      </c>
      <c r="E264" s="5" t="s">
        <v>771</v>
      </c>
      <c r="F264" s="5" t="s">
        <v>1154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1155</v>
      </c>
      <c r="B265" s="5" t="s">
        <v>773</v>
      </c>
      <c r="C265" s="5" t="s">
        <v>1156</v>
      </c>
      <c r="D265" s="5" t="s">
        <v>943</v>
      </c>
      <c r="E265" s="5" t="s">
        <v>771</v>
      </c>
      <c r="F265" s="5" t="s">
        <v>947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1157</v>
      </c>
      <c r="B266" s="5" t="s">
        <v>773</v>
      </c>
      <c r="C266" s="5" t="s">
        <v>1158</v>
      </c>
      <c r="D266" s="5" t="s">
        <v>1159</v>
      </c>
      <c r="E266" s="5" t="s">
        <v>771</v>
      </c>
      <c r="F266" s="5" t="s">
        <v>1160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1161</v>
      </c>
      <c r="B267" s="5" t="s">
        <v>773</v>
      </c>
      <c r="C267" s="5" t="s">
        <v>1162</v>
      </c>
      <c r="D267" s="5" t="s">
        <v>943</v>
      </c>
      <c r="E267" s="5" t="s">
        <v>771</v>
      </c>
      <c r="F267" s="5" t="s">
        <v>947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1163</v>
      </c>
      <c r="B268" s="5" t="s">
        <v>797</v>
      </c>
      <c r="C268" s="5" t="s">
        <v>1164</v>
      </c>
      <c r="D268" s="5">
        <v>30</v>
      </c>
      <c r="E268" s="5" t="s">
        <v>771</v>
      </c>
      <c r="F268" s="1" t="s">
        <v>1647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1165</v>
      </c>
      <c r="B269" s="5" t="s">
        <v>773</v>
      </c>
      <c r="C269" s="5" t="s">
        <v>1166</v>
      </c>
      <c r="D269" s="5" t="s">
        <v>1167</v>
      </c>
      <c r="E269" s="5" t="s">
        <v>771</v>
      </c>
      <c r="F269" s="5" t="s">
        <v>1168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1169</v>
      </c>
      <c r="B270" s="5" t="s">
        <v>773</v>
      </c>
      <c r="C270" s="5" t="s">
        <v>1170</v>
      </c>
      <c r="D270" s="5" t="s">
        <v>1171</v>
      </c>
      <c r="E270" s="5" t="s">
        <v>771</v>
      </c>
      <c r="F270" s="5" t="s">
        <v>1172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1173</v>
      </c>
      <c r="B271" s="5" t="s">
        <v>773</v>
      </c>
      <c r="C271" s="5" t="s">
        <v>1174</v>
      </c>
      <c r="D271" s="5" t="s">
        <v>1175</v>
      </c>
      <c r="E271" s="5" t="s">
        <v>771</v>
      </c>
      <c r="F271" s="5" t="s">
        <v>1176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1177</v>
      </c>
      <c r="B272" s="5" t="s">
        <v>773</v>
      </c>
      <c r="C272" s="5" t="s">
        <v>1178</v>
      </c>
      <c r="D272" s="5" t="s">
        <v>1179</v>
      </c>
      <c r="E272" s="5" t="s">
        <v>771</v>
      </c>
      <c r="F272" s="5" t="s">
        <v>1180</v>
      </c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1181</v>
      </c>
      <c r="B273" s="5" t="s">
        <v>773</v>
      </c>
      <c r="C273" s="5" t="s">
        <v>1182</v>
      </c>
      <c r="D273" s="5" t="s">
        <v>1183</v>
      </c>
      <c r="E273" s="5" t="s">
        <v>771</v>
      </c>
      <c r="F273" s="5" t="s">
        <v>1184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1254</v>
      </c>
      <c r="B274" s="5" t="s">
        <v>831</v>
      </c>
      <c r="C274" s="5" t="s">
        <v>1255</v>
      </c>
      <c r="D274" s="5"/>
      <c r="E274" s="5" t="s">
        <v>771</v>
      </c>
      <c r="F274" s="5"/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1185</v>
      </c>
      <c r="B275" s="5" t="s">
        <v>773</v>
      </c>
      <c r="C275" s="5" t="s">
        <v>1186</v>
      </c>
      <c r="D275" s="5" t="s">
        <v>1187</v>
      </c>
      <c r="E275" s="5" t="s">
        <v>771</v>
      </c>
      <c r="F275" s="5" t="s">
        <v>1188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1189</v>
      </c>
      <c r="B276" s="5" t="s">
        <v>773</v>
      </c>
      <c r="C276" s="5" t="s">
        <v>1190</v>
      </c>
      <c r="D276" s="5" t="s">
        <v>1171</v>
      </c>
      <c r="E276" s="5" t="s">
        <v>771</v>
      </c>
      <c r="F276" s="5" t="s">
        <v>941</v>
      </c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1191</v>
      </c>
      <c r="B277" s="5" t="s">
        <v>773</v>
      </c>
      <c r="C277" s="5" t="s">
        <v>1192</v>
      </c>
      <c r="D277" s="5" t="s">
        <v>1171</v>
      </c>
      <c r="E277" s="5" t="s">
        <v>771</v>
      </c>
      <c r="F277" s="5" t="s">
        <v>941</v>
      </c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1193</v>
      </c>
      <c r="B278" s="5" t="s">
        <v>773</v>
      </c>
      <c r="C278" s="5" t="s">
        <v>1194</v>
      </c>
      <c r="D278" s="5" t="s">
        <v>1171</v>
      </c>
      <c r="E278" s="5" t="s">
        <v>771</v>
      </c>
      <c r="F278" s="5" t="s">
        <v>941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1195</v>
      </c>
      <c r="B279" s="5" t="s">
        <v>797</v>
      </c>
      <c r="C279" s="5" t="s">
        <v>1196</v>
      </c>
      <c r="D279" s="5">
        <v>30</v>
      </c>
      <c r="E279" s="5" t="s">
        <v>771</v>
      </c>
      <c r="F279" s="5" t="s">
        <v>1197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1198</v>
      </c>
      <c r="B280" s="5" t="s">
        <v>797</v>
      </c>
      <c r="C280" s="5" t="s">
        <v>1199</v>
      </c>
      <c r="D280" s="5">
        <v>30</v>
      </c>
      <c r="E280" s="5" t="s">
        <v>771</v>
      </c>
      <c r="F280" s="5" t="s">
        <v>1197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1200</v>
      </c>
      <c r="B281" s="1" t="s">
        <v>1270</v>
      </c>
      <c r="C281" s="5" t="s">
        <v>1201</v>
      </c>
      <c r="D281" s="5"/>
      <c r="E281" s="5" t="s">
        <v>1257</v>
      </c>
      <c r="F281" s="1"/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1202</v>
      </c>
      <c r="B282" s="5" t="s">
        <v>773</v>
      </c>
      <c r="C282" s="5" t="s">
        <v>1203</v>
      </c>
      <c r="D282" s="5" t="s">
        <v>1204</v>
      </c>
      <c r="E282" s="5" t="s">
        <v>771</v>
      </c>
      <c r="F282" s="5" t="s">
        <v>1205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1206</v>
      </c>
      <c r="B283" s="5" t="s">
        <v>773</v>
      </c>
      <c r="C283" s="5" t="s">
        <v>1207</v>
      </c>
      <c r="D283" s="5" t="s">
        <v>943</v>
      </c>
      <c r="E283" s="5" t="s">
        <v>771</v>
      </c>
      <c r="F283" s="5" t="s">
        <v>947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1208</v>
      </c>
      <c r="B284" s="5" t="s">
        <v>797</v>
      </c>
      <c r="C284" s="5" t="s">
        <v>1209</v>
      </c>
      <c r="D284" s="5">
        <v>30</v>
      </c>
      <c r="E284" s="5" t="s">
        <v>1210</v>
      </c>
      <c r="F284" s="5"/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1211</v>
      </c>
      <c r="B285" s="5" t="s">
        <v>773</v>
      </c>
      <c r="C285" s="5" t="s">
        <v>1212</v>
      </c>
      <c r="D285" s="5" t="s">
        <v>943</v>
      </c>
      <c r="E285" s="5" t="s">
        <v>771</v>
      </c>
      <c r="F285" s="5" t="s">
        <v>947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1213</v>
      </c>
      <c r="B286" s="5" t="s">
        <v>797</v>
      </c>
      <c r="C286" s="5" t="s">
        <v>1214</v>
      </c>
      <c r="D286" s="5">
        <v>30</v>
      </c>
      <c r="E286" s="5" t="s">
        <v>1215</v>
      </c>
      <c r="F286" s="5"/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1216</v>
      </c>
      <c r="B287" s="5" t="s">
        <v>773</v>
      </c>
      <c r="C287" s="5" t="s">
        <v>1217</v>
      </c>
      <c r="D287" s="5" t="s">
        <v>943</v>
      </c>
      <c r="E287" s="5" t="s">
        <v>771</v>
      </c>
      <c r="F287" s="5" t="s">
        <v>947</v>
      </c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1218</v>
      </c>
      <c r="B288" s="5" t="s">
        <v>797</v>
      </c>
      <c r="C288" s="5" t="s">
        <v>1219</v>
      </c>
      <c r="D288" s="5">
        <v>30</v>
      </c>
      <c r="E288" s="5" t="s">
        <v>771</v>
      </c>
      <c r="F288" s="1" t="s">
        <v>1648</v>
      </c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5" t="s">
        <v>1220</v>
      </c>
      <c r="B289" s="5" t="s">
        <v>773</v>
      </c>
      <c r="C289" s="5" t="s">
        <v>1221</v>
      </c>
      <c r="D289" s="5" t="s">
        <v>1222</v>
      </c>
      <c r="E289" s="5" t="s">
        <v>771</v>
      </c>
      <c r="F289" s="5" t="s">
        <v>1223</v>
      </c>
      <c r="G289" s="5"/>
      <c r="H289" s="5"/>
      <c r="I289" s="5"/>
      <c r="J289" s="32">
        <f>COUNTIF(TableFields[Field],Columns[[#This Row],[Column]])</f>
        <v>1</v>
      </c>
    </row>
    <row r="290" spans="1:10" x14ac:dyDescent="0.25">
      <c r="A290" s="5" t="s">
        <v>1224</v>
      </c>
      <c r="B290" s="5" t="s">
        <v>769</v>
      </c>
      <c r="C290" s="5" t="s">
        <v>1225</v>
      </c>
      <c r="D290" s="5">
        <v>15</v>
      </c>
      <c r="E290" s="5" t="s">
        <v>771</v>
      </c>
      <c r="F290" s="5"/>
      <c r="G290" s="5"/>
      <c r="H290" s="5"/>
      <c r="I290" s="5"/>
      <c r="J290" s="32">
        <f>COUNTIF(TableFields[Field],Columns[[#This Row],[Column]])</f>
        <v>1</v>
      </c>
    </row>
    <row r="291" spans="1:10" x14ac:dyDescent="0.25">
      <c r="A291" s="5" t="s">
        <v>1226</v>
      </c>
      <c r="B291" s="5" t="s">
        <v>797</v>
      </c>
      <c r="C291" s="5" t="s">
        <v>1227</v>
      </c>
      <c r="D291" s="5">
        <v>30</v>
      </c>
      <c r="E291" s="5" t="s">
        <v>771</v>
      </c>
      <c r="F291" s="5"/>
      <c r="G291" s="5"/>
      <c r="H291" s="5"/>
      <c r="I291" s="5"/>
      <c r="J291" s="32">
        <f>COUNTIF(TableFields[Field],Columns[[#This Row],[Column]])</f>
        <v>1</v>
      </c>
    </row>
    <row r="292" spans="1:10" x14ac:dyDescent="0.25">
      <c r="A292" s="5" t="s">
        <v>1228</v>
      </c>
      <c r="B292" s="5" t="s">
        <v>773</v>
      </c>
      <c r="C292" s="5" t="s">
        <v>1229</v>
      </c>
      <c r="D292" s="1" t="s">
        <v>1271</v>
      </c>
      <c r="E292" s="5" t="s">
        <v>771</v>
      </c>
      <c r="F292" s="5" t="s">
        <v>1230</v>
      </c>
      <c r="G292" s="5"/>
      <c r="H292" s="5"/>
      <c r="I292" s="5"/>
      <c r="J292" s="32">
        <f>COUNTIF(TableFields[Field],Columns[[#This Row],[Column]])</f>
        <v>1</v>
      </c>
    </row>
    <row r="293" spans="1:10" x14ac:dyDescent="0.25">
      <c r="A293" s="5" t="s">
        <v>1231</v>
      </c>
      <c r="B293" s="5" t="s">
        <v>773</v>
      </c>
      <c r="C293" s="5" t="s">
        <v>1232</v>
      </c>
      <c r="D293" s="1" t="s">
        <v>1271</v>
      </c>
      <c r="E293" s="5" t="s">
        <v>771</v>
      </c>
      <c r="F293" s="5" t="s">
        <v>1233</v>
      </c>
      <c r="G293" s="5"/>
      <c r="H293" s="5"/>
      <c r="I293" s="5"/>
      <c r="J293" s="32">
        <f>COUNTIF(TableFields[Field],Columns[[#This Row],[Column]])</f>
        <v>1</v>
      </c>
    </row>
    <row r="294" spans="1:10" x14ac:dyDescent="0.25">
      <c r="A294" s="5" t="s">
        <v>1234</v>
      </c>
      <c r="B294" s="5" t="s">
        <v>773</v>
      </c>
      <c r="C294" s="5" t="s">
        <v>1235</v>
      </c>
      <c r="D294" s="5" t="s">
        <v>1236</v>
      </c>
      <c r="E294" s="5" t="s">
        <v>771</v>
      </c>
      <c r="F294" s="5" t="s">
        <v>1237</v>
      </c>
      <c r="G294" s="5"/>
      <c r="H294" s="5"/>
      <c r="I294" s="5"/>
      <c r="J294" s="32">
        <f>COUNTIF(TableFields[Field],Columns[[#This Row],[Column]])</f>
        <v>1</v>
      </c>
    </row>
    <row r="295" spans="1:10" x14ac:dyDescent="0.25">
      <c r="A295" s="5" t="s">
        <v>1238</v>
      </c>
      <c r="B295" s="5" t="s">
        <v>773</v>
      </c>
      <c r="C295" s="5" t="s">
        <v>1239</v>
      </c>
      <c r="D295" s="5" t="s">
        <v>1240</v>
      </c>
      <c r="E295" s="5" t="s">
        <v>771</v>
      </c>
      <c r="F295" s="5" t="s">
        <v>941</v>
      </c>
      <c r="G295" s="5"/>
      <c r="H295" s="5"/>
      <c r="I295" s="5"/>
      <c r="J295" s="32">
        <f>COUNTIF(TableFields[Field],Columns[[#This Row],[Column]])</f>
        <v>1</v>
      </c>
    </row>
    <row r="296" spans="1:10" x14ac:dyDescent="0.25">
      <c r="A296" s="5" t="s">
        <v>1241</v>
      </c>
      <c r="B296" s="5" t="s">
        <v>773</v>
      </c>
      <c r="C296" s="5" t="s">
        <v>1242</v>
      </c>
      <c r="D296" s="5" t="s">
        <v>943</v>
      </c>
      <c r="E296" s="5" t="s">
        <v>771</v>
      </c>
      <c r="F296" s="5" t="s">
        <v>947</v>
      </c>
      <c r="G296" s="5"/>
      <c r="H296" s="5"/>
      <c r="I296" s="5"/>
      <c r="J296" s="32">
        <f>COUNTIF(TableFields[Field],Columns[[#This Row],[Column]])</f>
        <v>1</v>
      </c>
    </row>
    <row r="297" spans="1:10" x14ac:dyDescent="0.25">
      <c r="A297" s="5" t="s">
        <v>1243</v>
      </c>
      <c r="B297" s="5" t="s">
        <v>769</v>
      </c>
      <c r="C297" s="5" t="s">
        <v>1244</v>
      </c>
      <c r="D297" s="5">
        <v>15</v>
      </c>
      <c r="E297" s="5" t="s">
        <v>771</v>
      </c>
      <c r="F297" s="5"/>
      <c r="G297" s="5"/>
      <c r="H297" s="5"/>
      <c r="I297" s="5"/>
      <c r="J297" s="32">
        <f>COUNTIF(TableFields[Field],Columns[[#This Row],[Column]])</f>
        <v>1</v>
      </c>
    </row>
    <row r="298" spans="1:10" x14ac:dyDescent="0.25">
      <c r="A298" s="5" t="s">
        <v>1245</v>
      </c>
      <c r="B298" s="5" t="s">
        <v>773</v>
      </c>
      <c r="C298" s="5" t="s">
        <v>1246</v>
      </c>
      <c r="D298" s="5" t="s">
        <v>943</v>
      </c>
      <c r="E298" s="5" t="s">
        <v>771</v>
      </c>
      <c r="F298" s="5" t="s">
        <v>947</v>
      </c>
      <c r="G298" s="5"/>
      <c r="H298" s="5"/>
      <c r="I298" s="5"/>
      <c r="J298" s="32">
        <f>COUNTIF(TableFields[Field],Columns[[#This Row],[Column]])</f>
        <v>1</v>
      </c>
    </row>
    <row r="299" spans="1:10" x14ac:dyDescent="0.25">
      <c r="A299" s="5" t="s">
        <v>1247</v>
      </c>
      <c r="B299" s="5" t="s">
        <v>773</v>
      </c>
      <c r="C299" s="5" t="s">
        <v>1248</v>
      </c>
      <c r="D299" s="5" t="s">
        <v>943</v>
      </c>
      <c r="E299" s="5" t="s">
        <v>771</v>
      </c>
      <c r="F299" s="5" t="s">
        <v>1154</v>
      </c>
      <c r="G299" s="5"/>
      <c r="H299" s="5"/>
      <c r="I299" s="5"/>
      <c r="J299" s="32">
        <f>COUNTIF(TableFields[Field],Columns[[#This Row],[Column]])</f>
        <v>1</v>
      </c>
    </row>
    <row r="300" spans="1:10" x14ac:dyDescent="0.25">
      <c r="A300" s="5" t="s">
        <v>1249</v>
      </c>
      <c r="B300" s="5" t="s">
        <v>773</v>
      </c>
      <c r="C300" s="5" t="s">
        <v>1250</v>
      </c>
      <c r="D300" s="5" t="s">
        <v>943</v>
      </c>
      <c r="E300" s="5" t="s">
        <v>771</v>
      </c>
      <c r="F300" s="5" t="s">
        <v>947</v>
      </c>
      <c r="G300" s="5"/>
      <c r="H300" s="5"/>
      <c r="I300" s="5"/>
      <c r="J300" s="32">
        <f>COUNTIF(TableFields[Field],Columns[[#This Row],[Column]])</f>
        <v>1</v>
      </c>
    </row>
    <row r="301" spans="1:10" x14ac:dyDescent="0.25">
      <c r="A301" s="5" t="s">
        <v>1251</v>
      </c>
      <c r="B301" s="5" t="s">
        <v>797</v>
      </c>
      <c r="C301" s="5" t="s">
        <v>1252</v>
      </c>
      <c r="D301" s="5">
        <v>30</v>
      </c>
      <c r="E301" s="5" t="s">
        <v>771</v>
      </c>
      <c r="F301" s="5" t="s">
        <v>1253</v>
      </c>
      <c r="G301" s="5"/>
      <c r="H301" s="5"/>
      <c r="I301" s="5"/>
      <c r="J301" s="32">
        <f>COUNTIF(TableFields[Field],Columns[[#This Row],[Column]])</f>
        <v>1</v>
      </c>
    </row>
    <row r="302" spans="1:10" x14ac:dyDescent="0.25">
      <c r="A302" s="4" t="s">
        <v>1274</v>
      </c>
      <c r="B302" s="4" t="s">
        <v>781</v>
      </c>
      <c r="C302" s="4" t="s">
        <v>1275</v>
      </c>
      <c r="D302" s="4" t="s">
        <v>1272</v>
      </c>
      <c r="E302" s="4"/>
      <c r="F302" s="4"/>
      <c r="G302" s="4"/>
      <c r="H302" s="4"/>
      <c r="I302" s="4"/>
      <c r="J302" s="58">
        <f>COUNTIF(TableFields[Field],Columns[[#This Row],[Column]])</f>
        <v>1</v>
      </c>
    </row>
    <row r="303" spans="1:10" x14ac:dyDescent="0.25">
      <c r="A303" s="5" t="s">
        <v>1653</v>
      </c>
      <c r="B303" s="5" t="s">
        <v>769</v>
      </c>
      <c r="C303" s="5" t="s">
        <v>1654</v>
      </c>
      <c r="D303" s="5">
        <v>30</v>
      </c>
      <c r="E303" s="5" t="s">
        <v>771</v>
      </c>
      <c r="F303" s="5"/>
      <c r="G303" s="5"/>
      <c r="H303" s="5"/>
      <c r="I303" s="5"/>
      <c r="J303" s="32">
        <f>COUNTIF(TableFields[Field],Columns[[#This Row],[Column]])</f>
        <v>0</v>
      </c>
    </row>
    <row r="304" spans="1:10" x14ac:dyDescent="0.25">
      <c r="A304" s="5" t="s">
        <v>1655</v>
      </c>
      <c r="B304" s="5" t="s">
        <v>769</v>
      </c>
      <c r="C304" s="5" t="s">
        <v>1656</v>
      </c>
      <c r="D304" s="5">
        <v>15</v>
      </c>
      <c r="E304" s="5" t="s">
        <v>771</v>
      </c>
      <c r="F304" s="5"/>
      <c r="G304" s="5"/>
      <c r="H304" s="5"/>
      <c r="I304" s="5"/>
      <c r="J304" s="32">
        <f>COUNTIF(TableFields[Field],Columns[[#This Row],[Column]])</f>
        <v>0</v>
      </c>
    </row>
    <row r="305" spans="1:10" x14ac:dyDescent="0.25">
      <c r="A305" s="5" t="s">
        <v>1660</v>
      </c>
      <c r="B305" s="5" t="s">
        <v>769</v>
      </c>
      <c r="C305" s="5" t="s">
        <v>1207</v>
      </c>
      <c r="D305" s="5">
        <v>30</v>
      </c>
      <c r="E305" s="5" t="s">
        <v>771</v>
      </c>
      <c r="F305" s="5"/>
      <c r="G305" s="5"/>
      <c r="H305" s="5"/>
      <c r="I305" s="5"/>
      <c r="J305" s="32">
        <f>COUNTIF(TableFields[Field],Columns[[#This Row],[Column]])</f>
        <v>0</v>
      </c>
    </row>
    <row r="306" spans="1:10" x14ac:dyDescent="0.25">
      <c r="A306" s="5" t="s">
        <v>1657</v>
      </c>
      <c r="B306" s="5" t="s">
        <v>817</v>
      </c>
      <c r="C306" s="5" t="s">
        <v>1658</v>
      </c>
      <c r="D306" s="5" t="s">
        <v>818</v>
      </c>
      <c r="E306" s="5" t="s">
        <v>1659</v>
      </c>
      <c r="F306" s="5"/>
      <c r="G306" s="5"/>
      <c r="H306" s="5"/>
      <c r="I306" s="5"/>
      <c r="J306" s="32">
        <f>COUNTIF(TableFields[Field],Columns[[#This Row],[Column]])</f>
        <v>0</v>
      </c>
    </row>
    <row r="307" spans="1:10" x14ac:dyDescent="0.25">
      <c r="A307" s="5" t="s">
        <v>1661</v>
      </c>
      <c r="B307" s="5" t="s">
        <v>817</v>
      </c>
      <c r="C307" s="5" t="s">
        <v>1662</v>
      </c>
      <c r="D307" s="5" t="s">
        <v>818</v>
      </c>
      <c r="E307" s="5" t="s">
        <v>1256</v>
      </c>
      <c r="F307" s="5"/>
      <c r="G307" s="5"/>
      <c r="H307" s="5"/>
      <c r="I307" s="5"/>
      <c r="J307" s="32">
        <f>COUNTIF(TableFields[Field],Columns[[#This Row],[Column]])</f>
        <v>0</v>
      </c>
    </row>
    <row r="308" spans="1:10" x14ac:dyDescent="0.25">
      <c r="A308" s="5" t="s">
        <v>1663</v>
      </c>
      <c r="B308" s="5" t="s">
        <v>817</v>
      </c>
      <c r="C308" s="5" t="s">
        <v>1664</v>
      </c>
      <c r="D308" s="5" t="s">
        <v>818</v>
      </c>
      <c r="E308" s="5" t="s">
        <v>1256</v>
      </c>
      <c r="F308" s="5"/>
      <c r="G308" s="5"/>
      <c r="H308" s="5"/>
      <c r="I308" s="5"/>
      <c r="J308" s="32">
        <f>COUNTIF(TableFields[Field],Columns[[#This Row],[Column]])</f>
        <v>0</v>
      </c>
    </row>
    <row r="309" spans="1:10" x14ac:dyDescent="0.25">
      <c r="A309" s="5" t="s">
        <v>1884</v>
      </c>
      <c r="B309" s="5" t="s">
        <v>773</v>
      </c>
      <c r="C309" s="5" t="s">
        <v>1886</v>
      </c>
      <c r="D309" s="5" t="s">
        <v>1885</v>
      </c>
      <c r="E309" s="5" t="s">
        <v>1887</v>
      </c>
      <c r="F309" s="5"/>
      <c r="G309" s="5"/>
      <c r="H309" s="5"/>
      <c r="I309" s="5"/>
      <c r="J309" s="32">
        <f>COUNTIF(TableFields[Field],Columns[[#This Row],[Column]])</f>
        <v>1</v>
      </c>
    </row>
  </sheetData>
  <conditionalFormatting sqref="A80">
    <cfRule type="duplicateValues" dxfId="468" priority="9"/>
  </conditionalFormatting>
  <conditionalFormatting sqref="A88:A89">
    <cfRule type="duplicateValues" dxfId="467" priority="8"/>
  </conditionalFormatting>
  <conditionalFormatting sqref="C156:C159">
    <cfRule type="duplicateValues" dxfId="466" priority="190"/>
  </conditionalFormatting>
  <conditionalFormatting sqref="C168:C171">
    <cfRule type="duplicateValues" dxfId="465" priority="3"/>
  </conditionalFormatting>
  <conditionalFormatting sqref="C168:C171">
    <cfRule type="duplicateValues" dxfId="464" priority="4"/>
  </conditionalFormatting>
  <conditionalFormatting sqref="C178:C187">
    <cfRule type="duplicateValues" dxfId="463" priority="1"/>
  </conditionalFormatting>
  <conditionalFormatting sqref="C178:C187">
    <cfRule type="duplicateValues" dxfId="462" priority="2"/>
  </conditionalFormatting>
  <conditionalFormatting sqref="A142:A187">
    <cfRule type="duplicateValues" dxfId="461" priority="236"/>
  </conditionalFormatting>
  <conditionalFormatting sqref="A2:A309">
    <cfRule type="duplicateValues" dxfId="460" priority="237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4"/>
  <sheetViews>
    <sheetView topLeftCell="A344" workbookViewId="0">
      <selection activeCell="K348" sqref="K348:K364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1073</v>
      </c>
      <c r="B3" s="1" t="s">
        <v>1074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1073</v>
      </c>
      <c r="B4" s="1" t="s">
        <v>1076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1073</v>
      </c>
      <c r="B5" s="5" t="s">
        <v>1884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1073</v>
      </c>
      <c r="B6" s="1" t="s">
        <v>1079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1073</v>
      </c>
      <c r="B7" s="1" t="s">
        <v>1081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1073</v>
      </c>
      <c r="B8" s="1" t="s">
        <v>1083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1073</v>
      </c>
      <c r="B9" s="1" t="s">
        <v>1085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1073</v>
      </c>
      <c r="B10" s="1" t="s">
        <v>1087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1073</v>
      </c>
      <c r="B11" s="1" t="s">
        <v>1089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1073</v>
      </c>
      <c r="B12" s="1" t="s">
        <v>1091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1073</v>
      </c>
      <c r="B13" s="1" t="s">
        <v>1093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1073</v>
      </c>
      <c r="B14" s="1" t="s">
        <v>1095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1073</v>
      </c>
      <c r="B15" s="1" t="s">
        <v>1098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1073</v>
      </c>
      <c r="B16" s="1" t="s">
        <v>1100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1073</v>
      </c>
      <c r="B17" s="1" t="s">
        <v>1102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1073</v>
      </c>
      <c r="B18" s="1" t="s">
        <v>1104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1073</v>
      </c>
      <c r="B19" s="1" t="s">
        <v>1106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1073</v>
      </c>
      <c r="B20" s="1" t="s">
        <v>1108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1073</v>
      </c>
      <c r="B21" s="1" t="s">
        <v>1110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1073</v>
      </c>
      <c r="B22" s="1" t="s">
        <v>1112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1073</v>
      </c>
      <c r="B23" s="1" t="s">
        <v>1114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1073</v>
      </c>
      <c r="B24" s="1" t="s">
        <v>1116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1073</v>
      </c>
      <c r="B25" s="1" t="s">
        <v>1118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1073</v>
      </c>
      <c r="B26" s="1" t="s">
        <v>1120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1073</v>
      </c>
      <c r="B27" s="1" t="s">
        <v>1122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1073</v>
      </c>
      <c r="B28" s="1" t="s">
        <v>1126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1073</v>
      </c>
      <c r="B29" s="1" t="s">
        <v>1128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1073</v>
      </c>
      <c r="B30" s="1" t="s">
        <v>1132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1073</v>
      </c>
      <c r="B31" s="1" t="s">
        <v>1134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1073</v>
      </c>
      <c r="B32" s="1" t="s">
        <v>1136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1073</v>
      </c>
      <c r="B33" s="1" t="s">
        <v>1139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1073</v>
      </c>
      <c r="B34" s="1" t="s">
        <v>1142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1073</v>
      </c>
      <c r="B35" s="1" t="s">
        <v>1146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1073</v>
      </c>
      <c r="B36" s="1" t="s">
        <v>1149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1073</v>
      </c>
      <c r="B37" s="1" t="s">
        <v>1152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1073</v>
      </c>
      <c r="B38" s="1" t="s">
        <v>1155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1073</v>
      </c>
      <c r="B39" s="1" t="s">
        <v>1157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1073</v>
      </c>
      <c r="B40" s="1" t="s">
        <v>1161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1073</v>
      </c>
      <c r="B41" s="1" t="s">
        <v>1163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1073</v>
      </c>
      <c r="B42" s="1" t="s">
        <v>1165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1073</v>
      </c>
      <c r="B43" s="1" t="s">
        <v>1169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1073</v>
      </c>
      <c r="B44" s="1" t="s">
        <v>1173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1073</v>
      </c>
      <c r="B45" s="1" t="s">
        <v>1177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1073</v>
      </c>
      <c r="B46" s="1" t="s">
        <v>1181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1073</v>
      </c>
      <c r="B47" s="1" t="s">
        <v>1254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1073</v>
      </c>
      <c r="B48" s="1" t="s">
        <v>1185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1073</v>
      </c>
      <c r="B49" s="1" t="s">
        <v>1189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1073</v>
      </c>
      <c r="B50" s="1" t="s">
        <v>1191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1073</v>
      </c>
      <c r="B51" s="1" t="s">
        <v>1193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1073</v>
      </c>
      <c r="B52" s="1" t="s">
        <v>1195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1073</v>
      </c>
      <c r="B53" s="1" t="s">
        <v>1198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1073</v>
      </c>
      <c r="B54" s="1" t="s">
        <v>1200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1073</v>
      </c>
      <c r="B55" s="1" t="s">
        <v>1202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1073</v>
      </c>
      <c r="B56" s="1" t="s">
        <v>1206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1073</v>
      </c>
      <c r="B57" s="1" t="s">
        <v>1208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1073</v>
      </c>
      <c r="B58" s="1" t="s">
        <v>1211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1073</v>
      </c>
      <c r="B59" s="1" t="s">
        <v>1213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1073</v>
      </c>
      <c r="B60" s="1" t="s">
        <v>1216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1073</v>
      </c>
      <c r="B61" s="1" t="s">
        <v>1218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1073</v>
      </c>
      <c r="B62" s="1" t="s">
        <v>1220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1073</v>
      </c>
      <c r="B63" s="1" t="s">
        <v>1224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1073</v>
      </c>
      <c r="B64" s="1" t="s">
        <v>1226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1073</v>
      </c>
      <c r="B65" s="1" t="s">
        <v>1228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1073</v>
      </c>
      <c r="B66" s="1" t="s">
        <v>1231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1073</v>
      </c>
      <c r="B67" s="1" t="s">
        <v>1234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1073</v>
      </c>
      <c r="B68" s="1" t="s">
        <v>1238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1073</v>
      </c>
      <c r="B69" s="1" t="s">
        <v>1241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1073</v>
      </c>
      <c r="B70" s="1" t="s">
        <v>1243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1073</v>
      </c>
      <c r="B71" s="1" t="s">
        <v>1245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1073</v>
      </c>
      <c r="B72" s="1" t="s">
        <v>1247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1073</v>
      </c>
      <c r="B73" s="1" t="s">
        <v>1249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1073</v>
      </c>
      <c r="B74" s="1" t="s">
        <v>1251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1073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1835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1835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1835</v>
      </c>
      <c r="B78" s="1" t="s">
        <v>1828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1835</v>
      </c>
      <c r="B79" s="1" t="s">
        <v>1859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1835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1830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1875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1831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1833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1632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1633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1676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1631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1828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1650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1651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918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1829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920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921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923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925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926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927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928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929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930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931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1693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775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'status'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-&gt;default('Active')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6" spans="1:11" x14ac:dyDescent="0.25">
      <c r="A136" s="4" t="s">
        <v>850</v>
      </c>
      <c r="B136" s="4" t="s">
        <v>288</v>
      </c>
      <c r="C136" s="4" t="str">
        <f>VLOOKUP(TableFields[Field],Columns[],2,0)&amp;"("</f>
        <v>audit(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7" spans="1:11" x14ac:dyDescent="0.25">
      <c r="A137" s="4" t="s">
        <v>890</v>
      </c>
      <c r="B137" s="4" t="s">
        <v>21</v>
      </c>
      <c r="C137" s="4" t="str">
        <f>VLOOKUP(TableFields[Field],Columns[],2,0)&amp;"("</f>
        <v>bigIncrements(</v>
      </c>
      <c r="D137" s="4" t="str">
        <f>IF(VLOOKUP(TableFields[Field],Columns[],3,0)&lt;&gt;"","'"&amp;VLOOKUP(TableFields[Field],Columns[],3,0)&amp;"'","")</f>
        <v>'id'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8" spans="1:11" x14ac:dyDescent="0.25">
      <c r="A138" s="4" t="s">
        <v>890</v>
      </c>
      <c r="B138" s="4" t="s">
        <v>768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>-&gt;index()</v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9" spans="1:11" x14ac:dyDescent="0.25">
      <c r="A139" s="4" t="s">
        <v>890</v>
      </c>
      <c r="B139" s="4" t="s">
        <v>875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0" spans="1:11" x14ac:dyDescent="0.25">
      <c r="A140" s="4" t="s">
        <v>890</v>
      </c>
      <c r="B140" s="4" t="s">
        <v>23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1" spans="1:11" x14ac:dyDescent="0.25">
      <c r="A141" s="4" t="s">
        <v>890</v>
      </c>
      <c r="B141" s="4" t="s">
        <v>1631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'abr'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2" spans="1:11" x14ac:dyDescent="0.25">
      <c r="A142" s="4" t="s">
        <v>890</v>
      </c>
      <c r="B142" s="4" t="s">
        <v>891</v>
      </c>
      <c r="C142" s="4" t="str">
        <f>VLOOKUP(TableFields[Field],Columns[],2,0)&amp;"("</f>
        <v>datetime(</v>
      </c>
      <c r="D142" s="4" t="str">
        <f>IF(VLOOKUP(TableFields[Field],Columns[],3,0)&lt;&gt;"","'"&amp;VLOOKUP(TableFields[Field],Columns[],3,0)&amp;"'","")</f>
        <v>'start_date'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3" spans="1:11" x14ac:dyDescent="0.25">
      <c r="A143" s="4" t="s">
        <v>890</v>
      </c>
      <c r="B143" s="4" t="s">
        <v>893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'end_date'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4" spans="1:11" x14ac:dyDescent="0.25">
      <c r="A144" s="4" t="s">
        <v>890</v>
      </c>
      <c r="B144" s="4" t="s">
        <v>895</v>
      </c>
      <c r="C144" s="4" t="str">
        <f>VLOOKUP(TableFields[Field],Columns[],2,0)&amp;"("</f>
        <v>enum(</v>
      </c>
      <c r="D144" s="4" t="str">
        <f>IF(VLOOKUP(TableFields[Field],Columns[],3,0)&lt;&gt;"","'"&amp;VLOOKUP(TableFields[Field],Columns[],3,0)&amp;"'","")</f>
        <v>'status'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4" s="4" t="str">
        <f>IF(VLOOKUP(TableFields[Field],Columns[],5,0)=0,"","-&gt;"&amp;VLOOKUP(TableFields[Field],Columns[],5,0))</f>
        <v>-&gt;default('ReadWrite')</v>
      </c>
      <c r="G144" s="4" t="str">
        <f>IF(VLOOKUP(TableFields[Field],Columns[],6,0)=0,"","-&gt;"&amp;VLOOKUP(TableFields[Field],Columns[],6,0))</f>
        <v>-&gt;nullable()</v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5" spans="1:11" x14ac:dyDescent="0.25">
      <c r="A145" s="4" t="s">
        <v>890</v>
      </c>
      <c r="B145" s="4" t="s">
        <v>288</v>
      </c>
      <c r="C145" s="4" t="str">
        <f>VLOOKUP(TableFields[Field],Columns[],2,0)&amp;"("</f>
        <v>audit(</v>
      </c>
      <c r="D145" s="4" t="str">
        <f>IF(VLOOKUP(TableFields[Field],Columns[],3,0)&lt;&gt;"","'"&amp;VLOOKUP(TableFields[Field],Columns[],3,0)&amp;"'","")</f>
        <v/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/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6" spans="1:11" x14ac:dyDescent="0.25">
      <c r="A146" s="2" t="s">
        <v>759</v>
      </c>
      <c r="B146" s="4" t="s">
        <v>21</v>
      </c>
      <c r="C146" s="4" t="str">
        <f>VLOOKUP(TableFields[Field],Columns[],2,0)&amp;"("</f>
        <v>bigIncrements(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7" spans="1:11" x14ac:dyDescent="0.25">
      <c r="A147" s="2" t="s">
        <v>759</v>
      </c>
      <c r="B147" s="4" t="s">
        <v>889</v>
      </c>
      <c r="C147" s="4" t="str">
        <f>VLOOKUP(TableFields[Field],Columns[],2,0)&amp;"("</f>
        <v>foreignCascade(</v>
      </c>
      <c r="D147" s="4" t="str">
        <f>IF(VLOOKUP(TableFields[Field],Columns[],3,0)&lt;&gt;"","'"&amp;VLOOKUP(TableFields[Field],Columns[],3,0)&amp;"'","")</f>
        <v>'user'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8" spans="1:11" x14ac:dyDescent="0.25">
      <c r="A148" s="2" t="s">
        <v>759</v>
      </c>
      <c r="B148" s="4" t="s">
        <v>791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'store'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9" spans="1:11" x14ac:dyDescent="0.25">
      <c r="A149" s="2" t="s">
        <v>759</v>
      </c>
      <c r="B149" s="4" t="s">
        <v>780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'area'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0" spans="1:11" x14ac:dyDescent="0.25">
      <c r="A150" s="2" t="s">
        <v>759</v>
      </c>
      <c r="B150" s="4" t="s">
        <v>775</v>
      </c>
      <c r="C150" s="4" t="str">
        <f>VLOOKUP(TableFields[Field],Columns[],2,0)&amp;"("</f>
        <v>enum(</v>
      </c>
      <c r="D150" s="4" t="str">
        <f>IF(VLOOKUP(TableFields[Field],Columns[],3,0)&lt;&gt;"","'"&amp;VLOOKUP(TableFields[Field],Columns[],3,0)&amp;"'","")</f>
        <v>'status'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0" s="4" t="str">
        <f>IF(VLOOKUP(TableFields[Field],Columns[],5,0)=0,"","-&gt;"&amp;VLOOKUP(TableFields[Field],Columns[],5,0))</f>
        <v>-&gt;nullable()</v>
      </c>
      <c r="G150" s="4" t="str">
        <f>IF(VLOOKUP(TableFields[Field],Columns[],6,0)=0,"","-&gt;"&amp;VLOOKUP(TableFields[Field],Columns[],6,0))</f>
        <v>-&gt;default('Active')</v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1" spans="1:11" x14ac:dyDescent="0.25">
      <c r="A151" s="2" t="s">
        <v>759</v>
      </c>
      <c r="B151" s="4" t="s">
        <v>288</v>
      </c>
      <c r="C151" s="4" t="str">
        <f>VLOOKUP(TableFields[Field],Columns[],2,0)&amp;"("</f>
        <v>audit(</v>
      </c>
      <c r="D151" s="4" t="str">
        <f>IF(VLOOKUP(TableFields[Field],Columns[],3,0)&lt;&gt;"","'"&amp;VLOOKUP(TableFields[Field],Columns[],3,0)&amp;"'","")</f>
        <v/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2" spans="1:11" x14ac:dyDescent="0.25">
      <c r="A152" s="4" t="s">
        <v>1681</v>
      </c>
      <c r="B152" s="4" t="s">
        <v>21</v>
      </c>
      <c r="C152" s="4" t="str">
        <f>VLOOKUP(TableFields[Field],Columns[],2,0)&amp;"("</f>
        <v>bigIncrements(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3" spans="1:11" x14ac:dyDescent="0.25">
      <c r="A153" s="4" t="s">
        <v>1681</v>
      </c>
      <c r="B153" s="4" t="s">
        <v>23</v>
      </c>
      <c r="C153" s="4" t="str">
        <f>VLOOKUP(TableFields[Field],Columns[],2,0)&amp;"("</f>
        <v>string(</v>
      </c>
      <c r="D153" s="4" t="str">
        <f>IF(VLOOKUP(TableFields[Field],Columns[],3,0)&lt;&gt;"","'"&amp;VLOOKUP(TableFields[Field],Columns[],3,0)&amp;"'","")</f>
        <v>'name'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4" spans="1:11" x14ac:dyDescent="0.25">
      <c r="A154" s="4" t="s">
        <v>1681</v>
      </c>
      <c r="B154" s="4" t="s">
        <v>768</v>
      </c>
      <c r="C154" s="4" t="str">
        <f>VLOOKUP(TableFields[Field],Columns[],2,0)&amp;"("</f>
        <v>char(</v>
      </c>
      <c r="D154" s="4" t="str">
        <f>IF(VLOOKUP(TableFields[Field],Columns[],3,0)&lt;&gt;"","'"&amp;VLOOKUP(TableFields[Field],Columns[],3,0)&amp;"'","")</f>
        <v>'code'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5" spans="1:11" x14ac:dyDescent="0.25">
      <c r="A155" s="4" t="s">
        <v>1681</v>
      </c>
      <c r="B155" s="4" t="s">
        <v>1682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'list'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6" spans="1:11" x14ac:dyDescent="0.25">
      <c r="A156" s="4" t="s">
        <v>1681</v>
      </c>
      <c r="B156" s="4" t="s">
        <v>288</v>
      </c>
      <c r="C156" s="4" t="str">
        <f>VLOOKUP(TableFields[Field],Columns[],2,0)&amp;"("</f>
        <v>audit(</v>
      </c>
      <c r="D156" s="4" t="str">
        <f>IF(VLOOKUP(TableFields[Field],Columns[],3,0)&lt;&gt;"","'"&amp;VLOOKUP(TableFields[Field],Columns[],3,0)&amp;"'","")</f>
        <v/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7" spans="1:11" x14ac:dyDescent="0.25">
      <c r="A157" s="4" t="s">
        <v>760</v>
      </c>
      <c r="B157" s="4" t="s">
        <v>21</v>
      </c>
      <c r="C157" s="4" t="str">
        <f>VLOOKUP(TableFields[Field],Columns[],2,0)&amp;"("</f>
        <v>bigIncrements(</v>
      </c>
      <c r="D157" s="4" t="str">
        <f>IF(VLOOKUP(TableFields[Field],Columns[],3,0)&lt;&gt;"","'"&amp;VLOOKUP(TableFields[Field],Columns[],3,0)&amp;"'","")</f>
        <v>'id'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8" spans="1:11" x14ac:dyDescent="0.25">
      <c r="A158" s="4" t="s">
        <v>760</v>
      </c>
      <c r="B158" s="4" t="s">
        <v>810</v>
      </c>
      <c r="C158" s="4" t="str">
        <f>VLOOKUP(TableFields[Field],Columns[],2,0)&amp;"("</f>
        <v>char(</v>
      </c>
      <c r="D158" s="4" t="str">
        <f>IF(VLOOKUP(TableFields[Field],Columns[],3,0)&lt;&gt;"","'"&amp;VLOOKUP(TableFields[Field],Columns[],3,0)&amp;"'","")</f>
        <v>'code'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>-&gt;index()</v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59" spans="1:11" x14ac:dyDescent="0.25">
      <c r="A159" s="4" t="s">
        <v>760</v>
      </c>
      <c r="B159" s="4" t="s">
        <v>23</v>
      </c>
      <c r="C159" s="4" t="str">
        <f>VLOOKUP(TableFields[Field],Columns[],2,0)&amp;"("</f>
        <v>string(</v>
      </c>
      <c r="D159" s="4" t="str">
        <f>IF(VLOOKUP(TableFields[Field],Columns[],3,0)&lt;&gt;"","'"&amp;VLOOKUP(TableFields[Field],Columns[],3,0)&amp;"'","")</f>
        <v>'name'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0" spans="1:11" x14ac:dyDescent="0.25">
      <c r="A160" s="4" t="s">
        <v>760</v>
      </c>
      <c r="B160" s="4" t="s">
        <v>807</v>
      </c>
      <c r="C160" s="4" t="str">
        <f>VLOOKUP(TableFields[Field],Columns[],2,0)&amp;"("</f>
        <v>char(</v>
      </c>
      <c r="D160" s="4" t="str">
        <f>IF(VLOOKUP(TableFields[Field],Columns[],3,0)&lt;&gt;"","'"&amp;VLOOKUP(TableFields[Field],Columns[],3,0)&amp;"'","")</f>
        <v>'uom'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1" spans="1:11" x14ac:dyDescent="0.25">
      <c r="A161" s="4" t="s">
        <v>760</v>
      </c>
      <c r="B161" s="4" t="s">
        <v>808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'partcode'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2" spans="1:11" x14ac:dyDescent="0.25">
      <c r="A162" s="4" t="s">
        <v>760</v>
      </c>
      <c r="B162" s="4" t="s">
        <v>809</v>
      </c>
      <c r="C162" s="4" t="str">
        <f>VLOOKUP(TableFields[Field],Columns[],2,0)&amp;"("</f>
        <v>string(</v>
      </c>
      <c r="D162" s="4" t="str">
        <f>IF(VLOOKUP(TableFields[Field],Columns[],3,0)&lt;&gt;"","'"&amp;VLOOKUP(TableFields[Field],Columns[],3,0)&amp;"'","")</f>
        <v>'barcode'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3" spans="1:11" x14ac:dyDescent="0.25">
      <c r="A163" s="4" t="s">
        <v>760</v>
      </c>
      <c r="B163" s="4" t="s">
        <v>796</v>
      </c>
      <c r="C163" s="5" t="str">
        <f>VLOOKUP(TableFields[Field],Columns[],2,0)&amp;"("</f>
        <v>string(</v>
      </c>
      <c r="D163" s="5" t="str">
        <f>IF(VLOOKUP(TableFields[Field],Columns[],3,0)&lt;&gt;"","'"&amp;VLOOKUP(TableFields[Field],Columns[],3,0)&amp;"'","")</f>
        <v>'narration'</v>
      </c>
      <c r="E1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3" s="5" t="str">
        <f>IF(VLOOKUP(TableFields[Field],Columns[],5,0)=0,"","-&gt;"&amp;VLOOKUP(TableFields[Field],Columns[],5,0))</f>
        <v>-&gt;nullable()</v>
      </c>
      <c r="G163" s="5" t="str">
        <f>IF(VLOOKUP(TableFields[Field],Columns[],6,0)=0,"","-&gt;"&amp;VLOOKUP(TableFields[Field],Columns[],6,0))</f>
        <v/>
      </c>
      <c r="H163" s="5" t="str">
        <f>IF(VLOOKUP(TableFields[Field],Columns[],7,0)=0,"","-&gt;"&amp;VLOOKUP(TableFields[Field],Columns[],7,0))</f>
        <v/>
      </c>
      <c r="I163" s="5" t="str">
        <f>IF(VLOOKUP(TableFields[Field],Columns[],8,0)=0,"","-&gt;"&amp;VLOOKUP(TableFields[Field],Columns[],8,0))</f>
        <v/>
      </c>
      <c r="J163" s="5" t="str">
        <f>IF(VLOOKUP(TableFields[Field],Columns[],9,0)=0,"","-&gt;"&amp;VLOOKUP(TableFields[Field],Columns[],9,0))</f>
        <v/>
      </c>
      <c r="K163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4" spans="1:11" x14ac:dyDescent="0.25">
      <c r="A164" s="4" t="s">
        <v>760</v>
      </c>
      <c r="B164" s="4" t="s">
        <v>798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'narration2'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5" spans="1:11" x14ac:dyDescent="0.25">
      <c r="A165" s="4" t="s">
        <v>760</v>
      </c>
      <c r="B165" s="4" t="s">
        <v>1701</v>
      </c>
      <c r="C165" s="5" t="str">
        <f>VLOOKUP(TableFields[Field],Columns[],2,0)&amp;"("</f>
        <v>char(</v>
      </c>
      <c r="D165" s="5" t="str">
        <f>IF(VLOOKUP(TableFields[Field],Columns[],3,0)&lt;&gt;"","'"&amp;VLOOKUP(TableFields[Field],Columns[],3,0)&amp;"'","")</f>
        <v>'taxcode01'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>-&gt;index()</v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6" spans="1:11" x14ac:dyDescent="0.25">
      <c r="A166" s="4" t="s">
        <v>760</v>
      </c>
      <c r="B166" s="4" t="s">
        <v>1699</v>
      </c>
      <c r="C166" s="5" t="str">
        <f>VLOOKUP(TableFields[Field],Columns[],2,0)&amp;"("</f>
        <v>decimal(</v>
      </c>
      <c r="D166" s="5" t="str">
        <f>IF(VLOOKUP(TableFields[Field],Columns[],3,0)&lt;&gt;"","'"&amp;VLOOKUP(TableFields[Field],Columns[],3,0)&amp;"'","")</f>
        <v>'taxfactor01'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6" s="5" t="str">
        <f>IF(VLOOKUP(TableFields[Field],Columns[],5,0)=0,"","-&gt;"&amp;VLOOKUP(TableFields[Field],Columns[],5,0))</f>
        <v>-&gt;default('0')</v>
      </c>
      <c r="G166" s="5" t="str">
        <f>IF(VLOOKUP(TableFields[Field],Columns[],6,0)=0,"","-&gt;"&amp;VLOOKUP(TableFields[Field],Columns[],6,0))</f>
        <v/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7" spans="1:11" x14ac:dyDescent="0.25">
      <c r="A167" s="4" t="s">
        <v>760</v>
      </c>
      <c r="B167" s="4" t="s">
        <v>1700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'subtaxfactor01'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8" spans="1:11" x14ac:dyDescent="0.25">
      <c r="A168" s="4" t="s">
        <v>760</v>
      </c>
      <c r="B168" s="4" t="s">
        <v>1698</v>
      </c>
      <c r="C168" s="5" t="str">
        <f>VLOOKUP(TableFields[Field],Columns[],2,0)&amp;"("</f>
        <v>char(</v>
      </c>
      <c r="D168" s="5" t="str">
        <f>IF(VLOOKUP(TableFields[Field],Columns[],3,0)&lt;&gt;"","'"&amp;VLOOKUP(TableFields[Field],Columns[],3,0)&amp;"'","")</f>
        <v>'taxcode02'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8" s="5" t="str">
        <f>IF(VLOOKUP(TableFields[Field],Columns[],5,0)=0,"","-&gt;"&amp;VLOOKUP(TableFields[Field],Columns[],5,0))</f>
        <v>-&gt;nullable()</v>
      </c>
      <c r="G168" s="5" t="str">
        <f>IF(VLOOKUP(TableFields[Field],Columns[],6,0)=0,"","-&gt;"&amp;VLOOKUP(TableFields[Field],Columns[],6,0))</f>
        <v>-&gt;index()</v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69" spans="1:11" x14ac:dyDescent="0.25">
      <c r="A169" s="4" t="s">
        <v>760</v>
      </c>
      <c r="B169" s="4" t="s">
        <v>1677</v>
      </c>
      <c r="C169" s="5" t="str">
        <f>VLOOKUP(TableFields[Field],Columns[],2,0)&amp;"("</f>
        <v>decimal(</v>
      </c>
      <c r="D169" s="5" t="str">
        <f>IF(VLOOKUP(TableFields[Field],Columns[],3,0)&lt;&gt;"","'"&amp;VLOOKUP(TableFields[Field],Columns[],3,0)&amp;"'","")</f>
        <v>'taxfactor02'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9" s="5" t="str">
        <f>IF(VLOOKUP(TableFields[Field],Columns[],5,0)=0,"","-&gt;"&amp;VLOOKUP(TableFields[Field],Columns[],5,0))</f>
        <v>-&gt;default('0')</v>
      </c>
      <c r="G169" s="5" t="str">
        <f>IF(VLOOKUP(TableFields[Field],Columns[],6,0)=0,"","-&gt;"&amp;VLOOKUP(TableFields[Field],Columns[],6,0))</f>
        <v/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0" spans="1:11" x14ac:dyDescent="0.25">
      <c r="A170" s="4" t="s">
        <v>760</v>
      </c>
      <c r="B170" s="4" t="s">
        <v>1678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'subtaxfactor02'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1" spans="1:11" x14ac:dyDescent="0.25">
      <c r="A171" s="4" t="s">
        <v>760</v>
      </c>
      <c r="B171" s="4" t="s">
        <v>772</v>
      </c>
      <c r="C171" s="4" t="str">
        <f>VLOOKUP(TableFields[Field],Columns[],2,0)&amp;"("</f>
        <v>enum(</v>
      </c>
      <c r="D171" s="4" t="str">
        <f>IF(VLOOKUP(TableFields[Field],Columns[],3,0)&lt;&gt;"","'"&amp;VLOOKUP(TableFields[Field],Columns[],3,0)&amp;"'","")</f>
        <v>'type'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>-&gt;default('Public')</v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2" spans="1:11" x14ac:dyDescent="0.25">
      <c r="A172" s="4" t="s">
        <v>760</v>
      </c>
      <c r="B172" s="4" t="s">
        <v>775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'status'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-&gt;default('Active')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3" spans="1:11" x14ac:dyDescent="0.25">
      <c r="A173" s="4" t="s">
        <v>760</v>
      </c>
      <c r="B173" s="4" t="s">
        <v>288</v>
      </c>
      <c r="C173" s="4" t="str">
        <f>VLOOKUP(TableFields[Field],Columns[],2,0)&amp;"("</f>
        <v>audit(</v>
      </c>
      <c r="D173" s="4" t="str">
        <f>IF(VLOOKUP(TableFields[Field],Columns[],3,0)&lt;&gt;"","'"&amp;VLOOKUP(TableFields[Field],Columns[],3,0)&amp;"'","")</f>
        <v/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4" spans="1:11" x14ac:dyDescent="0.25">
      <c r="A174" s="4" t="s">
        <v>1695</v>
      </c>
      <c r="B174" s="4" t="s">
        <v>21</v>
      </c>
      <c r="C174" s="4" t="str">
        <f>VLOOKUP(TableFields[Field],Columns[],2,0)&amp;"("</f>
        <v>bigIncrements(</v>
      </c>
      <c r="D174" s="4" t="str">
        <f>IF(VLOOKUP(TableFields[Field],Columns[],3,0)&lt;&gt;"","'"&amp;VLOOKUP(TableFields[Field],Columns[],3,0)&amp;"'","")</f>
        <v>'id'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5" spans="1:11" x14ac:dyDescent="0.25">
      <c r="A175" s="4" t="s">
        <v>1695</v>
      </c>
      <c r="B175" s="4" t="s">
        <v>812</v>
      </c>
      <c r="C175" s="4" t="str">
        <f>VLOOKUP(TableFields[Field],Columns[],2,0)&amp;"("</f>
        <v>foreignCascade(</v>
      </c>
      <c r="D175" s="4" t="str">
        <f>IF(VLOOKUP(TableFields[Field],Columns[],3,0)&lt;&gt;"","'"&amp;VLOOKUP(TableFields[Field],Columns[],3,0)&amp;"'","")</f>
        <v>'product'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6" spans="1:11" x14ac:dyDescent="0.25">
      <c r="A176" s="4" t="s">
        <v>1695</v>
      </c>
      <c r="B176" s="4" t="s">
        <v>1683</v>
      </c>
      <c r="C176" s="4" t="str">
        <f>VLOOKUP(TableFields[Field],Columns[],2,0)&amp;"("</f>
        <v>foreignNullable(</v>
      </c>
      <c r="D176" s="4" t="str">
        <f>IF(VLOOKUP(TableFields[Field],Columns[],3,0)&lt;&gt;"","'"&amp;VLOOKUP(TableFields[Field],Columns[],3,0)&amp;"'","")</f>
        <v>'g01'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7" spans="1:11" x14ac:dyDescent="0.25">
      <c r="A177" s="4" t="s">
        <v>1695</v>
      </c>
      <c r="B177" s="4" t="s">
        <v>1684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'g02'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8" spans="1:11" x14ac:dyDescent="0.25">
      <c r="A178" s="4" t="s">
        <v>1695</v>
      </c>
      <c r="B178" s="4" t="s">
        <v>1685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'g03'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79" spans="1:11" x14ac:dyDescent="0.25">
      <c r="A179" s="4" t="s">
        <v>1695</v>
      </c>
      <c r="B179" s="4" t="s">
        <v>1686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'g04'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0" spans="1:11" x14ac:dyDescent="0.25">
      <c r="A180" s="4" t="s">
        <v>1695</v>
      </c>
      <c r="B180" s="4" t="s">
        <v>1687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'g05'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1" spans="1:11" x14ac:dyDescent="0.25">
      <c r="A181" s="4" t="s">
        <v>1695</v>
      </c>
      <c r="B181" s="4" t="s">
        <v>1688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'g06'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2" spans="1:11" x14ac:dyDescent="0.25">
      <c r="A182" s="4" t="s">
        <v>1695</v>
      </c>
      <c r="B182" s="4" t="s">
        <v>1689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'g07'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3" spans="1:11" x14ac:dyDescent="0.25">
      <c r="A183" s="4" t="s">
        <v>1695</v>
      </c>
      <c r="B183" s="4" t="s">
        <v>1690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'g08'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4" spans="1:11" x14ac:dyDescent="0.25">
      <c r="A184" s="4" t="s">
        <v>1695</v>
      </c>
      <c r="B184" s="4" t="s">
        <v>1691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'g09'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5" spans="1:11" x14ac:dyDescent="0.25">
      <c r="A185" s="4" t="s">
        <v>1695</v>
      </c>
      <c r="B185" s="4" t="s">
        <v>1692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'g10'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6" spans="1:11" x14ac:dyDescent="0.25">
      <c r="A186" s="4" t="s">
        <v>1695</v>
      </c>
      <c r="B186" s="4" t="s">
        <v>288</v>
      </c>
      <c r="C186" s="4" t="str">
        <f>VLOOKUP(TableFields[Field],Columns[],2,0)&amp;"("</f>
        <v>audit(</v>
      </c>
      <c r="D186" s="4" t="str">
        <f>IF(VLOOKUP(TableFields[Field],Columns[],3,0)&lt;&gt;"","'"&amp;VLOOKUP(TableFields[Field],Columns[],3,0)&amp;"'","")</f>
        <v/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7" spans="1:11" x14ac:dyDescent="0.25">
      <c r="A187" s="4" t="s">
        <v>1702</v>
      </c>
      <c r="B187" s="4" t="s">
        <v>21</v>
      </c>
      <c r="C187" s="4" t="str">
        <f>VLOOKUP(TableFields[Field],Columns[],2,0)&amp;"("</f>
        <v>bigIncrements(</v>
      </c>
      <c r="D187" s="4" t="str">
        <f>IF(VLOOKUP(TableFields[Field],Columns[],3,0)&lt;&gt;"","'"&amp;VLOOKUP(TableFields[Field],Columns[],3,0)&amp;"'","")</f>
        <v>'id'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8" spans="1:11" x14ac:dyDescent="0.25">
      <c r="A188" s="4" t="s">
        <v>1702</v>
      </c>
      <c r="B188" s="4" t="s">
        <v>821</v>
      </c>
      <c r="C188" s="4" t="str">
        <f>VLOOKUP(TableFields[Field],Columns[],2,0)&amp;"("</f>
        <v>foreignNullable(</v>
      </c>
      <c r="D188" s="4" t="str">
        <f>IF(VLOOKUP(TableFields[Field],Columns[],3,0)&lt;&gt;"","'"&amp;VLOOKUP(TableFields[Field],Columns[],3,0)&amp;"'","")</f>
        <v>'product'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9" spans="1:11" x14ac:dyDescent="0.25">
      <c r="A189" s="4" t="s">
        <v>1702</v>
      </c>
      <c r="B189" s="4" t="s">
        <v>1703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'image01'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0" spans="1:11" x14ac:dyDescent="0.25">
      <c r="A190" s="4" t="s">
        <v>1702</v>
      </c>
      <c r="B190" s="4" t="s">
        <v>1704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'image02'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1" spans="1:11" x14ac:dyDescent="0.25">
      <c r="A191" s="4" t="s">
        <v>1702</v>
      </c>
      <c r="B191" s="4" t="s">
        <v>1705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'image03'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2" spans="1:11" x14ac:dyDescent="0.25">
      <c r="A192" s="4" t="s">
        <v>1702</v>
      </c>
      <c r="B192" s="4" t="s">
        <v>1706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'image04'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3" spans="1:11" x14ac:dyDescent="0.25">
      <c r="A193" s="4" t="s">
        <v>1702</v>
      </c>
      <c r="B193" s="4" t="s">
        <v>1707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'image05'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4" spans="1:11" x14ac:dyDescent="0.25">
      <c r="A194" s="4" t="s">
        <v>1702</v>
      </c>
      <c r="B194" s="4" t="s">
        <v>1708</v>
      </c>
      <c r="C194" s="4" t="str">
        <f>VLOOKUP(TableFields[Field],Columns[],2,0)&amp;"("</f>
        <v>enum(</v>
      </c>
      <c r="D194" s="4" t="str">
        <f>IF(VLOOKUP(TableFields[Field],Columns[],3,0)&lt;&gt;"","'"&amp;VLOOKUP(TableFields[Field],Columns[],3,0)&amp;"'","")</f>
        <v>'default'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-&gt;default('Image 01')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5" spans="1:11" x14ac:dyDescent="0.25">
      <c r="A195" s="4" t="s">
        <v>1702</v>
      </c>
      <c r="B195" s="4" t="s">
        <v>288</v>
      </c>
      <c r="C195" s="4" t="str">
        <f>VLOOKUP(TableFields[Field],Columns[],2,0)&amp;"("</f>
        <v>audit(</v>
      </c>
      <c r="D195" s="4" t="str">
        <f>IF(VLOOKUP(TableFields[Field],Columns[],3,0)&lt;&gt;"","'"&amp;VLOOKUP(TableFields[Field],Columns[],3,0)&amp;"'","")</f>
        <v/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6" spans="1:11" x14ac:dyDescent="0.25">
      <c r="A196" s="4" t="s">
        <v>762</v>
      </c>
      <c r="B196" s="4" t="s">
        <v>21</v>
      </c>
      <c r="C196" s="4" t="str">
        <f>VLOOKUP(TableFields[Field],Columns[],2,0)&amp;"("</f>
        <v>bigIncrements(</v>
      </c>
      <c r="D196" s="4" t="str">
        <f>IF(VLOOKUP(TableFields[Field],Columns[],3,0)&lt;&gt;"","'"&amp;VLOOKUP(TableFields[Field],Columns[],3,0)&amp;"'","")</f>
        <v>'id'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7" spans="1:11" x14ac:dyDescent="0.25">
      <c r="A197" s="4" t="s">
        <v>762</v>
      </c>
      <c r="B197" s="4" t="s">
        <v>768</v>
      </c>
      <c r="C197" s="4" t="str">
        <f>VLOOKUP(TableFields[Field],Columns[],2,0)&amp;"("</f>
        <v>char(</v>
      </c>
      <c r="D197" s="4" t="str">
        <f>IF(VLOOKUP(TableFields[Field],Columns[],3,0)&lt;&gt;"","'"&amp;VLOOKUP(TableFields[Field],Columns[],3,0)&amp;"'","")</f>
        <v>'code'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-&gt;index()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8" spans="1:11" x14ac:dyDescent="0.25">
      <c r="A198" s="4" t="s">
        <v>762</v>
      </c>
      <c r="B198" s="4" t="s">
        <v>23</v>
      </c>
      <c r="C198" s="4" t="str">
        <f>VLOOKUP(TableFields[Field],Columns[],2,0)&amp;"("</f>
        <v>string(</v>
      </c>
      <c r="D198" s="4" t="str">
        <f>IF(VLOOKUP(TableFields[Field],Columns[],3,0)&lt;&gt;"","'"&amp;VLOOKUP(TableFields[Field],Columns[],3,0)&amp;"'","")</f>
        <v>'name'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9" spans="1:11" x14ac:dyDescent="0.25">
      <c r="A199" s="4" t="s">
        <v>762</v>
      </c>
      <c r="B199" s="4" t="s">
        <v>775</v>
      </c>
      <c r="C199" s="4" t="str">
        <f>VLOOKUP(TableFields[Field],Columns[],2,0)&amp;"("</f>
        <v>enum(</v>
      </c>
      <c r="D199" s="4" t="str">
        <f>IF(VLOOKUP(TableFields[Field],Columns[],3,0)&lt;&gt;"","'"&amp;VLOOKUP(TableFields[Field],Columns[],3,0)&amp;"'","")</f>
        <v>'status'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-&gt;default('Active')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0" spans="1:11" x14ac:dyDescent="0.25">
      <c r="A200" s="4" t="s">
        <v>762</v>
      </c>
      <c r="B200" s="4" t="s">
        <v>288</v>
      </c>
      <c r="C200" s="4" t="str">
        <f>VLOOKUP(TableFields[Field],Columns[],2,0)&amp;"("</f>
        <v>audit(</v>
      </c>
      <c r="D200" s="4" t="str">
        <f>IF(VLOOKUP(TableFields[Field],Columns[],3,0)&lt;&gt;"","'"&amp;VLOOKUP(TableFields[Field],Columns[],3,0)&amp;"'","")</f>
        <v/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1" spans="1:11" x14ac:dyDescent="0.25">
      <c r="A201" s="4" t="s">
        <v>763</v>
      </c>
      <c r="B201" s="4" t="s">
        <v>21</v>
      </c>
      <c r="C201" s="4" t="str">
        <f>VLOOKUP(TableFields[Field],Columns[],2,0)&amp;"("</f>
        <v>bigIncrements(</v>
      </c>
      <c r="D201" s="4" t="str">
        <f>IF(VLOOKUP(TableFields[Field],Columns[],3,0)&lt;&gt;"","'"&amp;VLOOKUP(TableFields[Field],Columns[],3,0)&amp;"'","")</f>
        <v>'id'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2" spans="1:11" x14ac:dyDescent="0.25">
      <c r="A202" s="4" t="s">
        <v>763</v>
      </c>
      <c r="B202" s="4" t="s">
        <v>811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'pricelist'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3" spans="1:11" x14ac:dyDescent="0.25">
      <c r="A203" s="4" t="s">
        <v>763</v>
      </c>
      <c r="B203" s="4" t="s">
        <v>812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'product'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4" spans="1:11" x14ac:dyDescent="0.25">
      <c r="A204" s="4" t="s">
        <v>763</v>
      </c>
      <c r="B204" s="4" t="s">
        <v>814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'price'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5" spans="1:11" x14ac:dyDescent="0.25">
      <c r="A205" s="4" t="s">
        <v>763</v>
      </c>
      <c r="B205" s="4" t="s">
        <v>815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'price_min'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6" spans="1:11" x14ac:dyDescent="0.25">
      <c r="A206" s="4" t="s">
        <v>763</v>
      </c>
      <c r="B206" s="4" t="s">
        <v>816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'price_max'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7" spans="1:11" x14ac:dyDescent="0.25">
      <c r="A207" s="4" t="s">
        <v>763</v>
      </c>
      <c r="B207" s="4" t="s">
        <v>868</v>
      </c>
      <c r="C207" s="4" t="str">
        <f>VLOOKUP(TableFields[Field],Columns[],2,0)&amp;"("</f>
        <v>enum(</v>
      </c>
      <c r="D207" s="4" t="str">
        <f>IF(VLOOKUP(TableFields[Field],Columns[],3,0)&lt;&gt;"","'"&amp;VLOOKUP(TableFields[Field],Columns[],3,0)&amp;"'","")</f>
        <v>'discount1_type'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7" s="4" t="str">
        <f>IF(VLOOKUP(TableFields[Field],Columns[],5,0)=0,"","-&gt;"&amp;VLOOKUP(TableFields[Field],Columns[],5,0))</f>
        <v>-&gt;default('Amount')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8" spans="1:11" x14ac:dyDescent="0.25">
      <c r="A208" s="4" t="s">
        <v>763</v>
      </c>
      <c r="B208" s="4" t="s">
        <v>873</v>
      </c>
      <c r="C208" s="4" t="str">
        <f>VLOOKUP(TableFields[Field],Columns[],2,0)&amp;"("</f>
        <v>decimal(</v>
      </c>
      <c r="D208" s="4" t="str">
        <f>IF(VLOOKUP(TableFields[Field],Columns[],3,0)&lt;&gt;"","'"&amp;VLOOKUP(TableFields[Field],Columns[],3,0)&amp;"'","")</f>
        <v>'discount1_quantity'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8" s="4" t="str">
        <f>IF(VLOOKUP(TableFields[Field],Columns[],5,0)=0,"","-&gt;"&amp;VLOOKUP(TableFields[Field],Columns[],5,0))</f>
        <v>-&gt;default(0)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09" spans="1:11" x14ac:dyDescent="0.25">
      <c r="A209" s="4" t="s">
        <v>763</v>
      </c>
      <c r="B209" s="4" t="s">
        <v>869</v>
      </c>
      <c r="C209" s="4" t="str">
        <f>VLOOKUP(TableFields[Field],Columns[],2,0)&amp;"("</f>
        <v>enum(</v>
      </c>
      <c r="D209" s="4" t="str">
        <f>IF(VLOOKUP(TableFields[Field],Columns[],3,0)&lt;&gt;"","'"&amp;VLOOKUP(TableFields[Field],Columns[],3,0)&amp;"'","")</f>
        <v>'discount2_type'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9" s="4" t="str">
        <f>IF(VLOOKUP(TableFields[Field],Columns[],5,0)=0,"","-&gt;"&amp;VLOOKUP(TableFields[Field],Columns[],5,0))</f>
        <v>-&gt;default('Amount')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0" spans="1:11" x14ac:dyDescent="0.25">
      <c r="A210" s="4" t="s">
        <v>763</v>
      </c>
      <c r="B210" s="4" t="s">
        <v>874</v>
      </c>
      <c r="C210" s="4" t="str">
        <f>VLOOKUP(TableFields[Field],Columns[],2,0)&amp;"("</f>
        <v>decimal(</v>
      </c>
      <c r="D210" s="4" t="str">
        <f>IF(VLOOKUP(TableFields[Field],Columns[],3,0)&lt;&gt;"","'"&amp;VLOOKUP(TableFields[Field],Columns[],3,0)&amp;"'","")</f>
        <v>'discount2_quantity'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0" s="4" t="str">
        <f>IF(VLOOKUP(TableFields[Field],Columns[],5,0)=0,"","-&gt;"&amp;VLOOKUP(TableFields[Field],Columns[],5,0))</f>
        <v>-&gt;default(0)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1" spans="1:11" x14ac:dyDescent="0.25">
      <c r="A211" s="4" t="s">
        <v>763</v>
      </c>
      <c r="B211" s="4" t="s">
        <v>288</v>
      </c>
      <c r="C211" s="4" t="str">
        <f>VLOOKUP(TableFields[Field],Columns[],2,0)&amp;"("</f>
        <v>audit(</v>
      </c>
      <c r="D211" s="4" t="str">
        <f>IF(VLOOKUP(TableFields[Field],Columns[],3,0)&lt;&gt;"","'"&amp;VLOOKUP(TableFields[Field],Columns[],3,0)&amp;"'","")</f>
        <v/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1" s="4" t="str">
        <f>IF(VLOOKUP(TableFields[Field],Columns[],5,0)=0,"","-&gt;"&amp;VLOOKUP(TableFields[Field],Columns[],5,0))</f>
        <v/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2" spans="1:11" x14ac:dyDescent="0.25">
      <c r="A212" s="4" t="s">
        <v>898</v>
      </c>
      <c r="B212" s="4" t="s">
        <v>21</v>
      </c>
      <c r="C212" s="4" t="str">
        <f>VLOOKUP(TableFields[Field],Columns[],2,0)&amp;"("</f>
        <v>bigIncrements(</v>
      </c>
      <c r="D212" s="4" t="str">
        <f>IF(VLOOKUP(TableFields[Field],Columns[],3,0)&lt;&gt;"","'"&amp;VLOOKUP(TableFields[Field],Columns[],3,0)&amp;"'","")</f>
        <v>'id'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3" spans="1:11" x14ac:dyDescent="0.25">
      <c r="A213" s="4" t="s">
        <v>898</v>
      </c>
      <c r="B213" s="4" t="s">
        <v>1588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'_ref'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>-&gt;index()</v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4" spans="1:11" x14ac:dyDescent="0.25">
      <c r="A214" s="4" t="s">
        <v>898</v>
      </c>
      <c r="B214" s="4" t="s">
        <v>900</v>
      </c>
      <c r="C214" s="4" t="str">
        <f>VLOOKUP(TableFields[Field],Columns[],2,0)&amp;"("</f>
        <v>foreignNullable(</v>
      </c>
      <c r="D214" s="4" t="str">
        <f>IF(VLOOKUP(TableFields[Field],Columns[],3,0)&lt;&gt;"","'"&amp;VLOOKUP(TableFields[Field],Columns[],3,0)&amp;"'","")</f>
        <v>'user'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4" s="4" t="str">
        <f>IF(VLOOKUP(TableFields[Field],Columns[],5,0)=0,"","-&gt;"&amp;VLOOKUP(TableFields[Field],Columns[],5,0))</f>
        <v/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5" spans="1:11" x14ac:dyDescent="0.25">
      <c r="A215" s="4" t="s">
        <v>898</v>
      </c>
      <c r="B215" s="4" t="s">
        <v>820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'store'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6" spans="1:11" x14ac:dyDescent="0.25">
      <c r="A216" s="4" t="s">
        <v>898</v>
      </c>
      <c r="B216" s="4" t="s">
        <v>837</v>
      </c>
      <c r="C216" s="4" t="str">
        <f>VLOOKUP(TableFields[Field],Columns[],2,0)&amp;"("</f>
        <v>char(</v>
      </c>
      <c r="D216" s="4" t="str">
        <f>IF(VLOOKUP(TableFields[Field],Columns[],3,0)&lt;&gt;"","'"&amp;VLOOKUP(TableFields[Field],Columns[],3,0)&amp;"'","")</f>
        <v>'docno'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>-&gt;index()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7" spans="1:11" x14ac:dyDescent="0.25">
      <c r="A217" s="4" t="s">
        <v>898</v>
      </c>
      <c r="B217" s="4" t="s">
        <v>831</v>
      </c>
      <c r="C217" s="4" t="str">
        <f>VLOOKUP(TableFields[Field],Columns[],2,0)&amp;"("</f>
        <v>timestamp(</v>
      </c>
      <c r="D217" s="4" t="str">
        <f>IF(VLOOKUP(TableFields[Field],Columns[],3,0)&lt;&gt;"","'"&amp;VLOOKUP(TableFields[Field],Columns[],3,0)&amp;"'","")</f>
        <v>'date'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-&gt;default(DB::raw('CURRENT_TIMESTAMP'))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8" spans="1:11" x14ac:dyDescent="0.25">
      <c r="A218" s="4" t="s">
        <v>898</v>
      </c>
      <c r="B218" s="4" t="s">
        <v>951</v>
      </c>
      <c r="C218" s="4" t="str">
        <f>VLOOKUP(TableFields[Field],Columns[],2,0)&amp;"("</f>
        <v>foreignNullable(</v>
      </c>
      <c r="D218" s="4" t="str">
        <f>IF(VLOOKUP(TableFields[Field],Columns[],3,0)&lt;&gt;"","'"&amp;VLOOKUP(TableFields[Field],Columns[],3,0)&amp;"'","")</f>
        <v>'customer'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8" s="4" t="str">
        <f>IF(VLOOKUP(TableFields[Field],Columns[],5,0)=0,"","-&gt;"&amp;VLOOKUP(TableFields[Field],Columns[],5,0))</f>
        <v/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9" spans="1:11" x14ac:dyDescent="0.25">
      <c r="A219" s="4" t="s">
        <v>898</v>
      </c>
      <c r="B219" s="4" t="s">
        <v>905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'fycode'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-&gt;index()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0" spans="1:11" x14ac:dyDescent="0.25">
      <c r="A220" s="4" t="s">
        <v>898</v>
      </c>
      <c r="B220" s="4" t="s">
        <v>858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'fncode'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21" spans="1:11" x14ac:dyDescent="0.25">
      <c r="A221" s="4" t="s">
        <v>898</v>
      </c>
      <c r="B221" s="4" t="s">
        <v>1634</v>
      </c>
      <c r="C221" s="4" t="str">
        <f>VLOOKUP(TableFields[Field],Columns[],2,0)&amp;"("</f>
        <v>enum(</v>
      </c>
      <c r="D221" s="4" t="str">
        <f>IF(VLOOKUP(TableFields[Field],Columns[],3,0)&lt;&gt;"","'"&amp;VLOOKUP(TableFields[Field],Columns[],3,0)&amp;"'","")</f>
        <v>'payment_type'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-&gt;default('Cash')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2" spans="1:11" x14ac:dyDescent="0.25">
      <c r="A222" s="4" t="s">
        <v>898</v>
      </c>
      <c r="B222" s="4" t="s">
        <v>775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'status'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-&gt;default('Active')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3" spans="1:11" x14ac:dyDescent="0.25">
      <c r="A223" s="4" t="s">
        <v>898</v>
      </c>
      <c r="B223" s="4" t="s">
        <v>288</v>
      </c>
      <c r="C223" s="4" t="str">
        <f>VLOOKUP(TableFields[Field],Columns[],2,0)&amp;"("</f>
        <v>audit(</v>
      </c>
      <c r="D223" s="4" t="str">
        <f>IF(VLOOKUP(TableFields[Field],Columns[],3,0)&lt;&gt;"","'"&amp;VLOOKUP(TableFields[Field],Columns[],3,0)&amp;"'","")</f>
        <v/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4" spans="1:11" x14ac:dyDescent="0.25">
      <c r="A224" s="4" t="s">
        <v>899</v>
      </c>
      <c r="B224" s="4" t="s">
        <v>21</v>
      </c>
      <c r="C224" s="4" t="str">
        <f>VLOOKUP(TableFields[Field],Columns[],2,0)&amp;"("</f>
        <v>bigIncrements(</v>
      </c>
      <c r="D224" s="4" t="str">
        <f>IF(VLOOKUP(TableFields[Field],Columns[],3,0)&lt;&gt;"","'"&amp;VLOOKUP(TableFields[Field],Columns[],3,0)&amp;"'","")</f>
        <v>'id'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5" spans="1:11" s="20" customFormat="1" x14ac:dyDescent="0.25">
      <c r="A225" s="4" t="s">
        <v>899</v>
      </c>
      <c r="B225" s="4" t="s">
        <v>901</v>
      </c>
      <c r="C225" s="4" t="str">
        <f>VLOOKUP(TableFields[Field],Columns[],2,0)&amp;"("</f>
        <v>foreignCascade(</v>
      </c>
      <c r="D225" s="4" t="str">
        <f>IF(VLOOKUP(TableFields[Field],Columns[],3,0)&lt;&gt;"","'"&amp;VLOOKUP(TableFields[Field],Columns[],3,0)&amp;"'","")</f>
        <v>'transaction'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6" spans="1:11" x14ac:dyDescent="0.25">
      <c r="A226" s="4" t="s">
        <v>899</v>
      </c>
      <c r="B226" s="4" t="s">
        <v>820</v>
      </c>
      <c r="C226" s="4" t="str">
        <f>VLOOKUP(TableFields[Field],Columns[],2,0)&amp;"("</f>
        <v>foreignNullable(</v>
      </c>
      <c r="D226" s="4" t="str">
        <f>IF(VLOOKUP(TableFields[Field],Columns[],3,0)&lt;&gt;"","'"&amp;VLOOKUP(TableFields[Field],Columns[],3,0)&amp;"'","")</f>
        <v>'store'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7" spans="1:11" x14ac:dyDescent="0.25">
      <c r="A227" s="4" t="s">
        <v>899</v>
      </c>
      <c r="B227" s="4" t="s">
        <v>821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'product'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8" spans="1:11" x14ac:dyDescent="0.25">
      <c r="A228" s="4" t="s">
        <v>899</v>
      </c>
      <c r="B228" s="4" t="s">
        <v>822</v>
      </c>
      <c r="C228" s="4" t="str">
        <f>VLOOKUP(TableFields[Field],Columns[],2,0)&amp;"("</f>
        <v>enum(</v>
      </c>
      <c r="D228" s="4" t="str">
        <f>IF(VLOOKUP(TableFields[Field],Columns[],3,0)&lt;&gt;"","'"&amp;VLOOKUP(TableFields[Field],Columns[],3,0)&amp;"'","")</f>
        <v>'direction'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8" s="4" t="str">
        <f>IF(VLOOKUP(TableFields[Field],Columns[],5,0)=0,"","-&gt;"&amp;VLOOKUP(TableFields[Field],Columns[],5,0))</f>
        <v>-&gt;default('Out')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29" spans="1:11" x14ac:dyDescent="0.25">
      <c r="A229" s="4" t="s">
        <v>899</v>
      </c>
      <c r="B229" s="4" t="s">
        <v>826</v>
      </c>
      <c r="C229" s="4" t="str">
        <f>VLOOKUP(TableFields[Field],Columns[],2,0)&amp;"("</f>
        <v>decimal(</v>
      </c>
      <c r="D229" s="4" t="str">
        <f>IF(VLOOKUP(TableFields[Field],Columns[],3,0)&lt;&gt;"","'"&amp;VLOOKUP(TableFields[Field],Columns[],3,0)&amp;"'","")</f>
        <v>'quantity'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9" s="4" t="str">
        <f>IF(VLOOKUP(TableFields[Field],Columns[],5,0)=0,"","-&gt;"&amp;VLOOKUP(TableFields[Field],Columns[],5,0))</f>
        <v>-&gt;default(1)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0" spans="1:11" x14ac:dyDescent="0.25">
      <c r="A230" s="4" t="s">
        <v>899</v>
      </c>
      <c r="B230" s="4" t="s">
        <v>958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'rate'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-&gt;default(0)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1" spans="1:11" x14ac:dyDescent="0.25">
      <c r="A231" s="4" t="s">
        <v>899</v>
      </c>
      <c r="B231" s="4" t="s">
        <v>916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'taxrule'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2" spans="1:11" x14ac:dyDescent="0.25">
      <c r="A232" s="4" t="s">
        <v>899</v>
      </c>
      <c r="B232" s="4" t="s">
        <v>903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'tax'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2" s="4" t="str">
        <f>IF(VLOOKUP(TableFields[Field],Columns[],5,0)=0,"","-&gt;"&amp;VLOOKUP(TableFields[Field],Columns[],5,0))</f>
        <v>-&gt;default(0)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3" spans="1:11" x14ac:dyDescent="0.25">
      <c r="A233" s="4" t="s">
        <v>899</v>
      </c>
      <c r="B233" s="4" t="s">
        <v>936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'discount01'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4" spans="1:11" x14ac:dyDescent="0.25">
      <c r="A234" s="4" t="s">
        <v>899</v>
      </c>
      <c r="B234" s="4" t="s">
        <v>935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'discount02'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5" spans="1:11" x14ac:dyDescent="0.25">
      <c r="A235" s="4" t="s">
        <v>899</v>
      </c>
      <c r="B235" s="2" t="s">
        <v>1874</v>
      </c>
      <c r="C235" s="4" t="str">
        <f>VLOOKUP(TableFields[Field],Columns[],2,0)&amp;"("</f>
        <v>foreignNullable(</v>
      </c>
      <c r="D235" s="4" t="str">
        <f>IF(VLOOKUP(TableFields[Field],Columns[],3,0)&lt;&gt;"","'"&amp;VLOOKUP(TableFields[Field],Columns[],3,0)&amp;"'","")</f>
        <v>'soi'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5" s="4" t="str">
        <f>IF(VLOOKUP(TableFields[Field],Columns[],5,0)=0,"","-&gt;"&amp;VLOOKUP(TableFields[Field],Columns[],5,0))</f>
        <v/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6" spans="1:11" x14ac:dyDescent="0.25">
      <c r="A236" s="4" t="s">
        <v>899</v>
      </c>
      <c r="B236" s="4" t="s">
        <v>288</v>
      </c>
      <c r="C236" s="4" t="str">
        <f>VLOOKUP(TableFields[Field],Columns[],2,0)&amp;"("</f>
        <v>audit(</v>
      </c>
      <c r="D236" s="4" t="str">
        <f>IF(VLOOKUP(TableFields[Field],Columns[],3,0)&lt;&gt;"","'"&amp;VLOOKUP(TableFields[Field],Columns[],3,0)&amp;"'","")</f>
        <v/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6" s="4" t="str">
        <f>IF(VLOOKUP(TableFields[Field],Columns[],5,0)=0,"","-&gt;"&amp;VLOOKUP(TableFields[Field],Columns[],5,0))</f>
        <v/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7" spans="1:11" x14ac:dyDescent="0.25">
      <c r="A237" s="4" t="s">
        <v>1054</v>
      </c>
      <c r="B237" s="4" t="s">
        <v>21</v>
      </c>
      <c r="C237" s="4" t="str">
        <f>VLOOKUP(TableFields[Field],Columns[],2,0)&amp;"("</f>
        <v>bigIncrements(</v>
      </c>
      <c r="D237" s="4" t="str">
        <f>IF(VLOOKUP(TableFields[Field],Columns[],3,0)&lt;&gt;"","'"&amp;VLOOKUP(TableFields[Field],Columns[],3,0)&amp;"'","")</f>
        <v>'id'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8" spans="1:11" x14ac:dyDescent="0.25">
      <c r="A238" s="4" t="s">
        <v>1054</v>
      </c>
      <c r="B238" s="4" t="s">
        <v>972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'COCODE'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9" spans="1:11" x14ac:dyDescent="0.25">
      <c r="A239" s="4" t="s">
        <v>1054</v>
      </c>
      <c r="B239" s="4" t="s">
        <v>974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'BRCODE'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0" spans="1:11" x14ac:dyDescent="0.25">
      <c r="A240" s="4" t="s">
        <v>1054</v>
      </c>
      <c r="B240" s="4" t="s">
        <v>976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'FYCODE'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1" spans="1:11" x14ac:dyDescent="0.25">
      <c r="A241" s="4" t="s">
        <v>1054</v>
      </c>
      <c r="B241" s="4" t="s">
        <v>978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'FNCODE'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2" spans="1:11" x14ac:dyDescent="0.25">
      <c r="A242" s="4" t="s">
        <v>1054</v>
      </c>
      <c r="B242" s="4" t="s">
        <v>980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'DOCNO'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3" spans="1:11" x14ac:dyDescent="0.25">
      <c r="A243" s="4" t="s">
        <v>1054</v>
      </c>
      <c r="B243" s="4" t="s">
        <v>982</v>
      </c>
      <c r="C243" s="4" t="str">
        <f>VLOOKUP(TableFields[Field],Columns[],2,0)&amp;"("</f>
        <v>decimal(</v>
      </c>
      <c r="D243" s="4" t="str">
        <f>IF(VLOOKUP(TableFields[Field],Columns[],3,0)&lt;&gt;"","'"&amp;VLOOKUP(TableFields[Field],Columns[],3,0)&amp;"'","")</f>
        <v>'SRNO'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4" spans="1:11" x14ac:dyDescent="0.25">
      <c r="A244" s="4" t="s">
        <v>1054</v>
      </c>
      <c r="B244" s="4" t="s">
        <v>1057</v>
      </c>
      <c r="C244" s="4" t="str">
        <f>VLOOKUP(TableFields[Field],Columns[],2,0)&amp;"("</f>
        <v>decimal(</v>
      </c>
      <c r="D244" s="4" t="str">
        <f>IF(VLOOKUP(TableFields[Field],Columns[],3,0)&lt;&gt;"","'"&amp;VLOOKUP(TableFields[Field],Columns[],3,0)&amp;"'","")</f>
        <v>'SLNO'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5" spans="1:11" x14ac:dyDescent="0.25">
      <c r="A245" s="4" t="s">
        <v>1054</v>
      </c>
      <c r="B245" s="4" t="s">
        <v>986</v>
      </c>
      <c r="C245" s="4" t="str">
        <f>VLOOKUP(TableFields[Field],Columns[],2,0)&amp;"("</f>
        <v>datetime(</v>
      </c>
      <c r="D245" s="4" t="str">
        <f>IF(VLOOKUP(TableFields[Field],Columns[],3,0)&lt;&gt;"","'"&amp;VLOOKUP(TableFields[Field],Columns[],3,0)&amp;"'","")</f>
        <v>'DOCDATE'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6" spans="1:11" x14ac:dyDescent="0.25">
      <c r="A246" s="4" t="s">
        <v>1054</v>
      </c>
      <c r="B246" s="4" t="s">
        <v>988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'CO'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7" spans="1:11" x14ac:dyDescent="0.25">
      <c r="A247" s="4" t="s">
        <v>1054</v>
      </c>
      <c r="B247" s="4" t="s">
        <v>990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'BR'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8" spans="1:11" x14ac:dyDescent="0.25">
      <c r="A248" s="4" t="s">
        <v>1054</v>
      </c>
      <c r="B248" s="4" t="s">
        <v>992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'ACCCODE'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9" spans="1:11" x14ac:dyDescent="0.25">
      <c r="A249" s="4" t="s">
        <v>1054</v>
      </c>
      <c r="B249" s="4" t="s">
        <v>1059</v>
      </c>
      <c r="C249" s="4" t="str">
        <f>VLOOKUP(TableFields[Field],Columns[],2,0)&amp;"("</f>
        <v>string(</v>
      </c>
      <c r="D249" s="4" t="str">
        <f>IF(VLOOKUP(TableFields[Field],Columns[],3,0)&lt;&gt;"","'"&amp;VLOOKUP(TableFields[Field],Columns[],3,0)&amp;"'","")</f>
        <v>'REFNO'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0" spans="1:11" x14ac:dyDescent="0.25">
      <c r="A250" s="4" t="s">
        <v>1054</v>
      </c>
      <c r="B250" s="4" t="s">
        <v>1061</v>
      </c>
      <c r="C250" s="4" t="str">
        <f>VLOOKUP(TableFields[Field],Columns[],2,0)&amp;"("</f>
        <v>datetime(</v>
      </c>
      <c r="D250" s="4" t="str">
        <f>IF(VLOOKUP(TableFields[Field],Columns[],3,0)&lt;&gt;"","'"&amp;VLOOKUP(TableFields[Field],Columns[],3,0)&amp;"'","")</f>
        <v>'REFDATE'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1" spans="1:11" x14ac:dyDescent="0.25">
      <c r="A251" s="4" t="s">
        <v>1054</v>
      </c>
      <c r="B251" s="4" t="s">
        <v>999</v>
      </c>
      <c r="C251" s="4" t="str">
        <f>VLOOKUP(TableFields[Field],Columns[],2,0)&amp;"("</f>
        <v>decimal(</v>
      </c>
      <c r="D251" s="4" t="str">
        <f>IF(VLOOKUP(TableFields[Field],Columns[],3,0)&lt;&gt;"","'"&amp;VLOOKUP(TableFields[Field],Columns[],3,0)&amp;"'","")</f>
        <v>'AMT'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1" s="4" t="str">
        <f>IF(VLOOKUP(TableFields[Field],Columns[],5,0)=0,"","-&gt;"&amp;VLOOKUP(TableFields[Field],Columns[],5,0))</f>
        <v>-&gt;default(0)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2" spans="1:11" x14ac:dyDescent="0.25">
      <c r="A252" s="4" t="s">
        <v>1054</v>
      </c>
      <c r="B252" s="4" t="s">
        <v>1001</v>
      </c>
      <c r="C252" s="4" t="str">
        <f>VLOOKUP(TableFields[Field],Columns[],2,0)&amp;"("</f>
        <v>decimal(</v>
      </c>
      <c r="D252" s="4" t="str">
        <f>IF(VLOOKUP(TableFields[Field],Columns[],3,0)&lt;&gt;"","'"&amp;VLOOKUP(TableFields[Field],Columns[],3,0)&amp;"'","")</f>
        <v>'SIGN'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2" s="4" t="str">
        <f>IF(VLOOKUP(TableFields[Field],Columns[],5,0)=0,"","-&gt;"&amp;VLOOKUP(TableFields[Field],Columns[],5,0))</f>
        <v>-&gt;default(1)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3" spans="1:11" x14ac:dyDescent="0.25">
      <c r="A253" s="4" t="s">
        <v>1054</v>
      </c>
      <c r="B253" s="4" t="s">
        <v>1063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'NARRATION'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4" spans="1:11" x14ac:dyDescent="0.25">
      <c r="A254" s="4" t="s">
        <v>1054</v>
      </c>
      <c r="B254" s="4" t="s">
        <v>1065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'NARRATION2'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5" spans="1:11" x14ac:dyDescent="0.25">
      <c r="A255" s="4" t="s">
        <v>1054</v>
      </c>
      <c r="B255" s="4" t="s">
        <v>1041</v>
      </c>
      <c r="C255" s="4" t="str">
        <f>VLOOKUP(TableFields[Field],Columns[],2,0)&amp;"("</f>
        <v>char(</v>
      </c>
      <c r="D255" s="4" t="str">
        <f>IF(VLOOKUP(TableFields[Field],Columns[],3,0)&lt;&gt;"","'"&amp;VLOOKUP(TableFields[Field],Columns[],3,0)&amp;"'","")</f>
        <v>'REFCOCODE'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6" spans="1:11" x14ac:dyDescent="0.25">
      <c r="A256" s="4" t="s">
        <v>1054</v>
      </c>
      <c r="B256" s="4" t="s">
        <v>1043</v>
      </c>
      <c r="C256" s="4" t="str">
        <f>VLOOKUP(TableFields[Field],Columns[],2,0)&amp;"("</f>
        <v>char(</v>
      </c>
      <c r="D256" s="4" t="str">
        <f>IF(VLOOKUP(TableFields[Field],Columns[],3,0)&lt;&gt;"","'"&amp;VLOOKUP(TableFields[Field],Columns[],3,0)&amp;"'","")</f>
        <v>'REFBRCODE'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7" spans="1:11" x14ac:dyDescent="0.25">
      <c r="A257" s="4" t="s">
        <v>1054</v>
      </c>
      <c r="B257" s="4" t="s">
        <v>1047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'REFFYCODE'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8" spans="1:11" x14ac:dyDescent="0.25">
      <c r="A258" s="4" t="s">
        <v>1054</v>
      </c>
      <c r="B258" s="4" t="s">
        <v>1045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'REFFNCODE'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9" spans="1:11" x14ac:dyDescent="0.25">
      <c r="A259" s="4" t="s">
        <v>1054</v>
      </c>
      <c r="B259" s="4" t="s">
        <v>1049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'REFDOCNO'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0" spans="1:11" x14ac:dyDescent="0.25">
      <c r="A260" s="4" t="s">
        <v>1054</v>
      </c>
      <c r="B260" s="4" t="s">
        <v>1067</v>
      </c>
      <c r="C260" s="4" t="str">
        <f>VLOOKUP(TableFields[Field],Columns[],2,0)&amp;"("</f>
        <v>decimal(</v>
      </c>
      <c r="D260" s="4" t="str">
        <f>IF(VLOOKUP(TableFields[Field],Columns[],3,0)&lt;&gt;"","'"&amp;VLOOKUP(TableFields[Field],Columns[],3,0)&amp;"'","")</f>
        <v>'REFSRNO'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1" spans="1:11" x14ac:dyDescent="0.25">
      <c r="A261" s="4" t="s">
        <v>1054</v>
      </c>
      <c r="B261" s="4" t="s">
        <v>1005</v>
      </c>
      <c r="C261" s="4" t="str">
        <f>VLOOKUP(TableFields[Field],Columns[],2,0)&amp;"("</f>
        <v>enum(</v>
      </c>
      <c r="D261" s="4" t="str">
        <f>IF(VLOOKUP(TableFields[Field],Columns[],3,0)&lt;&gt;"","'"&amp;VLOOKUP(TableFields[Field],Columns[],3,0)&amp;"'","")</f>
        <v>'TYPE'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1" s="4" t="str">
        <f>IF(VLOOKUP(TableFields[Field],Columns[],5,0)=0,"","-&gt;"&amp;VLOOKUP(TableFields[Field],Columns[],5,0))</f>
        <v>-&gt;default('Normal')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2" spans="1:11" x14ac:dyDescent="0.25">
      <c r="A262" s="4" t="s">
        <v>1054</v>
      </c>
      <c r="B262" s="4" t="s">
        <v>1007</v>
      </c>
      <c r="C262" s="4" t="str">
        <f>VLOOKUP(TableFields[Field],Columns[],2,0)&amp;"("</f>
        <v>enum(</v>
      </c>
      <c r="D262" s="4" t="str">
        <f>IF(VLOOKUP(TableFields[Field],Columns[],3,0)&lt;&gt;"","'"&amp;VLOOKUP(TableFields[Field],Columns[],3,0)&amp;"'","")</f>
        <v>'APPROVAL_STATUS'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>-&gt;default('Pending')</v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3" spans="1:11" x14ac:dyDescent="0.25">
      <c r="A263" s="4" t="s">
        <v>1054</v>
      </c>
      <c r="B263" s="4" t="s">
        <v>1009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'APPROVAL_MODE'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>-&gt;default('Insert')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4" spans="1:11" x14ac:dyDescent="0.25">
      <c r="A264" s="4" t="s">
        <v>1054</v>
      </c>
      <c r="B264" s="4" t="s">
        <v>1011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'APPROVAL_TYPE'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-&gt;default('Default')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5" spans="1:11" x14ac:dyDescent="0.25">
      <c r="A265" s="4" t="s">
        <v>1054</v>
      </c>
      <c r="B265" s="4" t="s">
        <v>1013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'CANCEL'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5" s="4" t="str">
        <f>IF(VLOOKUP(TableFields[Field],Columns[],5,0)=0,"","-&gt;"&amp;VLOOKUP(TableFields[Field],Columns[],5,0))</f>
        <v>-&gt;default('No')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6" spans="1:11" x14ac:dyDescent="0.25">
      <c r="A266" s="4" t="s">
        <v>1054</v>
      </c>
      <c r="B266" s="4" t="s">
        <v>1015</v>
      </c>
      <c r="C266" s="4" t="str">
        <f>VLOOKUP(TableFields[Field],Columns[],2,0)&amp;"("</f>
        <v>decimal(</v>
      </c>
      <c r="D266" s="4" t="str">
        <f>IF(VLOOKUP(TableFields[Field],Columns[],3,0)&lt;&gt;"","'"&amp;VLOOKUP(TableFields[Field],Columns[],3,0)&amp;"'","")</f>
        <v>'VERSION'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6" s="4" t="str">
        <f>IF(VLOOKUP(TableFields[Field],Columns[],5,0)=0,"","-&gt;"&amp;VLOOKUP(TableFields[Field],Columns[],5,0))</f>
        <v>-&gt;default(1)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7" spans="1:11" x14ac:dyDescent="0.25">
      <c r="A267" s="4" t="s">
        <v>1054</v>
      </c>
      <c r="B267" s="4" t="s">
        <v>288</v>
      </c>
      <c r="C267" s="4" t="str">
        <f>VLOOKUP(TableFields[Field],Columns[],2,0)&amp;"("</f>
        <v>audit(</v>
      </c>
      <c r="D267" s="4" t="str">
        <f>IF(VLOOKUP(TableFields[Field],Columns[],3,0)&lt;&gt;"","'"&amp;VLOOKUP(TableFields[Field],Columns[],3,0)&amp;"'","")</f>
        <v/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8" spans="1:11" x14ac:dyDescent="0.25">
      <c r="A268" s="4" t="s">
        <v>949</v>
      </c>
      <c r="B268" s="4" t="s">
        <v>21</v>
      </c>
      <c r="C268" s="4" t="str">
        <f>VLOOKUP(TableFields[Field],Columns[],2,0)&amp;"("</f>
        <v>bigIncrements(</v>
      </c>
      <c r="D268" s="4" t="str">
        <f>IF(VLOOKUP(TableFields[Field],Columns[],3,0)&lt;&gt;"","'"&amp;VLOOKUP(TableFields[Field],Columns[],3,0)&amp;"'","")</f>
        <v>'id'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/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9" spans="1:11" x14ac:dyDescent="0.25">
      <c r="A269" s="4" t="s">
        <v>949</v>
      </c>
      <c r="B269" s="4" t="s">
        <v>837</v>
      </c>
      <c r="C269" s="4" t="str">
        <f>VLOOKUP(TableFields[Field],Columns[],2,0)&amp;"("</f>
        <v>char(</v>
      </c>
      <c r="D269" s="4" t="str">
        <f>IF(VLOOKUP(TableFields[Field],Columns[],3,0)&lt;&gt;"","'"&amp;VLOOKUP(TableFields[Field],Columns[],3,0)&amp;"'","")</f>
        <v>'docno'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>-&gt;index()</v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0" spans="1:11" x14ac:dyDescent="0.25">
      <c r="A270" s="4" t="s">
        <v>949</v>
      </c>
      <c r="B270" s="4" t="s">
        <v>831</v>
      </c>
      <c r="C270" s="4" t="str">
        <f>VLOOKUP(TableFields[Field],Columns[],2,0)&amp;"("</f>
        <v>timestamp(</v>
      </c>
      <c r="D270" s="4" t="str">
        <f>IF(VLOOKUP(TableFields[Field],Columns[],3,0)&lt;&gt;"","'"&amp;VLOOKUP(TableFields[Field],Columns[],3,0)&amp;"'","")</f>
        <v>'date'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-&gt;default(DB::raw('CURRENT_TIMESTAMP'))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1" spans="1:11" x14ac:dyDescent="0.25">
      <c r="A271" s="4" t="s">
        <v>949</v>
      </c>
      <c r="B271" s="4" t="s">
        <v>900</v>
      </c>
      <c r="C271" s="4" t="str">
        <f>VLOOKUP(TableFields[Field],Columns[],2,0)&amp;"("</f>
        <v>foreignNullable(</v>
      </c>
      <c r="D271" s="4" t="str">
        <f>IF(VLOOKUP(TableFields[Field],Columns[],3,0)&lt;&gt;"","'"&amp;VLOOKUP(TableFields[Field],Columns[],3,0)&amp;"'","")</f>
        <v>'user'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2" spans="1:11" x14ac:dyDescent="0.25">
      <c r="A272" s="4" t="s">
        <v>949</v>
      </c>
      <c r="B272" s="4" t="s">
        <v>951</v>
      </c>
      <c r="C272" s="4" t="str">
        <f>VLOOKUP(TableFields[Field],Columns[],2,0)&amp;"("</f>
        <v>foreignNullable(</v>
      </c>
      <c r="D272" s="4" t="str">
        <f>IF(VLOOKUP(TableFields[Field],Columns[],3,0)&lt;&gt;"","'"&amp;VLOOKUP(TableFields[Field],Columns[],3,0)&amp;"'","")</f>
        <v>'customer'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2" s="4" t="str">
        <f>IF(VLOOKUP(TableFields[Field],Columns[],5,0)=0,"","-&gt;"&amp;VLOOKUP(TableFields[Field],Columns[],5,0))</f>
        <v/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3" spans="1:11" x14ac:dyDescent="0.25">
      <c r="A273" s="4" t="s">
        <v>949</v>
      </c>
      <c r="B273" s="4" t="s">
        <v>820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'store'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4" spans="1:11" x14ac:dyDescent="0.25">
      <c r="A274" s="4" t="s">
        <v>949</v>
      </c>
      <c r="B274" s="4" t="s">
        <v>905</v>
      </c>
      <c r="C274" s="4" t="str">
        <f>VLOOKUP(TableFields[Field],Columns[],2,0)&amp;"("</f>
        <v>char(</v>
      </c>
      <c r="D274" s="4" t="str">
        <f>IF(VLOOKUP(TableFields[Field],Columns[],3,0)&lt;&gt;"","'"&amp;VLOOKUP(TableFields[Field],Columns[],3,0)&amp;"'","")</f>
        <v>'fycode'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>-&gt;index()</v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5" spans="1:11" x14ac:dyDescent="0.25">
      <c r="A275" s="4" t="s">
        <v>949</v>
      </c>
      <c r="B275" s="4" t="s">
        <v>858</v>
      </c>
      <c r="C275" s="4" t="str">
        <f>VLOOKUP(TableFields[Field],Columns[],2,0)&amp;"("</f>
        <v>char(</v>
      </c>
      <c r="D275" s="4" t="str">
        <f>IF(VLOOKUP(TableFields[Field],Columns[],3,0)&lt;&gt;"","'"&amp;VLOOKUP(TableFields[Field],Columns[],3,0)&amp;"'","")</f>
        <v>'fncode'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-&gt;index()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6" spans="1:11" x14ac:dyDescent="0.25">
      <c r="A276" s="4" t="s">
        <v>949</v>
      </c>
      <c r="B276" s="4" t="s">
        <v>1634</v>
      </c>
      <c r="C276" s="4" t="str">
        <f>VLOOKUP(TableFields[Field],Columns[],2,0)&amp;"("</f>
        <v>enum(</v>
      </c>
      <c r="D276" s="4" t="str">
        <f>IF(VLOOKUP(TableFields[Field],Columns[],3,0)&lt;&gt;"","'"&amp;VLOOKUP(TableFields[Field],Columns[],3,0)&amp;"'","")</f>
        <v>'payment_type'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-&gt;default('Cash')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7" spans="1:11" x14ac:dyDescent="0.25">
      <c r="A277" s="4" t="s">
        <v>949</v>
      </c>
      <c r="B277" s="4" t="s">
        <v>953</v>
      </c>
      <c r="C277" s="4" t="str">
        <f>VLOOKUP(TableFields[Field],Columns[],2,0)&amp;"("</f>
        <v>enum(</v>
      </c>
      <c r="D277" s="4" t="str">
        <f>IF(VLOOKUP(TableFields[Field],Columns[],3,0)&lt;&gt;"","'"&amp;VLOOKUP(TableFields[Field],Columns[],3,0)&amp;"'","")</f>
        <v>'progress'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-&gt;default('Incomplete')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8" spans="1:11" x14ac:dyDescent="0.25">
      <c r="A278" s="4" t="s">
        <v>949</v>
      </c>
      <c r="B278" s="4" t="s">
        <v>1588</v>
      </c>
      <c r="C278" s="4" t="str">
        <f>VLOOKUP(TableFields[Field],Columns[],2,0)&amp;"("</f>
        <v>char(</v>
      </c>
      <c r="D278" s="4" t="str">
        <f>IF(VLOOKUP(TableFields[Field],Columns[],3,0)&lt;&gt;"","'"&amp;VLOOKUP(TableFields[Field],Columns[],3,0)&amp;"'","")</f>
        <v>'_ref'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-&gt;index()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9" spans="1:11" x14ac:dyDescent="0.25">
      <c r="A279" s="4" t="s">
        <v>949</v>
      </c>
      <c r="B279" s="4" t="s">
        <v>775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'status'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-&gt;default('Active')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0" spans="1:11" s="20" customFormat="1" x14ac:dyDescent="0.25">
      <c r="A280" s="4" t="s">
        <v>949</v>
      </c>
      <c r="B280" s="4" t="s">
        <v>288</v>
      </c>
      <c r="C280" s="4" t="str">
        <f>VLOOKUP(TableFields[Field],Columns[],2,0)&amp;"("</f>
        <v>audit(</v>
      </c>
      <c r="D280" s="4" t="str">
        <f>IF(VLOOKUP(TableFields[Field],Columns[],3,0)&lt;&gt;"","'"&amp;VLOOKUP(TableFields[Field],Columns[],3,0)&amp;"'","")</f>
        <v/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1" spans="1:11" x14ac:dyDescent="0.25">
      <c r="A281" s="4" t="s">
        <v>950</v>
      </c>
      <c r="B281" s="4" t="s">
        <v>21</v>
      </c>
      <c r="C281" s="4" t="str">
        <f>VLOOKUP(TableFields[Field],Columns[],2,0)&amp;"("</f>
        <v>bigIncrements(</v>
      </c>
      <c r="D281" s="4" t="str">
        <f>IF(VLOOKUP(TableFields[Field],Columns[],3,0)&lt;&gt;"","'"&amp;VLOOKUP(TableFields[Field],Columns[],3,0)&amp;"'","")</f>
        <v>'id'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2" spans="1:11" x14ac:dyDescent="0.25">
      <c r="A282" s="4" t="s">
        <v>950</v>
      </c>
      <c r="B282" s="4" t="s">
        <v>956</v>
      </c>
      <c r="C282" s="4" t="str">
        <f>VLOOKUP(TableFields[Field],Columns[],2,0)&amp;"("</f>
        <v>foreignNullable(</v>
      </c>
      <c r="D282" s="4" t="str">
        <f>IF(VLOOKUP(TableFields[Field],Columns[],3,0)&lt;&gt;"","'"&amp;VLOOKUP(TableFields[Field],Columns[],3,0)&amp;"'","")</f>
        <v>'so'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3" spans="1:11" x14ac:dyDescent="0.25">
      <c r="A283" s="4" t="s">
        <v>950</v>
      </c>
      <c r="B283" s="4" t="s">
        <v>820</v>
      </c>
      <c r="C283" s="4" t="str">
        <f>VLOOKUP(TableFields[Field],Columns[],2,0)&amp;"("</f>
        <v>foreignNullable(</v>
      </c>
      <c r="D283" s="4" t="str">
        <f>IF(VLOOKUP(TableFields[Field],Columns[],3,0)&lt;&gt;"","'"&amp;VLOOKUP(TableFields[Field],Columns[],3,0)&amp;"'","")</f>
        <v>'store'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4" spans="1:11" x14ac:dyDescent="0.25">
      <c r="A284" s="4" t="s">
        <v>950</v>
      </c>
      <c r="B284" s="4" t="s">
        <v>905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'fycode'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>-&gt;index()</v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5" spans="1:11" x14ac:dyDescent="0.25">
      <c r="A285" s="4" t="s">
        <v>950</v>
      </c>
      <c r="B285" s="4" t="s">
        <v>858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'fncode'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>-&gt;index()</v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86" spans="1:11" x14ac:dyDescent="0.25">
      <c r="A286" s="4" t="s">
        <v>950</v>
      </c>
      <c r="B286" s="4" t="s">
        <v>821</v>
      </c>
      <c r="C286" s="4" t="str">
        <f>VLOOKUP(TableFields[Field],Columns[],2,0)&amp;"("</f>
        <v>foreignNullable(</v>
      </c>
      <c r="D286" s="4" t="str">
        <f>IF(VLOOKUP(TableFields[Field],Columns[],3,0)&lt;&gt;"","'"&amp;VLOOKUP(TableFields[Field],Columns[],3,0)&amp;"'","")</f>
        <v>'product'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6" s="4" t="str">
        <f>IF(VLOOKUP(TableFields[Field],Columns[],5,0)=0,"","-&gt;"&amp;VLOOKUP(TableFields[Field],Columns[],5,0))</f>
        <v/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7" spans="1:11" x14ac:dyDescent="0.25">
      <c r="A287" s="4" t="s">
        <v>950</v>
      </c>
      <c r="B287" s="4" t="s">
        <v>958</v>
      </c>
      <c r="C287" s="4" t="str">
        <f>VLOOKUP(TableFields[Field],Columns[],2,0)&amp;"("</f>
        <v>decimal(</v>
      </c>
      <c r="D287" s="4" t="str">
        <f>IF(VLOOKUP(TableFields[Field],Columns[],3,0)&lt;&gt;"","'"&amp;VLOOKUP(TableFields[Field],Columns[],3,0)&amp;"'","")</f>
        <v>'rate'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7" s="4" t="str">
        <f>IF(VLOOKUP(TableFields[Field],Columns[],5,0)=0,"","-&gt;"&amp;VLOOKUP(TableFields[Field],Columns[],5,0))</f>
        <v>-&gt;default(0)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88" spans="1:11" x14ac:dyDescent="0.25">
      <c r="A288" s="4" t="s">
        <v>950</v>
      </c>
      <c r="B288" s="4" t="s">
        <v>826</v>
      </c>
      <c r="C288" s="4" t="str">
        <f>VLOOKUP(TableFields[Field],Columns[],2,0)&amp;"("</f>
        <v>decimal(</v>
      </c>
      <c r="D288" s="4" t="str">
        <f>IF(VLOOKUP(TableFields[Field],Columns[],3,0)&lt;&gt;"","'"&amp;VLOOKUP(TableFields[Field],Columns[],3,0)&amp;"'","")</f>
        <v>'quantity'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8" s="4" t="str">
        <f>IF(VLOOKUP(TableFields[Field],Columns[],5,0)=0,"","-&gt;"&amp;VLOOKUP(TableFields[Field],Columns[],5,0))</f>
        <v>-&gt;default(1)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9" spans="1:11" x14ac:dyDescent="0.25">
      <c r="A289" s="4" t="s">
        <v>950</v>
      </c>
      <c r="B289" s="4" t="s">
        <v>916</v>
      </c>
      <c r="C289" s="4" t="str">
        <f>VLOOKUP(TableFields[Field],Columns[],2,0)&amp;"("</f>
        <v>char(</v>
      </c>
      <c r="D289" s="4" t="str">
        <f>IF(VLOOKUP(TableFields[Field],Columns[],3,0)&lt;&gt;"","'"&amp;VLOOKUP(TableFields[Field],Columns[],3,0)&amp;"'","")</f>
        <v>'taxrule'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0" spans="1:11" x14ac:dyDescent="0.25">
      <c r="A290" s="4" t="s">
        <v>950</v>
      </c>
      <c r="B290" s="4" t="s">
        <v>903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'tax'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-&gt;default(0)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1" spans="1:11" x14ac:dyDescent="0.25">
      <c r="A291" s="4" t="s">
        <v>950</v>
      </c>
      <c r="B291" s="2" t="s">
        <v>936</v>
      </c>
      <c r="C291" s="4" t="str">
        <f>VLOOKUP(TableFields[Field],Columns[],2,0)&amp;"("</f>
        <v>decimal(</v>
      </c>
      <c r="D291" s="4" t="str">
        <f>IF(VLOOKUP(TableFields[Field],Columns[],3,0)&lt;&gt;"","'"&amp;VLOOKUP(TableFields[Field],Columns[],3,0)&amp;"'","")</f>
        <v>'discount01'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1" s="4" t="str">
        <f>IF(VLOOKUP(TableFields[Field],Columns[],5,0)=0,"","-&gt;"&amp;VLOOKUP(TableFields[Field],Columns[],5,0))</f>
        <v>-&gt;default(0)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2" spans="1:11" x14ac:dyDescent="0.25">
      <c r="A292" s="4" t="s">
        <v>950</v>
      </c>
      <c r="B292" s="2" t="s">
        <v>935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'discount02'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3" spans="1:11" x14ac:dyDescent="0.25">
      <c r="A293" s="4" t="s">
        <v>950</v>
      </c>
      <c r="B293" s="4" t="s">
        <v>1588</v>
      </c>
      <c r="C293" s="4" t="str">
        <f>VLOOKUP(TableFields[Field],Columns[],2,0)&amp;"("</f>
        <v>char(</v>
      </c>
      <c r="D293" s="4" t="str">
        <f>IF(VLOOKUP(TableFields[Field],Columns[],3,0)&lt;&gt;"","'"&amp;VLOOKUP(TableFields[Field],Columns[],3,0)&amp;"'","")</f>
        <v>'_ref'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3" s="4" t="str">
        <f>IF(VLOOKUP(TableFields[Field],Columns[],5,0)=0,"","-&gt;"&amp;VLOOKUP(TableFields[Field],Columns[],5,0))</f>
        <v>-&gt;nullable()</v>
      </c>
      <c r="G293" s="4" t="str">
        <f>IF(VLOOKUP(TableFields[Field],Columns[],6,0)=0,"","-&gt;"&amp;VLOOKUP(TableFields[Field],Columns[],6,0))</f>
        <v>-&gt;index()</v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4" spans="1:11" x14ac:dyDescent="0.25">
      <c r="A294" s="4" t="s">
        <v>950</v>
      </c>
      <c r="B294" s="4" t="s">
        <v>288</v>
      </c>
      <c r="C294" s="4" t="str">
        <f>VLOOKUP(TableFields[Field],Columns[],2,0)&amp;"("</f>
        <v>audit(</v>
      </c>
      <c r="D294" s="4" t="str">
        <f>IF(VLOOKUP(TableFields[Field],Columns[],3,0)&lt;&gt;"","'"&amp;VLOOKUP(TableFields[Field],Columns[],3,0)&amp;"'","")</f>
        <v/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/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5" spans="1:11" x14ac:dyDescent="0.25">
      <c r="A295" s="4" t="s">
        <v>906</v>
      </c>
      <c r="B295" s="4" t="s">
        <v>21</v>
      </c>
      <c r="C295" s="4" t="str">
        <f>VLOOKUP(TableFields[Field],Columns[],2,0)&amp;"("</f>
        <v>bigIncrements(</v>
      </c>
      <c r="D295" s="4" t="str">
        <f>IF(VLOOKUP(TableFields[Field],Columns[],3,0)&lt;&gt;"","'"&amp;VLOOKUP(TableFields[Field],Columns[],3,0)&amp;"'","")</f>
        <v>'id'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6" spans="1:11" x14ac:dyDescent="0.25">
      <c r="A296" s="4" t="s">
        <v>906</v>
      </c>
      <c r="B296" s="4" t="s">
        <v>909</v>
      </c>
      <c r="C296" s="4" t="str">
        <f>VLOOKUP(TableFields[Field],Columns[],2,0)&amp;"("</f>
        <v>foreignNullable(</v>
      </c>
      <c r="D296" s="4" t="str">
        <f>IF(VLOOKUP(TableFields[Field],Columns[],3,0)&lt;&gt;"","'"&amp;VLOOKUP(TableFields[Field],Columns[],3,0)&amp;"'","")</f>
        <v>'out'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7" spans="1:11" x14ac:dyDescent="0.25">
      <c r="A297" s="4" t="s">
        <v>906</v>
      </c>
      <c r="B297" s="4" t="s">
        <v>907</v>
      </c>
      <c r="C297" s="4" t="str">
        <f>VLOOKUP(TableFields[Field],Columns[],2,0)&amp;"("</f>
        <v>foreignNullable(</v>
      </c>
      <c r="D297" s="4" t="str">
        <f>IF(VLOOKUP(TableFields[Field],Columns[],3,0)&lt;&gt;"","'"&amp;VLOOKUP(TableFields[Field],Columns[],3,0)&amp;"'","")</f>
        <v>'in'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98" spans="1:11" x14ac:dyDescent="0.25">
      <c r="A298" s="4" t="s">
        <v>906</v>
      </c>
      <c r="B298" s="4" t="s">
        <v>911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'verified_by'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9" spans="1:11" x14ac:dyDescent="0.25">
      <c r="A299" s="4" t="s">
        <v>906</v>
      </c>
      <c r="B299" s="4" t="s">
        <v>912</v>
      </c>
      <c r="C299" s="4" t="str">
        <f>VLOOKUP(TableFields[Field],Columns[],2,0)&amp;"("</f>
        <v>timestamp(</v>
      </c>
      <c r="D299" s="4" t="str">
        <f>IF(VLOOKUP(TableFields[Field],Columns[],3,0)&lt;&gt;"","'"&amp;VLOOKUP(TableFields[Field],Columns[],3,0)&amp;"'","")</f>
        <v>'verified_at'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0" spans="1:11" x14ac:dyDescent="0.25">
      <c r="A300" s="4" t="s">
        <v>906</v>
      </c>
      <c r="B300" s="4" t="s">
        <v>288</v>
      </c>
      <c r="C300" s="4" t="str">
        <f>VLOOKUP(TableFields[Field],Columns[],2,0)&amp;"("</f>
        <v>audit(</v>
      </c>
      <c r="D300" s="4" t="str">
        <f>IF(VLOOKUP(TableFields[Field],Columns[],3,0)&lt;&gt;"","'"&amp;VLOOKUP(TableFields[Field],Columns[],3,0)&amp;"'","")</f>
        <v/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1" spans="1:11" x14ac:dyDescent="0.25">
      <c r="A301" s="4" t="s">
        <v>882</v>
      </c>
      <c r="B301" s="4" t="s">
        <v>21</v>
      </c>
      <c r="C301" s="4" t="str">
        <f>VLOOKUP(TableFields[Field],Columns[],2,0)&amp;"("</f>
        <v>bigIncrements(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2" spans="1:11" x14ac:dyDescent="0.25">
      <c r="A302" s="4" t="s">
        <v>882</v>
      </c>
      <c r="B302" s="4" t="s">
        <v>883</v>
      </c>
      <c r="C302" s="4" t="str">
        <f>VLOOKUP(TableFields[Field],Columns[],2,0)&amp;"("</f>
        <v>unsignedTinyInteger(</v>
      </c>
      <c r="D302" s="4" t="str">
        <f>IF(VLOOKUP(TableFields[Field],Columns[],3,0)&lt;&gt;"","'"&amp;VLOOKUP(TableFields[Field],Columns[],3,0)&amp;"'","")</f>
        <v>'bin'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>-&gt;default(1)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3" spans="1:11" x14ac:dyDescent="0.25">
      <c r="A303" s="4" t="s">
        <v>882</v>
      </c>
      <c r="B303" s="4" t="s">
        <v>288</v>
      </c>
      <c r="C303" s="4" t="str">
        <f>VLOOKUP(TableFields[Field],Columns[],2,0)&amp;"("</f>
        <v>audit(</v>
      </c>
      <c r="D303" s="4" t="str">
        <f>IF(VLOOKUP(TableFields[Field],Columns[],3,0)&lt;&gt;"","'"&amp;VLOOKUP(TableFields[Field],Columns[],3,0)&amp;"'","")</f>
        <v/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4" spans="1:11" x14ac:dyDescent="0.25">
      <c r="A304" s="4" t="s">
        <v>1272</v>
      </c>
      <c r="B304" s="4" t="s">
        <v>21</v>
      </c>
      <c r="C304" s="4" t="str">
        <f>VLOOKUP(TableFields[Field],Columns[],2,0)&amp;"("</f>
        <v>bigIncrements(</v>
      </c>
      <c r="D304" s="4" t="str">
        <f>IF(VLOOKUP(TableFields[Field],Columns[],3,0)&lt;&gt;"","'"&amp;VLOOKUP(TableFields[Field],Columns[],3,0)&amp;"'","")</f>
        <v>'id'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5" spans="1:11" x14ac:dyDescent="0.25">
      <c r="A305" s="4" t="s">
        <v>1272</v>
      </c>
      <c r="B305" s="4" t="s">
        <v>23</v>
      </c>
      <c r="C305" s="4" t="str">
        <f>VLOOKUP(TableFields[Field],Columns[],2,0)&amp;"("</f>
        <v>string(</v>
      </c>
      <c r="D305" s="4" t="str">
        <f>IF(VLOOKUP(TableFields[Field],Columns[],3,0)&lt;&gt;"","'"&amp;VLOOKUP(TableFields[Field],Columns[],3,0)&amp;"'","")</f>
        <v>'name'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5" s="4" t="str">
        <f>IF(VLOOKUP(TableFields[Field],Columns[],5,0)=0,"","-&gt;"&amp;VLOOKUP(TableFields[Field],Columns[],5,0))</f>
        <v>-&gt;nullable()</v>
      </c>
      <c r="G305" s="4" t="str">
        <f>IF(VLOOKUP(TableFields[Field],Columns[],6,0)=0,"","-&gt;"&amp;VLOOKUP(TableFields[Field],Columns[],6,0))</f>
        <v>-&gt;index()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6" spans="1:11" x14ac:dyDescent="0.25">
      <c r="A306" s="4" t="s">
        <v>1272</v>
      </c>
      <c r="B306" s="4" t="s">
        <v>24</v>
      </c>
      <c r="C306" s="4" t="str">
        <f>VLOOKUP(TableFields[Field],Columns[],2,0)&amp;"("</f>
        <v>string(</v>
      </c>
      <c r="D306" s="4" t="str">
        <f>IF(VLOOKUP(TableFields[Field],Columns[],3,0)&lt;&gt;"","'"&amp;VLOOKUP(TableFields[Field],Columns[],3,0)&amp;"'","")</f>
        <v>'description'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7" spans="1:11" x14ac:dyDescent="0.25">
      <c r="A307" s="4" t="s">
        <v>1272</v>
      </c>
      <c r="B307" s="4" t="s">
        <v>44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'value'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8" spans="1:11" s="20" customFormat="1" x14ac:dyDescent="0.25">
      <c r="A308" s="4" t="s">
        <v>1272</v>
      </c>
      <c r="B308" s="4" t="s">
        <v>775</v>
      </c>
      <c r="C308" s="4" t="str">
        <f>VLOOKUP(TableFields[Field],Columns[],2,0)&amp;"("</f>
        <v>enum(</v>
      </c>
      <c r="D308" s="4" t="str">
        <f>IF(VLOOKUP(TableFields[Field],Columns[],3,0)&lt;&gt;"","'"&amp;VLOOKUP(TableFields[Field],Columns[],3,0)&amp;"'","")</f>
        <v>'status'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-&gt;default('Active')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9" spans="1:11" x14ac:dyDescent="0.25">
      <c r="A309" s="4" t="s">
        <v>1272</v>
      </c>
      <c r="B309" s="4" t="s">
        <v>288</v>
      </c>
      <c r="C309" s="4" t="str">
        <f>VLOOKUP(TableFields[Field],Columns[],2,0)&amp;"("</f>
        <v>audit(</v>
      </c>
      <c r="D309" s="4" t="str">
        <f>IF(VLOOKUP(TableFields[Field],Columns[],3,0)&lt;&gt;"","'"&amp;VLOOKUP(TableFields[Field],Columns[],3,0)&amp;"'","")</f>
        <v/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0" spans="1:11" x14ac:dyDescent="0.25">
      <c r="A310" s="4" t="s">
        <v>1273</v>
      </c>
      <c r="B310" s="4" t="s">
        <v>21</v>
      </c>
      <c r="C310" s="4" t="str">
        <f>VLOOKUP(TableFields[Field],Columns[],2,0)&amp;"("</f>
        <v>bigIncrements(</v>
      </c>
      <c r="D310" s="4" t="str">
        <f>IF(VLOOKUP(TableFields[Field],Columns[],3,0)&lt;&gt;"","'"&amp;VLOOKUP(TableFields[Field],Columns[],3,0)&amp;"'","")</f>
        <v>'id'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1" spans="1:11" x14ac:dyDescent="0.25">
      <c r="A311" s="4" t="s">
        <v>1273</v>
      </c>
      <c r="B311" s="4" t="s">
        <v>889</v>
      </c>
      <c r="C311" s="4" t="str">
        <f>VLOOKUP(TableFields[Field],Columns[],2,0)&amp;"("</f>
        <v>foreignCascade(</v>
      </c>
      <c r="D311" s="4" t="str">
        <f>IF(VLOOKUP(TableFields[Field],Columns[],3,0)&lt;&gt;"","'"&amp;VLOOKUP(TableFields[Field],Columns[],3,0)&amp;"'","")</f>
        <v>'user'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2" spans="1:11" x14ac:dyDescent="0.25">
      <c r="A312" s="4" t="s">
        <v>1273</v>
      </c>
      <c r="B312" s="4" t="s">
        <v>1276</v>
      </c>
      <c r="C312" s="4" t="str">
        <f>VLOOKUP(TableFields[Field],Columns[],2,0)&amp;"("</f>
        <v>foreignCascade(</v>
      </c>
      <c r="D312" s="4" t="str">
        <f>IF(VLOOKUP(TableFields[Field],Columns[],3,0)&lt;&gt;"","'"&amp;VLOOKUP(TableFields[Field],Columns[],3,0)&amp;"'","")</f>
        <v>'setting'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3" spans="1:11" x14ac:dyDescent="0.25">
      <c r="A313" s="4" t="s">
        <v>1273</v>
      </c>
      <c r="B313" s="4" t="s">
        <v>44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'value'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4" spans="1:11" x14ac:dyDescent="0.25">
      <c r="A314" s="4" t="s">
        <v>1273</v>
      </c>
      <c r="B314" s="4" t="s">
        <v>775</v>
      </c>
      <c r="C314" s="4" t="str">
        <f>VLOOKUP(TableFields[Field],Columns[],2,0)&amp;"("</f>
        <v>enum(</v>
      </c>
      <c r="D314" s="4" t="str">
        <f>IF(VLOOKUP(TableFields[Field],Columns[],3,0)&lt;&gt;"","'"&amp;VLOOKUP(TableFields[Field],Columns[],3,0)&amp;"'","")</f>
        <v>'status'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4" s="4" t="str">
        <f>IF(VLOOKUP(TableFields[Field],Columns[],5,0)=0,"","-&gt;"&amp;VLOOKUP(TableFields[Field],Columns[],5,0))</f>
        <v>-&gt;nullable()</v>
      </c>
      <c r="G314" s="4" t="str">
        <f>IF(VLOOKUP(TableFields[Field],Columns[],6,0)=0,"","-&gt;"&amp;VLOOKUP(TableFields[Field],Columns[],6,0))</f>
        <v>-&gt;default('Active')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5" spans="1:11" x14ac:dyDescent="0.25">
      <c r="A315" s="4" t="s">
        <v>1273</v>
      </c>
      <c r="B315" s="4" t="s">
        <v>288</v>
      </c>
      <c r="C315" s="4" t="str">
        <f>VLOOKUP(TableFields[Field],Columns[],2,0)&amp;"("</f>
        <v>audit(</v>
      </c>
      <c r="D315" s="4" t="str">
        <f>IF(VLOOKUP(TableFields[Field],Columns[],3,0)&lt;&gt;"","'"&amp;VLOOKUP(TableFields[Field],Columns[],3,0)&amp;"'","")</f>
        <v/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5" s="4" t="str">
        <f>IF(VLOOKUP(TableFields[Field],Columns[],5,0)=0,"","-&gt;"&amp;VLOOKUP(TableFields[Field],Columns[],5,0))</f>
        <v/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6" spans="1:11" x14ac:dyDescent="0.25">
      <c r="A316" s="4" t="s">
        <v>1614</v>
      </c>
      <c r="B316" s="4" t="s">
        <v>21</v>
      </c>
      <c r="C316" s="4" t="str">
        <f>VLOOKUP(TableFields[Field],Columns[],2,0)&amp;"("</f>
        <v>bigIncrements(</v>
      </c>
      <c r="D316" s="4" t="str">
        <f>IF(VLOOKUP(TableFields[Field],Columns[],3,0)&lt;&gt;"","'"&amp;VLOOKUP(TableFields[Field],Columns[],3,0)&amp;"'","")</f>
        <v>'id'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7" spans="1:11" x14ac:dyDescent="0.25">
      <c r="A317" s="4" t="s">
        <v>1614</v>
      </c>
      <c r="B317" s="4" t="s">
        <v>837</v>
      </c>
      <c r="C317" s="4" t="str">
        <f>VLOOKUP(TableFields[Field],Columns[],2,0)&amp;"("</f>
        <v>char(</v>
      </c>
      <c r="D317" s="4" t="str">
        <f>IF(VLOOKUP(TableFields[Field],Columns[],3,0)&lt;&gt;"","'"&amp;VLOOKUP(TableFields[Field],Columns[],3,0)&amp;"'","")</f>
        <v>'docno'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>-&gt;index()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18" spans="1:11" x14ac:dyDescent="0.25">
      <c r="A318" s="4" t="s">
        <v>1614</v>
      </c>
      <c r="B318" s="4" t="s">
        <v>820</v>
      </c>
      <c r="C318" s="4" t="str">
        <f>VLOOKUP(TableFields[Field],Columns[],2,0)&amp;"("</f>
        <v>foreignNullable(</v>
      </c>
      <c r="D318" s="4" t="str">
        <f>IF(VLOOKUP(TableFields[Field],Columns[],3,0)&lt;&gt;"","'"&amp;VLOOKUP(TableFields[Field],Columns[],3,0)&amp;"'","")</f>
        <v>'store'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19" spans="1:11" x14ac:dyDescent="0.25">
      <c r="A319" s="4" t="s">
        <v>1614</v>
      </c>
      <c r="B319" s="4" t="s">
        <v>905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'fycode'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0" spans="1:11" x14ac:dyDescent="0.25">
      <c r="A320" s="4" t="s">
        <v>1614</v>
      </c>
      <c r="B320" s="4" t="s">
        <v>858</v>
      </c>
      <c r="C320" s="4" t="str">
        <f>VLOOKUP(TableFields[Field],Columns[],2,0)&amp;"("</f>
        <v>char(</v>
      </c>
      <c r="D320" s="4" t="str">
        <f>IF(VLOOKUP(TableFields[Field],Columns[],3,0)&lt;&gt;"","'"&amp;VLOOKUP(TableFields[Field],Columns[],3,0)&amp;"'","")</f>
        <v>'fncode'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0" s="4" t="str">
        <f>IF(VLOOKUP(TableFields[Field],Columns[],5,0)=0,"","-&gt;"&amp;VLOOKUP(TableFields[Field],Columns[],5,0))</f>
        <v>-&gt;nullable()</v>
      </c>
      <c r="G320" s="4" t="str">
        <f>IF(VLOOKUP(TableFields[Field],Columns[],6,0)=0,"","-&gt;"&amp;VLOOKUP(TableFields[Field],Columns[],6,0))</f>
        <v>-&gt;index()</v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1" spans="1:11" x14ac:dyDescent="0.25">
      <c r="A321" s="4" t="s">
        <v>1614</v>
      </c>
      <c r="B321" s="4" t="s">
        <v>900</v>
      </c>
      <c r="C321" s="4" t="str">
        <f>VLOOKUP(TableFields[Field],Columns[],2,0)&amp;"("</f>
        <v>foreignNullable(</v>
      </c>
      <c r="D321" s="4" t="str">
        <f>IF(VLOOKUP(TableFields[Field],Columns[],3,0)&lt;&gt;"","'"&amp;VLOOKUP(TableFields[Field],Columns[],3,0)&amp;"'","")</f>
        <v>'user'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1" s="4" t="str">
        <f>IF(VLOOKUP(TableFields[Field],Columns[],5,0)=0,"","-&gt;"&amp;VLOOKUP(TableFields[Field],Columns[],5,0))</f>
        <v/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2" spans="1:11" x14ac:dyDescent="0.25">
      <c r="A322" s="4" t="s">
        <v>1614</v>
      </c>
      <c r="B322" s="4" t="s">
        <v>1616</v>
      </c>
      <c r="C322" s="4" t="str">
        <f>VLOOKUP(TableFields[Field],Columns[],2,0)&amp;"("</f>
        <v>enum(</v>
      </c>
      <c r="D322" s="4" t="str">
        <f>IF(VLOOKUP(TableFields[Field],Columns[],3,0)&lt;&gt;"","'"&amp;VLOOKUP(TableFields[Field],Columns[],3,0)&amp;"'","")</f>
        <v>'mode'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-&gt;default('Cash')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3" spans="1:11" x14ac:dyDescent="0.25">
      <c r="A323" s="4" t="s">
        <v>1614</v>
      </c>
      <c r="B323" s="4" t="s">
        <v>951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'customer'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4" spans="1:11" x14ac:dyDescent="0.25">
      <c r="A324" s="4" t="s">
        <v>1614</v>
      </c>
      <c r="B324" s="4" t="s">
        <v>831</v>
      </c>
      <c r="C324" s="4" t="str">
        <f>VLOOKUP(TableFields[Field],Columns[],2,0)&amp;"("</f>
        <v>timestamp(</v>
      </c>
      <c r="D324" s="4" t="str">
        <f>IF(VLOOKUP(TableFields[Field],Columns[],3,0)&lt;&gt;"","'"&amp;VLOOKUP(TableFields[Field],Columns[],3,0)&amp;"'","")</f>
        <v>'date'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4" t="str">
        <f>IF(VLOOKUP(TableFields[Field],Columns[],5,0)=0,"","-&gt;"&amp;VLOOKUP(TableFields[Field],Columns[],5,0))</f>
        <v>-&gt;default(DB::raw('CURRENT_TIMESTAMP'))</v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5" spans="1:11" x14ac:dyDescent="0.25">
      <c r="A325" s="4" t="s">
        <v>1614</v>
      </c>
      <c r="B325" s="4" t="s">
        <v>967</v>
      </c>
      <c r="C325" s="4" t="str">
        <f>VLOOKUP(TableFields[Field],Columns[],2,0)&amp;"("</f>
        <v>decimal(</v>
      </c>
      <c r="D325" s="4" t="str">
        <f>IF(VLOOKUP(TableFields[Field],Columns[],3,0)&lt;&gt;"","'"&amp;VLOOKUP(TableFields[Field],Columns[],3,0)&amp;"'","")</f>
        <v>'amount'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5" s="4" t="str">
        <f>IF(VLOOKUP(TableFields[Field],Columns[],5,0)=0,"","-&gt;"&amp;VLOOKUP(TableFields[Field],Columns[],5,0))</f>
        <v>-&gt;default(0)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6" spans="1:11" x14ac:dyDescent="0.25">
      <c r="A326" s="4" t="s">
        <v>1614</v>
      </c>
      <c r="B326" s="5" t="s">
        <v>1619</v>
      </c>
      <c r="C326" s="5" t="str">
        <f>VLOOKUP(TableFields[Field],Columns[],2,0)&amp;"("</f>
        <v>string(</v>
      </c>
      <c r="D326" s="5" t="str">
        <f>IF(VLOOKUP(TableFields[Field],Columns[],3,0)&lt;&gt;"","'"&amp;VLOOKUP(TableFields[Field],Columns[],3,0)&amp;"'","")</f>
        <v>'bank'</v>
      </c>
      <c r="E32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6" s="5" t="str">
        <f>IF(VLOOKUP(TableFields[Field],Columns[],5,0)=0,"","-&gt;"&amp;VLOOKUP(TableFields[Field],Columns[],5,0))</f>
        <v>-&gt;nullable()</v>
      </c>
      <c r="G326" s="5" t="str">
        <f>IF(VLOOKUP(TableFields[Field],Columns[],6,0)=0,"","-&gt;"&amp;VLOOKUP(TableFields[Field],Columns[],6,0))</f>
        <v/>
      </c>
      <c r="H326" s="5" t="str">
        <f>IF(VLOOKUP(TableFields[Field],Columns[],7,0)=0,"","-&gt;"&amp;VLOOKUP(TableFields[Field],Columns[],7,0))</f>
        <v/>
      </c>
      <c r="I326" s="5" t="str">
        <f>IF(VLOOKUP(TableFields[Field],Columns[],8,0)=0,"","-&gt;"&amp;VLOOKUP(TableFields[Field],Columns[],8,0))</f>
        <v/>
      </c>
      <c r="J326" s="5" t="str">
        <f>IF(VLOOKUP(TableFields[Field],Columns[],9,0)=0,"","-&gt;"&amp;VLOOKUP(TableFields[Field],Columns[],9,0))</f>
        <v/>
      </c>
      <c r="K326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7" spans="1:11" x14ac:dyDescent="0.25">
      <c r="A327" s="4" t="s">
        <v>1614</v>
      </c>
      <c r="B327" s="5" t="s">
        <v>1620</v>
      </c>
      <c r="C327" s="5" t="str">
        <f>VLOOKUP(TableFields[Field],Columns[],2,0)&amp;"("</f>
        <v>string(</v>
      </c>
      <c r="D327" s="5" t="str">
        <f>IF(VLOOKUP(TableFields[Field],Columns[],3,0)&lt;&gt;"","'"&amp;VLOOKUP(TableFields[Field],Columns[],3,0)&amp;"'","")</f>
        <v>'cheque'</v>
      </c>
      <c r="E32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7" s="5" t="str">
        <f>IF(VLOOKUP(TableFields[Field],Columns[],5,0)=0,"","-&gt;"&amp;VLOOKUP(TableFields[Field],Columns[],5,0))</f>
        <v>-&gt;nullable()</v>
      </c>
      <c r="G327" s="5" t="str">
        <f>IF(VLOOKUP(TableFields[Field],Columns[],6,0)=0,"","-&gt;"&amp;VLOOKUP(TableFields[Field],Columns[],6,0))</f>
        <v/>
      </c>
      <c r="H327" s="5" t="str">
        <f>IF(VLOOKUP(TableFields[Field],Columns[],7,0)=0,"","-&gt;"&amp;VLOOKUP(TableFields[Field],Columns[],7,0))</f>
        <v/>
      </c>
      <c r="I327" s="5" t="str">
        <f>IF(VLOOKUP(TableFields[Field],Columns[],8,0)=0,"","-&gt;"&amp;VLOOKUP(TableFields[Field],Columns[],8,0))</f>
        <v/>
      </c>
      <c r="J327" s="5" t="str">
        <f>IF(VLOOKUP(TableFields[Field],Columns[],9,0)=0,"","-&gt;"&amp;VLOOKUP(TableFields[Field],Columns[],9,0))</f>
        <v/>
      </c>
      <c r="K327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28" spans="1:11" x14ac:dyDescent="0.25">
      <c r="A328" s="4" t="s">
        <v>1614</v>
      </c>
      <c r="B328" s="4" t="s">
        <v>1621</v>
      </c>
      <c r="C328" s="4" t="str">
        <f>VLOOKUP(TableFields[Field],Columns[],2,0)&amp;"("</f>
        <v>datetime(</v>
      </c>
      <c r="D328" s="4" t="str">
        <f>IF(VLOOKUP(TableFields[Field],Columns[],3,0)&lt;&gt;"","'"&amp;VLOOKUP(TableFields[Field],Columns[],3,0)&amp;"'","")</f>
        <v>'cheque_date'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8" s="4" t="str">
        <f>IF(VLOOKUP(TableFields[Field],Columns[],5,0)=0,"","-&gt;"&amp;VLOOKUP(TableFields[Field],Columns[],5,0))</f>
        <v>-&gt;nullable()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29" spans="1:11" x14ac:dyDescent="0.25">
      <c r="A329" s="4" t="s">
        <v>1614</v>
      </c>
      <c r="B329" s="4" t="s">
        <v>1880</v>
      </c>
      <c r="C329" s="4" t="str">
        <f>VLOOKUP(TableFields[Field],Columns[],2,0)&amp;"("</f>
        <v>enum(</v>
      </c>
      <c r="D329" s="4" t="str">
        <f>IF(VLOOKUP(TableFields[Field],Columns[],3,0)&lt;&gt;"","'"&amp;VLOOKUP(TableFields[Field],Columns[],3,0)&amp;"'","")</f>
        <v>'source'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-&gt;default('ePlus')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0" spans="1:11" x14ac:dyDescent="0.25">
      <c r="A330" s="4" t="s">
        <v>1614</v>
      </c>
      <c r="B330" s="4" t="s">
        <v>1588</v>
      </c>
      <c r="C330" s="4" t="str">
        <f>VLOOKUP(TableFields[Field],Columns[],2,0)&amp;"("</f>
        <v>char(</v>
      </c>
      <c r="D330" s="4" t="str">
        <f>IF(VLOOKUP(TableFields[Field],Columns[],3,0)&lt;&gt;"","'"&amp;VLOOKUP(TableFields[Field],Columns[],3,0)&amp;"'","")</f>
        <v>'_ref'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>-&gt;index()</v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1" spans="1:11" x14ac:dyDescent="0.25">
      <c r="A331" s="4" t="s">
        <v>1614</v>
      </c>
      <c r="B331" s="4" t="s">
        <v>775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'status'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-&gt;default('Active')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2" spans="1:11" x14ac:dyDescent="0.25">
      <c r="A332" s="4" t="s">
        <v>1614</v>
      </c>
      <c r="B332" s="4" t="s">
        <v>288</v>
      </c>
      <c r="C332" s="5" t="str">
        <f>VLOOKUP(TableFields[Field],Columns[],2,0)&amp;"("</f>
        <v>audit(</v>
      </c>
      <c r="D332" s="5" t="str">
        <f>IF(VLOOKUP(TableFields[Field],Columns[],3,0)&lt;&gt;"","'"&amp;VLOOKUP(TableFields[Field],Columns[],3,0)&amp;"'","")</f>
        <v/>
      </c>
      <c r="E33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5" t="str">
        <f>IF(VLOOKUP(TableFields[Field],Columns[],5,0)=0,"","-&gt;"&amp;VLOOKUP(TableFields[Field],Columns[],5,0))</f>
        <v/>
      </c>
      <c r="G332" s="5" t="str">
        <f>IF(VLOOKUP(TableFields[Field],Columns[],6,0)=0,"","-&gt;"&amp;VLOOKUP(TableFields[Field],Columns[],6,0))</f>
        <v/>
      </c>
      <c r="H332" s="5" t="str">
        <f>IF(VLOOKUP(TableFields[Field],Columns[],7,0)=0,"","-&gt;"&amp;VLOOKUP(TableFields[Field],Columns[],7,0))</f>
        <v/>
      </c>
      <c r="I332" s="5" t="str">
        <f>IF(VLOOKUP(TableFields[Field],Columns[],8,0)=0,"","-&gt;"&amp;VLOOKUP(TableFields[Field],Columns[],8,0))</f>
        <v/>
      </c>
      <c r="J332" s="5" t="str">
        <f>IF(VLOOKUP(TableFields[Field],Columns[],9,0)=0,"","-&gt;"&amp;VLOOKUP(TableFields[Field],Columns[],9,0))</f>
        <v/>
      </c>
      <c r="K33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3" spans="1:11" x14ac:dyDescent="0.25">
      <c r="A333" s="4" t="s">
        <v>1624</v>
      </c>
      <c r="B333" s="4" t="s">
        <v>21</v>
      </c>
      <c r="C333" s="4" t="str">
        <f>VLOOKUP(TableFields[Field],Columns[],2,0)&amp;"("</f>
        <v>bigIncrements(</v>
      </c>
      <c r="D333" s="4" t="str">
        <f>IF(VLOOKUP(TableFields[Field],Columns[],3,0)&lt;&gt;"","'"&amp;VLOOKUP(TableFields[Field],Columns[],3,0)&amp;"'","")</f>
        <v>'id'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4" spans="1:11" s="20" customFormat="1" x14ac:dyDescent="0.25">
      <c r="A334" s="4" t="s">
        <v>1624</v>
      </c>
      <c r="B334" s="4" t="s">
        <v>858</v>
      </c>
      <c r="C334" s="4" t="str">
        <f>VLOOKUP(TableFields[Field],Columns[],2,0)&amp;"("</f>
        <v>char(</v>
      </c>
      <c r="D334" s="4" t="str">
        <f>IF(VLOOKUP(TableFields[Field],Columns[],3,0)&lt;&gt;"","'"&amp;VLOOKUP(TableFields[Field],Columns[],3,0)&amp;"'","")</f>
        <v>'fncode'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-&gt;index()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35" spans="1:11" s="20" customFormat="1" x14ac:dyDescent="0.25">
      <c r="A335" s="4" t="s">
        <v>1624</v>
      </c>
      <c r="B335" s="4" t="s">
        <v>900</v>
      </c>
      <c r="C335" s="4" t="str">
        <f>VLOOKUP(TableFields[Field],Columns[],2,0)&amp;"("</f>
        <v>foreignNullable(</v>
      </c>
      <c r="D335" s="4" t="str">
        <f>IF(VLOOKUP(TableFields[Field],Columns[],3,0)&lt;&gt;"","'"&amp;VLOOKUP(TableFields[Field],Columns[],3,0)&amp;"'","")</f>
        <v>'user'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6" spans="1:11" x14ac:dyDescent="0.25">
      <c r="A336" s="4" t="s">
        <v>1624</v>
      </c>
      <c r="B336" s="4" t="s">
        <v>820</v>
      </c>
      <c r="C336" s="4" t="str">
        <f>VLOOKUP(TableFields[Field],Columns[],2,0)&amp;"("</f>
        <v>foreignNullable(</v>
      </c>
      <c r="D336" s="4" t="str">
        <f>IF(VLOOKUP(TableFields[Field],Columns[],3,0)&lt;&gt;"","'"&amp;VLOOKUP(TableFields[Field],Columns[],3,0)&amp;"'","")</f>
        <v>'store'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37" spans="1:11" x14ac:dyDescent="0.25">
      <c r="A337" s="4" t="s">
        <v>1624</v>
      </c>
      <c r="B337" s="4" t="s">
        <v>1625</v>
      </c>
      <c r="C337" s="5" t="str">
        <f>VLOOKUP(TableFields[Field],Columns[],2,0)&amp;"("</f>
        <v>unsignedInteger(</v>
      </c>
      <c r="D337" s="5" t="str">
        <f>IF(VLOOKUP(TableFields[Field],Columns[],3,0)&lt;&gt;"","'"&amp;VLOOKUP(TableFields[Field],Columns[],3,0)&amp;"'","")</f>
        <v>'start_num'</v>
      </c>
      <c r="E33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7" s="5" t="str">
        <f>IF(VLOOKUP(TableFields[Field],Columns[],5,0)=0,"","-&gt;"&amp;VLOOKUP(TableFields[Field],Columns[],5,0))</f>
        <v>-&gt;nullable()</v>
      </c>
      <c r="G337" s="5" t="str">
        <f>IF(VLOOKUP(TableFields[Field],Columns[],6,0)=0,"","-&gt;"&amp;VLOOKUP(TableFields[Field],Columns[],6,0))</f>
        <v/>
      </c>
      <c r="H337" s="5" t="str">
        <f>IF(VLOOKUP(TableFields[Field],Columns[],7,0)=0,"","-&gt;"&amp;VLOOKUP(TableFields[Field],Columns[],7,0))</f>
        <v/>
      </c>
      <c r="I337" s="5" t="str">
        <f>IF(VLOOKUP(TableFields[Field],Columns[],8,0)=0,"","-&gt;"&amp;VLOOKUP(TableFields[Field],Columns[],8,0))</f>
        <v/>
      </c>
      <c r="J337" s="5" t="str">
        <f>IF(VLOOKUP(TableFields[Field],Columns[],9,0)=0,"","-&gt;"&amp;VLOOKUP(TableFields[Field],Columns[],9,0))</f>
        <v/>
      </c>
      <c r="K337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38" spans="1:11" x14ac:dyDescent="0.25">
      <c r="A338" s="4" t="s">
        <v>1624</v>
      </c>
      <c r="B338" s="4" t="s">
        <v>1626</v>
      </c>
      <c r="C338" s="4" t="str">
        <f>VLOOKUP(TableFields[Field],Columns[],2,0)&amp;"("</f>
        <v>unsignedInteger(</v>
      </c>
      <c r="D338" s="4" t="str">
        <f>IF(VLOOKUP(TableFields[Field],Columns[],3,0)&lt;&gt;"","'"&amp;VLOOKUP(TableFields[Field],Columns[],3,0)&amp;"'","")</f>
        <v>'end_num'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8" s="4" t="str">
        <f>IF(VLOOKUP(TableFields[Field],Columns[],5,0)=0,"","-&gt;"&amp;VLOOKUP(TableFields[Field],Columns[],5,0))</f>
        <v>-&gt;nullable()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39" spans="1:11" x14ac:dyDescent="0.25">
      <c r="A339" s="4" t="s">
        <v>1624</v>
      </c>
      <c r="B339" s="4" t="s">
        <v>826</v>
      </c>
      <c r="C339" s="4" t="str">
        <f>VLOOKUP(TableFields[Field],Columns[],2,0)&amp;"("</f>
        <v>decimal(</v>
      </c>
      <c r="D339" s="4" t="str">
        <f>IF(VLOOKUP(TableFields[Field],Columns[],3,0)&lt;&gt;"","'"&amp;VLOOKUP(TableFields[Field],Columns[],3,0)&amp;"'","")</f>
        <v>'quantity'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9" s="4" t="str">
        <f>IF(VLOOKUP(TableFields[Field],Columns[],5,0)=0,"","-&gt;"&amp;VLOOKUP(TableFields[Field],Columns[],5,0))</f>
        <v>-&gt;default(1)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0" spans="1:11" x14ac:dyDescent="0.25">
      <c r="A340" s="4" t="s">
        <v>1624</v>
      </c>
      <c r="B340" s="4" t="s">
        <v>1642</v>
      </c>
      <c r="C340" s="4" t="str">
        <f>VLOOKUP(TableFields[Field],Columns[],2,0)&amp;"("</f>
        <v>unsignedInteger(</v>
      </c>
      <c r="D340" s="4" t="str">
        <f>IF(VLOOKUP(TableFields[Field],Columns[],3,0)&lt;&gt;"","'"&amp;VLOOKUP(TableFields[Field],Columns[],3,0)&amp;"'","")</f>
        <v>'current'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4" t="str">
        <f>IF(VLOOKUP(TableFields[Field],Columns[],5,0)=0,"","-&gt;"&amp;VLOOKUP(TableFields[Field],Columns[],5,0))</f>
        <v>-&gt;nullable()</v>
      </c>
      <c r="G340" s="4" t="str">
        <f>IF(VLOOKUP(TableFields[Field],Columns[],6,0)=0,"","-&gt;"&amp;VLOOKUP(TableFields[Field],Columns[],6,0))</f>
        <v>-&gt;default(0)</v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1" spans="1:11" s="20" customFormat="1" x14ac:dyDescent="0.25">
      <c r="A341" s="4" t="s">
        <v>1624</v>
      </c>
      <c r="B341" s="4" t="s">
        <v>1628</v>
      </c>
      <c r="C341" s="4" t="str">
        <f>VLOOKUP(TableFields[Field],Columns[],2,0)&amp;"("</f>
        <v>enum(</v>
      </c>
      <c r="D341" s="4" t="str">
        <f>IF(VLOOKUP(TableFields[Field],Columns[],3,0)&lt;&gt;"","'"&amp;VLOOKUP(TableFields[Field],Columns[],3,0)&amp;"'","")</f>
        <v>'progress'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>-&gt;default('Awaiting')</v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2" spans="1:11" x14ac:dyDescent="0.25">
      <c r="A342" s="4" t="s">
        <v>1624</v>
      </c>
      <c r="B342" s="4" t="s">
        <v>775</v>
      </c>
      <c r="C342" s="4" t="str">
        <f>VLOOKUP(TableFields[Field],Columns[],2,0)&amp;"("</f>
        <v>enum(</v>
      </c>
      <c r="D342" s="4" t="str">
        <f>IF(VLOOKUP(TableFields[Field],Columns[],3,0)&lt;&gt;"","'"&amp;VLOOKUP(TableFields[Field],Columns[],3,0)&amp;"'","")</f>
        <v>'status'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2" s="4" t="str">
        <f>IF(VLOOKUP(TableFields[Field],Columns[],5,0)=0,"","-&gt;"&amp;VLOOKUP(TableFields[Field],Columns[],5,0))</f>
        <v>-&gt;nullable()</v>
      </c>
      <c r="G342" s="4" t="str">
        <f>IF(VLOOKUP(TableFields[Field],Columns[],6,0)=0,"","-&gt;"&amp;VLOOKUP(TableFields[Field],Columns[],6,0))</f>
        <v>-&gt;default('Active')</v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3" spans="1:11" x14ac:dyDescent="0.25">
      <c r="A343" s="4" t="s">
        <v>1624</v>
      </c>
      <c r="B343" s="4" t="s">
        <v>288</v>
      </c>
      <c r="C343" s="4" t="str">
        <f>VLOOKUP(TableFields[Field],Columns[],2,0)&amp;"("</f>
        <v>audit(</v>
      </c>
      <c r="D343" s="4" t="str">
        <f>IF(VLOOKUP(TableFields[Field],Columns[],3,0)&lt;&gt;"","'"&amp;VLOOKUP(TableFields[Field],Columns[],3,0)&amp;"'","")</f>
        <v/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/>
      </c>
      <c r="G343" s="4" t="str">
        <f>IF(VLOOKUP(TableFields[Field],Columns[],6,0)=0,"","-&gt;"&amp;VLOOKUP(TableFields[Field],Columns[],6,0))</f>
        <v/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4" spans="1:11" x14ac:dyDescent="0.25">
      <c r="A344" s="4" t="s">
        <v>1944</v>
      </c>
      <c r="B344" s="5" t="s">
        <v>21</v>
      </c>
      <c r="C344" s="5" t="str">
        <f>VLOOKUP(TableFields[Field],Columns[],2,0)&amp;"("</f>
        <v>bigIncrements(</v>
      </c>
      <c r="D344" s="5" t="str">
        <f>IF(VLOOKUP(TableFields[Field],Columns[],3,0)&lt;&gt;"","'"&amp;VLOOKUP(TableFields[Field],Columns[],3,0)&amp;"'","")</f>
        <v>'id'</v>
      </c>
      <c r="E34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4" s="5" t="str">
        <f>IF(VLOOKUP(TableFields[Field],Columns[],5,0)=0,"","-&gt;"&amp;VLOOKUP(TableFields[Field],Columns[],5,0))</f>
        <v/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5" spans="1:11" x14ac:dyDescent="0.25">
      <c r="A345" s="4" t="s">
        <v>1944</v>
      </c>
      <c r="B345" s="5" t="s">
        <v>1945</v>
      </c>
      <c r="C345" s="5" t="str">
        <f>VLOOKUP(TableFields[Field],Columns[],2,0)&amp;"("</f>
        <v>foreignNullable(</v>
      </c>
      <c r="D345" s="5" t="str">
        <f>IF(VLOOKUP(TableFields[Field],Columns[],3,0)&lt;&gt;"","'"&amp;VLOOKUP(TableFields[Field],Columns[],3,0)&amp;"'","")</f>
        <v>'login_user'</v>
      </c>
      <c r="E34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5" s="5" t="str">
        <f>IF(VLOOKUP(TableFields[Field],Columns[],5,0)=0,"","-&gt;"&amp;VLOOKUP(TableFields[Field],Columns[],5,0))</f>
        <v/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6" spans="1:11" x14ac:dyDescent="0.25">
      <c r="A346" s="4" t="s">
        <v>1944</v>
      </c>
      <c r="B346" s="5" t="s">
        <v>1946</v>
      </c>
      <c r="C346" s="5" t="str">
        <f>VLOOKUP(TableFields[Field],Columns[],2,0)&amp;"("</f>
        <v>foreignNullable(</v>
      </c>
      <c r="D346" s="5" t="str">
        <f>IF(VLOOKUP(TableFields[Field],Columns[],3,0)&lt;&gt;"","'"&amp;VLOOKUP(TableFields[Field],Columns[],3,0)&amp;"'","")</f>
        <v>'executive_user'</v>
      </c>
      <c r="E34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6" s="5" t="str">
        <f>IF(VLOOKUP(TableFields[Field],Columns[],5,0)=0,"","-&gt;"&amp;VLOOKUP(TableFields[Field],Columns[],5,0))</f>
        <v/>
      </c>
      <c r="G346" s="5" t="str">
        <f>IF(VLOOKUP(TableFields[Field],Columns[],6,0)=0,"","-&gt;"&amp;VLOOKUP(TableFields[Field],Columns[],6,0))</f>
        <v/>
      </c>
      <c r="H346" s="5" t="str">
        <f>IF(VLOOKUP(TableFields[Field],Columns[],7,0)=0,"","-&gt;"&amp;VLOOKUP(TableFields[Field],Columns[],7,0))</f>
        <v/>
      </c>
      <c r="I346" s="5" t="str">
        <f>IF(VLOOKUP(TableFields[Field],Columns[],8,0)=0,"","-&gt;"&amp;VLOOKUP(TableFields[Field],Columns[],8,0))</f>
        <v/>
      </c>
      <c r="J346" s="5" t="str">
        <f>IF(VLOOKUP(TableFields[Field],Columns[],9,0)=0,"","-&gt;"&amp;VLOOKUP(TableFields[Field],Columns[],9,0))</f>
        <v/>
      </c>
      <c r="K346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47" spans="1:11" x14ac:dyDescent="0.25">
      <c r="A347" s="4" t="s">
        <v>1944</v>
      </c>
      <c r="B347" s="5" t="s">
        <v>288</v>
      </c>
      <c r="C347" s="5" t="str">
        <f>VLOOKUP(TableFields[Field],Columns[],2,0)&amp;"("</f>
        <v>audit(</v>
      </c>
      <c r="D347" s="5" t="str">
        <f>IF(VLOOKUP(TableFields[Field],Columns[],3,0)&lt;&gt;"","'"&amp;VLOOKUP(TableFields[Field],Columns[],3,0)&amp;"'","")</f>
        <v/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8" spans="1:11" x14ac:dyDescent="0.25">
      <c r="A348" s="4" t="s">
        <v>2004</v>
      </c>
      <c r="B348" s="5" t="s">
        <v>21</v>
      </c>
      <c r="C348" s="5" t="str">
        <f>VLOOKUP(TableFields[Field],Columns[],2,0)&amp;"("</f>
        <v>bigIncrements(</v>
      </c>
      <c r="D348" s="5" t="str">
        <f>IF(VLOOKUP(TableFields[Field],Columns[],3,0)&lt;&gt;"","'"&amp;VLOOKUP(TableFields[Field],Columns[],3,0)&amp;"'","")</f>
        <v>'id'</v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8" s="5" t="str">
        <f>IF(VLOOKUP(TableFields[Field],Columns[],5,0)=0,"","-&gt;"&amp;VLOOKUP(TableFields[Field],Columns[],5,0))</f>
        <v/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9" spans="1:11" s="20" customFormat="1" x14ac:dyDescent="0.25">
      <c r="A349" s="4" t="s">
        <v>2004</v>
      </c>
      <c r="B349" s="5" t="s">
        <v>858</v>
      </c>
      <c r="C349" s="5" t="str">
        <f>VLOOKUP(TableFields[Field],Columns[],2,0)&amp;"("</f>
        <v>char(</v>
      </c>
      <c r="D349" s="5" t="str">
        <f>IF(VLOOKUP(TableFields[Field],Columns[],3,0)&lt;&gt;"","'"&amp;VLOOKUP(TableFields[Field],Columns[],3,0)&amp;"'","")</f>
        <v>'fncode'</v>
      </c>
      <c r="E3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49" s="5" t="str">
        <f>IF(VLOOKUP(TableFields[Field],Columns[],5,0)=0,"","-&gt;"&amp;VLOOKUP(TableFields[Field],Columns[],5,0))</f>
        <v>-&gt;nullable()</v>
      </c>
      <c r="G349" s="5" t="str">
        <f>IF(VLOOKUP(TableFields[Field],Columns[],6,0)=0,"","-&gt;"&amp;VLOOKUP(TableFields[Field],Columns[],6,0))</f>
        <v>-&gt;index()</v>
      </c>
      <c r="H349" s="5" t="str">
        <f>IF(VLOOKUP(TableFields[Field],Columns[],7,0)=0,"","-&gt;"&amp;VLOOKUP(TableFields[Field],Columns[],7,0))</f>
        <v/>
      </c>
      <c r="I349" s="5" t="str">
        <f>IF(VLOOKUP(TableFields[Field],Columns[],8,0)=0,"","-&gt;"&amp;VLOOKUP(TableFields[Field],Columns[],8,0))</f>
        <v/>
      </c>
      <c r="J349" s="5" t="str">
        <f>IF(VLOOKUP(TableFields[Field],Columns[],9,0)=0,"","-&gt;"&amp;VLOOKUP(TableFields[Field],Columns[],9,0))</f>
        <v/>
      </c>
      <c r="K349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50" spans="1:11" x14ac:dyDescent="0.25">
      <c r="A350" s="4" t="s">
        <v>2004</v>
      </c>
      <c r="B350" s="5" t="s">
        <v>1990</v>
      </c>
      <c r="C350" s="5" t="str">
        <f>VLOOKUP(TableFields[Field],Columns[],2,0)&amp;"("</f>
        <v>string(</v>
      </c>
      <c r="D350" s="5" t="str">
        <f>IF(VLOOKUP(TableFields[Field],Columns[],3,0)&lt;&gt;"","'"&amp;VLOOKUP(TableFields[Field],Columns[],3,0)&amp;"'","")</f>
        <v>'query1'</v>
      </c>
      <c r="E3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0" s="5" t="str">
        <f>IF(VLOOKUP(TableFields[Field],Columns[],5,0)=0,"","-&gt;"&amp;VLOOKUP(TableFields[Field],Columns[],5,0))</f>
        <v>-&gt;nullable()</v>
      </c>
      <c r="G350" s="5" t="str">
        <f>IF(VLOOKUP(TableFields[Field],Columns[],6,0)=0,"","-&gt;"&amp;VLOOKUP(TableFields[Field],Columns[],6,0))</f>
        <v/>
      </c>
      <c r="H350" s="5" t="str">
        <f>IF(VLOOKUP(TableFields[Field],Columns[],7,0)=0,"","-&gt;"&amp;VLOOKUP(TableFields[Field],Columns[],7,0))</f>
        <v/>
      </c>
      <c r="I350" s="5" t="str">
        <f>IF(VLOOKUP(TableFields[Field],Columns[],8,0)=0,"","-&gt;"&amp;VLOOKUP(TableFields[Field],Columns[],8,0))</f>
        <v/>
      </c>
      <c r="J350" s="5" t="str">
        <f>IF(VLOOKUP(TableFields[Field],Columns[],9,0)=0,"","-&gt;"&amp;VLOOKUP(TableFields[Field],Columns[],9,0))</f>
        <v/>
      </c>
      <c r="K350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$table-&gt;string('query1', '1024')-&gt;nullable();</v>
      </c>
    </row>
    <row r="351" spans="1:11" x14ac:dyDescent="0.25">
      <c r="A351" s="4" t="s">
        <v>2004</v>
      </c>
      <c r="B351" s="5" t="s">
        <v>1991</v>
      </c>
      <c r="C351" s="5" t="str">
        <f>VLOOKUP(TableFields[Field],Columns[],2,0)&amp;"("</f>
        <v>string(</v>
      </c>
      <c r="D351" s="5" t="str">
        <f>IF(VLOOKUP(TableFields[Field],Columns[],3,0)&lt;&gt;"","'"&amp;VLOOKUP(TableFields[Field],Columns[],3,0)&amp;"'","")</f>
        <v>'query2'</v>
      </c>
      <c r="E3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1" s="5" t="str">
        <f>IF(VLOOKUP(TableFields[Field],Columns[],5,0)=0,"","-&gt;"&amp;VLOOKUP(TableFields[Field],Columns[],5,0))</f>
        <v>-&gt;nullable()</v>
      </c>
      <c r="G351" s="5" t="str">
        <f>IF(VLOOKUP(TableFields[Field],Columns[],6,0)=0,"","-&gt;"&amp;VLOOKUP(TableFields[Field],Columns[],6,0))</f>
        <v/>
      </c>
      <c r="H351" s="5" t="str">
        <f>IF(VLOOKUP(TableFields[Field],Columns[],7,0)=0,"","-&gt;"&amp;VLOOKUP(TableFields[Field],Columns[],7,0))</f>
        <v/>
      </c>
      <c r="I351" s="5" t="str">
        <f>IF(VLOOKUP(TableFields[Field],Columns[],8,0)=0,"","-&gt;"&amp;VLOOKUP(TableFields[Field],Columns[],8,0))</f>
        <v/>
      </c>
      <c r="J351" s="5" t="str">
        <f>IF(VLOOKUP(TableFields[Field],Columns[],9,0)=0,"","-&gt;"&amp;VLOOKUP(TableFields[Field],Columns[],9,0))</f>
        <v/>
      </c>
      <c r="K351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$table-&gt;string('query2', '1024')-&gt;nullable();</v>
      </c>
    </row>
    <row r="352" spans="1:11" x14ac:dyDescent="0.25">
      <c r="A352" s="4" t="s">
        <v>2004</v>
      </c>
      <c r="B352" s="5" t="s">
        <v>1992</v>
      </c>
      <c r="C352" s="5" t="str">
        <f>VLOOKUP(TableFields[Field],Columns[],2,0)&amp;"("</f>
        <v>string(</v>
      </c>
      <c r="D352" s="5" t="str">
        <f>IF(VLOOKUP(TableFields[Field],Columns[],3,0)&lt;&gt;"","'"&amp;VLOOKUP(TableFields[Field],Columns[],3,0)&amp;"'","")</f>
        <v>'query3'</v>
      </c>
      <c r="E3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2" s="5" t="str">
        <f>IF(VLOOKUP(TableFields[Field],Columns[],5,0)=0,"","-&gt;"&amp;VLOOKUP(TableFields[Field],Columns[],5,0))</f>
        <v>-&gt;nullable()</v>
      </c>
      <c r="G352" s="5" t="str">
        <f>IF(VLOOKUP(TableFields[Field],Columns[],6,0)=0,"","-&gt;"&amp;VLOOKUP(TableFields[Field],Columns[],6,0))</f>
        <v/>
      </c>
      <c r="H352" s="5" t="str">
        <f>IF(VLOOKUP(TableFields[Field],Columns[],7,0)=0,"","-&gt;"&amp;VLOOKUP(TableFields[Field],Columns[],7,0))</f>
        <v/>
      </c>
      <c r="I352" s="5" t="str">
        <f>IF(VLOOKUP(TableFields[Field],Columns[],8,0)=0,"","-&gt;"&amp;VLOOKUP(TableFields[Field],Columns[],8,0))</f>
        <v/>
      </c>
      <c r="J352" s="5" t="str">
        <f>IF(VLOOKUP(TableFields[Field],Columns[],9,0)=0,"","-&gt;"&amp;VLOOKUP(TableFields[Field],Columns[],9,0))</f>
        <v/>
      </c>
      <c r="K352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$table-&gt;string('query3', '1024')-&gt;nullable();</v>
      </c>
    </row>
    <row r="353" spans="1:11" x14ac:dyDescent="0.25">
      <c r="A353" s="4" t="s">
        <v>2004</v>
      </c>
      <c r="B353" s="5" t="s">
        <v>1996</v>
      </c>
      <c r="C353" s="5" t="str">
        <f>VLOOKUP(TableFields[Field],Columns[],2,0)&amp;"("</f>
        <v>string(</v>
      </c>
      <c r="D353" s="5" t="str">
        <f>IF(VLOOKUP(TableFields[Field],Columns[],3,0)&lt;&gt;"","'"&amp;VLOOKUP(TableFields[Field],Columns[],3,0)&amp;"'","")</f>
        <v>'query1_props'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3" s="5" t="str">
        <f>IF(VLOOKUP(TableFields[Field],Columns[],5,0)=0,"","-&gt;"&amp;VLOOKUP(TableFields[Field],Columns[],5,0))</f>
        <v>-&gt;nullable()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$table-&gt;string('query1_props', '512')-&gt;nullable();</v>
      </c>
    </row>
    <row r="354" spans="1:11" x14ac:dyDescent="0.25">
      <c r="A354" s="4" t="s">
        <v>2004</v>
      </c>
      <c r="B354" s="5" t="s">
        <v>1997</v>
      </c>
      <c r="C354" s="5" t="str">
        <f>VLOOKUP(TableFields[Field],Columns[],2,0)&amp;"("</f>
        <v>string(</v>
      </c>
      <c r="D354" s="5" t="str">
        <f>IF(VLOOKUP(TableFields[Field],Columns[],3,0)&lt;&gt;"","'"&amp;VLOOKUP(TableFields[Field],Columns[],3,0)&amp;"'","")</f>
        <v>'query2_props'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4" s="5" t="str">
        <f>IF(VLOOKUP(TableFields[Field],Columns[],5,0)=0,"","-&gt;"&amp;VLOOKUP(TableFields[Field],Columns[],5,0))</f>
        <v>-&gt;nullable()</v>
      </c>
      <c r="G354" s="5" t="str">
        <f>IF(VLOOKUP(TableFields[Field],Columns[],6,0)=0,"","-&gt;"&amp;VLOOKUP(TableFields[Field],Columns[],6,0))</f>
        <v/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$table-&gt;string('query2_props', '512')-&gt;nullable();</v>
      </c>
    </row>
    <row r="355" spans="1:11" x14ac:dyDescent="0.25">
      <c r="A355" s="4" t="s">
        <v>2004</v>
      </c>
      <c r="B355" s="5" t="s">
        <v>1998</v>
      </c>
      <c r="C355" s="5" t="str">
        <f>VLOOKUP(TableFields[Field],Columns[],2,0)&amp;"("</f>
        <v>string(</v>
      </c>
      <c r="D355" s="5" t="str">
        <f>IF(VLOOKUP(TableFields[Field],Columns[],3,0)&lt;&gt;"","'"&amp;VLOOKUP(TableFields[Field],Columns[],3,0)&amp;"'","")</f>
        <v>'query3_props'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5" s="5" t="str">
        <f>IF(VLOOKUP(TableFields[Field],Columns[],5,0)=0,"","-&gt;"&amp;VLOOKUP(TableFields[Field],Columns[],5,0))</f>
        <v>-&gt;nullable()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$table-&gt;string('query3_props', '512')-&gt;nullable();</v>
      </c>
    </row>
    <row r="356" spans="1:11" x14ac:dyDescent="0.25">
      <c r="A356" s="4" t="s">
        <v>2004</v>
      </c>
      <c r="B356" s="5" t="s">
        <v>1993</v>
      </c>
      <c r="C356" s="5" t="str">
        <f>VLOOKUP(TableFields[Field],Columns[],2,0)&amp;"("</f>
        <v>string(</v>
      </c>
      <c r="D356" s="5" t="str">
        <f>IF(VLOOKUP(TableFields[Field],Columns[],3,0)&lt;&gt;"","'"&amp;VLOOKUP(TableFields[Field],Columns[],3,0)&amp;"'","")</f>
        <v>'header1'</v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6" s="5" t="str">
        <f>IF(VLOOKUP(TableFields[Field],Columns[],5,0)=0,"","-&gt;"&amp;VLOOKUP(TableFields[Field],Columns[],5,0))</f>
        <v>-&gt;nullable()</v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$table-&gt;string('header1', '512')-&gt;nullable();</v>
      </c>
    </row>
    <row r="357" spans="1:11" x14ac:dyDescent="0.25">
      <c r="A357" s="4" t="s">
        <v>2004</v>
      </c>
      <c r="B357" s="5" t="s">
        <v>1994</v>
      </c>
      <c r="C357" s="5" t="str">
        <f>VLOOKUP(TableFields[Field],Columns[],2,0)&amp;"("</f>
        <v>string(</v>
      </c>
      <c r="D357" s="5" t="str">
        <f>IF(VLOOKUP(TableFields[Field],Columns[],3,0)&lt;&gt;"","'"&amp;VLOOKUP(TableFields[Field],Columns[],3,0)&amp;"'","")</f>
        <v>'header2'</v>
      </c>
      <c r="E35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7" s="5" t="str">
        <f>IF(VLOOKUP(TableFields[Field],Columns[],5,0)=0,"","-&gt;"&amp;VLOOKUP(TableFields[Field],Columns[],5,0))</f>
        <v>-&gt;nullable()</v>
      </c>
      <c r="G357" s="5" t="str">
        <f>IF(VLOOKUP(TableFields[Field],Columns[],6,0)=0,"","-&gt;"&amp;VLOOKUP(TableFields[Field],Columns[],6,0))</f>
        <v/>
      </c>
      <c r="H357" s="5" t="str">
        <f>IF(VLOOKUP(TableFields[Field],Columns[],7,0)=0,"","-&gt;"&amp;VLOOKUP(TableFields[Field],Columns[],7,0))</f>
        <v/>
      </c>
      <c r="I357" s="5" t="str">
        <f>IF(VLOOKUP(TableFields[Field],Columns[],8,0)=0,"","-&gt;"&amp;VLOOKUP(TableFields[Field],Columns[],8,0))</f>
        <v/>
      </c>
      <c r="J357" s="5" t="str">
        <f>IF(VLOOKUP(TableFields[Field],Columns[],9,0)=0,"","-&gt;"&amp;VLOOKUP(TableFields[Field],Columns[],9,0))</f>
        <v/>
      </c>
      <c r="K357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$table-&gt;string('header2', '512')-&gt;nullable();</v>
      </c>
    </row>
    <row r="358" spans="1:11" x14ac:dyDescent="0.25">
      <c r="A358" s="4" t="s">
        <v>2004</v>
      </c>
      <c r="B358" s="5" t="s">
        <v>1995</v>
      </c>
      <c r="C358" s="5" t="str">
        <f>VLOOKUP(TableFields[Field],Columns[],2,0)&amp;"("</f>
        <v>string(</v>
      </c>
      <c r="D358" s="5" t="str">
        <f>IF(VLOOKUP(TableFields[Field],Columns[],3,0)&lt;&gt;"","'"&amp;VLOOKUP(TableFields[Field],Columns[],3,0)&amp;"'","")</f>
        <v>'header3'</v>
      </c>
      <c r="E3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8" s="5" t="str">
        <f>IF(VLOOKUP(TableFields[Field],Columns[],5,0)=0,"","-&gt;"&amp;VLOOKUP(TableFields[Field],Columns[],5,0))</f>
        <v>-&gt;nullable()</v>
      </c>
      <c r="G358" s="5" t="str">
        <f>IF(VLOOKUP(TableFields[Field],Columns[],6,0)=0,"","-&gt;"&amp;VLOOKUP(TableFields[Field],Columns[],6,0))</f>
        <v/>
      </c>
      <c r="H358" s="5" t="str">
        <f>IF(VLOOKUP(TableFields[Field],Columns[],7,0)=0,"","-&gt;"&amp;VLOOKUP(TableFields[Field],Columns[],7,0))</f>
        <v/>
      </c>
      <c r="I358" s="5" t="str">
        <f>IF(VLOOKUP(TableFields[Field],Columns[],8,0)=0,"","-&gt;"&amp;VLOOKUP(TableFields[Field],Columns[],8,0))</f>
        <v/>
      </c>
      <c r="J358" s="5" t="str">
        <f>IF(VLOOKUP(TableFields[Field],Columns[],9,0)=0,"","-&gt;"&amp;VLOOKUP(TableFields[Field],Columns[],9,0))</f>
        <v/>
      </c>
      <c r="K358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$table-&gt;string('header3', '512')-&gt;nullable();</v>
      </c>
    </row>
    <row r="359" spans="1:11" x14ac:dyDescent="0.25">
      <c r="A359" s="4" t="s">
        <v>2004</v>
      </c>
      <c r="B359" s="5" t="s">
        <v>1999</v>
      </c>
      <c r="C359" s="5" t="str">
        <f>VLOOKUP(TableFields[Field],Columns[],2,0)&amp;"("</f>
        <v>string(</v>
      </c>
      <c r="D359" s="5" t="str">
        <f>IF(VLOOKUP(TableFields[Field],Columns[],3,0)&lt;&gt;"","'"&amp;VLOOKUP(TableFields[Field],Columns[],3,0)&amp;"'","")</f>
        <v>'footer1'</v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9" s="5" t="str">
        <f>IF(VLOOKUP(TableFields[Field],Columns[],5,0)=0,"","-&gt;"&amp;VLOOKUP(TableFields[Field],Columns[],5,0))</f>
        <v>-&gt;nullable()</v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$table-&gt;string('footer1', '512')-&gt;nullable();</v>
      </c>
    </row>
    <row r="360" spans="1:11" x14ac:dyDescent="0.25">
      <c r="A360" s="4" t="s">
        <v>2004</v>
      </c>
      <c r="B360" s="5" t="s">
        <v>2000</v>
      </c>
      <c r="C360" s="5" t="str">
        <f>VLOOKUP(TableFields[Field],Columns[],2,0)&amp;"("</f>
        <v>string(</v>
      </c>
      <c r="D360" s="5" t="str">
        <f>IF(VLOOKUP(TableFields[Field],Columns[],3,0)&lt;&gt;"","'"&amp;VLOOKUP(TableFields[Field],Columns[],3,0)&amp;"'","")</f>
        <v>'footer2'</v>
      </c>
      <c r="E36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0" s="5" t="str">
        <f>IF(VLOOKUP(TableFields[Field],Columns[],5,0)=0,"","-&gt;"&amp;VLOOKUP(TableFields[Field],Columns[],5,0))</f>
        <v>-&gt;nullable()</v>
      </c>
      <c r="G360" s="5" t="str">
        <f>IF(VLOOKUP(TableFields[Field],Columns[],6,0)=0,"","-&gt;"&amp;VLOOKUP(TableFields[Field],Columns[],6,0))</f>
        <v/>
      </c>
      <c r="H360" s="5" t="str">
        <f>IF(VLOOKUP(TableFields[Field],Columns[],7,0)=0,"","-&gt;"&amp;VLOOKUP(TableFields[Field],Columns[],7,0))</f>
        <v/>
      </c>
      <c r="I360" s="5" t="str">
        <f>IF(VLOOKUP(TableFields[Field],Columns[],8,0)=0,"","-&gt;"&amp;VLOOKUP(TableFields[Field],Columns[],8,0))</f>
        <v/>
      </c>
      <c r="J360" s="5" t="str">
        <f>IF(VLOOKUP(TableFields[Field],Columns[],9,0)=0,"","-&gt;"&amp;VLOOKUP(TableFields[Field],Columns[],9,0))</f>
        <v/>
      </c>
      <c r="K360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$table-&gt;string('footer2', '512')-&gt;nullable();</v>
      </c>
    </row>
    <row r="361" spans="1:11" x14ac:dyDescent="0.25">
      <c r="A361" s="4" t="s">
        <v>2004</v>
      </c>
      <c r="B361" s="5" t="s">
        <v>2001</v>
      </c>
      <c r="C361" s="5" t="str">
        <f>VLOOKUP(TableFields[Field],Columns[],2,0)&amp;"("</f>
        <v>string(</v>
      </c>
      <c r="D361" s="5" t="str">
        <f>IF(VLOOKUP(TableFields[Field],Columns[],3,0)&lt;&gt;"","'"&amp;VLOOKUP(TableFields[Field],Columns[],3,0)&amp;"'","")</f>
        <v>'footer3'</v>
      </c>
      <c r="E36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1" s="5" t="str">
        <f>IF(VLOOKUP(TableFields[Field],Columns[],5,0)=0,"","-&gt;"&amp;VLOOKUP(TableFields[Field],Columns[],5,0))</f>
        <v>-&gt;nullable()</v>
      </c>
      <c r="G361" s="5" t="str">
        <f>IF(VLOOKUP(TableFields[Field],Columns[],6,0)=0,"","-&gt;"&amp;VLOOKUP(TableFields[Field],Columns[],6,0))</f>
        <v/>
      </c>
      <c r="H361" s="5" t="str">
        <f>IF(VLOOKUP(TableFields[Field],Columns[],7,0)=0,"","-&gt;"&amp;VLOOKUP(TableFields[Field],Columns[],7,0))</f>
        <v/>
      </c>
      <c r="I361" s="5" t="str">
        <f>IF(VLOOKUP(TableFields[Field],Columns[],8,0)=0,"","-&gt;"&amp;VLOOKUP(TableFields[Field],Columns[],8,0))</f>
        <v/>
      </c>
      <c r="J361" s="5" t="str">
        <f>IF(VLOOKUP(TableFields[Field],Columns[],9,0)=0,"","-&gt;"&amp;VLOOKUP(TableFields[Field],Columns[],9,0))</f>
        <v/>
      </c>
      <c r="K361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$table-&gt;string('footer3', '512')-&gt;nullable();</v>
      </c>
    </row>
    <row r="362" spans="1:11" s="20" customFormat="1" x14ac:dyDescent="0.25">
      <c r="A362" s="4" t="s">
        <v>2004</v>
      </c>
      <c r="B362" s="5" t="s">
        <v>2002</v>
      </c>
      <c r="C362" s="5" t="str">
        <f>VLOOKUP(TableFields[Field],Columns[],2,0)&amp;"("</f>
        <v>text(</v>
      </c>
      <c r="D362" s="5" t="str">
        <f>IF(VLOOKUP(TableFields[Field],Columns[],3,0)&lt;&gt;"","'"&amp;VLOOKUP(TableFields[Field],Columns[],3,0)&amp;"'","")</f>
        <v>'object'</v>
      </c>
      <c r="E3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2" s="5" t="str">
        <f>IF(VLOOKUP(TableFields[Field],Columns[],5,0)=0,"","-&gt;"&amp;VLOOKUP(TableFields[Field],Columns[],5,0))</f>
        <v>-&gt;nullable()</v>
      </c>
      <c r="G362" s="5" t="str">
        <f>IF(VLOOKUP(TableFields[Field],Columns[],6,0)=0,"","-&gt;"&amp;VLOOKUP(TableFields[Field],Columns[],6,0))</f>
        <v/>
      </c>
      <c r="H362" s="5" t="str">
        <f>IF(VLOOKUP(TableFields[Field],Columns[],7,0)=0,"","-&gt;"&amp;VLOOKUP(TableFields[Field],Columns[],7,0))</f>
        <v/>
      </c>
      <c r="I362" s="5" t="str">
        <f>IF(VLOOKUP(TableFields[Field],Columns[],8,0)=0,"","-&gt;"&amp;VLOOKUP(TableFields[Field],Columns[],8,0))</f>
        <v/>
      </c>
      <c r="J362" s="5" t="str">
        <f>IF(VLOOKUP(TableFields[Field],Columns[],9,0)=0,"","-&gt;"&amp;VLOOKUP(TableFields[Field],Columns[],9,0))</f>
        <v/>
      </c>
      <c r="K362" s="5" t="str">
        <f>"$table-&gt;"&amp;TableFields[Type]&amp;TableFields[Name]&amp;TableFields[Arg2]&amp;TableFields[Method1]&amp;TableFields[Method2]&amp;TableFields[Method3]&amp;TableFields[Method4]&amp;TableFields[Method5]&amp;";"</f>
        <v>$table-&gt;text('object')-&gt;nullable();</v>
      </c>
    </row>
    <row r="363" spans="1:11" x14ac:dyDescent="0.25">
      <c r="A363" s="4" t="s">
        <v>2004</v>
      </c>
      <c r="B363" s="5" t="s">
        <v>775</v>
      </c>
      <c r="C363" s="5" t="str">
        <f>VLOOKUP(TableFields[Field],Columns[],2,0)&amp;"("</f>
        <v>enum(</v>
      </c>
      <c r="D363" s="5" t="str">
        <f>IF(VLOOKUP(TableFields[Field],Columns[],3,0)&lt;&gt;"","'"&amp;VLOOKUP(TableFields[Field],Columns[],3,0)&amp;"'","")</f>
        <v>'status'</v>
      </c>
      <c r="E3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63" s="5" t="str">
        <f>IF(VLOOKUP(TableFields[Field],Columns[],5,0)=0,"","-&gt;"&amp;VLOOKUP(TableFields[Field],Columns[],5,0))</f>
        <v>-&gt;nullable()</v>
      </c>
      <c r="G363" s="5" t="str">
        <f>IF(VLOOKUP(TableFields[Field],Columns[],6,0)=0,"","-&gt;"&amp;VLOOKUP(TableFields[Field],Columns[],6,0))</f>
        <v>-&gt;default('Active')</v>
      </c>
      <c r="H363" s="5" t="str">
        <f>IF(VLOOKUP(TableFields[Field],Columns[],7,0)=0,"","-&gt;"&amp;VLOOKUP(TableFields[Field],Columns[],7,0))</f>
        <v/>
      </c>
      <c r="I363" s="5" t="str">
        <f>IF(VLOOKUP(TableFields[Field],Columns[],8,0)=0,"","-&gt;"&amp;VLOOKUP(TableFields[Field],Columns[],8,0))</f>
        <v/>
      </c>
      <c r="J363" s="5" t="str">
        <f>IF(VLOOKUP(TableFields[Field],Columns[],9,0)=0,"","-&gt;"&amp;VLOOKUP(TableFields[Field],Columns[],9,0))</f>
        <v/>
      </c>
      <c r="K363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64" spans="1:11" x14ac:dyDescent="0.25">
      <c r="A364" s="4" t="s">
        <v>2004</v>
      </c>
      <c r="B364" s="5" t="s">
        <v>288</v>
      </c>
      <c r="C364" s="5" t="str">
        <f>VLOOKUP(TableFields[Field],Columns[],2,0)&amp;"("</f>
        <v>audit(</v>
      </c>
      <c r="D364" s="5" t="str">
        <f>IF(VLOOKUP(TableFields[Field],Columns[],3,0)&lt;&gt;"","'"&amp;VLOOKUP(TableFields[Field],Columns[],3,0)&amp;"'","")</f>
        <v/>
      </c>
      <c r="E3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4" s="5" t="str">
        <f>IF(VLOOKUP(TableFields[Field],Columns[],5,0)=0,"","-&gt;"&amp;VLOOKUP(TableFields[Field],Columns[],5,0))</f>
        <v/>
      </c>
      <c r="G364" s="5" t="str">
        <f>IF(VLOOKUP(TableFields[Field],Columns[],6,0)=0,"","-&gt;"&amp;VLOOKUP(TableFields[Field],Columns[],6,0))</f>
        <v/>
      </c>
      <c r="H364" s="5" t="str">
        <f>IF(VLOOKUP(TableFields[Field],Columns[],7,0)=0,"","-&gt;"&amp;VLOOKUP(TableFields[Field],Columns[],7,0))</f>
        <v/>
      </c>
      <c r="I364" s="5" t="str">
        <f>IF(VLOOKUP(TableFields[Field],Columns[],8,0)=0,"","-&gt;"&amp;VLOOKUP(TableFields[Field],Columns[],8,0))</f>
        <v/>
      </c>
      <c r="J364" s="5" t="str">
        <f>IF(VLOOKUP(TableFields[Field],Columns[],9,0)=0,"","-&gt;"&amp;VLOOKUP(TableFields[Field],Columns[],9,0))</f>
        <v/>
      </c>
      <c r="K364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272:B273">
    <cfRule type="duplicateValues" dxfId="448" priority="7"/>
  </conditionalFormatting>
  <conditionalFormatting sqref="B323">
    <cfRule type="duplicateValues" dxfId="447" priority="3"/>
  </conditionalFormatting>
  <conditionalFormatting sqref="B337:B338">
    <cfRule type="duplicateValues" dxfId="446" priority="2"/>
  </conditionalFormatting>
  <conditionalFormatting sqref="B337:B338">
    <cfRule type="duplicateValues" dxfId="445" priority="1"/>
  </conditionalFormatting>
  <conditionalFormatting sqref="B163:B170">
    <cfRule type="duplicateValues" dxfId="444" priority="204"/>
  </conditionalFormatting>
  <dataValidations count="2">
    <dataValidation type="list" allowBlank="1" showInputMessage="1" showErrorMessage="1" sqref="B2:B364">
      <formula1>AvailableFields</formula1>
    </dataValidation>
    <dataValidation type="list" allowBlank="1" showInputMessage="1" showErrorMessage="1" sqref="A2:A36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B22" workbookViewId="0">
      <selection activeCell="E35" sqref="E35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1363</v>
      </c>
      <c r="E3" s="64" t="s">
        <v>1364</v>
      </c>
      <c r="F3" s="64" t="s">
        <v>1425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1570</v>
      </c>
      <c r="E4" s="64" t="s">
        <v>1571</v>
      </c>
      <c r="F4" s="64" t="s">
        <v>1572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1573</v>
      </c>
      <c r="E5" s="64" t="s">
        <v>1574</v>
      </c>
      <c r="F5" s="64" t="s">
        <v>1575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1365</v>
      </c>
      <c r="G6" s="64" t="s">
        <v>1366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60" t="str">
        <f>TableData[Table Name]&amp;"-"&amp;(COUNTIF($B$1:TableData[[#This Row],[Table Name]],TableData[[#This Row],[Table Name]])-1)</f>
        <v>Groups-0</v>
      </c>
      <c r="B35" s="64" t="s">
        <v>76</v>
      </c>
      <c r="C3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5" s="64" t="s">
        <v>23</v>
      </c>
      <c r="E35" s="64" t="s">
        <v>24</v>
      </c>
      <c r="F35" s="64" t="s">
        <v>25</v>
      </c>
      <c r="G35" s="64" t="s">
        <v>1411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</row>
    <row r="36" spans="1:18" x14ac:dyDescent="0.25">
      <c r="A36" s="60" t="str">
        <f>TableData[Table Name]&amp;"-"&amp;(COUNTIF($B$1:TableData[[#This Row],[Table Name]],TableData[[#This Row],[Table Name]])-1)</f>
        <v>Groups-1</v>
      </c>
      <c r="B36" s="64" t="s">
        <v>76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6" s="64" t="s">
        <v>1576</v>
      </c>
      <c r="E36" s="64" t="s">
        <v>1572</v>
      </c>
      <c r="F36" s="64" t="s">
        <v>1577</v>
      </c>
      <c r="G36" s="64" t="s">
        <v>1578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Groups-2</v>
      </c>
      <c r="B37" s="64" t="s">
        <v>76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37" s="64" t="s">
        <v>1579</v>
      </c>
      <c r="E37" s="64" t="s">
        <v>1425</v>
      </c>
      <c r="F37" s="64" t="s">
        <v>1580</v>
      </c>
      <c r="G37" s="64" t="s">
        <v>1581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Groups-3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38" s="64" t="s">
        <v>1434</v>
      </c>
      <c r="E38" s="64" t="s">
        <v>1582</v>
      </c>
      <c r="F38" s="64" t="s">
        <v>1437</v>
      </c>
      <c r="G38" s="64" t="s">
        <v>1583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Groups-4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39" s="64" t="s">
        <v>1584</v>
      </c>
      <c r="E39" s="64" t="s">
        <v>1585</v>
      </c>
      <c r="F39" s="64" t="s">
        <v>1586</v>
      </c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 Roles-0</v>
      </c>
      <c r="B40" s="64" t="s">
        <v>93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0" s="64" t="s">
        <v>63</v>
      </c>
      <c r="E40" s="64" t="s">
        <v>65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 Roles-1</v>
      </c>
      <c r="B41" s="64" t="s">
        <v>93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1" s="64">
        <v>301101</v>
      </c>
      <c r="E41" s="64">
        <v>303102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 Roles-2</v>
      </c>
      <c r="B42" s="64" t="s">
        <v>93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2" s="64">
        <v>301102</v>
      </c>
      <c r="E42" s="64">
        <v>303101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Roles-3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3" s="64">
        <v>301103</v>
      </c>
      <c r="E43" s="64">
        <v>303103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30" t="str">
        <f>TableData[Table Name]&amp;"-"&amp;(COUNTIF($B$1:TableData[[#This Row],[Table Name]],TableData[[#This Row],[Table Name]])-1)</f>
        <v>Users-0</v>
      </c>
      <c r="B44" s="78" t="s">
        <v>78</v>
      </c>
      <c r="C4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4" s="78" t="s">
        <v>23</v>
      </c>
      <c r="E44" s="78" t="s">
        <v>1414</v>
      </c>
      <c r="F44" s="78" t="s">
        <v>1817</v>
      </c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1:18" x14ac:dyDescent="0.25">
      <c r="A45" s="30" t="str">
        <f>TableData[Table Name]&amp;"-"&amp;(COUNTIF($B$1:TableData[[#This Row],[Table Name]],TableData[[#This Row],[Table Name]])-1)</f>
        <v>Users-1</v>
      </c>
      <c r="B45" s="78" t="s">
        <v>78</v>
      </c>
      <c r="C4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5" s="78" t="s">
        <v>1818</v>
      </c>
      <c r="E45" s="78" t="s">
        <v>1819</v>
      </c>
      <c r="F45" s="78" t="s">
        <v>1821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1:18" x14ac:dyDescent="0.25">
      <c r="A46" s="30" t="str">
        <f>TableData[Table Name]&amp;"-"&amp;(COUNTIF($B$1:TableData[[#This Row],[Table Name]],TableData[[#This Row],[Table Name]])-1)</f>
        <v>Users-2</v>
      </c>
      <c r="B46" s="78" t="s">
        <v>78</v>
      </c>
      <c r="C4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6" s="78" t="s">
        <v>1820</v>
      </c>
      <c r="E46" s="78" t="s">
        <v>1822</v>
      </c>
      <c r="F46" s="78" t="s">
        <v>1821</v>
      </c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1:18" x14ac:dyDescent="0.25">
      <c r="A47" s="30" t="str">
        <f>TableData[Table Name]&amp;"-"&amp;(COUNTIF($B$1:TableData[[#This Row],[Table Name]],TableData[[#This Row],[Table Name]])-1)</f>
        <v>Group Users-0</v>
      </c>
      <c r="B47" s="78" t="s">
        <v>1426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7" s="78" t="s">
        <v>63</v>
      </c>
      <c r="E47" s="78" t="s">
        <v>64</v>
      </c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Group Users-1</v>
      </c>
      <c r="B48" s="78" t="s">
        <v>1426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48" s="78">
        <v>1</v>
      </c>
      <c r="E48" s="78">
        <v>300101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Group Users-2</v>
      </c>
      <c r="B49" s="78" t="s">
        <v>1426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49" s="78">
        <v>3</v>
      </c>
      <c r="E49" s="78">
        <v>300102</v>
      </c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15" t="str">
        <f>TableData[Table Name]&amp;"-"&amp;(COUNTIF($B$1:TableData[[#This Row],[Table Name]],TableData[[#This Row],[Table Name]])-1)</f>
        <v>Settings-0</v>
      </c>
      <c r="B50" s="13" t="s">
        <v>1297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13" t="s">
        <v>23</v>
      </c>
      <c r="E50" s="13" t="s">
        <v>24</v>
      </c>
      <c r="F50" s="13" t="s">
        <v>44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5">
      <c r="A51" s="15" t="str">
        <f>TableData[Table Name]&amp;"-"&amp;(COUNTIF($B$1:TableData[[#This Row],[Table Name]],TableData[[#This Row],[Table Name]])-1)</f>
        <v>MenuType-0</v>
      </c>
      <c r="B51" s="13" t="s">
        <v>1837</v>
      </c>
      <c r="C5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1" s="13" t="s">
        <v>23</v>
      </c>
      <c r="E51" s="13" t="s">
        <v>1828</v>
      </c>
      <c r="F51" s="13" t="s">
        <v>1859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5" t="str">
        <f>TableData[Table Name]&amp;"-"&amp;(COUNTIF($B$1:TableData[[#This Row],[Table Name]],TableData[[#This Row],[Table Name]])-1)</f>
        <v>MenuType-1</v>
      </c>
      <c r="B52" s="13" t="s">
        <v>1837</v>
      </c>
      <c r="C5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2" s="13" t="s">
        <v>1843</v>
      </c>
      <c r="E52" s="13" t="s">
        <v>1843</v>
      </c>
      <c r="F52" s="13" t="s">
        <v>1851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5" t="str">
        <f>TableData[Table Name]&amp;"-"&amp;(COUNTIF($B$1:TableData[[#This Row],[Table Name]],TableData[[#This Row],[Table Name]])-1)</f>
        <v>MenuType-2</v>
      </c>
      <c r="B53" s="13" t="s">
        <v>1837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3" s="13" t="s">
        <v>1844</v>
      </c>
      <c r="E53" s="13" t="s">
        <v>1844</v>
      </c>
      <c r="F53" s="13" t="s">
        <v>1852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MenuType-3</v>
      </c>
      <c r="B54" s="13" t="s">
        <v>1837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4" s="13" t="s">
        <v>1845</v>
      </c>
      <c r="E54" s="13" t="s">
        <v>1845</v>
      </c>
      <c r="F54" s="13" t="s">
        <v>1853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MenuType-4</v>
      </c>
      <c r="B55" s="13" t="s">
        <v>1837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5" s="13" t="s">
        <v>1846</v>
      </c>
      <c r="E55" s="13" t="s">
        <v>1846</v>
      </c>
      <c r="F55" s="13" t="s">
        <v>1854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MenuType-5</v>
      </c>
      <c r="B56" s="13" t="s">
        <v>1837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6" s="13" t="s">
        <v>1842</v>
      </c>
      <c r="E56" s="13" t="s">
        <v>1842</v>
      </c>
      <c r="F56" s="13" t="s">
        <v>1855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MenuType-6</v>
      </c>
      <c r="B57" s="13" t="s">
        <v>1837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7" s="13" t="s">
        <v>1847</v>
      </c>
      <c r="E57" s="13" t="s">
        <v>1847</v>
      </c>
      <c r="F57" s="13" t="s">
        <v>1879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MenuType-7</v>
      </c>
      <c r="B58" s="13" t="s">
        <v>1837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58" s="13" t="s">
        <v>1848</v>
      </c>
      <c r="E58" s="13" t="s">
        <v>1848</v>
      </c>
      <c r="F58" s="13" t="s">
        <v>1856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MenuType-8</v>
      </c>
      <c r="B59" s="13" t="s">
        <v>1837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59" s="13" t="s">
        <v>1849</v>
      </c>
      <c r="E59" s="13" t="s">
        <v>1849</v>
      </c>
      <c r="F59" s="13" t="s">
        <v>1857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MenuType-9</v>
      </c>
      <c r="B60" s="13" t="s">
        <v>1837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0" s="13" t="s">
        <v>1850</v>
      </c>
      <c r="E60" s="13" t="s">
        <v>1850</v>
      </c>
      <c r="F60" s="13" t="s">
        <v>1858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30" t="str">
        <f>TableData[Table Name]&amp;"-"&amp;(COUNTIF($B$1:TableData[[#This Row],[Table Name]],TableData[[#This Row],[Table Name]])-1)</f>
        <v>MenuType-10</v>
      </c>
      <c r="B61" s="78" t="s">
        <v>1837</v>
      </c>
      <c r="C6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1" s="78" t="s">
        <v>1877</v>
      </c>
      <c r="E61" s="78" t="s">
        <v>1877</v>
      </c>
      <c r="F61" s="13" t="s">
        <v>1878</v>
      </c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9" workbookViewId="0">
      <selection activeCell="A70" sqref="A70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1362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1426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1465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1277</v>
      </c>
      <c r="B44" s="5" t="s">
        <v>1073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1427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1837</v>
      </c>
      <c r="B45" s="1" t="s">
        <v>1835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1427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1427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1297</v>
      </c>
      <c r="B47" s="1" t="s">
        <v>1272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1427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1280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1427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1696</v>
      </c>
      <c r="B49" s="5" t="s">
        <v>1681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1427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1282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1427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1697</v>
      </c>
      <c r="B51" s="5" t="s">
        <v>1695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1427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1712</v>
      </c>
      <c r="B52" s="5" t="s">
        <v>1702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1427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1283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1427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1284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1427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1281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1427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1285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1427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1286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1427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1287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1427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1288</v>
      </c>
      <c r="B59" s="5" t="s">
        <v>1273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1427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1289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1427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1293</v>
      </c>
      <c r="B61" s="5" t="s">
        <v>949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1427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1294</v>
      </c>
      <c r="B62" s="5" t="s">
        <v>950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1427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1290</v>
      </c>
      <c r="B63" s="5" t="s">
        <v>898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1427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1291</v>
      </c>
      <c r="B64" s="5" t="s">
        <v>899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1427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1292</v>
      </c>
      <c r="B65" s="5" t="s">
        <v>1054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1427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1295</v>
      </c>
      <c r="B66" s="4" t="s">
        <v>906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1427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1623</v>
      </c>
      <c r="B67" s="4" t="s">
        <v>1614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1427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1838</v>
      </c>
      <c r="B68" s="4" t="s">
        <v>1624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1427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1959</v>
      </c>
      <c r="B69" s="2" t="s">
        <v>1944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1427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5" t="s">
        <v>2007</v>
      </c>
      <c r="B70" s="2" t="s">
        <v>2004</v>
      </c>
      <c r="C70" s="5" t="str">
        <f>VLOOKUP(SeedMap[Table Name],Tables[],4,0)</f>
        <v>Milestone\SS\Model</v>
      </c>
      <c r="D70" s="5" t="str">
        <f>VLOOKUP(SeedMap[Table Name],Tables[],5,0)</f>
        <v>Printing</v>
      </c>
      <c r="E70" s="4" t="s">
        <v>161</v>
      </c>
      <c r="F70" s="4" t="s">
        <v>341</v>
      </c>
      <c r="G70" s="90">
        <v>2</v>
      </c>
      <c r="H70" s="7" t="s">
        <v>1427</v>
      </c>
      <c r="I70" s="31"/>
      <c r="J70" s="8" t="str">
        <f>IF(ISNUMBER(SeedMap[Last ID]),"\DB::statement('ALTER TABLE `" &amp;VLOOKUP(SeedMap[[#This Row],[Table Name]],Tables[[Name]:[Table]],2,0) &amp; "`  AUTO_INCREMENT=" &amp; SeedMap[Last ID]+1&amp;"');","")</f>
        <v/>
      </c>
      <c r="K7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0">
      <formula1>TableNames</formula1>
    </dataValidation>
    <dataValidation type="list" allowBlank="1" showInputMessage="1" showErrorMessage="1" sqref="H2:H70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topLeftCell="A24" workbookViewId="0">
      <selection activeCell="B6" sqref="B6:R39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92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\Milestone\Appframe\Model\Resource::query()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ResourceTable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[[Primary]:[Development]]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title</v>
      </c>
      <c r="G5" s="25" t="str">
        <f t="shared" ca="1" si="1"/>
        <v>namespace</v>
      </c>
      <c r="H5" s="25" t="str">
        <f t="shared" ca="1" si="1"/>
        <v>table</v>
      </c>
      <c r="I5" s="25" t="str">
        <f t="shared" ca="1" si="1"/>
        <v>controller</v>
      </c>
      <c r="J5" s="25" t="str">
        <f t="shared" ca="1" si="1"/>
        <v>controller_namespace</v>
      </c>
      <c r="K5" s="25" t="str">
        <f t="shared" ca="1" si="1"/>
        <v>development</v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\Milestone\Appframe\Model\Resource::query()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'305101',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'User', </v>
      </c>
      <c r="E9" s="118" t="str">
        <f t="shared" ca="1" si="2"/>
        <v xml:space="preserve">'description' =&gt; 'Users of Smart Sale', </v>
      </c>
      <c r="F9" s="118" t="str">
        <f t="shared" ca="1" si="2"/>
        <v xml:space="preserve">'title' =&gt; 'Users', </v>
      </c>
      <c r="G9" s="118" t="str">
        <f t="shared" ca="1" si="2"/>
        <v xml:space="preserve">'namespace' =&gt; 'Milestone\SS\Model', </v>
      </c>
      <c r="H9" s="118" t="str">
        <f t="shared" ca="1" si="2"/>
        <v xml:space="preserve">'table' =&gt; 'users', </v>
      </c>
      <c r="I9" s="118" t="str">
        <f t="shared" ca="1" si="2"/>
        <v/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'305102', </v>
      </c>
      <c r="D10" s="118" t="str">
        <f t="shared" ca="1" si="2"/>
        <v xml:space="preserve">'name' =&gt; 'Setup', </v>
      </c>
      <c r="E10" s="118" t="str">
        <f t="shared" ca="1" si="2"/>
        <v xml:space="preserve">'description' =&gt; 'ePlus setup details', </v>
      </c>
      <c r="F10" s="118" t="str">
        <f t="shared" ca="1" si="2"/>
        <v xml:space="preserve">'title' =&gt; 'Setup', </v>
      </c>
      <c r="G10" s="118" t="str">
        <f t="shared" ca="1" si="2"/>
        <v xml:space="preserve">'namespace' =&gt; 'Milestone\SS\Model', </v>
      </c>
      <c r="H10" s="118" t="str">
        <f t="shared" ca="1" si="2"/>
        <v xml:space="preserve">'table' =&gt; 'setup', </v>
      </c>
      <c r="I10" s="118" t="str">
        <f t="shared" ca="1" si="2"/>
        <v/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'305103', </v>
      </c>
      <c r="D11" s="118" t="str">
        <f t="shared" ca="1" si="2"/>
        <v xml:space="preserve">'name' =&gt; 'MenuType', </v>
      </c>
      <c r="E11" s="118" t="str">
        <f t="shared" ca="1" si="2"/>
        <v xml:space="preserve">'description' =&gt; 'Menu group to display name mapper', </v>
      </c>
      <c r="F11" s="118" t="str">
        <f t="shared" ca="1" si="2"/>
        <v xml:space="preserve">'title' =&gt; 'Menu Group', </v>
      </c>
      <c r="G11" s="118" t="str">
        <f t="shared" ca="1" si="2"/>
        <v xml:space="preserve">'namespace' =&gt; 'Milestone\SS\Model', </v>
      </c>
      <c r="H11" s="118" t="str">
        <f t="shared" ca="1" si="2"/>
        <v xml:space="preserve">'table' =&gt; 'menu_types', </v>
      </c>
      <c r="I11" s="118" t="str">
        <f t="shared" ca="1" si="2"/>
        <v/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'305104', </v>
      </c>
      <c r="D12" s="118" t="str">
        <f t="shared" ca="1" si="2"/>
        <v xml:space="preserve">'name' =&gt; 'Menu', </v>
      </c>
      <c r="E12" s="118" t="str">
        <f t="shared" ca="1" si="2"/>
        <v xml:space="preserve">'description' =&gt; 'Menu details', </v>
      </c>
      <c r="F12" s="118" t="str">
        <f t="shared" ca="1" si="2"/>
        <v xml:space="preserve">'title' =&gt; 'Menu', </v>
      </c>
      <c r="G12" s="118" t="str">
        <f t="shared" ca="1" si="2"/>
        <v xml:space="preserve">'namespace' =&gt; 'Milestone\SS\Model', </v>
      </c>
      <c r="H12" s="118" t="str">
        <f t="shared" ca="1" si="2"/>
        <v xml:space="preserve">'table' =&gt; 'menu', </v>
      </c>
      <c r="I12" s="118" t="str">
        <f t="shared" ca="1" si="2"/>
        <v/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118" t="str">
        <f t="shared" ca="1" si="4"/>
        <v xml:space="preserve">'id' =&gt; '305105', </v>
      </c>
      <c r="D13" s="118" t="str">
        <f t="shared" ca="1" si="2"/>
        <v xml:space="preserve">'name' =&gt; 'Setting', </v>
      </c>
      <c r="E13" s="118" t="str">
        <f t="shared" ca="1" si="2"/>
        <v xml:space="preserve">'description' =&gt; 'Settings available in web and mob interface', </v>
      </c>
      <c r="F13" s="118" t="str">
        <f t="shared" ca="1" si="2"/>
        <v xml:space="preserve">'title' =&gt; 'Settings', </v>
      </c>
      <c r="G13" s="118" t="str">
        <f t="shared" ca="1" si="2"/>
        <v xml:space="preserve">'namespace' =&gt; 'Milestone\SS\Model', </v>
      </c>
      <c r="H13" s="118" t="str">
        <f t="shared" ca="1" si="2"/>
        <v xml:space="preserve">'table' =&gt; 'settings', </v>
      </c>
      <c r="I13" s="118" t="str">
        <f t="shared" ca="1" si="2"/>
        <v/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118" t="str">
        <f t="shared" ca="1" si="4"/>
        <v xml:space="preserve">'id' =&gt; '305106', </v>
      </c>
      <c r="D14" s="118" t="str">
        <f t="shared" ca="1" si="2"/>
        <v xml:space="preserve">'name' =&gt; 'Fiscalyearmaster', </v>
      </c>
      <c r="E14" s="118" t="str">
        <f t="shared" ca="1" si="2"/>
        <v xml:space="preserve">'description' =&gt; 'Financial Years', </v>
      </c>
      <c r="F14" s="118" t="str">
        <f t="shared" ca="1" si="2"/>
        <v xml:space="preserve">'title' =&gt; 'Fiscal Year', </v>
      </c>
      <c r="G14" s="118" t="str">
        <f t="shared" ca="1" si="2"/>
        <v xml:space="preserve">'namespace' =&gt; 'Milestone\SS\Model', </v>
      </c>
      <c r="H14" s="118" t="str">
        <f t="shared" ca="1" si="2"/>
        <v xml:space="preserve">'table' =&gt; 'fiscalyearmaster', </v>
      </c>
      <c r="I14" s="118" t="str">
        <f t="shared" ca="1" si="2"/>
        <v/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118" t="str">
        <f t="shared" ca="1" si="4"/>
        <v xml:space="preserve">'id' =&gt; '305107', </v>
      </c>
      <c r="D15" s="118" t="str">
        <f t="shared" ca="1" si="2"/>
        <v xml:space="preserve">'name' =&gt; 'ProductGroupMaster', </v>
      </c>
      <c r="E15" s="118" t="str">
        <f t="shared" ca="1" si="2"/>
        <v xml:space="preserve">'description' =&gt; 'Groups like Category, Brand etc', </v>
      </c>
      <c r="F15" s="118" t="str">
        <f t="shared" ca="1" si="2"/>
        <v xml:space="preserve">'title' =&gt; 'Product Group Masters', </v>
      </c>
      <c r="G15" s="118" t="str">
        <f t="shared" ca="1" si="2"/>
        <v xml:space="preserve">'namespace' =&gt; 'Milestone\SS\Model', </v>
      </c>
      <c r="H15" s="118" t="str">
        <f t="shared" ca="1" si="2"/>
        <v xml:space="preserve">'table' =&gt; 'product_group_master', </v>
      </c>
      <c r="I15" s="118" t="str">
        <f t="shared" ca="1" si="2"/>
        <v/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118" t="str">
        <f t="shared" ca="1" si="4"/>
        <v xml:space="preserve">'id' =&gt; '305108', </v>
      </c>
      <c r="D16" s="118" t="str">
        <f t="shared" ca="1" si="2"/>
        <v xml:space="preserve">'name' =&gt; 'Product', </v>
      </c>
      <c r="E16" s="118" t="str">
        <f t="shared" ca="1" si="2"/>
        <v xml:space="preserve">'description' =&gt; 'Products or Items', </v>
      </c>
      <c r="F16" s="118" t="str">
        <f t="shared" ca="1" si="2"/>
        <v xml:space="preserve">'title' =&gt; 'Products', </v>
      </c>
      <c r="G16" s="118" t="str">
        <f t="shared" ca="1" si="2"/>
        <v xml:space="preserve">'namespace' =&gt; 'Milestone\SS\Model', </v>
      </c>
      <c r="H16" s="118" t="str">
        <f t="shared" ca="1" si="2"/>
        <v xml:space="preserve">'table' =&gt; 'products', </v>
      </c>
      <c r="I16" s="118" t="str">
        <f t="shared" ca="1" si="2"/>
        <v/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118" t="str">
        <f t="shared" ca="1" si="4"/>
        <v xml:space="preserve">'id' =&gt; '305109', </v>
      </c>
      <c r="D17" s="118" t="str">
        <f t="shared" ca="1" si="2"/>
        <v xml:space="preserve">'name' =&gt; 'ProductGroup', </v>
      </c>
      <c r="E17" s="118" t="str">
        <f t="shared" ca="1" si="2"/>
        <v xml:space="preserve">'description' =&gt; 'Products and the groups they belongs to', </v>
      </c>
      <c r="F17" s="118" t="str">
        <f t="shared" ca="1" si="2"/>
        <v xml:space="preserve">'title' =&gt; 'Product Groups', </v>
      </c>
      <c r="G17" s="118" t="str">
        <f t="shared" ca="1" si="2"/>
        <v xml:space="preserve">'namespace' =&gt; 'Milestone\SS\Model', </v>
      </c>
      <c r="H17" s="118" t="str">
        <f t="shared" ca="1" si="2"/>
        <v xml:space="preserve">'table' =&gt; 'product_groups', </v>
      </c>
      <c r="I17" s="118" t="str">
        <f t="shared" ca="1" si="2"/>
        <v/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'305110', </v>
      </c>
      <c r="D18" s="50" t="str">
        <f t="shared" ca="1" si="2"/>
        <v xml:space="preserve">'name' =&gt; 'ProductImage', </v>
      </c>
      <c r="E18" s="50" t="str">
        <f t="shared" ca="1" si="2"/>
        <v xml:space="preserve">'description' =&gt; 'Images for  a product', </v>
      </c>
      <c r="F18" s="50" t="str">
        <f t="shared" ca="1" si="2"/>
        <v xml:space="preserve">'title' =&gt; 'Product Images', </v>
      </c>
      <c r="G18" s="50" t="str">
        <f t="shared" ca="1" si="2"/>
        <v xml:space="preserve">'namespace' =&gt; 'Milestone\SS\Model', </v>
      </c>
      <c r="H18" s="50" t="str">
        <f t="shared" ca="1" si="2"/>
        <v xml:space="preserve">'table' =&gt; 'product_images', </v>
      </c>
      <c r="I18" s="50" t="str">
        <f t="shared" ca="1" si="2"/>
        <v xml:space="preserve">'controller' =&gt; 'ProductImageController', </v>
      </c>
      <c r="J18" s="50" t="str">
        <f t="shared" ca="1" si="2"/>
        <v xml:space="preserve">'controller_namespace' =&gt; 'Milestone\SS\Controller', </v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'305111', </v>
      </c>
      <c r="D19" s="50" t="str">
        <f t="shared" ca="1" si="2"/>
        <v xml:space="preserve">'name' =&gt; 'Pricelist', </v>
      </c>
      <c r="E19" s="50" t="str">
        <f t="shared" ca="1" si="2"/>
        <v xml:space="preserve">'description' =&gt; 'Price list header', </v>
      </c>
      <c r="F19" s="50" t="str">
        <f t="shared" ca="1" si="2"/>
        <v xml:space="preserve">'title' =&gt; 'Price List', </v>
      </c>
      <c r="G19" s="50" t="str">
        <f t="shared" ca="1" si="2"/>
        <v xml:space="preserve">'namespace' =&gt; 'Milestone\SS\Model', </v>
      </c>
      <c r="H19" s="50" t="str">
        <f t="shared" ca="1" si="2"/>
        <v xml:space="preserve">'table' =&gt; 'pricelist', </v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'305112', </v>
      </c>
      <c r="D20" s="50" t="str">
        <f t="shared" ca="1" si="2"/>
        <v xml:space="preserve">'name' =&gt; 'PricelistProduct', </v>
      </c>
      <c r="E20" s="50" t="str">
        <f t="shared" ca="1" si="2"/>
        <v xml:space="preserve">'description' =&gt; 'Price list products', </v>
      </c>
      <c r="F20" s="50" t="str">
        <f t="shared" ca="1" si="2"/>
        <v xml:space="preserve">'title' =&gt; 'Price List Products', </v>
      </c>
      <c r="G20" s="50" t="str">
        <f t="shared" ca="1" si="2"/>
        <v xml:space="preserve">'namespace' =&gt; 'Milestone\SS\Model', </v>
      </c>
      <c r="H20" s="50" t="str">
        <f t="shared" ca="1" si="2"/>
        <v xml:space="preserve">'table' =&gt; 'pricelist_products', </v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'305113', </v>
      </c>
      <c r="D21" s="50" t="str">
        <f t="shared" ca="1" si="2"/>
        <v xml:space="preserve">'name' =&gt; 'Functiondetail', </v>
      </c>
      <c r="E21" s="50" t="str">
        <f t="shared" ca="1" si="2"/>
        <v xml:space="preserve">'description' =&gt; 'ePlus functions', </v>
      </c>
      <c r="F21" s="50" t="str">
        <f t="shared" ca="1" si="2"/>
        <v xml:space="preserve">'title' =&gt; 'ePlus Functions', </v>
      </c>
      <c r="G21" s="50" t="str">
        <f t="shared" ca="1" si="2"/>
        <v xml:space="preserve">'namespace' =&gt; 'Milestone\SS\Model', </v>
      </c>
      <c r="H21" s="50" t="str">
        <f t="shared" ca="1" si="2"/>
        <v xml:space="preserve">'table' =&gt; 'functiondetails', </v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'305114', </v>
      </c>
      <c r="D22" s="50" t="str">
        <f t="shared" ca="1" si="2"/>
        <v xml:space="preserve">'name' =&gt; 'Store', </v>
      </c>
      <c r="E22" s="50" t="str">
        <f t="shared" ca="1" si="2"/>
        <v xml:space="preserve">'description' =&gt; 'Stores', </v>
      </c>
      <c r="F22" s="50" t="str">
        <f t="shared" ca="1" si="2"/>
        <v xml:space="preserve">'title' =&gt; 'Stores', </v>
      </c>
      <c r="G22" s="50" t="str">
        <f t="shared" ca="1" si="2"/>
        <v xml:space="preserve">'namespace' =&gt; 'Milestone\SS\Model', </v>
      </c>
      <c r="H22" s="50" t="str">
        <f t="shared" ca="1" si="2"/>
        <v xml:space="preserve">'table' =&gt; 'stores', </v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'305115', </v>
      </c>
      <c r="D23" s="50" t="str">
        <f t="shared" ca="1" si="2"/>
        <v xml:space="preserve">'name' =&gt; 'Area', </v>
      </c>
      <c r="E23" s="50" t="str">
        <f t="shared" ca="1" si="2"/>
        <v xml:space="preserve">'description' =&gt; 'Areas', </v>
      </c>
      <c r="F23" s="50" t="str">
        <f t="shared" ca="1" si="2"/>
        <v xml:space="preserve">'title' =&gt; 'Areas', </v>
      </c>
      <c r="G23" s="50" t="str">
        <f t="shared" ca="1" si="2"/>
        <v xml:space="preserve">'namespace' =&gt; 'Milestone\SS\Model', </v>
      </c>
      <c r="H23" s="50" t="str">
        <f t="shared" ca="1" si="2"/>
        <v xml:space="preserve">'table' =&gt; 'areas', </v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'305116', </v>
      </c>
      <c r="D24" s="50" t="str">
        <f t="shared" ca="1" si="2"/>
        <v xml:space="preserve">'name' =&gt; 'AreaUser', </v>
      </c>
      <c r="E24" s="50" t="str">
        <f t="shared" ca="1" si="2"/>
        <v xml:space="preserve">'description' =&gt; 'Users in an area', </v>
      </c>
      <c r="F24" s="50" t="str">
        <f t="shared" ca="1" si="2"/>
        <v xml:space="preserve">'title' =&gt; 'Area User', </v>
      </c>
      <c r="G24" s="50" t="str">
        <f t="shared" ca="1" si="2"/>
        <v xml:space="preserve">'namespace' =&gt; 'Milestone\SS\Model', </v>
      </c>
      <c r="H24" s="50" t="str">
        <f t="shared" ca="1" si="2"/>
        <v xml:space="preserve">'table' =&gt; 'area_users', </v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'305117', </v>
      </c>
      <c r="D25" s="50" t="str">
        <f t="shared" ca="1" si="4"/>
        <v xml:space="preserve">'name' =&gt; 'UserSetting', </v>
      </c>
      <c r="E25" s="50" t="str">
        <f t="shared" ca="1" si="4"/>
        <v xml:space="preserve">'description' =&gt; 'Web and Mob settings for each user', </v>
      </c>
      <c r="F25" s="50" t="str">
        <f t="shared" ca="1" si="4"/>
        <v xml:space="preserve">'title' =&gt; 'User Settings', </v>
      </c>
      <c r="G25" s="50" t="str">
        <f t="shared" ca="1" si="4"/>
        <v xml:space="preserve">'namespace' =&gt; 'Milestone\SS\Model', </v>
      </c>
      <c r="H25" s="50" t="str">
        <f t="shared" ca="1" si="4"/>
        <v xml:space="preserve">'table' =&gt; 'user_settings', </v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'305118', </v>
      </c>
      <c r="D26" s="50" t="str">
        <f t="shared" ca="1" si="4"/>
        <v xml:space="preserve">'name' =&gt; 'UserStoreArea', </v>
      </c>
      <c r="E26" s="50" t="str">
        <f t="shared" ca="1" si="4"/>
        <v xml:space="preserve">'description' =&gt; 'Stores and Areas assigned to a user (executive)', </v>
      </c>
      <c r="F26" s="50" t="str">
        <f t="shared" ca="1" si="4"/>
        <v xml:space="preserve">'title' =&gt; 'User Store and Area', </v>
      </c>
      <c r="G26" s="50" t="str">
        <f t="shared" ca="1" si="4"/>
        <v xml:space="preserve">'namespace' =&gt; 'Milestone\SS\Model', </v>
      </c>
      <c r="H26" s="50" t="str">
        <f t="shared" ca="1" si="4"/>
        <v xml:space="preserve">'table' =&gt; 'user_store_area', </v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'305119', </v>
      </c>
      <c r="D27" s="50" t="str">
        <f t="shared" ca="1" si="4"/>
        <v xml:space="preserve">'name' =&gt; 'SalesOrder', </v>
      </c>
      <c r="E27" s="50" t="str">
        <f t="shared" ca="1" si="4"/>
        <v xml:space="preserve">'description' =&gt; 'Sales orders', </v>
      </c>
      <c r="F27" s="50" t="str">
        <f t="shared" ca="1" si="4"/>
        <v xml:space="preserve">'title' =&gt; 'Sales Orders', </v>
      </c>
      <c r="G27" s="50" t="str">
        <f t="shared" ca="1" si="4"/>
        <v xml:space="preserve">'namespace' =&gt; 'Milestone\SS\Model', </v>
      </c>
      <c r="H27" s="50" t="str">
        <f t="shared" ca="1" si="4"/>
        <v xml:space="preserve">'table' =&gt; 'sales_order', </v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'305120', </v>
      </c>
      <c r="D28" s="50" t="str">
        <f t="shared" ca="1" si="4"/>
        <v xml:space="preserve">'name' =&gt; 'SalesOrderItem', </v>
      </c>
      <c r="E28" s="50" t="str">
        <f t="shared" ca="1" si="4"/>
        <v xml:space="preserve">'description' =&gt; 'Sales order items', </v>
      </c>
      <c r="F28" s="50" t="str">
        <f t="shared" ca="1" si="4"/>
        <v xml:space="preserve">'title' =&gt; 'Sales Order Items', </v>
      </c>
      <c r="G28" s="50" t="str">
        <f t="shared" ca="1" si="4"/>
        <v xml:space="preserve">'namespace' =&gt; 'Milestone\SS\Model', </v>
      </c>
      <c r="H28" s="50" t="str">
        <f t="shared" ca="1" si="4"/>
        <v xml:space="preserve">'table' =&gt; 'sales_order_items', </v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'305121', </v>
      </c>
      <c r="D29" s="50" t="str">
        <f t="shared" ca="1" si="4"/>
        <v xml:space="preserve">'name' =&gt; 'Transaction', </v>
      </c>
      <c r="E29" s="50" t="str">
        <f t="shared" ca="1" si="4"/>
        <v xml:space="preserve">'description' =&gt; 'Transaction header - customer, date, document number', </v>
      </c>
      <c r="F29" s="50" t="str">
        <f t="shared" ca="1" si="4"/>
        <v xml:space="preserve">'title' =&gt; 'Transactions', </v>
      </c>
      <c r="G29" s="50" t="str">
        <f t="shared" ca="1" si="4"/>
        <v xml:space="preserve">'namespace' =&gt; 'Milestone\SS\Model', </v>
      </c>
      <c r="H29" s="50" t="str">
        <f t="shared" ca="1" si="4"/>
        <v xml:space="preserve">'table' =&gt; 'transactions', </v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'305122', </v>
      </c>
      <c r="D30" s="50" t="str">
        <f t="shared" ca="1" si="4"/>
        <v xml:space="preserve">'name' =&gt; 'TransactionDetail', </v>
      </c>
      <c r="E30" s="50" t="str">
        <f t="shared" ca="1" si="4"/>
        <v xml:space="preserve">'description' =&gt; 'Products in a transaction, its price tax etc', </v>
      </c>
      <c r="F30" s="50" t="str">
        <f t="shared" ca="1" si="4"/>
        <v xml:space="preserve">'title' =&gt; 'Transaction Details', </v>
      </c>
      <c r="G30" s="50" t="str">
        <f t="shared" ca="1" si="4"/>
        <v xml:space="preserve">'namespace' =&gt; 'Milestone\SS\Model', </v>
      </c>
      <c r="H30" s="50" t="str">
        <f t="shared" ca="1" si="4"/>
        <v xml:space="preserve">'table' =&gt; 'transaction_details', </v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'305123', </v>
      </c>
      <c r="D31" s="50" t="str">
        <f t="shared" ca="1" si="4"/>
        <v xml:space="preserve">'name' =&gt; 'DData', </v>
      </c>
      <c r="E31" s="50" t="str">
        <f t="shared" ca="1" si="4"/>
        <v xml:space="preserve">'description' =&gt; 'ePlus ddata for detailed transaction bills', </v>
      </c>
      <c r="F31" s="50" t="str">
        <f t="shared" ca="1" si="4"/>
        <v xml:space="preserve">'title' =&gt; 'ePlus DData', </v>
      </c>
      <c r="G31" s="50" t="str">
        <f t="shared" ca="1" si="4"/>
        <v xml:space="preserve">'namespace' =&gt; 'Milestone\SS\Model', </v>
      </c>
      <c r="H31" s="50" t="str">
        <f t="shared" ca="1" si="4"/>
        <v xml:space="preserve">'table' =&gt; 'd_data', </v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'305124', </v>
      </c>
      <c r="D32" s="50" t="str">
        <f t="shared" ca="1" si="4"/>
        <v xml:space="preserve">'name' =&gt; 'StockTransfer', </v>
      </c>
      <c r="E32" s="50" t="str">
        <f t="shared" ca="1" si="4"/>
        <v xml:space="preserve">'description' =&gt; 'Stock transfer from and to a store', </v>
      </c>
      <c r="F32" s="50" t="str">
        <f t="shared" ca="1" si="4"/>
        <v xml:space="preserve">'title' =&gt; 'Stock Transfers', </v>
      </c>
      <c r="G32" s="50" t="str">
        <f t="shared" ca="1" si="4"/>
        <v xml:space="preserve">'namespace' =&gt; 'Milestone\SS\Model', </v>
      </c>
      <c r="H32" s="50" t="str">
        <f t="shared" ca="1" si="4"/>
        <v xml:space="preserve">'table' =&gt; 'stock_transfer', </v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'305125', </v>
      </c>
      <c r="D33" s="50" t="str">
        <f t="shared" ca="1" si="4"/>
        <v xml:space="preserve">'name' =&gt; 'WBin', </v>
      </c>
      <c r="E33" s="50" t="str">
        <f t="shared" ca="1" si="4"/>
        <v xml:space="preserve">'description' =&gt; 'Waste bin used while ePlus direct import', </v>
      </c>
      <c r="F33" s="50" t="str">
        <f t="shared" ca="1" si="4"/>
        <v xml:space="preserve">'title' =&gt; 'Waste Bin', </v>
      </c>
      <c r="G33" s="50" t="str">
        <f t="shared" ca="1" si="4"/>
        <v xml:space="preserve">'namespace' =&gt; 'Milestone\SS\Model', </v>
      </c>
      <c r="H33" s="50" t="str">
        <f t="shared" ca="1" si="4"/>
        <v xml:space="preserve">'table' =&gt; 'w_bin', </v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'305126', </v>
      </c>
      <c r="D34" s="50" t="str">
        <f t="shared" ca="1" si="4"/>
        <v xml:space="preserve">'name' =&gt; 'Receipt', </v>
      </c>
      <c r="E34" s="50" t="str">
        <f t="shared" ca="1" si="4"/>
        <v xml:space="preserve">'description' =&gt; 'Receipts', </v>
      </c>
      <c r="F34" s="50" t="str">
        <f t="shared" ca="1" si="4"/>
        <v xml:space="preserve">'title' =&gt; 'Receipts', </v>
      </c>
      <c r="G34" s="50" t="str">
        <f t="shared" ca="1" si="4"/>
        <v xml:space="preserve">'namespace' =&gt; 'Milestone\SS\Model', </v>
      </c>
      <c r="H34" s="50" t="str">
        <f t="shared" ca="1" si="4"/>
        <v xml:space="preserve">'table' =&gt; 'receipts', </v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'305127', </v>
      </c>
      <c r="D35" s="50" t="str">
        <f t="shared" ca="1" si="4"/>
        <v xml:space="preserve">'name' =&gt; 'FnReserve', </v>
      </c>
      <c r="E35" s="50" t="str">
        <f t="shared" ca="1" si="4"/>
        <v xml:space="preserve">'description' =&gt; 'Function Reserves', </v>
      </c>
      <c r="F35" s="50" t="str">
        <f t="shared" ca="1" si="4"/>
        <v xml:space="preserve">'title' =&gt; 'Function Reserves', </v>
      </c>
      <c r="G35" s="50" t="str">
        <f t="shared" ca="1" si="4"/>
        <v xml:space="preserve">'namespace' =&gt; 'Milestone\SS\Model', </v>
      </c>
      <c r="H35" s="50" t="str">
        <f t="shared" ca="1" si="4"/>
        <v xml:space="preserve">'table' =&gt; 'fn_reserves', </v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'305128', </v>
      </c>
      <c r="D36" s="50" t="str">
        <f t="shared" ca="1" si="4"/>
        <v xml:space="preserve">'name' =&gt; 'UserExecutive', </v>
      </c>
      <c r="E36" s="50" t="str">
        <f t="shared" ca="1" si="4"/>
        <v xml:space="preserve">'description' =&gt; 'User Executive Login Map', </v>
      </c>
      <c r="F36" s="50" t="str">
        <f t="shared" ca="1" si="4"/>
        <v xml:space="preserve">'title' =&gt; 'User Executive Map', </v>
      </c>
      <c r="G36" s="50" t="str">
        <f t="shared" ca="1" si="4"/>
        <v xml:space="preserve">'namespace' =&gt; 'Milestone\SS\Model', </v>
      </c>
      <c r="H36" s="50" t="str">
        <f t="shared" ca="1" si="4"/>
        <v xml:space="preserve">'table' =&gt; 'user_executive', </v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'305129', </v>
      </c>
      <c r="D37" s="50" t="str">
        <f t="shared" ca="1" si="4"/>
        <v xml:space="preserve">'name' =&gt; 'Printing', </v>
      </c>
      <c r="E37" s="50" t="str">
        <f t="shared" ca="1" si="4"/>
        <v xml:space="preserve">'description' =&gt; 'Printing details', </v>
      </c>
      <c r="F37" s="50" t="str">
        <f t="shared" ca="1" si="4"/>
        <v xml:space="preserve">'title' =&gt; 'Prints', </v>
      </c>
      <c r="G37" s="50" t="str">
        <f t="shared" ca="1" si="4"/>
        <v xml:space="preserve">'namespace' =&gt; 'Milestone\SS\Model', </v>
      </c>
      <c r="H37" s="50" t="str">
        <f t="shared" ca="1" si="4"/>
        <v xml:space="preserve">'table' =&gt; 'printings', </v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;</v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>\DB::statement('set foreign_key_checks = ' . $_);</v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E13" workbookViewId="0">
      <selection activeCell="F26" sqref="F26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1336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1279</v>
      </c>
      <c r="P3" s="4" t="s">
        <v>1401</v>
      </c>
      <c r="Q3" s="4" t="s">
        <v>1402</v>
      </c>
      <c r="R3" s="4" t="s">
        <v>1399</v>
      </c>
      <c r="S3" s="4" t="s">
        <v>1400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1277</v>
      </c>
      <c r="F4" s="4" t="s">
        <v>1278</v>
      </c>
      <c r="G4" s="4" t="s">
        <v>1277</v>
      </c>
      <c r="H4" s="7" t="str">
        <f t="shared" ref="H4" si="0">"Milestone\SS\Model"</f>
        <v>Milestone\SS\Model</v>
      </c>
      <c r="I4" s="4" t="s">
        <v>1073</v>
      </c>
      <c r="J4" s="4"/>
      <c r="K4" s="4"/>
      <c r="L4" s="4"/>
      <c r="M4" s="58">
        <f>ResourceTable[No]</f>
        <v>305102</v>
      </c>
      <c r="O4" s="4" t="s">
        <v>1288</v>
      </c>
      <c r="P4" s="4" t="s">
        <v>1491</v>
      </c>
      <c r="Q4" s="4" t="s">
        <v>1492</v>
      </c>
      <c r="R4" s="4" t="s">
        <v>1489</v>
      </c>
      <c r="S4" s="4" t="s">
        <v>1490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1837</v>
      </c>
      <c r="F5" s="2" t="s">
        <v>1839</v>
      </c>
      <c r="G5" s="2" t="s">
        <v>1841</v>
      </c>
      <c r="H5" s="9" t="str">
        <f t="shared" ref="H5:H6" si="1">"Milestone\SS\Model"</f>
        <v>Milestone\SS\Model</v>
      </c>
      <c r="I5" s="2" t="s">
        <v>1835</v>
      </c>
      <c r="J5" s="2"/>
      <c r="K5" s="2"/>
      <c r="L5" s="2"/>
      <c r="M5" s="59">
        <f>ResourceTable[No]</f>
        <v>305103</v>
      </c>
      <c r="O5" s="4" t="s">
        <v>1289</v>
      </c>
      <c r="P5" s="4" t="s">
        <v>1527</v>
      </c>
      <c r="Q5" s="4" t="s">
        <v>1528</v>
      </c>
      <c r="R5" s="4" t="s">
        <v>1525</v>
      </c>
      <c r="S5" s="4" t="s">
        <v>1526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1840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1279</v>
      </c>
      <c r="F7" s="4" t="s">
        <v>1315</v>
      </c>
      <c r="G7" s="4" t="s">
        <v>1297</v>
      </c>
      <c r="H7" s="7" t="str">
        <f t="shared" ref="H7:H27" si="2">"Milestone\SS\Model"</f>
        <v>Milestone\SS\Model</v>
      </c>
      <c r="I7" s="4" t="s">
        <v>1272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1280</v>
      </c>
      <c r="F8" s="5" t="s">
        <v>1316</v>
      </c>
      <c r="G8" s="5" t="s">
        <v>1298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1696</v>
      </c>
      <c r="F9" s="5" t="s">
        <v>1714</v>
      </c>
      <c r="G9" s="5" t="s">
        <v>1716</v>
      </c>
      <c r="H9" s="8" t="str">
        <f t="shared" ref="H9" si="3">"Milestone\SS\Model"</f>
        <v>Milestone\SS\Model</v>
      </c>
      <c r="I9" s="5" t="s">
        <v>1681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1282</v>
      </c>
      <c r="F10" s="5" t="s">
        <v>1318</v>
      </c>
      <c r="G10" s="5" t="s">
        <v>1300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1713</v>
      </c>
      <c r="F11" s="5" t="s">
        <v>1715</v>
      </c>
      <c r="G11" s="5" t="s">
        <v>1717</v>
      </c>
      <c r="H11" s="8" t="str">
        <f>"Milestone\SS\Model"</f>
        <v>Milestone\SS\Model</v>
      </c>
      <c r="I11" s="5" t="s">
        <v>1695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1718</v>
      </c>
      <c r="F12" s="5" t="s">
        <v>1719</v>
      </c>
      <c r="G12" s="5" t="s">
        <v>1720</v>
      </c>
      <c r="H12" s="8" t="str">
        <f>"Milestone\SS\Model"</f>
        <v>Milestone\SS\Model</v>
      </c>
      <c r="I12" s="5" t="s">
        <v>1702</v>
      </c>
      <c r="J12" s="5" t="s">
        <v>1826</v>
      </c>
      <c r="K12" s="5" t="s">
        <v>1827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1283</v>
      </c>
      <c r="F13" s="5" t="s">
        <v>1319</v>
      </c>
      <c r="G13" s="5" t="s">
        <v>1301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1284</v>
      </c>
      <c r="F14" s="5" t="s">
        <v>1320</v>
      </c>
      <c r="G14" s="5" t="s">
        <v>1302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1281</v>
      </c>
      <c r="F15" s="5" t="s">
        <v>1317</v>
      </c>
      <c r="G15" s="5" t="s">
        <v>1299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1285</v>
      </c>
      <c r="F16" s="5" t="s">
        <v>1303</v>
      </c>
      <c r="G16" s="5" t="s">
        <v>1303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1286</v>
      </c>
      <c r="F17" s="5" t="s">
        <v>1304</v>
      </c>
      <c r="G17" s="5" t="s">
        <v>1304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1287</v>
      </c>
      <c r="F18" s="5" t="s">
        <v>1321</v>
      </c>
      <c r="G18" s="5" t="s">
        <v>1305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1288</v>
      </c>
      <c r="F19" s="5" t="s">
        <v>1322</v>
      </c>
      <c r="G19" s="5" t="s">
        <v>1306</v>
      </c>
      <c r="H19" s="8" t="str">
        <f t="shared" si="2"/>
        <v>Milestone\SS\Model</v>
      </c>
      <c r="I19" s="5" t="s">
        <v>1273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1289</v>
      </c>
      <c r="F20" s="5" t="s">
        <v>1323</v>
      </c>
      <c r="G20" s="5" t="s">
        <v>1307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1293</v>
      </c>
      <c r="F21" s="5" t="s">
        <v>1326</v>
      </c>
      <c r="G21" s="5" t="s">
        <v>1311</v>
      </c>
      <c r="H21" s="8" t="str">
        <f t="shared" si="2"/>
        <v>Milestone\SS\Model</v>
      </c>
      <c r="I21" s="5" t="s">
        <v>949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1294</v>
      </c>
      <c r="F22" s="5" t="s">
        <v>1327</v>
      </c>
      <c r="G22" s="5" t="s">
        <v>1312</v>
      </c>
      <c r="H22" s="8" t="str">
        <f t="shared" si="2"/>
        <v>Milestone\SS\Model</v>
      </c>
      <c r="I22" s="5" t="s">
        <v>950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1290</v>
      </c>
      <c r="F23" s="5" t="s">
        <v>1324</v>
      </c>
      <c r="G23" s="5" t="s">
        <v>1308</v>
      </c>
      <c r="H23" s="8" t="str">
        <f t="shared" si="2"/>
        <v>Milestone\SS\Model</v>
      </c>
      <c r="I23" s="5" t="s">
        <v>898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1291</v>
      </c>
      <c r="F24" s="5" t="s">
        <v>1325</v>
      </c>
      <c r="G24" s="5" t="s">
        <v>1309</v>
      </c>
      <c r="H24" s="8" t="str">
        <f t="shared" si="2"/>
        <v>Milestone\SS\Model</v>
      </c>
      <c r="I24" s="5" t="s">
        <v>899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1292</v>
      </c>
      <c r="F25" s="5" t="s">
        <v>2010</v>
      </c>
      <c r="G25" s="5" t="s">
        <v>1310</v>
      </c>
      <c r="H25" s="8" t="str">
        <f t="shared" si="2"/>
        <v>Milestone\SS\Model</v>
      </c>
      <c r="I25" s="5" t="s">
        <v>1054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1295</v>
      </c>
      <c r="F26" s="5" t="s">
        <v>1328</v>
      </c>
      <c r="G26" s="5" t="s">
        <v>1313</v>
      </c>
      <c r="H26" s="8" t="str">
        <f t="shared" si="2"/>
        <v>Milestone\SS\Model</v>
      </c>
      <c r="I26" s="5" t="s">
        <v>906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1296</v>
      </c>
      <c r="F27" s="5" t="s">
        <v>1329</v>
      </c>
      <c r="G27" s="5" t="s">
        <v>1314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1623</v>
      </c>
      <c r="F28" s="4" t="s">
        <v>1636</v>
      </c>
      <c r="G28" s="4" t="s">
        <v>1636</v>
      </c>
      <c r="H28" s="7" t="str">
        <f>"Milestone\SS\Model"</f>
        <v>Milestone\SS\Model</v>
      </c>
      <c r="I28" s="4" t="s">
        <v>1614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1637</v>
      </c>
      <c r="F29" s="4" t="s">
        <v>1638</v>
      </c>
      <c r="G29" s="4" t="s">
        <v>1638</v>
      </c>
      <c r="H29" s="7" t="str">
        <f>"Milestone\SS\Model"</f>
        <v>Milestone\SS\Model</v>
      </c>
      <c r="I29" s="4" t="s">
        <v>1624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1959</v>
      </c>
      <c r="F30" s="1" t="s">
        <v>1960</v>
      </c>
      <c r="G30" s="1" t="s">
        <v>1961</v>
      </c>
      <c r="H30" s="6" t="str">
        <f>"Milestone\SS\Model"</f>
        <v>Milestone\SS\Model</v>
      </c>
      <c r="I30" s="1" t="s">
        <v>1944</v>
      </c>
      <c r="J30" s="1"/>
      <c r="K30" s="1"/>
      <c r="L30" s="1"/>
      <c r="M30" s="3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Printing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2007</v>
      </c>
      <c r="F31" s="5" t="s">
        <v>2008</v>
      </c>
      <c r="G31" s="5" t="s">
        <v>2009</v>
      </c>
      <c r="H31" s="8" t="str">
        <f>"Milestone\SS\Model"</f>
        <v>Milestone\SS\Model</v>
      </c>
      <c r="I31" s="1" t="s">
        <v>2004</v>
      </c>
      <c r="J31" s="5"/>
      <c r="K31" s="5"/>
      <c r="L31" s="5"/>
      <c r="M31" s="32">
        <f>ResourceTable[No]</f>
        <v>305129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E31" workbookViewId="0">
      <selection activeCell="L43" sqref="L43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1283</v>
      </c>
      <c r="F3" s="7" t="s">
        <v>1284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1331</v>
      </c>
      <c r="J3" s="60" t="s">
        <v>1333</v>
      </c>
      <c r="K3" s="60" t="s">
        <v>1331</v>
      </c>
      <c r="L3" s="30" t="s">
        <v>1330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1432</v>
      </c>
      <c r="V3" s="4" t="s">
        <v>1433</v>
      </c>
      <c r="W3" s="4" t="s">
        <v>1434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1284</v>
      </c>
      <c r="F4" s="7" t="s">
        <v>1283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1283</v>
      </c>
      <c r="J4" s="60" t="s">
        <v>1332</v>
      </c>
      <c r="K4" s="60" t="s">
        <v>1283</v>
      </c>
      <c r="L4" s="60" t="s">
        <v>1338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1591</v>
      </c>
      <c r="V4" s="4" t="s">
        <v>1592</v>
      </c>
      <c r="W4" s="4" t="s">
        <v>1593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1284</v>
      </c>
      <c r="F5" s="7" t="s">
        <v>1282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1282</v>
      </c>
      <c r="J5" s="60" t="s">
        <v>1334</v>
      </c>
      <c r="K5" s="60" t="s">
        <v>1282</v>
      </c>
      <c r="L5" s="60" t="s">
        <v>1338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1591</v>
      </c>
      <c r="V5" s="4" t="s">
        <v>1597</v>
      </c>
      <c r="W5" s="4" t="s">
        <v>1593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1287</v>
      </c>
      <c r="F6" s="7" t="s">
        <v>1286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1286</v>
      </c>
      <c r="J6" s="60" t="s">
        <v>1335</v>
      </c>
      <c r="K6" s="60" t="s">
        <v>1286</v>
      </c>
      <c r="L6" s="60" t="s">
        <v>1338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1293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1604</v>
      </c>
      <c r="V6" s="4" t="s">
        <v>1606</v>
      </c>
      <c r="W6" s="4" t="s">
        <v>1605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1287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1589</v>
      </c>
      <c r="J7" s="60" t="s">
        <v>1598</v>
      </c>
      <c r="K7" s="60" t="s">
        <v>1589</v>
      </c>
      <c r="L7" s="60" t="s">
        <v>1338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1290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1608</v>
      </c>
      <c r="V7" s="4" t="s">
        <v>1609</v>
      </c>
      <c r="W7" s="4" t="s">
        <v>1610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1286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1337</v>
      </c>
      <c r="K8" s="60" t="s">
        <v>74</v>
      </c>
      <c r="L8" s="60" t="s">
        <v>1339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1623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1639</v>
      </c>
      <c r="V8" s="4" t="s">
        <v>1640</v>
      </c>
      <c r="W8" s="4" t="s">
        <v>1641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1279</v>
      </c>
      <c r="F9" s="7" t="s">
        <v>1288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1403</v>
      </c>
      <c r="K9" s="60" t="s">
        <v>78</v>
      </c>
      <c r="L9" s="60" t="s">
        <v>1330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1290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1675</v>
      </c>
      <c r="V9" s="4" t="s">
        <v>1680</v>
      </c>
      <c r="W9" s="4" t="s">
        <v>1672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1286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1286</v>
      </c>
      <c r="J10" s="60" t="s">
        <v>1335</v>
      </c>
      <c r="K10" s="60" t="s">
        <v>1286</v>
      </c>
      <c r="L10" s="60" t="s">
        <v>1339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1673</v>
      </c>
      <c r="V10" s="4" t="s">
        <v>1679</v>
      </c>
      <c r="W10" s="4" t="s">
        <v>1674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1288</v>
      </c>
      <c r="F11" s="7" t="s">
        <v>1279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1297</v>
      </c>
      <c r="J11" s="60" t="s">
        <v>1340</v>
      </c>
      <c r="K11" s="60" t="s">
        <v>1297</v>
      </c>
      <c r="L11" s="60" t="s">
        <v>1338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1637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1805</v>
      </c>
      <c r="V11" s="5" t="s">
        <v>1806</v>
      </c>
      <c r="W11" s="5" t="s">
        <v>1807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1288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1297</v>
      </c>
      <c r="J12" s="60" t="s">
        <v>1341</v>
      </c>
      <c r="K12" s="60" t="s">
        <v>1297</v>
      </c>
      <c r="L12" s="60" t="s">
        <v>1330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1892</v>
      </c>
      <c r="V12" s="5" t="s">
        <v>1893</v>
      </c>
      <c r="W12" s="5" t="s">
        <v>1894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1288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1404</v>
      </c>
      <c r="K13" s="60" t="s">
        <v>74</v>
      </c>
      <c r="L13" s="60" t="s">
        <v>1338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1897</v>
      </c>
      <c r="V13" s="5" t="s">
        <v>1896</v>
      </c>
      <c r="W13" s="5" t="s">
        <v>1895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1289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1342</v>
      </c>
      <c r="J14" s="60" t="s">
        <v>1343</v>
      </c>
      <c r="K14" s="60" t="s">
        <v>1342</v>
      </c>
      <c r="L14" s="60" t="s">
        <v>1330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1289</v>
      </c>
      <c r="F15" s="7" t="s">
        <v>1286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1286</v>
      </c>
      <c r="J15" s="60" t="s">
        <v>1344</v>
      </c>
      <c r="K15" s="60" t="s">
        <v>1286</v>
      </c>
      <c r="L15" s="60" t="s">
        <v>1338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1289</v>
      </c>
      <c r="F16" s="7" t="s">
        <v>1285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1285</v>
      </c>
      <c r="J16" s="60" t="s">
        <v>1345</v>
      </c>
      <c r="K16" s="60" t="s">
        <v>1285</v>
      </c>
      <c r="L16" s="60" t="s">
        <v>1338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1289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1346</v>
      </c>
      <c r="K17" s="60" t="s">
        <v>74</v>
      </c>
      <c r="L17" s="60" t="s">
        <v>1338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1285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1347</v>
      </c>
      <c r="K18" s="60" t="s">
        <v>78</v>
      </c>
      <c r="L18" s="60" t="s">
        <v>1339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1286</v>
      </c>
      <c r="F19" s="7" t="s">
        <v>1289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1348</v>
      </c>
      <c r="J19" s="60" t="s">
        <v>1349</v>
      </c>
      <c r="K19" s="60" t="s">
        <v>1348</v>
      </c>
      <c r="L19" s="60" t="s">
        <v>1330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1290</v>
      </c>
      <c r="F20" s="7" t="s">
        <v>1291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1350</v>
      </c>
      <c r="J20" s="60" t="s">
        <v>1351</v>
      </c>
      <c r="K20" s="60" t="s">
        <v>1350</v>
      </c>
      <c r="L20" s="60" t="s">
        <v>1330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1293</v>
      </c>
      <c r="F21" s="7" t="s">
        <v>1294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1331</v>
      </c>
      <c r="J21" s="60" t="s">
        <v>1352</v>
      </c>
      <c r="K21" s="60" t="s">
        <v>1331</v>
      </c>
      <c r="L21" s="60" t="s">
        <v>1330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1294</v>
      </c>
      <c r="F22" s="7" t="s">
        <v>1282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1282</v>
      </c>
      <c r="J22" s="60" t="s">
        <v>1353</v>
      </c>
      <c r="K22" s="60" t="s">
        <v>1282</v>
      </c>
      <c r="L22" s="60" t="s">
        <v>1338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1295</v>
      </c>
      <c r="F23" s="7" t="s">
        <v>1290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1354</v>
      </c>
      <c r="J23" s="60" t="s">
        <v>1355</v>
      </c>
      <c r="K23" s="60" t="s">
        <v>1354</v>
      </c>
      <c r="L23" s="60" t="s">
        <v>1338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1295</v>
      </c>
      <c r="F24" s="7" t="s">
        <v>1290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1356</v>
      </c>
      <c r="J24" s="60" t="s">
        <v>1357</v>
      </c>
      <c r="K24" s="60" t="s">
        <v>1356</v>
      </c>
      <c r="L24" s="60" t="s">
        <v>1338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1293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1589</v>
      </c>
      <c r="J25" s="60" t="s">
        <v>1590</v>
      </c>
      <c r="K25" s="60" t="s">
        <v>1589</v>
      </c>
      <c r="L25" s="60" t="s">
        <v>1338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1289</v>
      </c>
      <c r="F26" s="7" t="s">
        <v>1287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1594</v>
      </c>
      <c r="J26" s="60" t="s">
        <v>1595</v>
      </c>
      <c r="K26" s="60" t="s">
        <v>1594</v>
      </c>
      <c r="L26" s="60" t="s">
        <v>1330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1287</v>
      </c>
      <c r="F27" s="7" t="s">
        <v>1289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1596</v>
      </c>
      <c r="K27" s="60" t="s">
        <v>78</v>
      </c>
      <c r="L27" s="60" t="s">
        <v>1330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1289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1599</v>
      </c>
      <c r="J28" s="60" t="s">
        <v>1600</v>
      </c>
      <c r="K28" s="60" t="s">
        <v>1599</v>
      </c>
      <c r="L28" s="60" t="s">
        <v>1339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1287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1601</v>
      </c>
      <c r="J29" s="60" t="s">
        <v>1603</v>
      </c>
      <c r="K29" s="60" t="s">
        <v>1601</v>
      </c>
      <c r="L29" s="60" t="s">
        <v>1602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1294</v>
      </c>
      <c r="F30" s="7" t="s">
        <v>1293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1293</v>
      </c>
      <c r="J30" s="60" t="s">
        <v>1607</v>
      </c>
      <c r="K30" s="60" t="s">
        <v>1293</v>
      </c>
      <c r="L30" s="60" t="s">
        <v>1338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1291</v>
      </c>
      <c r="F31" s="7" t="s">
        <v>1290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1290</v>
      </c>
      <c r="J31" s="60" t="s">
        <v>1611</v>
      </c>
      <c r="K31" s="60" t="s">
        <v>1290</v>
      </c>
      <c r="L31" s="60" t="s">
        <v>1338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1290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1665</v>
      </c>
      <c r="J32" s="60" t="s">
        <v>1669</v>
      </c>
      <c r="K32" s="60" t="s">
        <v>1666</v>
      </c>
      <c r="L32" s="60" t="s">
        <v>1671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1290</v>
      </c>
      <c r="F33" s="7" t="s">
        <v>1295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1667</v>
      </c>
      <c r="J33" s="60" t="s">
        <v>1668</v>
      </c>
      <c r="K33" s="60" t="s">
        <v>1670</v>
      </c>
      <c r="L33" s="60" t="s">
        <v>1671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1282</v>
      </c>
      <c r="F34" s="7" t="s">
        <v>1718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1712</v>
      </c>
      <c r="J34" s="30" t="s">
        <v>1731</v>
      </c>
      <c r="K34" s="30" t="s">
        <v>1732</v>
      </c>
      <c r="L34" s="60" t="s">
        <v>1671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1718</v>
      </c>
      <c r="F35" s="7" t="s">
        <v>1282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1740</v>
      </c>
      <c r="J35" s="30" t="s">
        <v>1741</v>
      </c>
      <c r="K35" s="30" t="s">
        <v>1282</v>
      </c>
      <c r="L35" s="30" t="s">
        <v>1338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1637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1776</v>
      </c>
      <c r="J36" s="30" t="s">
        <v>1778</v>
      </c>
      <c r="K36" s="30" t="s">
        <v>74</v>
      </c>
      <c r="L36" s="30" t="s">
        <v>1338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1637</v>
      </c>
      <c r="F37" s="7" t="s">
        <v>1285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1777</v>
      </c>
      <c r="J37" s="30" t="s">
        <v>1779</v>
      </c>
      <c r="K37" s="30" t="s">
        <v>1285</v>
      </c>
      <c r="L37" s="30" t="s">
        <v>1338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1291</v>
      </c>
      <c r="F38" s="7" t="s">
        <v>1282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1740</v>
      </c>
      <c r="J38" s="30" t="s">
        <v>1741</v>
      </c>
      <c r="K38" s="30" t="s">
        <v>1282</v>
      </c>
      <c r="L38" s="30" t="s">
        <v>1338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1291</v>
      </c>
      <c r="F39" s="8" t="s">
        <v>1285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1888</v>
      </c>
      <c r="J39" s="30" t="s">
        <v>1889</v>
      </c>
      <c r="K39" s="30" t="s">
        <v>1285</v>
      </c>
      <c r="L39" s="30" t="s">
        <v>1338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1294</v>
      </c>
      <c r="F40" s="8" t="s">
        <v>1285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1888</v>
      </c>
      <c r="J40" s="30" t="s">
        <v>1890</v>
      </c>
      <c r="K40" s="30" t="s">
        <v>1285</v>
      </c>
      <c r="L40" s="30" t="s">
        <v>1338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1293</v>
      </c>
      <c r="F41" s="8" t="s">
        <v>1285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1888</v>
      </c>
      <c r="J41" s="30" t="s">
        <v>1891</v>
      </c>
      <c r="K41" s="30" t="s">
        <v>1285</v>
      </c>
      <c r="L41" s="30" t="s">
        <v>1338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1959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1962</v>
      </c>
      <c r="J42" s="15" t="s">
        <v>1964</v>
      </c>
      <c r="K42" s="15" t="s">
        <v>74</v>
      </c>
      <c r="L42" s="30" t="s">
        <v>1338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1959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1963</v>
      </c>
      <c r="J43" s="15" t="s">
        <v>1965</v>
      </c>
      <c r="K43" s="15" t="s">
        <v>1504</v>
      </c>
      <c r="L43" s="30" t="s">
        <v>1338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</sheetData>
  <dataValidations count="1">
    <dataValidation type="list" allowBlank="1" showInputMessage="1" showErrorMessage="1" sqref="Q2:Q13 E2:F43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8"/>
  <sheetViews>
    <sheetView topLeftCell="L4" workbookViewId="0">
      <selection activeCell="N11" sqref="N11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1587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1369</v>
      </c>
      <c r="H3" s="60" t="s">
        <v>1370</v>
      </c>
      <c r="I3" s="7" t="s">
        <v>1297</v>
      </c>
      <c r="J3" s="7" t="s">
        <v>1359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1371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1372</v>
      </c>
      <c r="U3" s="69" t="s">
        <v>1375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1511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310109</v>
      </c>
      <c r="BG3" s="74" t="s">
        <v>1512</v>
      </c>
      <c r="BH3" s="74">
        <v>4</v>
      </c>
      <c r="BJ3" s="4" t="s">
        <v>1377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1360</v>
      </c>
      <c r="BP3" s="64" t="s">
        <v>1361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1288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1428</v>
      </c>
      <c r="H4" s="60" t="s">
        <v>1429</v>
      </c>
      <c r="I4" s="7" t="s">
        <v>1430</v>
      </c>
      <c r="J4" s="7" t="s">
        <v>1359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1371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1372</v>
      </c>
      <c r="U4" s="69" t="s">
        <v>1376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1513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310110</v>
      </c>
      <c r="BG4" s="74" t="s">
        <v>1512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1288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1471</v>
      </c>
      <c r="H5" s="16" t="s">
        <v>1472</v>
      </c>
      <c r="I5" s="9" t="s">
        <v>1473</v>
      </c>
      <c r="J5" s="9" t="s">
        <v>1359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1371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1373</v>
      </c>
      <c r="U5" s="69" t="s">
        <v>1358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1444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1514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310111</v>
      </c>
      <c r="BG5" s="74" t="s">
        <v>1512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1493</v>
      </c>
      <c r="H6" s="60" t="s">
        <v>1494</v>
      </c>
      <c r="I6" s="7" t="s">
        <v>1495</v>
      </c>
      <c r="J6" s="7" t="s">
        <v>1359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1371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1374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1515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310112</v>
      </c>
      <c r="BG6" s="74" t="s">
        <v>1512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1718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1721</v>
      </c>
      <c r="H7" s="30" t="s">
        <v>1722</v>
      </c>
      <c r="I7" s="8" t="s">
        <v>1720</v>
      </c>
      <c r="J7" s="8" t="s">
        <v>1359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1431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1373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322113</v>
      </c>
      <c r="AQ7" s="75" t="s">
        <v>21</v>
      </c>
      <c r="AR7" s="75" t="s">
        <v>23</v>
      </c>
      <c r="AS7" s="75" t="s">
        <v>1443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1943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310125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1637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1762</v>
      </c>
      <c r="H8" s="30" t="s">
        <v>1763</v>
      </c>
      <c r="I8" s="8" t="s">
        <v>1638</v>
      </c>
      <c r="J8" s="8" t="s">
        <v>1359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1431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1275</v>
      </c>
      <c r="T8" s="69" t="s">
        <v>1373</v>
      </c>
      <c r="U8" s="69" t="s">
        <v>1279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1443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1637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1797</v>
      </c>
      <c r="H9" s="30" t="s">
        <v>1915</v>
      </c>
      <c r="I9" s="8" t="s">
        <v>1638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1431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1372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1914</v>
      </c>
      <c r="H10" s="30" t="s">
        <v>1916</v>
      </c>
      <c r="I10" s="8" t="s">
        <v>115</v>
      </c>
      <c r="J10" s="8" t="s">
        <v>335</v>
      </c>
      <c r="K10" s="32">
        <f>ResourceForms[ID]</f>
        <v>309108</v>
      </c>
      <c r="M10" s="93" t="str">
        <f>'Table Seed Map'!$A$12&amp;"-"&amp;FormFields[[#This Row],[No]]</f>
        <v>Form Fields-8</v>
      </c>
      <c r="N10" s="66" t="s">
        <v>1474</v>
      </c>
      <c r="O10" s="38">
        <f>COUNTA($N$1:FormFields[[#This Row],[Form Name]])-1</f>
        <v>8</v>
      </c>
      <c r="P10" s="93" t="str">
        <f>FormFields[[#This Row],[Form Name]]&amp;"/"&amp;FormFields[[#This Row],[Name]]</f>
        <v>UserSetting/ChangeUserSettingStatus/status</v>
      </c>
      <c r="Q10" s="38">
        <f>IF(FormFields[[#This Row],[No]]=0,"id",FormFields[[#This Row],[No]]+IF(ISNUMBER(VLOOKUP('Table Seed Map'!$A$12,SeedMap[],9,0)),VLOOKUP('Table Seed Map'!$A$12,SeedMap[],9,0),0))</f>
        <v>310108</v>
      </c>
      <c r="R10" s="97">
        <f>IFERROR(VLOOKUP(FormFields[[#This Row],[Form Name]],ResourceForms[[FormName]:[ID]],4,0),"resource_form")</f>
        <v>309103</v>
      </c>
      <c r="S10" s="98" t="s">
        <v>776</v>
      </c>
      <c r="T10" s="98" t="s">
        <v>1373</v>
      </c>
      <c r="U10" s="98" t="s">
        <v>1475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311108</v>
      </c>
      <c r="AD10" s="102">
        <f>IF(FormFields[[#This Row],[ID]]="id","form_field",FormFields[[#This Row],[ID]])</f>
        <v>310108</v>
      </c>
      <c r="AE10" s="101" t="str">
        <f>IF(FormFields[[#This Row],[No]]=0,"attribute",FormFields[[#This Row],[Name]])</f>
        <v>status</v>
      </c>
      <c r="AF10" s="55" t="str">
        <f>IF(FormFields[[#This Row],[NO2]]=0,"relation",IF(FormFields[[#This Row],[Rel]]="","",VLOOKUP(FormFields[[#This Row],[Rel]],RelationTable[[Display]:[RELID]],2,0)))</f>
        <v/>
      </c>
      <c r="AG10" s="55" t="str">
        <f>IF(FormFields[[#This Row],[NO2]]=0,"nest_relation1",IF(FormFields[[#This Row],[Rel1]]="","",VLOOKUP(FormFields[[#This Row],[Rel1]],RelationTable[[Display]:[RELID]],2,0)))</f>
        <v/>
      </c>
      <c r="AH10" s="55" t="str">
        <f>IF(FormFields[[#This Row],[NO2]]=0,"nest_relation2",IF(FormFields[[#This Row],[Rel2]]="","",VLOOKUP(FormFields[[#This Row],[Rel2]],RelationTable[[Display]:[RELID]],2,0)))</f>
        <v/>
      </c>
      <c r="AI10" s="55" t="str">
        <f>IF(FormFields[[#This Row],[NO2]]=0,"nest_relation2",IF(FormFields[[#This Row],[Rel2]]="","",VLOOKUP(FormFields[[#This Row],[Rel2]],RelationTable[[Display]:[RELID]],2,0)))</f>
        <v/>
      </c>
      <c r="AJ10" s="38">
        <f>IF(OR(FormFields[[#This Row],[Option Type]]="",FormFields[[#This Row],[Option Type]]="type"),0,1)</f>
        <v>1</v>
      </c>
      <c r="AK10" s="38" t="str">
        <f>'Table Seed Map'!$A$14&amp;"-"&amp;FormFields[[#This Row],[NO4]]</f>
        <v>Field Options-4</v>
      </c>
      <c r="AL10" s="38">
        <f>COUNTIF($AJ$2:FormFields[[#This Row],[Exists FO]],1)</f>
        <v>4</v>
      </c>
      <c r="AM10" s="38">
        <f>IF(FormFields[[#This Row],[NO4]]=0,"id",FormFields[[#This Row],[NO4]]+IF(ISNUMBER(VLOOKUP('Table Seed Map'!$A$14,SeedMap[],9,0)),VLOOKUP('Table Seed Map'!$A$14,SeedMap[],9,0),0))</f>
        <v>312104</v>
      </c>
      <c r="AN10" s="38">
        <f>IF(FormFields[[#This Row],[ID]]="id","form_field",FormFields[[#This Row],[ID]])</f>
        <v>310108</v>
      </c>
      <c r="AO10" s="103" t="s">
        <v>1444</v>
      </c>
      <c r="AP10" s="103"/>
      <c r="AQ10" s="103"/>
      <c r="AR10" s="103"/>
      <c r="AS10" s="103"/>
      <c r="AT10" s="38">
        <f>IF(OR(FormFields[[#This Row],[Colspan]]="",FormFields[[#This Row],[Colspan]]="colspan"),0,1)</f>
        <v>0</v>
      </c>
      <c r="AU10" s="38" t="str">
        <f>'Table Seed Map'!$A$19&amp;"-"&amp;FormFields[[#This Row],[NO8]]</f>
        <v>Form Layout-7</v>
      </c>
      <c r="AV10" s="38">
        <f>COUNTIF($AT$1:FormFields[[#This Row],[Exists FL]],1)</f>
        <v>7</v>
      </c>
      <c r="AW10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38">
        <f>FormFields[Form]</f>
        <v>309103</v>
      </c>
      <c r="AY10" s="38">
        <f>IF(FormFields[[#This Row],[ID]]="id","form_field",FormFields[[#This Row],[ID]])</f>
        <v>310108</v>
      </c>
      <c r="AZ10" s="104"/>
      <c r="BA10" s="38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1959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1974</v>
      </c>
      <c r="H11" s="15" t="s">
        <v>1975</v>
      </c>
      <c r="I11" s="6" t="s">
        <v>1976</v>
      </c>
      <c r="J11" s="6" t="s">
        <v>1977</v>
      </c>
      <c r="K11" s="3">
        <f>ResourceForms[ID]</f>
        <v>309109</v>
      </c>
      <c r="M11" s="65" t="str">
        <f>'Table Seed Map'!$A$12&amp;"-"&amp;FormFields[[#This Row],[No]]</f>
        <v>Form Fields-9</v>
      </c>
      <c r="N11" s="66" t="s">
        <v>1496</v>
      </c>
      <c r="O11" s="67">
        <f>COUNTA($N$1:FormFields[[#This Row],[Form Name]])-1</f>
        <v>9</v>
      </c>
      <c r="P11" s="65" t="str">
        <f>FormFields[[#This Row],[Form Name]]&amp;"/"&amp;FormFields[[#This Row],[Name]]</f>
        <v>UserStoreArea/AddUserStoreAreaForm/user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1373</v>
      </c>
      <c r="U11" s="69" t="s">
        <v>1497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Options-5</v>
      </c>
      <c r="AL11" s="67">
        <f>COUNTIF($AJ$2:FormFields[[#This Row],[Exists FO]],1)</f>
        <v>5</v>
      </c>
      <c r="AM11" s="67">
        <f>IF(FormFields[[#This Row],[NO4]]=0,"id",FormFields[[#This Row],[NO4]]+IF(ISNUMBER(VLOOKUP('Table Seed Map'!$A$14,SeedMap[],9,0)),VLOOKUP('Table Seed Map'!$A$14,SeedMap[],9,0),0))</f>
        <v>312105</v>
      </c>
      <c r="AN11" s="67">
        <f>IF(FormFields[[#This Row],[ID]]="id","form_field",FormFields[[#This Row],[ID]])</f>
        <v>310109</v>
      </c>
      <c r="AO11" s="75" t="s">
        <v>122</v>
      </c>
      <c r="AP11" s="75">
        <v>322113</v>
      </c>
      <c r="AQ11" s="75" t="s">
        <v>21</v>
      </c>
      <c r="AR11" s="75" t="s">
        <v>23</v>
      </c>
      <c r="AS11" s="75" t="s">
        <v>1443</v>
      </c>
      <c r="AT11" s="67">
        <f>IF(OR(FormFields[[#This Row],[Colspan]]="",FormFields[[#This Row],[Colspan]]="colspan"),0,1)</f>
        <v>0</v>
      </c>
      <c r="AU11" s="67" t="str">
        <f>'Table Seed Map'!$A$19&amp;"-"&amp;FormFields[[#This Row],[NO8]]</f>
        <v>Form Layout-7</v>
      </c>
      <c r="AV11" s="67">
        <f>COUNTIF($AT$1:FormFields[[#This Row],[Exists FL]],1)</f>
        <v>7</v>
      </c>
      <c r="AW11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/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1496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UserStoreArea/AddUserStoreAreaForm/store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756</v>
      </c>
      <c r="T12" s="69" t="s">
        <v>1373</v>
      </c>
      <c r="U12" s="69" t="s">
        <v>1285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store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Options-6</v>
      </c>
      <c r="AL12" s="67">
        <f>COUNTIF($AJ$2:FormFields[[#This Row],[Exists FO]],1)</f>
        <v>6</v>
      </c>
      <c r="AM12" s="67">
        <f>IF(FormFields[[#This Row],[NO4]]=0,"id",FormFields[[#This Row],[NO4]]+IF(ISNUMBER(VLOOKUP('Table Seed Map'!$A$14,SeedMap[],9,0)),VLOOKUP('Table Seed Map'!$A$14,SeedMap[],9,0),0))</f>
        <v>312106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1443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1496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UserStoreArea/AddUserStoreAreaForm/area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754</v>
      </c>
      <c r="T13" s="69" t="s">
        <v>1373</v>
      </c>
      <c r="U13" s="69" t="s">
        <v>1286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area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Options-7</v>
      </c>
      <c r="AL13" s="67">
        <f>COUNTIF($AJ$2:FormFields[[#This Row],[Exists FO]],1)</f>
        <v>7</v>
      </c>
      <c r="AM13" s="67">
        <f>IF(FormFields[[#This Row],[NO4]]=0,"id",FormFields[[#This Row],[NO4]]+IF(ISNUMBER(VLOOKUP('Table Seed Map'!$A$14,SeedMap[],9,0)),VLOOKUP('Table Seed Map'!$A$14,SeedMap[],9,0),0))</f>
        <v>312107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1443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1496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UserStoreArea/AddUserStoreAreaForm/status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776</v>
      </c>
      <c r="T14" s="69" t="s">
        <v>1373</v>
      </c>
      <c r="U14" s="69" t="s">
        <v>1358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status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Options-8</v>
      </c>
      <c r="AL14" s="67">
        <f>COUNTIF($AJ$2:FormFields[[#This Row],[Exists FO]],1)</f>
        <v>8</v>
      </c>
      <c r="AM14" s="67">
        <f>IF(FormFields[[#This Row],[NO4]]=0,"id",FormFields[[#This Row],[NO4]]+IF(ISNUMBER(VLOOKUP('Table Seed Map'!$A$14,SeedMap[],9,0)),VLOOKUP('Table Seed Map'!$A$14,SeedMap[],9,0),0))</f>
        <v>312108</v>
      </c>
      <c r="AN14" s="67">
        <f>IF(FormFields[[#This Row],[ID]]="id","form_field",FormFields[[#This Row],[ID]])</f>
        <v>310112</v>
      </c>
      <c r="AO14" s="75" t="s">
        <v>1444</v>
      </c>
      <c r="AP14" s="75"/>
      <c r="AQ14" s="75"/>
      <c r="AR14" s="75"/>
      <c r="AS14" s="75"/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80" t="str">
        <f>'Table Seed Map'!$A$12&amp;"-"&amp;FormFields[[#This Row],[No]]</f>
        <v>Form Fields-13</v>
      </c>
      <c r="N15" s="66" t="s">
        <v>1723</v>
      </c>
      <c r="O15" s="79">
        <f>COUNTA($N$1:FormFields[[#This Row],[Form Name]])-1</f>
        <v>13</v>
      </c>
      <c r="P15" s="80" t="str">
        <f>FormFields[[#This Row],[Form Name]]&amp;"/"&amp;FormFields[[#This Row],[Name]]</f>
        <v>ProductImage/AddProductImage/product</v>
      </c>
      <c r="Q15" s="79">
        <f>IF(FormFields[[#This Row],[No]]=0,"id",FormFields[[#This Row],[No]]+IF(ISNUMBER(VLOOKUP('Table Seed Map'!$A$12,SeedMap[],9,0)),VLOOKUP('Table Seed Map'!$A$12,SeedMap[],9,0),0))</f>
        <v>310113</v>
      </c>
      <c r="R15" s="107">
        <f>IFERROR(VLOOKUP(FormFields[[#This Row],[Form Name]],ResourceForms[[FormName]:[ID]],4,0),"resource_form")</f>
        <v>309105</v>
      </c>
      <c r="S15" s="89" t="s">
        <v>813</v>
      </c>
      <c r="T15" s="69" t="s">
        <v>1373</v>
      </c>
      <c r="U15" s="89" t="s">
        <v>1282</v>
      </c>
      <c r="V15" s="108"/>
      <c r="W15" s="108"/>
      <c r="X15" s="108"/>
      <c r="Y15" s="108"/>
      <c r="Z15" s="109" t="str">
        <f>'Table Seed Map'!$A$13&amp;"-"&amp;FormFields[[#This Row],[NO2]]</f>
        <v>Field Data-13</v>
      </c>
      <c r="AA15" s="110">
        <f>COUNTIFS($AB$1:FormFields[[#This Row],[Exists]],1)-1</f>
        <v>13</v>
      </c>
      <c r="AB15" s="110">
        <f>IF(AND(FormFields[[#This Row],[Attribute]]="",FormFields[[#This Row],[Rel]]=""),0,1)</f>
        <v>1</v>
      </c>
      <c r="AC15" s="110">
        <f>IF(FormFields[[#This Row],[NO2]]=0,"id",FormFields[[#This Row],[NO2]]+IF(ISNUMBER(VLOOKUP('Table Seed Map'!$A$13,SeedMap[],9,0)),VLOOKUP('Table Seed Map'!$A$13,SeedMap[],9,0),0))</f>
        <v>311113</v>
      </c>
      <c r="AD15" s="111">
        <f>IF(FormFields[[#This Row],[ID]]="id","form_field",FormFields[[#This Row],[ID]])</f>
        <v>310113</v>
      </c>
      <c r="AE15" s="110" t="str">
        <f>IF(FormFields[[#This Row],[No]]=0,"attribute",FormFields[[#This Row],[Name]])</f>
        <v>product</v>
      </c>
      <c r="AF15" s="84" t="str">
        <f>IF(FormFields[[#This Row],[NO2]]=0,"relation",IF(FormFields[[#This Row],[Rel]]="","",VLOOKUP(FormFields[[#This Row],[Rel]],RelationTable[[Display]:[RELID]],2,0)))</f>
        <v/>
      </c>
      <c r="AG15" s="84" t="str">
        <f>IF(FormFields[[#This Row],[NO2]]=0,"nest_relation1",IF(FormFields[[#This Row],[Rel1]]="","",VLOOKUP(FormFields[[#This Row],[Rel1]],RelationTable[[Display]:[RELID]],2,0)))</f>
        <v/>
      </c>
      <c r="AH15" s="84" t="str">
        <f>IF(FormFields[[#This Row],[NO2]]=0,"nest_relation2",IF(FormFields[[#This Row],[Rel2]]="","",VLOOKUP(FormFields[[#This Row],[Rel2]],RelationTable[[Display]:[RELID]],2,0)))</f>
        <v/>
      </c>
      <c r="AI15" s="84" t="str">
        <f>IF(FormFields[[#This Row],[NO2]]=0,"nest_relation2",IF(FormFields[[#This Row],[Rel2]]="","",VLOOKUP(FormFields[[#This Row],[Rel2]],RelationTable[[Display]:[RELID]],2,0)))</f>
        <v/>
      </c>
      <c r="AJ15" s="79">
        <f>IF(OR(FormFields[[#This Row],[Option Type]]="",FormFields[[#This Row],[Option Type]]="type"),0,1)</f>
        <v>1</v>
      </c>
      <c r="AK15" s="79" t="str">
        <f>'Table Seed Map'!$A$14&amp;"-"&amp;FormFields[[#This Row],[NO4]]</f>
        <v>Field Options-9</v>
      </c>
      <c r="AL15" s="79">
        <f>COUNTIF($AJ$2:FormFields[[#This Row],[Exists FO]],1)</f>
        <v>9</v>
      </c>
      <c r="AM15" s="79">
        <f>IF(FormFields[[#This Row],[NO4]]=0,"id",FormFields[[#This Row],[NO4]]+IF(ISNUMBER(VLOOKUP('Table Seed Map'!$A$14,SeedMap[],9,0)),VLOOKUP('Table Seed Map'!$A$14,SeedMap[],9,0),0))</f>
        <v>312109</v>
      </c>
      <c r="AN15" s="79">
        <f>IF(FormFields[[#This Row],[ID]]="id","form_field",FormFields[[#This Row],[ID]])</f>
        <v>310113</v>
      </c>
      <c r="AO15" s="112" t="s">
        <v>278</v>
      </c>
      <c r="AP15" s="112"/>
      <c r="AQ15" s="112" t="s">
        <v>21</v>
      </c>
      <c r="AR15" s="112" t="s">
        <v>796</v>
      </c>
      <c r="AS15" s="112" t="s">
        <v>1443</v>
      </c>
      <c r="AT15" s="79">
        <f>IF(OR(FormFields[[#This Row],[Colspan]]="",FormFields[[#This Row],[Colspan]]="colspan"),0,1)</f>
        <v>0</v>
      </c>
      <c r="AU15" s="79" t="str">
        <f>'Table Seed Map'!$A$19&amp;"-"&amp;FormFields[[#This Row],[NO8]]</f>
        <v>Form Layout-7</v>
      </c>
      <c r="AV15" s="79">
        <f>COUNTIF($AT$1:FormFields[[#This Row],[Exists FL]],1)</f>
        <v>7</v>
      </c>
      <c r="AW1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9">
        <f>FormFields[Form]</f>
        <v>309105</v>
      </c>
      <c r="AY15" s="79">
        <f>IF(FormFields[[#This Row],[ID]]="id","form_field",FormFields[[#This Row],[ID]])</f>
        <v>310113</v>
      </c>
      <c r="AZ15" s="113"/>
      <c r="BA15" s="79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1723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ProductImage/AddProductImage/image01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1703</v>
      </c>
      <c r="T16" s="89" t="s">
        <v>1724</v>
      </c>
      <c r="U16" s="89" t="s">
        <v>1725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image01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0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/>
      <c r="AP16" s="112"/>
      <c r="AQ16" s="112"/>
      <c r="AR16" s="112"/>
      <c r="AS16" s="112"/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1723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ProductImage/AddProductImage/image02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1704</v>
      </c>
      <c r="T17" s="89" t="s">
        <v>1724</v>
      </c>
      <c r="U17" s="89" t="s">
        <v>1726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image02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1723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ProductImage/AddProductImage/image03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1705</v>
      </c>
      <c r="T18" s="89" t="s">
        <v>1724</v>
      </c>
      <c r="U18" s="89" t="s">
        <v>1727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image03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1723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ProductImage/AddProductImage/image04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1706</v>
      </c>
      <c r="T19" s="89" t="s">
        <v>1724</v>
      </c>
      <c r="U19" s="89" t="s">
        <v>1728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image04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1723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ProductImage/AddProductImage/image05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1707</v>
      </c>
      <c r="T20" s="89" t="s">
        <v>1724</v>
      </c>
      <c r="U20" s="89" t="s">
        <v>1729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image05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1723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ProductImage/AddProductImage/default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1709</v>
      </c>
      <c r="T21" s="89" t="s">
        <v>1373</v>
      </c>
      <c r="U21" s="89" t="s">
        <v>1730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default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1</v>
      </c>
      <c r="AK21" s="79" t="str">
        <f>'Table Seed Map'!$A$14&amp;"-"&amp;FormFields[[#This Row],[NO4]]</f>
        <v>Field Options-10</v>
      </c>
      <c r="AL21" s="79">
        <f>COUNTIF($AJ$2:FormFields[[#This Row],[Exists FO]],1)</f>
        <v>10</v>
      </c>
      <c r="AM21" s="79">
        <f>IF(FormFields[[#This Row],[NO4]]=0,"id",FormFields[[#This Row],[NO4]]+IF(ISNUMBER(VLOOKUP('Table Seed Map'!$A$14,SeedMap[],9,0)),VLOOKUP('Table Seed Map'!$A$14,SeedMap[],9,0),0))</f>
        <v>312110</v>
      </c>
      <c r="AN21" s="79">
        <f>IF(FormFields[[#This Row],[ID]]="id","form_field",FormFields[[#This Row],[ID]])</f>
        <v>310119</v>
      </c>
      <c r="AO21" s="112" t="s">
        <v>1444</v>
      </c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1764</v>
      </c>
      <c r="O22" s="79">
        <f>COUNTA($N$1:FormFields[[#This Row],[Form Name]])-1</f>
        <v>20</v>
      </c>
      <c r="P22" s="80" t="str">
        <f>FormFields[[#This Row],[Form Name]]&amp;"/"&amp;FormFields[[#This Row],[Name]]</f>
        <v>FnReserve/AddFNReserves/fncode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309106</v>
      </c>
      <c r="S22" s="89" t="s">
        <v>858</v>
      </c>
      <c r="T22" s="89" t="s">
        <v>1373</v>
      </c>
      <c r="U22" s="89" t="s">
        <v>1765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fncode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Options-11</v>
      </c>
      <c r="AL22" s="79">
        <f>COUNTIF($AJ$2:FormFields[[#This Row],[Exists FO]],1)</f>
        <v>11</v>
      </c>
      <c r="AM22" s="79">
        <f>IF(FormFields[[#This Row],[NO4]]=0,"id",FormFields[[#This Row],[NO4]]+IF(ISNUMBER(VLOOKUP('Table Seed Map'!$A$14,SeedMap[],9,0)),VLOOKUP('Table Seed Map'!$A$14,SeedMap[],9,0),0))</f>
        <v>312111</v>
      </c>
      <c r="AN22" s="79">
        <f>IF(FormFields[[#This Row],[ID]]="id","form_field",FormFields[[#This Row],[ID]])</f>
        <v>310120</v>
      </c>
      <c r="AO22" s="112" t="s">
        <v>122</v>
      </c>
      <c r="AP22" s="112">
        <v>322109</v>
      </c>
      <c r="AQ22" s="112" t="s">
        <v>768</v>
      </c>
      <c r="AR22" s="112" t="s">
        <v>768</v>
      </c>
      <c r="AS22" s="112" t="s">
        <v>1443</v>
      </c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309106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1764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FnReserve/AddFNReserves/store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756</v>
      </c>
      <c r="T23" s="89" t="s">
        <v>1373</v>
      </c>
      <c r="U23" s="89" t="s">
        <v>1766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store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Options-12</v>
      </c>
      <c r="AL23" s="79">
        <f>COUNTIF($AJ$2:FormFields[[#This Row],[Exists FO]],1)</f>
        <v>12</v>
      </c>
      <c r="AM23" s="79">
        <f>IF(FormFields[[#This Row],[NO4]]=0,"id",FormFields[[#This Row],[NO4]]+IF(ISNUMBER(VLOOKUP('Table Seed Map'!$A$14,SeedMap[],9,0)),VLOOKUP('Table Seed Map'!$A$14,SeedMap[],9,0),0))</f>
        <v>312112</v>
      </c>
      <c r="AN23" s="79">
        <f>IF(FormFields[[#This Row],[ID]]="id","form_field",FormFields[[#This Row],[ID]])</f>
        <v>310121</v>
      </c>
      <c r="AO23" s="112" t="s">
        <v>278</v>
      </c>
      <c r="AP23" s="112"/>
      <c r="AQ23" s="112" t="s">
        <v>21</v>
      </c>
      <c r="AR23" s="112" t="s">
        <v>23</v>
      </c>
      <c r="AS23" s="112" t="s">
        <v>1443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1764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FnReserve/AddFNReserves/start_num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1625</v>
      </c>
      <c r="T24" s="89" t="s">
        <v>1372</v>
      </c>
      <c r="U24" s="89" t="s">
        <v>1767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start_num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0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/>
      <c r="AP24" s="112"/>
      <c r="AQ24" s="112"/>
      <c r="AR24" s="112"/>
      <c r="AS24" s="112"/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1764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FnReserve/AddFNReserves/end_num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1626</v>
      </c>
      <c r="T25" s="89" t="s">
        <v>1372</v>
      </c>
      <c r="U25" s="89" t="s">
        <v>1942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end_num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1798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FnReserve/UpdateReserves/start_num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309107</v>
      </c>
      <c r="S26" s="89" t="s">
        <v>1625</v>
      </c>
      <c r="T26" s="89" t="s">
        <v>1372</v>
      </c>
      <c r="U26" s="89" t="s">
        <v>1799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start_num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309107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1798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FnReserve/UpdateReserves/end_num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1626</v>
      </c>
      <c r="T27" s="89" t="s">
        <v>1372</v>
      </c>
      <c r="U27" s="89" t="s">
        <v>1800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end_num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1798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FnReserve/UpdateReserves/current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1643</v>
      </c>
      <c r="T28" s="89" t="s">
        <v>1372</v>
      </c>
      <c r="U28" s="89" t="s">
        <v>1783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current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1798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FnReserve/UpdateReserves/progress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952</v>
      </c>
      <c r="T29" s="89" t="s">
        <v>1373</v>
      </c>
      <c r="U29" s="89" t="s">
        <v>1772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progress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1</v>
      </c>
      <c r="AK29" s="79" t="str">
        <f>'Table Seed Map'!$A$14&amp;"-"&amp;FormFields[[#This Row],[NO4]]</f>
        <v>Field Options-13</v>
      </c>
      <c r="AL29" s="79">
        <f>COUNTIF($AJ$2:FormFields[[#This Row],[Exists FO]],1)</f>
        <v>13</v>
      </c>
      <c r="AM29" s="79">
        <f>IF(FormFields[[#This Row],[NO4]]=0,"id",FormFields[[#This Row],[NO4]]+IF(ISNUMBER(VLOOKUP('Table Seed Map'!$A$14,SeedMap[],9,0)),VLOOKUP('Table Seed Map'!$A$14,SeedMap[],9,0),0))</f>
        <v>312113</v>
      </c>
      <c r="AN29" s="79">
        <f>IF(FormFields[[#This Row],[ID]]="id","form_field",FormFields[[#This Row],[ID]])</f>
        <v>310127</v>
      </c>
      <c r="AO29" s="112" t="s">
        <v>1444</v>
      </c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1798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FnReserve/UpdateReserves/status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776</v>
      </c>
      <c r="T30" s="89" t="s">
        <v>1373</v>
      </c>
      <c r="U30" s="89" t="s">
        <v>1358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status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Options-14</v>
      </c>
      <c r="AL30" s="79">
        <f>COUNTIF($AJ$2:FormFields[[#This Row],[Exists FO]],1)</f>
        <v>14</v>
      </c>
      <c r="AM30" s="79">
        <f>IF(FormFields[[#This Row],[NO4]]=0,"id",FormFields[[#This Row],[NO4]]+IF(ISNUMBER(VLOOKUP('Table Seed Map'!$A$14,SeedMap[],9,0)),VLOOKUP('Table Seed Map'!$A$14,SeedMap[],9,0),0))</f>
        <v>312114</v>
      </c>
      <c r="AN30" s="79">
        <f>IF(FormFields[[#This Row],[ID]]="id","form_field",FormFields[[#This Row],[ID]])</f>
        <v>310128</v>
      </c>
      <c r="AO30" s="112" t="s">
        <v>1444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1917</v>
      </c>
      <c r="O31" s="79">
        <f>COUNTA($N$1:FormFields[[#This Row],[Form Name]])-1</f>
        <v>29</v>
      </c>
      <c r="P31" s="80" t="str">
        <f>FormFields[[#This Row],[Form Name]]&amp;"/"&amp;FormFields[[#This Row],[Name]]</f>
        <v>Menu/UpdateMenu/name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309108</v>
      </c>
      <c r="S31" s="89" t="s">
        <v>23</v>
      </c>
      <c r="T31" s="89" t="s">
        <v>1372</v>
      </c>
      <c r="U31" s="89" t="s">
        <v>97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name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0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/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309108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1917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Menu/UpdateMenu/icon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1830</v>
      </c>
      <c r="T32" s="89" t="s">
        <v>1372</v>
      </c>
      <c r="U32" s="89" t="s">
        <v>1918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icon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1917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Menu/UpdateMenu/home_display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1876</v>
      </c>
      <c r="T33" s="89" t="s">
        <v>1372</v>
      </c>
      <c r="U33" s="89" t="s">
        <v>1919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home_display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1917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Menu/UpdateMenu/drawer_display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1832</v>
      </c>
      <c r="T34" s="89" t="s">
        <v>1372</v>
      </c>
      <c r="U34" s="89" t="s">
        <v>1920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drawer_display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1917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Menu/UpdateMenu/order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1834</v>
      </c>
      <c r="T35" s="89" t="s">
        <v>1372</v>
      </c>
      <c r="U35" s="89" t="s">
        <v>1921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order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1917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Menu/UpdateMenu/status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776</v>
      </c>
      <c r="T36" s="89" t="s">
        <v>1373</v>
      </c>
      <c r="U36" s="89" t="s">
        <v>1358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status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1</v>
      </c>
      <c r="AK36" s="79" t="str">
        <f>'Table Seed Map'!$A$14&amp;"-"&amp;FormFields[[#This Row],[NO4]]</f>
        <v>Field Options-15</v>
      </c>
      <c r="AL36" s="79">
        <f>COUNTIF($AJ$2:FormFields[[#This Row],[Exists FO]],1)</f>
        <v>15</v>
      </c>
      <c r="AM36" s="79">
        <f>IF(FormFields[[#This Row],[NO4]]=0,"id",FormFields[[#This Row],[NO4]]+IF(ISNUMBER(VLOOKUP('Table Seed Map'!$A$14,SeedMap[],9,0)),VLOOKUP('Table Seed Map'!$A$14,SeedMap[],9,0),0))</f>
        <v>312115</v>
      </c>
      <c r="AN36" s="79">
        <f>IF(FormFields[[#This Row],[ID]]="id","form_field",FormFields[[#This Row],[ID]])</f>
        <v>310134</v>
      </c>
      <c r="AO36" s="112" t="s">
        <v>1444</v>
      </c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39" t="str">
        <f>'Table Seed Map'!$A$12&amp;"-"&amp;FormFields[[#This Row],[No]]</f>
        <v>Form Fields-35</v>
      </c>
      <c r="N37" s="121" t="s">
        <v>1978</v>
      </c>
      <c r="O37" s="37">
        <f>COUNTA($N$1:FormFields[[#This Row],[Form Name]])-1</f>
        <v>35</v>
      </c>
      <c r="P37" s="39" t="str">
        <f>FormFields[[#This Row],[Form Name]]&amp;"/"&amp;FormFields[[#This Row],[Name]]</f>
        <v>UserExecutive/NewExecutiveLoginMap/login_user</v>
      </c>
      <c r="Q37" s="37">
        <f>IF(FormFields[[#This Row],[No]]=0,"id",FormFields[[#This Row],[No]]+IF(ISNUMBER(VLOOKUP('Table Seed Map'!$A$12,SeedMap[],9,0)),VLOOKUP('Table Seed Map'!$A$12,SeedMap[],9,0),0))</f>
        <v>310135</v>
      </c>
      <c r="R37" s="40">
        <f>IFERROR(VLOOKUP(FormFields[[#This Row],[Form Name]],ResourceForms[[FormName]:[ID]],4,0),"resource_form")</f>
        <v>309109</v>
      </c>
      <c r="S37" s="42" t="s">
        <v>1945</v>
      </c>
      <c r="T37" s="89" t="s">
        <v>1373</v>
      </c>
      <c r="U37" s="42" t="s">
        <v>1979</v>
      </c>
      <c r="V37" s="43"/>
      <c r="W37" s="43"/>
      <c r="X37" s="43"/>
      <c r="Y37" s="43"/>
      <c r="Z37" s="44" t="str">
        <f>'Table Seed Map'!$A$13&amp;"-"&amp;FormFields[[#This Row],[NO2]]</f>
        <v>Field Data-35</v>
      </c>
      <c r="AA37" s="45">
        <f>COUNTIFS($AB$1:FormFields[[#This Row],[Exists]],1)-1</f>
        <v>35</v>
      </c>
      <c r="AB37" s="45">
        <f>IF(AND(FormFields[[#This Row],[Attribute]]="",FormFields[[#This Row],[Rel]]=""),0,1)</f>
        <v>1</v>
      </c>
      <c r="AC37" s="45">
        <f>IF(FormFields[[#This Row],[NO2]]=0,"id",FormFields[[#This Row],[NO2]]+IF(ISNUMBER(VLOOKUP('Table Seed Map'!$A$13,SeedMap[],9,0)),VLOOKUP('Table Seed Map'!$A$13,SeedMap[],9,0),0))</f>
        <v>311135</v>
      </c>
      <c r="AD37" s="122">
        <f>IF(FormFields[[#This Row],[ID]]="id","form_field",FormFields[[#This Row],[ID]])</f>
        <v>310135</v>
      </c>
      <c r="AE37" s="45" t="str">
        <f>IF(FormFields[[#This Row],[No]]=0,"attribute",FormFields[[#This Row],[Name]])</f>
        <v>login_user</v>
      </c>
      <c r="AF37" s="54" t="str">
        <f>IF(FormFields[[#This Row],[NO2]]=0,"relation",IF(FormFields[[#This Row],[Rel]]="","",VLOOKUP(FormFields[[#This Row],[Rel]],RelationTable[[Display]:[RELID]],2,0)))</f>
        <v/>
      </c>
      <c r="AG37" s="54" t="str">
        <f>IF(FormFields[[#This Row],[NO2]]=0,"nest_relation1",IF(FormFields[[#This Row],[Rel1]]="","",VLOOKUP(FormFields[[#This Row],[Rel1]],RelationTable[[Display]:[RELID]],2,0)))</f>
        <v/>
      </c>
      <c r="AH37" s="54" t="str">
        <f>IF(FormFields[[#This Row],[NO2]]=0,"nest_relation2",IF(FormFields[[#This Row],[Rel2]]="","",VLOOKUP(FormFields[[#This Row],[Rel2]],RelationTable[[Display]:[RELID]],2,0)))</f>
        <v/>
      </c>
      <c r="AI37" s="54" t="str">
        <f>IF(FormFields[[#This Row],[NO2]]=0,"nest_relation2",IF(FormFields[[#This Row],[Rel2]]="","",VLOOKUP(FormFields[[#This Row],[Rel2]],RelationTable[[Display]:[RELID]],2,0)))</f>
        <v/>
      </c>
      <c r="AJ37" s="37">
        <f>IF(OR(FormFields[[#This Row],[Option Type]]="",FormFields[[#This Row],[Option Type]]="type"),0,1)</f>
        <v>1</v>
      </c>
      <c r="AK37" s="37" t="str">
        <f>'Table Seed Map'!$A$14&amp;"-"&amp;FormFields[[#This Row],[NO4]]</f>
        <v>Field Options-16</v>
      </c>
      <c r="AL37" s="37">
        <f>COUNTIF($AJ$2:FormFields[[#This Row],[Exists FO]],1)</f>
        <v>16</v>
      </c>
      <c r="AM37" s="37">
        <f>IF(FormFields[[#This Row],[NO4]]=0,"id",FormFields[[#This Row],[NO4]]+IF(ISNUMBER(VLOOKUP('Table Seed Map'!$A$14,SeedMap[],9,0)),VLOOKUP('Table Seed Map'!$A$14,SeedMap[],9,0),0))</f>
        <v>312116</v>
      </c>
      <c r="AN37" s="37">
        <f>IF(FormFields[[#This Row],[ID]]="id","form_field",FormFields[[#This Row],[ID]])</f>
        <v>310135</v>
      </c>
      <c r="AO37" s="47" t="s">
        <v>122</v>
      </c>
      <c r="AP37" s="47">
        <v>322112</v>
      </c>
      <c r="AQ37" s="47" t="s">
        <v>21</v>
      </c>
      <c r="AR37" s="47" t="s">
        <v>1989</v>
      </c>
      <c r="AS37" s="47" t="s">
        <v>1443</v>
      </c>
      <c r="AT37" s="37">
        <f>IF(OR(FormFields[[#This Row],[Colspan]]="",FormFields[[#This Row],[Colspan]]="colspan"),0,1)</f>
        <v>0</v>
      </c>
      <c r="AU37" s="37" t="str">
        <f>'Table Seed Map'!$A$19&amp;"-"&amp;FormFields[[#This Row],[NO8]]</f>
        <v>Form Layout-7</v>
      </c>
      <c r="AV37" s="37">
        <f>COUNTIF($AT$1:FormFields[[#This Row],[Exists FL]],1)</f>
        <v>7</v>
      </c>
      <c r="AW37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37">
        <f>FormFields[Form]</f>
        <v>309109</v>
      </c>
      <c r="AY37" s="37">
        <f>IF(FormFields[[#This Row],[ID]]="id","form_field",FormFields[[#This Row],[ID]])</f>
        <v>310135</v>
      </c>
      <c r="AZ37" s="46"/>
      <c r="BA37" s="37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1978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UserExecutive/NewExecutiveLoginMap/executive_user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1946</v>
      </c>
      <c r="T38" s="89" t="s">
        <v>1373</v>
      </c>
      <c r="U38" s="42" t="s">
        <v>1980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executive_user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Options-17</v>
      </c>
      <c r="AL38" s="37">
        <f>COUNTIF($AJ$2:FormFields[[#This Row],[Exists FO]],1)</f>
        <v>17</v>
      </c>
      <c r="AM38" s="37">
        <f>IF(FormFields[[#This Row],[NO4]]=0,"id",FormFields[[#This Row],[NO4]]+IF(ISNUMBER(VLOOKUP('Table Seed Map'!$A$14,SeedMap[],9,0)),VLOOKUP('Table Seed Map'!$A$14,SeedMap[],9,0),0))</f>
        <v>312117</v>
      </c>
      <c r="AN38" s="37">
        <f>IF(FormFields[[#This Row],[ID]]="id","form_field",FormFields[[#This Row],[ID]])</f>
        <v>310136</v>
      </c>
      <c r="AO38" s="47" t="s">
        <v>122</v>
      </c>
      <c r="AP38" s="47">
        <v>322104</v>
      </c>
      <c r="AQ38" s="47" t="s">
        <v>21</v>
      </c>
      <c r="AR38" s="47" t="s">
        <v>1988</v>
      </c>
      <c r="AS38" s="47" t="s">
        <v>1443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</sheetData>
  <dataValidations count="10">
    <dataValidation type="list" allowBlank="1" showInputMessage="1" showErrorMessage="1" sqref="EN2:ES2 CS2:CY2 BX2 V2:Y38">
      <formula1>Relations</formula1>
    </dataValidation>
    <dataValidation type="list" allowBlank="1" showInputMessage="1" showErrorMessage="1" sqref="CH2 DY2 BV2:BW2 N2:N38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1">
      <formula1>Resources</formula1>
    </dataValidation>
    <dataValidation type="list" allowBlank="1" showInputMessage="1" showErrorMessage="1" sqref="AO2:AO3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2019-11-12T07:43:37Z</dcterms:modified>
</cp:coreProperties>
</file>