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APPFRAME\app\Packages\Milestone\SS\"/>
    </mc:Choice>
  </mc:AlternateContent>
  <bookViews>
    <workbookView xWindow="240" yWindow="75" windowWidth="20055" windowHeight="7935" tabRatio="912" activeTab="2"/>
  </bookViews>
  <sheets>
    <sheet name="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r:id="rId7"/>
    <sheet name="Helper-Relation" sheetId="19" r:id="rId8"/>
    <sheet name="Helper-ResourceAction" sheetId="27" r:id="rId9"/>
    <sheet name="Helper-ResourceForm" sheetId="9" state="hidden" r:id="rId10"/>
    <sheet name="Migration Renamer" sheetId="26" state="hidden" r:id="rId11"/>
    <sheet name="Helper-ResourceList" sheetId="28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62913"/>
</workbook>
</file>

<file path=xl/calcChain.xml><?xml version="1.0" encoding="utf-8"?>
<calcChain xmlns="http://schemas.openxmlformats.org/spreadsheetml/2006/main">
  <c r="C144" i="3" l="1"/>
  <c r="D144" i="3"/>
  <c r="E144" i="3"/>
  <c r="F144" i="3"/>
  <c r="G144" i="3"/>
  <c r="H144" i="3"/>
  <c r="I144" i="3"/>
  <c r="J144" i="3"/>
  <c r="J50" i="2"/>
  <c r="J48" i="2"/>
  <c r="C142" i="3"/>
  <c r="D142" i="3"/>
  <c r="E142" i="3"/>
  <c r="F142" i="3"/>
  <c r="G142" i="3"/>
  <c r="H142" i="3"/>
  <c r="I142" i="3"/>
  <c r="J142" i="3"/>
  <c r="J47" i="2"/>
  <c r="J49" i="2"/>
  <c r="C141" i="3"/>
  <c r="C143" i="3"/>
  <c r="D141" i="3"/>
  <c r="D143" i="3"/>
  <c r="E141" i="3"/>
  <c r="E143" i="3"/>
  <c r="F141" i="3"/>
  <c r="F143" i="3"/>
  <c r="G141" i="3"/>
  <c r="G143" i="3"/>
  <c r="H141" i="3"/>
  <c r="H143" i="3"/>
  <c r="I141" i="3"/>
  <c r="I143" i="3"/>
  <c r="J141" i="3"/>
  <c r="J143" i="3"/>
  <c r="J151" i="2"/>
  <c r="C94" i="3"/>
  <c r="D94" i="3"/>
  <c r="E94" i="3"/>
  <c r="F94" i="3"/>
  <c r="G94" i="3"/>
  <c r="H94" i="3"/>
  <c r="I94" i="3"/>
  <c r="J94" i="3"/>
  <c r="P12" i="19"/>
  <c r="R12" i="19"/>
  <c r="S12" i="19"/>
  <c r="P11" i="19"/>
  <c r="R11" i="19"/>
  <c r="S11" i="19"/>
  <c r="P10" i="19"/>
  <c r="R10" i="19"/>
  <c r="S10" i="19"/>
  <c r="A44" i="19"/>
  <c r="B44" i="19"/>
  <c r="C44" i="19"/>
  <c r="A43" i="19"/>
  <c r="B43" i="19"/>
  <c r="C43" i="19"/>
  <c r="A42" i="19"/>
  <c r="B42" i="19"/>
  <c r="D42" i="19" s="1"/>
  <c r="N42" i="19" s="1"/>
  <c r="C42" i="19"/>
  <c r="K144" i="3" l="1"/>
  <c r="K142" i="3"/>
  <c r="K141" i="3"/>
  <c r="K143" i="3"/>
  <c r="K94" i="3"/>
  <c r="D44" i="19"/>
  <c r="N44" i="19" s="1"/>
  <c r="G44" i="19"/>
  <c r="D43" i="19"/>
  <c r="N43" i="19" s="1"/>
  <c r="G43" i="19"/>
  <c r="G42" i="19"/>
  <c r="C28" i="26"/>
  <c r="C29" i="26"/>
  <c r="C30" i="26"/>
  <c r="C31" i="26"/>
  <c r="C32" i="26"/>
  <c r="C33" i="26"/>
  <c r="D28" i="26"/>
  <c r="D29" i="26"/>
  <c r="D30" i="26"/>
  <c r="D31" i="26"/>
  <c r="D32" i="26"/>
  <c r="D33" i="26"/>
  <c r="J272" i="2"/>
  <c r="J271" i="2"/>
  <c r="J270" i="2"/>
  <c r="J269" i="2"/>
  <c r="J268" i="2"/>
  <c r="J267" i="2"/>
  <c r="C271" i="3"/>
  <c r="D271" i="3"/>
  <c r="E271" i="3"/>
  <c r="F271" i="3"/>
  <c r="G271" i="3"/>
  <c r="H271" i="3"/>
  <c r="I271" i="3"/>
  <c r="J271" i="3"/>
  <c r="J150" i="2"/>
  <c r="J149" i="2"/>
  <c r="C100" i="3"/>
  <c r="C101" i="3"/>
  <c r="C102" i="3"/>
  <c r="D100" i="3"/>
  <c r="D101" i="3"/>
  <c r="D102" i="3"/>
  <c r="E100" i="3"/>
  <c r="E101" i="3"/>
  <c r="E102" i="3"/>
  <c r="F100" i="3"/>
  <c r="F101" i="3"/>
  <c r="F102" i="3"/>
  <c r="G100" i="3"/>
  <c r="G101" i="3"/>
  <c r="G102" i="3"/>
  <c r="H100" i="3"/>
  <c r="H101" i="3"/>
  <c r="H102" i="3"/>
  <c r="I100" i="3"/>
  <c r="I101" i="3"/>
  <c r="I102" i="3"/>
  <c r="J100" i="3"/>
  <c r="J101" i="3"/>
  <c r="J102" i="3"/>
  <c r="P9" i="19"/>
  <c r="R9" i="19"/>
  <c r="S9" i="19"/>
  <c r="A41" i="19"/>
  <c r="B41" i="19"/>
  <c r="C41" i="19"/>
  <c r="A40" i="19"/>
  <c r="B40" i="19"/>
  <c r="D40" i="19" s="1"/>
  <c r="N40" i="19" s="1"/>
  <c r="C40" i="19"/>
  <c r="A29" i="14"/>
  <c r="B29" i="14"/>
  <c r="H29" i="14"/>
  <c r="C27" i="26"/>
  <c r="D27" i="26"/>
  <c r="C316" i="3"/>
  <c r="D316" i="3"/>
  <c r="E316" i="3"/>
  <c r="F316" i="3"/>
  <c r="G316" i="3"/>
  <c r="H316" i="3"/>
  <c r="I316" i="3"/>
  <c r="J316" i="3"/>
  <c r="C315" i="3"/>
  <c r="D315" i="3"/>
  <c r="E315" i="3"/>
  <c r="F315" i="3"/>
  <c r="G315" i="3"/>
  <c r="H315" i="3"/>
  <c r="I315" i="3"/>
  <c r="J315" i="3"/>
  <c r="J147" i="2"/>
  <c r="J148" i="2"/>
  <c r="C314" i="3"/>
  <c r="D314" i="3"/>
  <c r="E314" i="3"/>
  <c r="F314" i="3"/>
  <c r="G314" i="3"/>
  <c r="H314" i="3"/>
  <c r="I314" i="3"/>
  <c r="J314" i="3"/>
  <c r="C313" i="3"/>
  <c r="D313" i="3"/>
  <c r="E313" i="3"/>
  <c r="F313" i="3"/>
  <c r="G313" i="3"/>
  <c r="H313" i="3"/>
  <c r="I313" i="3"/>
  <c r="J313" i="3"/>
  <c r="C312" i="3"/>
  <c r="D312" i="3"/>
  <c r="E312" i="3"/>
  <c r="F312" i="3"/>
  <c r="G312" i="3"/>
  <c r="H312" i="3"/>
  <c r="I312" i="3"/>
  <c r="J312" i="3"/>
  <c r="C311" i="3"/>
  <c r="D311" i="3"/>
  <c r="E311" i="3"/>
  <c r="F311" i="3"/>
  <c r="G311" i="3"/>
  <c r="H311" i="3"/>
  <c r="I311" i="3"/>
  <c r="J311" i="3"/>
  <c r="C310" i="3"/>
  <c r="D310" i="3"/>
  <c r="E310" i="3"/>
  <c r="F310" i="3"/>
  <c r="G310" i="3"/>
  <c r="H310" i="3"/>
  <c r="I310" i="3"/>
  <c r="J310" i="3"/>
  <c r="B71" i="1"/>
  <c r="H71" i="1" s="1"/>
  <c r="C71" i="1"/>
  <c r="E71" i="1" s="1"/>
  <c r="I71" i="1" s="1"/>
  <c r="D71" i="1"/>
  <c r="C258" i="3"/>
  <c r="C259" i="3"/>
  <c r="C260" i="3"/>
  <c r="D258" i="3"/>
  <c r="D259" i="3"/>
  <c r="D260" i="3"/>
  <c r="E258" i="3"/>
  <c r="E259" i="3"/>
  <c r="E260" i="3"/>
  <c r="F258" i="3"/>
  <c r="F259" i="3"/>
  <c r="F260" i="3"/>
  <c r="G258" i="3"/>
  <c r="G259" i="3"/>
  <c r="G260" i="3"/>
  <c r="H258" i="3"/>
  <c r="H259" i="3"/>
  <c r="H260" i="3"/>
  <c r="I258" i="3"/>
  <c r="I259" i="3"/>
  <c r="I260" i="3"/>
  <c r="J258" i="3"/>
  <c r="J259" i="3"/>
  <c r="J260" i="3"/>
  <c r="C248" i="3"/>
  <c r="D248" i="3"/>
  <c r="E248" i="3"/>
  <c r="F248" i="3"/>
  <c r="G248" i="3"/>
  <c r="H248" i="3"/>
  <c r="I248" i="3"/>
  <c r="J248" i="3"/>
  <c r="C306" i="3"/>
  <c r="D306" i="3"/>
  <c r="E306" i="3"/>
  <c r="F306" i="3"/>
  <c r="G306" i="3"/>
  <c r="H306" i="3"/>
  <c r="I306" i="3"/>
  <c r="J306" i="3"/>
  <c r="J145" i="2"/>
  <c r="A28" i="14"/>
  <c r="B28" i="14"/>
  <c r="H28" i="14"/>
  <c r="A27" i="14"/>
  <c r="B27" i="14"/>
  <c r="H27" i="14"/>
  <c r="P8" i="19"/>
  <c r="R8" i="19"/>
  <c r="S8" i="19"/>
  <c r="C296" i="3"/>
  <c r="D296" i="3"/>
  <c r="E296" i="3"/>
  <c r="F296" i="3"/>
  <c r="G296" i="3"/>
  <c r="H296" i="3"/>
  <c r="I296" i="3"/>
  <c r="J296" i="3"/>
  <c r="J139" i="2"/>
  <c r="C197" i="3"/>
  <c r="D197" i="3"/>
  <c r="E197" i="3"/>
  <c r="F197" i="3"/>
  <c r="G197" i="3"/>
  <c r="H197" i="3"/>
  <c r="I197" i="3"/>
  <c r="J197" i="3"/>
  <c r="C286" i="3"/>
  <c r="C287" i="3"/>
  <c r="D286" i="3"/>
  <c r="D287" i="3"/>
  <c r="E286" i="3"/>
  <c r="E287" i="3"/>
  <c r="F286" i="3"/>
  <c r="F287" i="3"/>
  <c r="G286" i="3"/>
  <c r="G287" i="3"/>
  <c r="H286" i="3"/>
  <c r="H287" i="3"/>
  <c r="I286" i="3"/>
  <c r="I287" i="3"/>
  <c r="J286" i="3"/>
  <c r="J287" i="3"/>
  <c r="C26" i="26"/>
  <c r="D26" i="26"/>
  <c r="C309" i="3"/>
  <c r="D309" i="3"/>
  <c r="E309" i="3"/>
  <c r="F309" i="3"/>
  <c r="G309" i="3"/>
  <c r="H309" i="3"/>
  <c r="I309" i="3"/>
  <c r="J309" i="3"/>
  <c r="C308" i="3"/>
  <c r="D308" i="3"/>
  <c r="E308" i="3"/>
  <c r="F308" i="3"/>
  <c r="G308" i="3"/>
  <c r="H308" i="3"/>
  <c r="I308" i="3"/>
  <c r="J308" i="3"/>
  <c r="C307" i="3"/>
  <c r="D307" i="3"/>
  <c r="E307" i="3"/>
  <c r="F307" i="3"/>
  <c r="G307" i="3"/>
  <c r="H307" i="3"/>
  <c r="I307" i="3"/>
  <c r="J307" i="3"/>
  <c r="J146" i="2"/>
  <c r="C305" i="3"/>
  <c r="D305" i="3"/>
  <c r="E305" i="3"/>
  <c r="F305" i="3"/>
  <c r="G305" i="3"/>
  <c r="H305" i="3"/>
  <c r="I305" i="3"/>
  <c r="J305" i="3"/>
  <c r="C303" i="3"/>
  <c r="C304" i="3"/>
  <c r="D303" i="3"/>
  <c r="D304" i="3"/>
  <c r="E303" i="3"/>
  <c r="E304" i="3"/>
  <c r="F303" i="3"/>
  <c r="F304" i="3"/>
  <c r="G303" i="3"/>
  <c r="G304" i="3"/>
  <c r="H303" i="3"/>
  <c r="H304" i="3"/>
  <c r="I303" i="3"/>
  <c r="I304" i="3"/>
  <c r="J303" i="3"/>
  <c r="J304" i="3"/>
  <c r="J143" i="2"/>
  <c r="J144" i="2"/>
  <c r="C302" i="3"/>
  <c r="D302" i="3"/>
  <c r="E302" i="3"/>
  <c r="F302" i="3"/>
  <c r="G302" i="3"/>
  <c r="H302" i="3"/>
  <c r="I302" i="3"/>
  <c r="J302" i="3"/>
  <c r="C301" i="3"/>
  <c r="D301" i="3"/>
  <c r="E301" i="3"/>
  <c r="F301" i="3"/>
  <c r="G301" i="3"/>
  <c r="H301" i="3"/>
  <c r="I301" i="3"/>
  <c r="J301" i="3"/>
  <c r="C300" i="3"/>
  <c r="D300" i="3"/>
  <c r="E300" i="3"/>
  <c r="F300" i="3"/>
  <c r="G300" i="3"/>
  <c r="H300" i="3"/>
  <c r="I300" i="3"/>
  <c r="J300" i="3"/>
  <c r="C299" i="3"/>
  <c r="D299" i="3"/>
  <c r="E299" i="3"/>
  <c r="F299" i="3"/>
  <c r="G299" i="3"/>
  <c r="H299" i="3"/>
  <c r="I299" i="3"/>
  <c r="J299" i="3"/>
  <c r="B70" i="1"/>
  <c r="H70" i="1" s="1"/>
  <c r="C70" i="1"/>
  <c r="E70" i="1" s="1"/>
  <c r="D70" i="1"/>
  <c r="J66" i="21"/>
  <c r="K66" i="21"/>
  <c r="C298" i="3"/>
  <c r="D298" i="3"/>
  <c r="E298" i="3"/>
  <c r="F298" i="3"/>
  <c r="G298" i="3"/>
  <c r="H298" i="3"/>
  <c r="I298" i="3"/>
  <c r="J298" i="3"/>
  <c r="C297" i="3"/>
  <c r="D297" i="3"/>
  <c r="E297" i="3"/>
  <c r="F297" i="3"/>
  <c r="G297" i="3"/>
  <c r="H297" i="3"/>
  <c r="I297" i="3"/>
  <c r="J297" i="3"/>
  <c r="C293" i="3"/>
  <c r="C294" i="3"/>
  <c r="C295" i="3"/>
  <c r="D293" i="3"/>
  <c r="D294" i="3"/>
  <c r="D295" i="3"/>
  <c r="E293" i="3"/>
  <c r="E294" i="3"/>
  <c r="E295" i="3"/>
  <c r="F293" i="3"/>
  <c r="F294" i="3"/>
  <c r="F295" i="3"/>
  <c r="G293" i="3"/>
  <c r="G294" i="3"/>
  <c r="G295" i="3"/>
  <c r="H293" i="3"/>
  <c r="H294" i="3"/>
  <c r="H295" i="3"/>
  <c r="I293" i="3"/>
  <c r="I294" i="3"/>
  <c r="I295" i="3"/>
  <c r="J293" i="3"/>
  <c r="J294" i="3"/>
  <c r="J295" i="3"/>
  <c r="J141" i="2"/>
  <c r="J142" i="2"/>
  <c r="J140" i="2"/>
  <c r="J95" i="2"/>
  <c r="C292" i="3"/>
  <c r="D292" i="3"/>
  <c r="E292" i="3"/>
  <c r="F292" i="3"/>
  <c r="G292" i="3"/>
  <c r="H292" i="3"/>
  <c r="I292" i="3"/>
  <c r="J292" i="3"/>
  <c r="C291" i="3"/>
  <c r="D291" i="3"/>
  <c r="E291" i="3"/>
  <c r="F291" i="3"/>
  <c r="G291" i="3"/>
  <c r="H291" i="3"/>
  <c r="I291" i="3"/>
  <c r="J291" i="3"/>
  <c r="C288" i="3"/>
  <c r="D288" i="3"/>
  <c r="E288" i="3"/>
  <c r="F288" i="3"/>
  <c r="G288" i="3"/>
  <c r="H288" i="3"/>
  <c r="I288" i="3"/>
  <c r="J288" i="3"/>
  <c r="C290" i="3"/>
  <c r="D290" i="3"/>
  <c r="E290" i="3"/>
  <c r="F290" i="3"/>
  <c r="G290" i="3"/>
  <c r="H290" i="3"/>
  <c r="I290" i="3"/>
  <c r="J290" i="3"/>
  <c r="C289" i="3"/>
  <c r="D289" i="3"/>
  <c r="E289" i="3"/>
  <c r="F289" i="3"/>
  <c r="G289" i="3"/>
  <c r="H289" i="3"/>
  <c r="I289" i="3"/>
  <c r="J289" i="3"/>
  <c r="J138" i="2"/>
  <c r="C285" i="3"/>
  <c r="D285" i="3"/>
  <c r="E285" i="3"/>
  <c r="F285" i="3"/>
  <c r="G285" i="3"/>
  <c r="H285" i="3"/>
  <c r="I285" i="3"/>
  <c r="J285" i="3"/>
  <c r="C284" i="3"/>
  <c r="D284" i="3"/>
  <c r="E284" i="3"/>
  <c r="F284" i="3"/>
  <c r="G284" i="3"/>
  <c r="H284" i="3"/>
  <c r="I284" i="3"/>
  <c r="J284" i="3"/>
  <c r="B69" i="1"/>
  <c r="H69" i="1" s="1"/>
  <c r="C69" i="1"/>
  <c r="E69" i="1" s="1"/>
  <c r="D66" i="21" s="1"/>
  <c r="D69" i="1"/>
  <c r="C66" i="21" s="1"/>
  <c r="C208" i="3"/>
  <c r="D208" i="3"/>
  <c r="E208" i="3"/>
  <c r="F208" i="3"/>
  <c r="G208" i="3"/>
  <c r="H208" i="3"/>
  <c r="I208" i="3"/>
  <c r="J208" i="3"/>
  <c r="C207" i="3"/>
  <c r="D207" i="3"/>
  <c r="E207" i="3"/>
  <c r="F207" i="3"/>
  <c r="G207" i="3"/>
  <c r="H207" i="3"/>
  <c r="I207" i="3"/>
  <c r="J207" i="3"/>
  <c r="J136" i="2"/>
  <c r="J137" i="2"/>
  <c r="C93" i="3"/>
  <c r="D93" i="3"/>
  <c r="E93" i="3"/>
  <c r="F93" i="3"/>
  <c r="G93" i="3"/>
  <c r="H93" i="3"/>
  <c r="I93" i="3"/>
  <c r="J93" i="3"/>
  <c r="C91" i="3"/>
  <c r="D91" i="3"/>
  <c r="E91" i="3"/>
  <c r="F91" i="3"/>
  <c r="G91" i="3"/>
  <c r="H91" i="3"/>
  <c r="I91" i="3"/>
  <c r="J91" i="3"/>
  <c r="J133" i="2"/>
  <c r="J134" i="2"/>
  <c r="C122" i="3"/>
  <c r="D122" i="3"/>
  <c r="E122" i="3"/>
  <c r="F122" i="3"/>
  <c r="G122" i="3"/>
  <c r="H122" i="3"/>
  <c r="I122" i="3"/>
  <c r="J122" i="3"/>
  <c r="J132" i="2"/>
  <c r="A39" i="19"/>
  <c r="B39" i="19"/>
  <c r="C39" i="19"/>
  <c r="P7" i="19"/>
  <c r="R7" i="19"/>
  <c r="S7" i="19"/>
  <c r="A50" i="24"/>
  <c r="C50" i="24"/>
  <c r="A38" i="19"/>
  <c r="B38" i="19"/>
  <c r="C38" i="19"/>
  <c r="C261" i="3"/>
  <c r="D261" i="3"/>
  <c r="E261" i="3"/>
  <c r="F261" i="3"/>
  <c r="G261" i="3"/>
  <c r="H261" i="3"/>
  <c r="I261" i="3"/>
  <c r="J261" i="3"/>
  <c r="C250" i="3"/>
  <c r="D250" i="3"/>
  <c r="E250" i="3"/>
  <c r="F250" i="3"/>
  <c r="G250" i="3"/>
  <c r="H250" i="3"/>
  <c r="I250" i="3"/>
  <c r="J250" i="3"/>
  <c r="P6" i="19"/>
  <c r="R6" i="19"/>
  <c r="S6" i="19"/>
  <c r="A37" i="19"/>
  <c r="B37" i="19"/>
  <c r="C37" i="19"/>
  <c r="A36" i="19"/>
  <c r="B36" i="19"/>
  <c r="C36" i="19"/>
  <c r="P5" i="19"/>
  <c r="R5" i="19"/>
  <c r="S5" i="19"/>
  <c r="A35" i="19"/>
  <c r="B35" i="19"/>
  <c r="C35" i="19"/>
  <c r="A34" i="19"/>
  <c r="B34" i="19"/>
  <c r="C34" i="19"/>
  <c r="P4" i="19"/>
  <c r="R4" i="19"/>
  <c r="S4" i="19"/>
  <c r="A33" i="19"/>
  <c r="B33" i="19"/>
  <c r="C33" i="19"/>
  <c r="C190" i="3"/>
  <c r="D190" i="3"/>
  <c r="E190" i="3"/>
  <c r="F190" i="3"/>
  <c r="G190" i="3"/>
  <c r="H190" i="3"/>
  <c r="I190" i="3"/>
  <c r="J190" i="3"/>
  <c r="C177" i="3"/>
  <c r="D177" i="3"/>
  <c r="E177" i="3"/>
  <c r="F177" i="3"/>
  <c r="G177" i="3"/>
  <c r="H177" i="3"/>
  <c r="I177" i="3"/>
  <c r="J177" i="3"/>
  <c r="J135" i="2"/>
  <c r="DD2" i="9"/>
  <c r="EC2" i="9"/>
  <c r="EB2" i="9"/>
  <c r="AH2" i="29"/>
  <c r="AH3" i="29"/>
  <c r="AH4" i="29"/>
  <c r="AH5" i="29"/>
  <c r="AH6" i="29"/>
  <c r="AH7" i="29"/>
  <c r="AH8" i="29"/>
  <c r="AE2" i="29"/>
  <c r="AE3" i="29"/>
  <c r="AE4" i="29"/>
  <c r="AE5" i="29"/>
  <c r="AE6" i="29"/>
  <c r="AE7" i="29"/>
  <c r="AE8" i="29"/>
  <c r="BK2" i="9"/>
  <c r="BM2" i="9" s="1"/>
  <c r="BK3" i="9"/>
  <c r="BM3" i="9" s="1"/>
  <c r="BK4" i="9"/>
  <c r="BM4" i="9" s="1"/>
  <c r="BK5" i="9"/>
  <c r="BM5" i="9" s="1"/>
  <c r="CF2" i="9"/>
  <c r="CG2" i="9" s="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A64" i="24"/>
  <c r="C64" i="24"/>
  <c r="A63" i="24"/>
  <c r="C63" i="24"/>
  <c r="A62" i="24"/>
  <c r="C62" i="24"/>
  <c r="A61" i="24"/>
  <c r="C61" i="24"/>
  <c r="A60" i="24"/>
  <c r="C60" i="24"/>
  <c r="A59" i="24"/>
  <c r="C59" i="24"/>
  <c r="A58" i="24"/>
  <c r="C58" i="24"/>
  <c r="A57" i="24"/>
  <c r="C57" i="24"/>
  <c r="A56" i="24"/>
  <c r="C56" i="24"/>
  <c r="A4" i="24"/>
  <c r="A5" i="24"/>
  <c r="C4" i="24"/>
  <c r="C5" i="24"/>
  <c r="A55" i="24"/>
  <c r="C55" i="24"/>
  <c r="A38" i="24"/>
  <c r="C38" i="24"/>
  <c r="AE19" i="27"/>
  <c r="AF19" i="27"/>
  <c r="AI19" i="27"/>
  <c r="AJ19" i="27"/>
  <c r="B33" i="27"/>
  <c r="D33" i="27"/>
  <c r="M33" i="27" s="1"/>
  <c r="Q33" i="27"/>
  <c r="R33" i="27"/>
  <c r="S33" i="27"/>
  <c r="AE18" i="27"/>
  <c r="AF18" i="27"/>
  <c r="AI18" i="27"/>
  <c r="AJ18" i="27"/>
  <c r="AE17" i="27"/>
  <c r="AF17" i="27"/>
  <c r="AI17" i="27"/>
  <c r="AJ17" i="27"/>
  <c r="B32" i="27"/>
  <c r="D32" i="27"/>
  <c r="M32" i="27" s="1"/>
  <c r="R32" i="27"/>
  <c r="S32" i="27"/>
  <c r="B31" i="27"/>
  <c r="D31" i="27"/>
  <c r="M31" i="27" s="1"/>
  <c r="Q31" i="27"/>
  <c r="R31" i="27"/>
  <c r="S31" i="27"/>
  <c r="AE16" i="27"/>
  <c r="AF16" i="27"/>
  <c r="AI16" i="27"/>
  <c r="AJ16" i="27"/>
  <c r="AE15" i="27"/>
  <c r="AF15" i="27"/>
  <c r="AI15" i="27"/>
  <c r="AJ15" i="27"/>
  <c r="B30" i="27"/>
  <c r="D30" i="27"/>
  <c r="M30" i="27" s="1"/>
  <c r="R30" i="27"/>
  <c r="S30" i="27"/>
  <c r="B29" i="27"/>
  <c r="D29" i="27"/>
  <c r="M29" i="27" s="1"/>
  <c r="Q29" i="27"/>
  <c r="R29" i="27"/>
  <c r="S29" i="27"/>
  <c r="B28" i="27"/>
  <c r="D28" i="27"/>
  <c r="M28" i="27" s="1"/>
  <c r="P28" i="27"/>
  <c r="Q28" i="27"/>
  <c r="R28" i="27"/>
  <c r="S28" i="27"/>
  <c r="B27" i="27"/>
  <c r="D27" i="27"/>
  <c r="Y27" i="27" s="1"/>
  <c r="P27" i="27"/>
  <c r="Q27" i="27"/>
  <c r="R27" i="27"/>
  <c r="S27" i="27"/>
  <c r="AV31" i="28"/>
  <c r="AV30" i="28"/>
  <c r="AV29" i="28"/>
  <c r="AV28" i="28"/>
  <c r="AH17" i="28"/>
  <c r="A11" i="28"/>
  <c r="C11" i="28"/>
  <c r="D11" i="28"/>
  <c r="K11" i="28" s="1"/>
  <c r="AV27" i="28"/>
  <c r="AV26" i="28"/>
  <c r="AV25" i="28"/>
  <c r="AV24" i="28"/>
  <c r="AH16" i="28"/>
  <c r="A10" i="28"/>
  <c r="C10" i="28"/>
  <c r="D10" i="28"/>
  <c r="K10" i="28" s="1"/>
  <c r="T7" i="14"/>
  <c r="U7" i="14"/>
  <c r="AE14" i="27"/>
  <c r="AF14" i="27"/>
  <c r="AI14" i="27"/>
  <c r="AJ14" i="27"/>
  <c r="AE13" i="27"/>
  <c r="AF13" i="27"/>
  <c r="AI13" i="27"/>
  <c r="AJ13" i="27"/>
  <c r="B26" i="27"/>
  <c r="D26" i="27"/>
  <c r="M26" i="27" s="1"/>
  <c r="Q26" i="27"/>
  <c r="R26" i="27"/>
  <c r="S26" i="27"/>
  <c r="B25" i="27"/>
  <c r="D25" i="27"/>
  <c r="M25" i="27" s="1"/>
  <c r="P25" i="27"/>
  <c r="Q25" i="27"/>
  <c r="R25" i="27"/>
  <c r="S25" i="27"/>
  <c r="AP18" i="29"/>
  <c r="AR18" i="29"/>
  <c r="AP17" i="29"/>
  <c r="AR17" i="29"/>
  <c r="AP16" i="29"/>
  <c r="AR16" i="29"/>
  <c r="AP15" i="29"/>
  <c r="AR15" i="29"/>
  <c r="C7" i="29"/>
  <c r="K271" i="3" l="1"/>
  <c r="K102" i="3"/>
  <c r="K101" i="3"/>
  <c r="K100" i="3"/>
  <c r="D41" i="19"/>
  <c r="N41" i="19" s="1"/>
  <c r="G41" i="19"/>
  <c r="G40" i="19"/>
  <c r="K316" i="3"/>
  <c r="K315" i="3"/>
  <c r="K314" i="3"/>
  <c r="K313" i="3"/>
  <c r="K312" i="3"/>
  <c r="K311" i="3"/>
  <c r="K310" i="3"/>
  <c r="J71" i="1"/>
  <c r="F71" i="1"/>
  <c r="G71" i="1"/>
  <c r="K260" i="3"/>
  <c r="K258" i="3"/>
  <c r="K259" i="3"/>
  <c r="K248" i="3"/>
  <c r="K306" i="3"/>
  <c r="K296" i="3"/>
  <c r="K197" i="3"/>
  <c r="K286" i="3"/>
  <c r="K287" i="3"/>
  <c r="K309" i="3"/>
  <c r="K308" i="3"/>
  <c r="K307" i="3"/>
  <c r="K305" i="3"/>
  <c r="K303" i="3"/>
  <c r="K304" i="3"/>
  <c r="K302" i="3"/>
  <c r="K301" i="3"/>
  <c r="K300" i="3"/>
  <c r="K299" i="3"/>
  <c r="K297" i="3"/>
  <c r="K298" i="3"/>
  <c r="I70" i="1"/>
  <c r="G70" i="1"/>
  <c r="J70" i="1"/>
  <c r="F70" i="1"/>
  <c r="K293" i="3"/>
  <c r="K295" i="3"/>
  <c r="K294" i="3"/>
  <c r="K292" i="3"/>
  <c r="K291" i="3"/>
  <c r="K288" i="3"/>
  <c r="K290" i="3"/>
  <c r="K289" i="3"/>
  <c r="K285" i="3"/>
  <c r="K284" i="3"/>
  <c r="G69" i="1"/>
  <c r="J69" i="1"/>
  <c r="I69" i="1"/>
  <c r="F69" i="1"/>
  <c r="K208" i="3"/>
  <c r="K207" i="3"/>
  <c r="K93" i="3"/>
  <c r="K91" i="3"/>
  <c r="K122" i="3"/>
  <c r="D39" i="19"/>
  <c r="N39" i="19" s="1"/>
  <c r="G39" i="19"/>
  <c r="D38" i="19"/>
  <c r="N38" i="19" s="1"/>
  <c r="G38" i="19"/>
  <c r="K261" i="3"/>
  <c r="K250" i="3"/>
  <c r="G37" i="19"/>
  <c r="D37" i="19"/>
  <c r="N37" i="19" s="1"/>
  <c r="D36" i="19"/>
  <c r="N36" i="19" s="1"/>
  <c r="G36" i="19"/>
  <c r="D35" i="19"/>
  <c r="N35" i="19" s="1"/>
  <c r="G35" i="19"/>
  <c r="D34" i="19"/>
  <c r="N34" i="19" s="1"/>
  <c r="G34" i="19"/>
  <c r="D33" i="19"/>
  <c r="N33" i="19" s="1"/>
  <c r="G33" i="19"/>
  <c r="BL4" i="9"/>
  <c r="BL5" i="9"/>
  <c r="K190" i="3"/>
  <c r="K177" i="3"/>
  <c r="BL2" i="9"/>
  <c r="CI2" i="9"/>
  <c r="BL3" i="9"/>
  <c r="Y33" i="27"/>
  <c r="Y32" i="27"/>
  <c r="Y31" i="27"/>
  <c r="Y29" i="27"/>
  <c r="Y30" i="27"/>
  <c r="Y26" i="27"/>
  <c r="Y28" i="27"/>
  <c r="M27" i="27"/>
  <c r="Y25" i="27"/>
  <c r="BE2" i="9"/>
  <c r="BE3" i="9"/>
  <c r="BE4" i="9"/>
  <c r="BE5" i="9"/>
  <c r="BE6" i="9"/>
  <c r="BD2" i="9"/>
  <c r="BD3" i="9"/>
  <c r="BD4" i="9"/>
  <c r="BD5" i="9"/>
  <c r="BD6" i="9"/>
  <c r="B24" i="27"/>
  <c r="D24" i="27"/>
  <c r="Y24" i="27" s="1"/>
  <c r="P24" i="27"/>
  <c r="Q24" i="27"/>
  <c r="R24" i="27"/>
  <c r="S24" i="27"/>
  <c r="B23" i="27"/>
  <c r="D23" i="27"/>
  <c r="M23" i="27" s="1"/>
  <c r="P23" i="27"/>
  <c r="Q23" i="27"/>
  <c r="R23" i="27"/>
  <c r="S23" i="27"/>
  <c r="AV23" i="28"/>
  <c r="AV22" i="28"/>
  <c r="AV21" i="28"/>
  <c r="AV20" i="28"/>
  <c r="AH15" i="28"/>
  <c r="AH14" i="28"/>
  <c r="AH13" i="28"/>
  <c r="A9" i="28"/>
  <c r="C9" i="28"/>
  <c r="D9" i="28"/>
  <c r="K9" i="28" s="1"/>
  <c r="O18" i="9"/>
  <c r="P18" i="9"/>
  <c r="AJ18" i="9"/>
  <c r="AT18" i="9"/>
  <c r="O17" i="9"/>
  <c r="P17" i="9"/>
  <c r="AJ17" i="9"/>
  <c r="AT17" i="9"/>
  <c r="O16" i="9"/>
  <c r="P16" i="9"/>
  <c r="AJ16" i="9"/>
  <c r="AT16" i="9"/>
  <c r="C131" i="3"/>
  <c r="D131" i="3"/>
  <c r="E131" i="3"/>
  <c r="F131" i="3"/>
  <c r="G131" i="3"/>
  <c r="H131" i="3"/>
  <c r="I131" i="3"/>
  <c r="J131" i="3"/>
  <c r="O15" i="9"/>
  <c r="P15" i="9"/>
  <c r="AJ15" i="9"/>
  <c r="AT15" i="9"/>
  <c r="B8" i="9"/>
  <c r="AE12" i="27"/>
  <c r="AF12" i="27"/>
  <c r="AI12" i="27"/>
  <c r="AJ12" i="27"/>
  <c r="AE11" i="27"/>
  <c r="AF11" i="27"/>
  <c r="AI11" i="27"/>
  <c r="AJ11" i="27"/>
  <c r="B22" i="27"/>
  <c r="D22" i="27"/>
  <c r="M22" i="27" s="1"/>
  <c r="P22" i="27"/>
  <c r="Q22" i="27"/>
  <c r="R22" i="27"/>
  <c r="S22" i="27"/>
  <c r="AP14" i="29"/>
  <c r="AR14" i="29"/>
  <c r="AP13" i="29"/>
  <c r="AR13" i="29"/>
  <c r="AP12" i="29"/>
  <c r="AR12" i="29"/>
  <c r="AP11" i="29"/>
  <c r="AR11" i="29"/>
  <c r="C6" i="29"/>
  <c r="AV16" i="28"/>
  <c r="B21" i="27"/>
  <c r="D21" i="27"/>
  <c r="M21" i="27" s="1"/>
  <c r="Q21" i="27"/>
  <c r="R21" i="27"/>
  <c r="S21" i="27"/>
  <c r="O14" i="9"/>
  <c r="P14" i="9"/>
  <c r="AJ14" i="9"/>
  <c r="AT14" i="9"/>
  <c r="B7" i="9"/>
  <c r="B20" i="27"/>
  <c r="D20" i="27"/>
  <c r="M20" i="27" s="1"/>
  <c r="P20" i="27"/>
  <c r="Q20" i="27"/>
  <c r="R20" i="27"/>
  <c r="S20" i="27"/>
  <c r="M14" i="9" l="1"/>
  <c r="AE14" i="9"/>
  <c r="AB14" i="9" s="1"/>
  <c r="Q16" i="9"/>
  <c r="AN16" i="9" s="1"/>
  <c r="AE16" i="9"/>
  <c r="AB16" i="9" s="1"/>
  <c r="Q18" i="9"/>
  <c r="AD18" i="9" s="1"/>
  <c r="AE18" i="9"/>
  <c r="AB18" i="9" s="1"/>
  <c r="Q15" i="9"/>
  <c r="AY15" i="9" s="1"/>
  <c r="AE15" i="9"/>
  <c r="AB15" i="9" s="1"/>
  <c r="Q17" i="9"/>
  <c r="AY17" i="9" s="1"/>
  <c r="AE17" i="9"/>
  <c r="AB17" i="9" s="1"/>
  <c r="M15" i="9"/>
  <c r="M16" i="9"/>
  <c r="Y23" i="27"/>
  <c r="M24" i="27"/>
  <c r="M18" i="9"/>
  <c r="M17" i="9"/>
  <c r="K131" i="3"/>
  <c r="Y22" i="27"/>
  <c r="Y21" i="27"/>
  <c r="Q14" i="9"/>
  <c r="Y20" i="27"/>
  <c r="AE10" i="27"/>
  <c r="AF10" i="27"/>
  <c r="AI10" i="27"/>
  <c r="AJ10" i="27"/>
  <c r="AE9" i="27"/>
  <c r="AF9" i="27"/>
  <c r="AI9" i="27"/>
  <c r="AJ9" i="27"/>
  <c r="B18" i="27"/>
  <c r="D18" i="27"/>
  <c r="M18" i="27" s="1"/>
  <c r="R18" i="27"/>
  <c r="S18" i="27"/>
  <c r="B19" i="27"/>
  <c r="D19" i="27"/>
  <c r="M19" i="27" s="1"/>
  <c r="R19" i="27"/>
  <c r="S19" i="27"/>
  <c r="AE8" i="27"/>
  <c r="AF8" i="27"/>
  <c r="AI8" i="27"/>
  <c r="AJ8" i="27"/>
  <c r="B17" i="27"/>
  <c r="D17" i="27"/>
  <c r="M17" i="27" s="1"/>
  <c r="R17" i="27"/>
  <c r="S17" i="27"/>
  <c r="B16" i="27"/>
  <c r="D16" i="27"/>
  <c r="M16" i="27" s="1"/>
  <c r="P16" i="27"/>
  <c r="Q16" i="27"/>
  <c r="R16" i="27"/>
  <c r="S16" i="27"/>
  <c r="AE7" i="27"/>
  <c r="AF7" i="27"/>
  <c r="AI7" i="27"/>
  <c r="AJ7" i="27"/>
  <c r="B15" i="27"/>
  <c r="D15" i="27"/>
  <c r="M15" i="27" s="1"/>
  <c r="P15" i="27"/>
  <c r="Q15" i="27"/>
  <c r="R15" i="27"/>
  <c r="S15" i="27"/>
  <c r="AV19" i="28"/>
  <c r="AV18" i="28"/>
  <c r="AV17" i="28"/>
  <c r="AH12" i="28"/>
  <c r="A8" i="28"/>
  <c r="C8" i="28"/>
  <c r="D8" i="28"/>
  <c r="AN18" i="9" l="1"/>
  <c r="BA18" i="9"/>
  <c r="AD15" i="9"/>
  <c r="AN15" i="9"/>
  <c r="BA15" i="9"/>
  <c r="AY18" i="9"/>
  <c r="AD17" i="9"/>
  <c r="AY16" i="9"/>
  <c r="AD16" i="9"/>
  <c r="BA17" i="9"/>
  <c r="BA16" i="9"/>
  <c r="AN17" i="9"/>
  <c r="K8" i="28"/>
  <c r="AD14" i="9"/>
  <c r="AY14" i="9"/>
  <c r="AN14" i="9"/>
  <c r="BA14" i="9"/>
  <c r="Y18" i="27"/>
  <c r="Y19" i="27"/>
  <c r="Y17" i="27"/>
  <c r="Y16" i="27"/>
  <c r="Y15" i="27"/>
  <c r="S2" i="19"/>
  <c r="S3" i="19"/>
  <c r="P3" i="19"/>
  <c r="R3" i="19"/>
  <c r="O13" i="9"/>
  <c r="P13" i="9"/>
  <c r="AJ13" i="9"/>
  <c r="AT13" i="9"/>
  <c r="O12" i="9"/>
  <c r="P12" i="9"/>
  <c r="AJ12" i="9"/>
  <c r="AT12" i="9"/>
  <c r="O11" i="9"/>
  <c r="P11" i="9"/>
  <c r="AJ11" i="9"/>
  <c r="AT11" i="9"/>
  <c r="B6" i="9"/>
  <c r="A54" i="24"/>
  <c r="C54" i="24"/>
  <c r="A53" i="24"/>
  <c r="C53" i="24"/>
  <c r="A52" i="24"/>
  <c r="C52" i="24"/>
  <c r="A51" i="24"/>
  <c r="C51" i="24"/>
  <c r="A49" i="24"/>
  <c r="C49" i="24"/>
  <c r="A48" i="24"/>
  <c r="C48" i="24"/>
  <c r="A47" i="24"/>
  <c r="C47" i="24"/>
  <c r="A46" i="24"/>
  <c r="C46" i="24"/>
  <c r="A45" i="24"/>
  <c r="C45" i="24"/>
  <c r="A43" i="24"/>
  <c r="C43" i="24"/>
  <c r="A44" i="24"/>
  <c r="C44" i="24"/>
  <c r="A42" i="24"/>
  <c r="C42" i="24"/>
  <c r="A41" i="24"/>
  <c r="C41" i="24"/>
  <c r="A40" i="24"/>
  <c r="C40" i="24"/>
  <c r="A39" i="24"/>
  <c r="C39" i="24"/>
  <c r="A37" i="24"/>
  <c r="C37" i="24"/>
  <c r="A34" i="24"/>
  <c r="A35" i="24"/>
  <c r="A36" i="24"/>
  <c r="C34" i="24"/>
  <c r="C35" i="24"/>
  <c r="C36" i="24"/>
  <c r="J45" i="21"/>
  <c r="J46" i="21"/>
  <c r="K45" i="21"/>
  <c r="K46" i="21"/>
  <c r="J44" i="21"/>
  <c r="K44" i="21"/>
  <c r="Q12" i="9" l="1"/>
  <c r="BA12" i="9" s="1"/>
  <c r="AE12" i="9"/>
  <c r="AB12" i="9" s="1"/>
  <c r="Q11" i="9"/>
  <c r="BA11" i="9" s="1"/>
  <c r="AE11" i="9"/>
  <c r="AB11" i="9" s="1"/>
  <c r="Q13" i="9"/>
  <c r="BA13" i="9" s="1"/>
  <c r="AE13" i="9"/>
  <c r="AB13" i="9" s="1"/>
  <c r="M13" i="9"/>
  <c r="M12" i="9"/>
  <c r="M11" i="9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C4" i="21"/>
  <c r="D4" i="21"/>
  <c r="J4" i="21"/>
  <c r="AD13" i="9" l="1"/>
  <c r="AY13" i="9"/>
  <c r="AD11" i="9"/>
  <c r="AN11" i="9"/>
  <c r="AY11" i="9"/>
  <c r="AN13" i="9"/>
  <c r="AY12" i="9"/>
  <c r="AD12" i="9"/>
  <c r="AN12" i="9"/>
  <c r="J2" i="21"/>
  <c r="J3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T6" i="14"/>
  <c r="U6" i="14"/>
  <c r="B14" i="27"/>
  <c r="D14" i="27"/>
  <c r="M14" i="27" s="1"/>
  <c r="Q14" i="27"/>
  <c r="R14" i="27"/>
  <c r="S14" i="27"/>
  <c r="AV15" i="28"/>
  <c r="AV14" i="28"/>
  <c r="AV13" i="28"/>
  <c r="AH11" i="28"/>
  <c r="AH10" i="28"/>
  <c r="A7" i="28"/>
  <c r="C7" i="28"/>
  <c r="D7" i="28"/>
  <c r="K7" i="28" l="1"/>
  <c r="Y14" i="27"/>
  <c r="AH2" i="28"/>
  <c r="AH3" i="28"/>
  <c r="AH4" i="28"/>
  <c r="AH5" i="28"/>
  <c r="AH6" i="28"/>
  <c r="AH7" i="28"/>
  <c r="AH8" i="28"/>
  <c r="AH9" i="28"/>
  <c r="AF17" i="28" l="1"/>
  <c r="AF16" i="28"/>
  <c r="AF15" i="28"/>
  <c r="AF14" i="28"/>
  <c r="AF13" i="28"/>
  <c r="AF12" i="28"/>
  <c r="AF11" i="28"/>
  <c r="AF10" i="28"/>
  <c r="B13" i="27"/>
  <c r="D13" i="27"/>
  <c r="P13" i="27"/>
  <c r="Q13" i="27"/>
  <c r="R13" i="27"/>
  <c r="S13" i="27"/>
  <c r="AV12" i="28"/>
  <c r="AV11" i="28"/>
  <c r="AV10" i="28"/>
  <c r="A6" i="28"/>
  <c r="C6" i="28"/>
  <c r="D6" i="28"/>
  <c r="A13" i="19"/>
  <c r="B13" i="19"/>
  <c r="G13" i="19" s="1"/>
  <c r="C13" i="19"/>
  <c r="A9" i="19"/>
  <c r="B9" i="19"/>
  <c r="G9" i="19" s="1"/>
  <c r="C9" i="19"/>
  <c r="M13" i="27" l="1"/>
  <c r="K6" i="28"/>
  <c r="Y13" i="27"/>
  <c r="D13" i="19"/>
  <c r="D9" i="19"/>
  <c r="N9" i="19" s="1"/>
  <c r="C20" i="26"/>
  <c r="C21" i="26"/>
  <c r="C22" i="26"/>
  <c r="C23" i="26"/>
  <c r="C24" i="26"/>
  <c r="C25" i="26"/>
  <c r="D20" i="26"/>
  <c r="D21" i="26"/>
  <c r="D22" i="26"/>
  <c r="D23" i="26"/>
  <c r="D24" i="26"/>
  <c r="D25" i="26"/>
  <c r="C279" i="3"/>
  <c r="D279" i="3"/>
  <c r="E279" i="3"/>
  <c r="F279" i="3"/>
  <c r="G279" i="3"/>
  <c r="H279" i="3"/>
  <c r="I279" i="3"/>
  <c r="J279" i="3"/>
  <c r="T5" i="14"/>
  <c r="U5" i="14"/>
  <c r="AE6" i="27"/>
  <c r="AF6" i="27"/>
  <c r="AI6" i="27"/>
  <c r="AJ6" i="27"/>
  <c r="AE5" i="27"/>
  <c r="AF5" i="27"/>
  <c r="AI5" i="27"/>
  <c r="AJ5" i="27"/>
  <c r="B12" i="27"/>
  <c r="D12" i="27"/>
  <c r="M12" i="27" s="1"/>
  <c r="Q12" i="27"/>
  <c r="R12" i="27"/>
  <c r="S12" i="27"/>
  <c r="B11" i="27"/>
  <c r="D11" i="27"/>
  <c r="M11" i="27" s="1"/>
  <c r="P11" i="27"/>
  <c r="Q11" i="27"/>
  <c r="R11" i="27"/>
  <c r="S11" i="27"/>
  <c r="Y12" i="27" l="1"/>
  <c r="N13" i="19"/>
  <c r="K279" i="3"/>
  <c r="Y11" i="27"/>
  <c r="B10" i="27"/>
  <c r="D10" i="27"/>
  <c r="P10" i="27"/>
  <c r="Q10" i="27"/>
  <c r="R10" i="27"/>
  <c r="S10" i="27"/>
  <c r="B9" i="27"/>
  <c r="D9" i="27"/>
  <c r="P9" i="27"/>
  <c r="Q9" i="27"/>
  <c r="R9" i="27"/>
  <c r="S9" i="27"/>
  <c r="AP10" i="29"/>
  <c r="AR10" i="29"/>
  <c r="AP9" i="29"/>
  <c r="AR9" i="29"/>
  <c r="AP8" i="29"/>
  <c r="AR8" i="29"/>
  <c r="M10" i="27" l="1"/>
  <c r="M9" i="27"/>
  <c r="Y10" i="27"/>
  <c r="Y9" i="27"/>
  <c r="AR2" i="29"/>
  <c r="AR3" i="29"/>
  <c r="AR4" i="29"/>
  <c r="AR5" i="29"/>
  <c r="AR6" i="29"/>
  <c r="AR7" i="29"/>
  <c r="AP2" i="29"/>
  <c r="AP3" i="29"/>
  <c r="AP4" i="29"/>
  <c r="AP5" i="29"/>
  <c r="AP6" i="29"/>
  <c r="AP7" i="29"/>
  <c r="C5" i="29" l="1"/>
  <c r="AV9" i="28"/>
  <c r="AV8" i="28"/>
  <c r="AV7" i="28"/>
  <c r="A5" i="28"/>
  <c r="C5" i="28"/>
  <c r="D5" i="28"/>
  <c r="K5" i="28" l="1"/>
  <c r="O10" i="9"/>
  <c r="P10" i="9"/>
  <c r="AJ10" i="9"/>
  <c r="AT10" i="9"/>
  <c r="O9" i="9"/>
  <c r="P9" i="9"/>
  <c r="AJ9" i="9"/>
  <c r="AT9" i="9"/>
  <c r="O8" i="9"/>
  <c r="P8" i="9"/>
  <c r="AJ8" i="9"/>
  <c r="AT8" i="9"/>
  <c r="O7" i="9"/>
  <c r="P7" i="9"/>
  <c r="AJ7" i="9"/>
  <c r="AT7" i="9"/>
  <c r="B5" i="9"/>
  <c r="V2" i="14"/>
  <c r="T4" i="14"/>
  <c r="U4" i="14"/>
  <c r="T3" i="14"/>
  <c r="U3" i="14"/>
  <c r="Q8" i="9" l="1"/>
  <c r="AD8" i="9" s="1"/>
  <c r="AE8" i="9"/>
  <c r="AB8" i="9" s="1"/>
  <c r="Q10" i="9"/>
  <c r="BA10" i="9" s="1"/>
  <c r="AE10" i="9"/>
  <c r="AB10" i="9" s="1"/>
  <c r="Q7" i="9"/>
  <c r="AY7" i="9" s="1"/>
  <c r="AE7" i="9"/>
  <c r="AB7" i="9" s="1"/>
  <c r="Q9" i="9"/>
  <c r="AD9" i="9" s="1"/>
  <c r="AE9" i="9"/>
  <c r="AB9" i="9" s="1"/>
  <c r="M10" i="9"/>
  <c r="M9" i="9"/>
  <c r="M8" i="9"/>
  <c r="M7" i="9"/>
  <c r="AN9" i="9" l="1"/>
  <c r="BA9" i="9"/>
  <c r="BA7" i="9"/>
  <c r="AN7" i="9"/>
  <c r="AD7" i="9"/>
  <c r="AY9" i="9"/>
  <c r="AY8" i="9"/>
  <c r="AN10" i="9"/>
  <c r="AN8" i="9"/>
  <c r="AD10" i="9"/>
  <c r="BA8" i="9"/>
  <c r="AY10" i="9"/>
  <c r="AJ2" i="27"/>
  <c r="AJ3" i="27"/>
  <c r="AJ4" i="27"/>
  <c r="AI2" i="27"/>
  <c r="AI3" i="27"/>
  <c r="AI4" i="27"/>
  <c r="AF2" i="27"/>
  <c r="AF3" i="27"/>
  <c r="AF4" i="27"/>
  <c r="AE2" i="27"/>
  <c r="AE3" i="27"/>
  <c r="AE4" i="27"/>
  <c r="B8" i="27" l="1"/>
  <c r="D8" i="27"/>
  <c r="Q8" i="27"/>
  <c r="R8" i="27"/>
  <c r="S8" i="27"/>
  <c r="M8" i="27" l="1"/>
  <c r="Y8" i="27"/>
  <c r="O6" i="9" l="1"/>
  <c r="P6" i="9"/>
  <c r="AJ6" i="9"/>
  <c r="AT6" i="9"/>
  <c r="O5" i="9"/>
  <c r="P5" i="9"/>
  <c r="AJ5" i="9"/>
  <c r="AT5" i="9"/>
  <c r="B7" i="27"/>
  <c r="D7" i="27"/>
  <c r="Q7" i="27"/>
  <c r="R7" i="27"/>
  <c r="S7" i="27"/>
  <c r="C4" i="29"/>
  <c r="Q6" i="9" l="1"/>
  <c r="BA6" i="9" s="1"/>
  <c r="AE6" i="9"/>
  <c r="AB6" i="9" s="1"/>
  <c r="Q5" i="9"/>
  <c r="BA5" i="9" s="1"/>
  <c r="AE5" i="9"/>
  <c r="AB5" i="9" s="1"/>
  <c r="M6" i="9"/>
  <c r="M7" i="27"/>
  <c r="M5" i="9"/>
  <c r="Y7" i="27"/>
  <c r="C3" i="29"/>
  <c r="B6" i="27"/>
  <c r="D6" i="27"/>
  <c r="P6" i="27"/>
  <c r="Q6" i="27"/>
  <c r="R6" i="27"/>
  <c r="S6" i="27"/>
  <c r="B5" i="27"/>
  <c r="D5" i="27"/>
  <c r="P5" i="27"/>
  <c r="Q5" i="27"/>
  <c r="R5" i="27"/>
  <c r="S5" i="27"/>
  <c r="B4" i="27"/>
  <c r="D4" i="27"/>
  <c r="P4" i="27"/>
  <c r="Q4" i="27"/>
  <c r="R4" i="27"/>
  <c r="S4" i="27"/>
  <c r="B3" i="27"/>
  <c r="D3" i="27"/>
  <c r="P3" i="27"/>
  <c r="Q3" i="27"/>
  <c r="R3" i="27"/>
  <c r="S3" i="27"/>
  <c r="AD5" i="9" l="1"/>
  <c r="AN5" i="9"/>
  <c r="AY5" i="9"/>
  <c r="AD6" i="9"/>
  <c r="AN6" i="9"/>
  <c r="AY6" i="9"/>
  <c r="M3" i="27"/>
  <c r="M4" i="27"/>
  <c r="M5" i="27"/>
  <c r="M6" i="27"/>
  <c r="Y6" i="27"/>
  <c r="Y5" i="27"/>
  <c r="Y4" i="27"/>
  <c r="Y3" i="27"/>
  <c r="A8" i="24" l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A7" i="24"/>
  <c r="C7" i="24"/>
  <c r="A6" i="24"/>
  <c r="C6" i="24"/>
  <c r="A3" i="24"/>
  <c r="C3" i="24"/>
  <c r="A2" i="24"/>
  <c r="C2" i="24"/>
  <c r="O2" i="9" l="1"/>
  <c r="O3" i="9"/>
  <c r="O4" i="9"/>
  <c r="M2" i="9" l="1"/>
  <c r="AE2" i="9"/>
  <c r="AB2" i="9" s="1"/>
  <c r="M4" i="9"/>
  <c r="AE4" i="9"/>
  <c r="AB4" i="9" s="1"/>
  <c r="M3" i="9"/>
  <c r="AE3" i="9"/>
  <c r="AB3" i="9" s="1"/>
  <c r="Q2" i="9"/>
  <c r="Q3" i="9"/>
  <c r="Q4" i="9"/>
  <c r="E6" i="31"/>
  <c r="AA3" i="9" l="1"/>
  <c r="AA5" i="9"/>
  <c r="AA10" i="9"/>
  <c r="AA12" i="9"/>
  <c r="AA6" i="9"/>
  <c r="AA9" i="9"/>
  <c r="AA11" i="9"/>
  <c r="AA7" i="9"/>
  <c r="AA13" i="9"/>
  <c r="AA8" i="9"/>
  <c r="AA14" i="9"/>
  <c r="AA4" i="9"/>
  <c r="AA2" i="9"/>
  <c r="AA15" i="9"/>
  <c r="AA18" i="9"/>
  <c r="AA17" i="9"/>
  <c r="AA16" i="9"/>
  <c r="AY2" i="9"/>
  <c r="BA2" i="9"/>
  <c r="AY4" i="9"/>
  <c r="BA4" i="9"/>
  <c r="AY3" i="9"/>
  <c r="BA3" i="9"/>
  <c r="AD2" i="9"/>
  <c r="AN2" i="9"/>
  <c r="AD4" i="9"/>
  <c r="AN4" i="9"/>
  <c r="AD3" i="9"/>
  <c r="AN3" i="9"/>
  <c r="P4" i="9"/>
  <c r="AJ4" i="9"/>
  <c r="AT4" i="9"/>
  <c r="P3" i="9"/>
  <c r="AJ3" i="9"/>
  <c r="AT3" i="9"/>
  <c r="B4" i="9"/>
  <c r="B3" i="9"/>
  <c r="AV6" i="28"/>
  <c r="AV5" i="28"/>
  <c r="AV4" i="28"/>
  <c r="AV3" i="28"/>
  <c r="A4" i="28"/>
  <c r="C4" i="28"/>
  <c r="D4" i="28"/>
  <c r="A3" i="28"/>
  <c r="C3" i="28"/>
  <c r="D3" i="28"/>
  <c r="A32" i="19"/>
  <c r="B32" i="19"/>
  <c r="G32" i="19" s="1"/>
  <c r="C32" i="19"/>
  <c r="A31" i="19"/>
  <c r="B31" i="19"/>
  <c r="D31" i="19" s="1"/>
  <c r="N31" i="19" s="1"/>
  <c r="C31" i="19"/>
  <c r="A30" i="19"/>
  <c r="B30" i="19"/>
  <c r="G30" i="19" s="1"/>
  <c r="C30" i="19"/>
  <c r="A29" i="19"/>
  <c r="B29" i="19"/>
  <c r="D29" i="19" s="1"/>
  <c r="N29" i="19" s="1"/>
  <c r="C29" i="19"/>
  <c r="A28" i="19"/>
  <c r="B28" i="19"/>
  <c r="C28" i="19"/>
  <c r="A27" i="19"/>
  <c r="B27" i="19"/>
  <c r="C27" i="19"/>
  <c r="A26" i="19"/>
  <c r="B26" i="19"/>
  <c r="D26" i="19" s="1"/>
  <c r="N26" i="19" s="1"/>
  <c r="C26" i="19"/>
  <c r="A25" i="19"/>
  <c r="B25" i="19"/>
  <c r="D25" i="19" s="1"/>
  <c r="N25" i="19" s="1"/>
  <c r="C25" i="19"/>
  <c r="A24" i="19"/>
  <c r="B24" i="19"/>
  <c r="C24" i="19"/>
  <c r="A23" i="19"/>
  <c r="B23" i="19"/>
  <c r="C23" i="19"/>
  <c r="A22" i="19"/>
  <c r="B22" i="19"/>
  <c r="C22" i="19"/>
  <c r="A21" i="19"/>
  <c r="B21" i="19"/>
  <c r="C21" i="19"/>
  <c r="A20" i="19"/>
  <c r="B20" i="19"/>
  <c r="G20" i="19" s="1"/>
  <c r="C20" i="19"/>
  <c r="A19" i="19"/>
  <c r="B19" i="19"/>
  <c r="C19" i="19"/>
  <c r="A18" i="19"/>
  <c r="B18" i="19"/>
  <c r="D18" i="19" s="1"/>
  <c r="N18" i="19" s="1"/>
  <c r="C18" i="19"/>
  <c r="A17" i="19"/>
  <c r="B17" i="19"/>
  <c r="C17" i="19"/>
  <c r="A16" i="19"/>
  <c r="B16" i="19"/>
  <c r="D16" i="19" s="1"/>
  <c r="C16" i="19"/>
  <c r="A15" i="19"/>
  <c r="B15" i="19"/>
  <c r="C15" i="19"/>
  <c r="A14" i="19"/>
  <c r="B14" i="19"/>
  <c r="C14" i="19"/>
  <c r="A12" i="19"/>
  <c r="B12" i="19"/>
  <c r="C12" i="19"/>
  <c r="A11" i="19"/>
  <c r="B11" i="19"/>
  <c r="D11" i="19" s="1"/>
  <c r="C11" i="19"/>
  <c r="A10" i="19"/>
  <c r="B10" i="19"/>
  <c r="C10" i="19"/>
  <c r="A8" i="19"/>
  <c r="B8" i="19"/>
  <c r="C8" i="19"/>
  <c r="AF10" i="9" l="1"/>
  <c r="AI10" i="9"/>
  <c r="AG10" i="9"/>
  <c r="AH10" i="9"/>
  <c r="AH12" i="9"/>
  <c r="AF12" i="9"/>
  <c r="AG12" i="9"/>
  <c r="AI12" i="9"/>
  <c r="AH16" i="9"/>
  <c r="AI16" i="9"/>
  <c r="AG16" i="9"/>
  <c r="AF16" i="9"/>
  <c r="AF13" i="9"/>
  <c r="AH13" i="9"/>
  <c r="AI13" i="9"/>
  <c r="AG13" i="9"/>
  <c r="AF3" i="9"/>
  <c r="AG3" i="9"/>
  <c r="AH3" i="9"/>
  <c r="AI3" i="9"/>
  <c r="AH8" i="9"/>
  <c r="AI8" i="9"/>
  <c r="AG8" i="9"/>
  <c r="AF8" i="9"/>
  <c r="AF6" i="9"/>
  <c r="AG6" i="9"/>
  <c r="AI6" i="9"/>
  <c r="AH6" i="9"/>
  <c r="AG15" i="9"/>
  <c r="AH15" i="9"/>
  <c r="AF15" i="9"/>
  <c r="AI15" i="9"/>
  <c r="AI9" i="9"/>
  <c r="AH9" i="9"/>
  <c r="AF9" i="9"/>
  <c r="AG9" i="9"/>
  <c r="AF5" i="9"/>
  <c r="AH5" i="9"/>
  <c r="AI5" i="9"/>
  <c r="AG5" i="9"/>
  <c r="AG4" i="9"/>
  <c r="AH4" i="9"/>
  <c r="AF4" i="9"/>
  <c r="AI4" i="9"/>
  <c r="AF2" i="9"/>
  <c r="AI2" i="9"/>
  <c r="AG2" i="9"/>
  <c r="AH2" i="9"/>
  <c r="AF18" i="9"/>
  <c r="AI18" i="9"/>
  <c r="AG18" i="9"/>
  <c r="AH18" i="9"/>
  <c r="AF11" i="9"/>
  <c r="AG11" i="9"/>
  <c r="AH11" i="9"/>
  <c r="AI11" i="9"/>
  <c r="AF14" i="9"/>
  <c r="AG14" i="9"/>
  <c r="AH14" i="9"/>
  <c r="AI14" i="9"/>
  <c r="AI17" i="9"/>
  <c r="AH17" i="9"/>
  <c r="AF17" i="9"/>
  <c r="AG17" i="9"/>
  <c r="AG7" i="9"/>
  <c r="AH7" i="9"/>
  <c r="AF7" i="9"/>
  <c r="AI7" i="9"/>
  <c r="N16" i="19"/>
  <c r="N11" i="19"/>
  <c r="K4" i="28"/>
  <c r="K3" i="28"/>
  <c r="D32" i="19"/>
  <c r="N32" i="19" s="1"/>
  <c r="G31" i="19"/>
  <c r="G29" i="19"/>
  <c r="D30" i="19"/>
  <c r="N30" i="19" s="1"/>
  <c r="G26" i="19"/>
  <c r="D27" i="19"/>
  <c r="N27" i="19" s="1"/>
  <c r="D28" i="19"/>
  <c r="N28" i="19" s="1"/>
  <c r="G27" i="19"/>
  <c r="G28" i="19"/>
  <c r="G24" i="19"/>
  <c r="G25" i="19"/>
  <c r="D24" i="19"/>
  <c r="N24" i="19" s="1"/>
  <c r="D23" i="19"/>
  <c r="N23" i="19" s="1"/>
  <c r="G23" i="19"/>
  <c r="D21" i="19"/>
  <c r="N21" i="19" s="1"/>
  <c r="D22" i="19"/>
  <c r="N22" i="19" s="1"/>
  <c r="G21" i="19"/>
  <c r="G22" i="19"/>
  <c r="G19" i="19"/>
  <c r="D19" i="19"/>
  <c r="N19" i="19" s="1"/>
  <c r="D20" i="19"/>
  <c r="N20" i="19" s="1"/>
  <c r="G18" i="19"/>
  <c r="D17" i="19"/>
  <c r="G17" i="19"/>
  <c r="G16" i="19"/>
  <c r="D15" i="19"/>
  <c r="G15" i="19"/>
  <c r="D14" i="19"/>
  <c r="N14" i="19" s="1"/>
  <c r="G14" i="19"/>
  <c r="D12" i="19"/>
  <c r="N12" i="19" s="1"/>
  <c r="G12" i="19"/>
  <c r="G11" i="19"/>
  <c r="D10" i="19"/>
  <c r="N10" i="19" s="1"/>
  <c r="G10" i="19"/>
  <c r="D8" i="19"/>
  <c r="N8" i="19" s="1"/>
  <c r="G8" i="19"/>
  <c r="A3" i="14"/>
  <c r="B3" i="14"/>
  <c r="H3" i="14"/>
  <c r="B46" i="1"/>
  <c r="C46" i="1"/>
  <c r="E46" i="1" s="1"/>
  <c r="D46" i="1"/>
  <c r="A7" i="19"/>
  <c r="B7" i="19"/>
  <c r="D7" i="19" s="1"/>
  <c r="N7" i="19" s="1"/>
  <c r="C7" i="19"/>
  <c r="A6" i="19"/>
  <c r="B6" i="19"/>
  <c r="C6" i="19"/>
  <c r="A5" i="19"/>
  <c r="B5" i="19"/>
  <c r="C5" i="19"/>
  <c r="A4" i="19"/>
  <c r="B4" i="19"/>
  <c r="D4" i="19" s="1"/>
  <c r="N4" i="19" s="1"/>
  <c r="C4" i="19"/>
  <c r="A3" i="19"/>
  <c r="B3" i="19"/>
  <c r="D3" i="19" s="1"/>
  <c r="N3" i="19" s="1"/>
  <c r="C3" i="19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A5" i="14"/>
  <c r="B5" i="14"/>
  <c r="H5" i="14"/>
  <c r="H4" i="14"/>
  <c r="A4" i="14"/>
  <c r="B4" i="14"/>
  <c r="B57" i="1"/>
  <c r="H57" i="1" s="1"/>
  <c r="C57" i="1"/>
  <c r="E57" i="1" s="1"/>
  <c r="D56" i="21" s="1"/>
  <c r="D57" i="1"/>
  <c r="C56" i="21" s="1"/>
  <c r="B48" i="1"/>
  <c r="H48" i="1" s="1"/>
  <c r="C48" i="1"/>
  <c r="E48" i="1" s="1"/>
  <c r="D48" i="1"/>
  <c r="C44" i="21" s="1"/>
  <c r="B52" i="1"/>
  <c r="H52" i="1" s="1"/>
  <c r="B53" i="1"/>
  <c r="H53" i="1" s="1"/>
  <c r="B54" i="1"/>
  <c r="F54" i="1" s="1"/>
  <c r="B55" i="1"/>
  <c r="H55" i="1" s="1"/>
  <c r="B56" i="1"/>
  <c r="H56" i="1" s="1"/>
  <c r="B58" i="1"/>
  <c r="F58" i="1" s="1"/>
  <c r="B59" i="1"/>
  <c r="H59" i="1" s="1"/>
  <c r="B60" i="1"/>
  <c r="H60" i="1" s="1"/>
  <c r="B61" i="1"/>
  <c r="H61" i="1" s="1"/>
  <c r="B62" i="1"/>
  <c r="H62" i="1" s="1"/>
  <c r="C52" i="1"/>
  <c r="E52" i="1" s="1"/>
  <c r="D51" i="21" s="1"/>
  <c r="C53" i="1"/>
  <c r="E53" i="1" s="1"/>
  <c r="D52" i="21" s="1"/>
  <c r="C54" i="1"/>
  <c r="E54" i="1" s="1"/>
  <c r="D53" i="21" s="1"/>
  <c r="C55" i="1"/>
  <c r="E55" i="1" s="1"/>
  <c r="C56" i="1"/>
  <c r="E56" i="1" s="1"/>
  <c r="D55" i="21" s="1"/>
  <c r="C58" i="1"/>
  <c r="E58" i="1" s="1"/>
  <c r="C59" i="1"/>
  <c r="E59" i="1" s="1"/>
  <c r="D58" i="21" s="1"/>
  <c r="C60" i="1"/>
  <c r="E60" i="1" s="1"/>
  <c r="D45" i="21" s="1"/>
  <c r="C61" i="1"/>
  <c r="E61" i="1" s="1"/>
  <c r="D46" i="21" s="1"/>
  <c r="C62" i="1"/>
  <c r="E62" i="1" s="1"/>
  <c r="D59" i="21" s="1"/>
  <c r="D52" i="1"/>
  <c r="C51" i="21" s="1"/>
  <c r="D53" i="1"/>
  <c r="C52" i="21" s="1"/>
  <c r="D54" i="1"/>
  <c r="C53" i="21" s="1"/>
  <c r="D55" i="1"/>
  <c r="C54" i="21" s="1"/>
  <c r="D56" i="1"/>
  <c r="C55" i="21" s="1"/>
  <c r="D58" i="1"/>
  <c r="C57" i="21" s="1"/>
  <c r="D59" i="1"/>
  <c r="C58" i="21" s="1"/>
  <c r="D60" i="1"/>
  <c r="C45" i="21" s="1"/>
  <c r="D61" i="1"/>
  <c r="C46" i="21" s="1"/>
  <c r="D62" i="1"/>
  <c r="C59" i="21" s="1"/>
  <c r="B50" i="1"/>
  <c r="F50" i="1" s="1"/>
  <c r="B51" i="1"/>
  <c r="H51" i="1" s="1"/>
  <c r="C50" i="1"/>
  <c r="E50" i="1" s="1"/>
  <c r="D49" i="21" s="1"/>
  <c r="C51" i="1"/>
  <c r="E51" i="1" s="1"/>
  <c r="D50" i="1"/>
  <c r="C49" i="21" s="1"/>
  <c r="D51" i="1"/>
  <c r="C50" i="21" s="1"/>
  <c r="B49" i="1"/>
  <c r="H49" i="1" s="1"/>
  <c r="C49" i="1"/>
  <c r="E49" i="1" s="1"/>
  <c r="D49" i="1"/>
  <c r="C48" i="21" s="1"/>
  <c r="C283" i="3"/>
  <c r="D283" i="3"/>
  <c r="E283" i="3"/>
  <c r="F283" i="3"/>
  <c r="G283" i="3"/>
  <c r="H283" i="3"/>
  <c r="I283" i="3"/>
  <c r="J283" i="3"/>
  <c r="C276" i="3"/>
  <c r="D276" i="3"/>
  <c r="E276" i="3"/>
  <c r="F276" i="3"/>
  <c r="G276" i="3"/>
  <c r="H276" i="3"/>
  <c r="I276" i="3"/>
  <c r="J276" i="3"/>
  <c r="C282" i="3"/>
  <c r="D282" i="3"/>
  <c r="E282" i="3"/>
  <c r="F282" i="3"/>
  <c r="G282" i="3"/>
  <c r="H282" i="3"/>
  <c r="I282" i="3"/>
  <c r="J282" i="3"/>
  <c r="C281" i="3"/>
  <c r="D281" i="3"/>
  <c r="E281" i="3"/>
  <c r="F281" i="3"/>
  <c r="G281" i="3"/>
  <c r="H281" i="3"/>
  <c r="I281" i="3"/>
  <c r="J281" i="3"/>
  <c r="C280" i="3"/>
  <c r="D280" i="3"/>
  <c r="E280" i="3"/>
  <c r="F280" i="3"/>
  <c r="G280" i="3"/>
  <c r="H280" i="3"/>
  <c r="I280" i="3"/>
  <c r="J280" i="3"/>
  <c r="C278" i="3"/>
  <c r="D278" i="3"/>
  <c r="E278" i="3"/>
  <c r="F278" i="3"/>
  <c r="G278" i="3"/>
  <c r="H278" i="3"/>
  <c r="I278" i="3"/>
  <c r="J278" i="3"/>
  <c r="J266" i="2"/>
  <c r="C277" i="3"/>
  <c r="D277" i="3"/>
  <c r="E277" i="3"/>
  <c r="F277" i="3"/>
  <c r="G277" i="3"/>
  <c r="H277" i="3"/>
  <c r="I277" i="3"/>
  <c r="J277" i="3"/>
  <c r="C275" i="3"/>
  <c r="D275" i="3"/>
  <c r="E275" i="3"/>
  <c r="F275" i="3"/>
  <c r="G275" i="3"/>
  <c r="H275" i="3"/>
  <c r="I275" i="3"/>
  <c r="J275" i="3"/>
  <c r="J12" i="2"/>
  <c r="C274" i="3"/>
  <c r="D274" i="3"/>
  <c r="E274" i="3"/>
  <c r="F274" i="3"/>
  <c r="G274" i="3"/>
  <c r="H274" i="3"/>
  <c r="I274" i="3"/>
  <c r="J274" i="3"/>
  <c r="J10" i="2"/>
  <c r="C273" i="3"/>
  <c r="D273" i="3"/>
  <c r="E273" i="3"/>
  <c r="F273" i="3"/>
  <c r="G273" i="3"/>
  <c r="H273" i="3"/>
  <c r="I273" i="3"/>
  <c r="J273" i="3"/>
  <c r="C272" i="3"/>
  <c r="D272" i="3"/>
  <c r="E272" i="3"/>
  <c r="F272" i="3"/>
  <c r="G272" i="3"/>
  <c r="H272" i="3"/>
  <c r="I272" i="3"/>
  <c r="J272" i="3"/>
  <c r="J129" i="2"/>
  <c r="J126" i="2"/>
  <c r="J127" i="2"/>
  <c r="J128" i="2"/>
  <c r="J122" i="2"/>
  <c r="C19" i="26"/>
  <c r="D19" i="26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B47" i="1"/>
  <c r="C47" i="1"/>
  <c r="E47" i="1" s="1"/>
  <c r="D47" i="21" s="1"/>
  <c r="D47" i="1"/>
  <c r="C47" i="21" s="1"/>
  <c r="C14" i="26"/>
  <c r="C15" i="26"/>
  <c r="C16" i="26"/>
  <c r="C17" i="26"/>
  <c r="C18" i="26"/>
  <c r="D14" i="26"/>
  <c r="D15" i="26"/>
  <c r="D16" i="26"/>
  <c r="D17" i="26"/>
  <c r="D18" i="26"/>
  <c r="C240" i="3"/>
  <c r="D240" i="3"/>
  <c r="E240" i="3"/>
  <c r="F240" i="3"/>
  <c r="G240" i="3"/>
  <c r="H240" i="3"/>
  <c r="I240" i="3"/>
  <c r="J240" i="3"/>
  <c r="J195" i="2"/>
  <c r="J186" i="2"/>
  <c r="J187" i="2"/>
  <c r="J188" i="2"/>
  <c r="J189" i="2"/>
  <c r="J190" i="2"/>
  <c r="J191" i="2"/>
  <c r="J192" i="2"/>
  <c r="J193" i="2"/>
  <c r="J194" i="2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70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31" i="2"/>
  <c r="J130" i="2"/>
  <c r="C13" i="26"/>
  <c r="D13" i="26"/>
  <c r="C9" i="26"/>
  <c r="C10" i="26"/>
  <c r="C11" i="26"/>
  <c r="C12" i="26"/>
  <c r="D9" i="26"/>
  <c r="D10" i="26"/>
  <c r="D11" i="26"/>
  <c r="D12" i="26"/>
  <c r="J125" i="2"/>
  <c r="J124" i="2"/>
  <c r="J123" i="2"/>
  <c r="J121" i="2"/>
  <c r="D2" i="26"/>
  <c r="D3" i="26"/>
  <c r="D4" i="26"/>
  <c r="D5" i="26"/>
  <c r="D6" i="26"/>
  <c r="D7" i="26"/>
  <c r="D8" i="26"/>
  <c r="C5" i="26"/>
  <c r="C6" i="26"/>
  <c r="C7" i="26"/>
  <c r="C8" i="26"/>
  <c r="J120" i="2"/>
  <c r="C256" i="3"/>
  <c r="C257" i="3"/>
  <c r="C262" i="3"/>
  <c r="D256" i="3"/>
  <c r="D257" i="3"/>
  <c r="D262" i="3"/>
  <c r="E256" i="3"/>
  <c r="E257" i="3"/>
  <c r="E262" i="3"/>
  <c r="F256" i="3"/>
  <c r="F257" i="3"/>
  <c r="F262" i="3"/>
  <c r="G256" i="3"/>
  <c r="G257" i="3"/>
  <c r="G262" i="3"/>
  <c r="H256" i="3"/>
  <c r="H257" i="3"/>
  <c r="H262" i="3"/>
  <c r="I256" i="3"/>
  <c r="I257" i="3"/>
  <c r="I262" i="3"/>
  <c r="J256" i="3"/>
  <c r="J257" i="3"/>
  <c r="J262" i="3"/>
  <c r="J119" i="2"/>
  <c r="J118" i="2"/>
  <c r="J117" i="2"/>
  <c r="C241" i="3"/>
  <c r="C242" i="3"/>
  <c r="C243" i="3"/>
  <c r="C244" i="3"/>
  <c r="C245" i="3"/>
  <c r="C246" i="3"/>
  <c r="C247" i="3"/>
  <c r="C249" i="3"/>
  <c r="C251" i="3"/>
  <c r="C252" i="3"/>
  <c r="C253" i="3"/>
  <c r="C254" i="3"/>
  <c r="C255" i="3"/>
  <c r="D241" i="3"/>
  <c r="D242" i="3"/>
  <c r="D243" i="3"/>
  <c r="D244" i="3"/>
  <c r="D245" i="3"/>
  <c r="D246" i="3"/>
  <c r="D247" i="3"/>
  <c r="D249" i="3"/>
  <c r="D251" i="3"/>
  <c r="D252" i="3"/>
  <c r="D253" i="3"/>
  <c r="D254" i="3"/>
  <c r="D255" i="3"/>
  <c r="E241" i="3"/>
  <c r="E242" i="3"/>
  <c r="E243" i="3"/>
  <c r="E244" i="3"/>
  <c r="E245" i="3"/>
  <c r="E246" i="3"/>
  <c r="E247" i="3"/>
  <c r="E249" i="3"/>
  <c r="E251" i="3"/>
  <c r="E252" i="3"/>
  <c r="E253" i="3"/>
  <c r="E254" i="3"/>
  <c r="E255" i="3"/>
  <c r="F241" i="3"/>
  <c r="F242" i="3"/>
  <c r="F243" i="3"/>
  <c r="F244" i="3"/>
  <c r="F245" i="3"/>
  <c r="F246" i="3"/>
  <c r="F247" i="3"/>
  <c r="F249" i="3"/>
  <c r="F251" i="3"/>
  <c r="F252" i="3"/>
  <c r="F253" i="3"/>
  <c r="F254" i="3"/>
  <c r="F255" i="3"/>
  <c r="G241" i="3"/>
  <c r="G242" i="3"/>
  <c r="G243" i="3"/>
  <c r="G244" i="3"/>
  <c r="G245" i="3"/>
  <c r="G246" i="3"/>
  <c r="G247" i="3"/>
  <c r="G249" i="3"/>
  <c r="G251" i="3"/>
  <c r="G252" i="3"/>
  <c r="G253" i="3"/>
  <c r="G254" i="3"/>
  <c r="G255" i="3"/>
  <c r="H241" i="3"/>
  <c r="H242" i="3"/>
  <c r="H243" i="3"/>
  <c r="H244" i="3"/>
  <c r="H245" i="3"/>
  <c r="H246" i="3"/>
  <c r="H247" i="3"/>
  <c r="H249" i="3"/>
  <c r="H251" i="3"/>
  <c r="H252" i="3"/>
  <c r="H253" i="3"/>
  <c r="H254" i="3"/>
  <c r="H255" i="3"/>
  <c r="I241" i="3"/>
  <c r="I242" i="3"/>
  <c r="I243" i="3"/>
  <c r="I244" i="3"/>
  <c r="I245" i="3"/>
  <c r="I246" i="3"/>
  <c r="I247" i="3"/>
  <c r="I249" i="3"/>
  <c r="I251" i="3"/>
  <c r="I252" i="3"/>
  <c r="I253" i="3"/>
  <c r="I254" i="3"/>
  <c r="I255" i="3"/>
  <c r="J241" i="3"/>
  <c r="J242" i="3"/>
  <c r="J243" i="3"/>
  <c r="J244" i="3"/>
  <c r="J245" i="3"/>
  <c r="J246" i="3"/>
  <c r="J247" i="3"/>
  <c r="J249" i="3"/>
  <c r="J251" i="3"/>
  <c r="J252" i="3"/>
  <c r="J253" i="3"/>
  <c r="J254" i="3"/>
  <c r="J255" i="3"/>
  <c r="B65" i="1"/>
  <c r="F65" i="1" s="1"/>
  <c r="C65" i="1"/>
  <c r="E65" i="1" s="1"/>
  <c r="D65" i="1"/>
  <c r="C62" i="21" s="1"/>
  <c r="J116" i="2"/>
  <c r="J115" i="2"/>
  <c r="J114" i="2"/>
  <c r="J113" i="2"/>
  <c r="J112" i="2"/>
  <c r="J111" i="2"/>
  <c r="J110" i="2"/>
  <c r="J109" i="2"/>
  <c r="J108" i="2"/>
  <c r="J107" i="2"/>
  <c r="J106" i="2"/>
  <c r="C107" i="3"/>
  <c r="C108" i="3"/>
  <c r="C109" i="3"/>
  <c r="C110" i="3"/>
  <c r="C111" i="3"/>
  <c r="C112" i="3"/>
  <c r="C113" i="3"/>
  <c r="C114" i="3"/>
  <c r="C115" i="3"/>
  <c r="C116" i="3"/>
  <c r="D107" i="3"/>
  <c r="D108" i="3"/>
  <c r="D109" i="3"/>
  <c r="D110" i="3"/>
  <c r="D111" i="3"/>
  <c r="D112" i="3"/>
  <c r="D113" i="3"/>
  <c r="D114" i="3"/>
  <c r="D115" i="3"/>
  <c r="D116" i="3"/>
  <c r="E107" i="3"/>
  <c r="E108" i="3"/>
  <c r="E109" i="3"/>
  <c r="E110" i="3"/>
  <c r="E111" i="3"/>
  <c r="E112" i="3"/>
  <c r="E113" i="3"/>
  <c r="E114" i="3"/>
  <c r="E115" i="3"/>
  <c r="E116" i="3"/>
  <c r="F107" i="3"/>
  <c r="F108" i="3"/>
  <c r="F109" i="3"/>
  <c r="F110" i="3"/>
  <c r="F111" i="3"/>
  <c r="F112" i="3"/>
  <c r="F113" i="3"/>
  <c r="F114" i="3"/>
  <c r="F115" i="3"/>
  <c r="F116" i="3"/>
  <c r="G107" i="3"/>
  <c r="G108" i="3"/>
  <c r="G109" i="3"/>
  <c r="G110" i="3"/>
  <c r="G111" i="3"/>
  <c r="G112" i="3"/>
  <c r="G113" i="3"/>
  <c r="G114" i="3"/>
  <c r="G115" i="3"/>
  <c r="G116" i="3"/>
  <c r="H107" i="3"/>
  <c r="H108" i="3"/>
  <c r="H109" i="3"/>
  <c r="H110" i="3"/>
  <c r="H111" i="3"/>
  <c r="H112" i="3"/>
  <c r="H113" i="3"/>
  <c r="H114" i="3"/>
  <c r="H115" i="3"/>
  <c r="H116" i="3"/>
  <c r="I107" i="3"/>
  <c r="I108" i="3"/>
  <c r="I109" i="3"/>
  <c r="I110" i="3"/>
  <c r="I111" i="3"/>
  <c r="I112" i="3"/>
  <c r="I113" i="3"/>
  <c r="I114" i="3"/>
  <c r="I115" i="3"/>
  <c r="I116" i="3"/>
  <c r="J107" i="3"/>
  <c r="J108" i="3"/>
  <c r="J109" i="3"/>
  <c r="J110" i="3"/>
  <c r="J111" i="3"/>
  <c r="J112" i="3"/>
  <c r="J113" i="3"/>
  <c r="J114" i="3"/>
  <c r="J115" i="3"/>
  <c r="J116" i="3"/>
  <c r="J105" i="2"/>
  <c r="C106" i="3"/>
  <c r="D106" i="3"/>
  <c r="E106" i="3"/>
  <c r="F106" i="3"/>
  <c r="G106" i="3"/>
  <c r="H106" i="3"/>
  <c r="I106" i="3"/>
  <c r="J106" i="3"/>
  <c r="D63" i="1"/>
  <c r="C60" i="21" s="1"/>
  <c r="D64" i="1"/>
  <c r="C61" i="21" s="1"/>
  <c r="D66" i="1"/>
  <c r="C63" i="21" s="1"/>
  <c r="D67" i="1"/>
  <c r="C64" i="21" s="1"/>
  <c r="D68" i="1"/>
  <c r="C65" i="21" s="1"/>
  <c r="D72" i="1"/>
  <c r="J104" i="2"/>
  <c r="J103" i="2"/>
  <c r="C205" i="3"/>
  <c r="D205" i="3"/>
  <c r="E205" i="3"/>
  <c r="F205" i="3"/>
  <c r="G205" i="3"/>
  <c r="H205" i="3"/>
  <c r="I205" i="3"/>
  <c r="J205" i="3"/>
  <c r="J102" i="2"/>
  <c r="J101" i="2"/>
  <c r="J100" i="2"/>
  <c r="J99" i="2"/>
  <c r="J98" i="2"/>
  <c r="C263" i="3"/>
  <c r="C264" i="3"/>
  <c r="C265" i="3"/>
  <c r="C266" i="3"/>
  <c r="C267" i="3"/>
  <c r="C268" i="3"/>
  <c r="D263" i="3"/>
  <c r="D264" i="3"/>
  <c r="D265" i="3"/>
  <c r="D266" i="3"/>
  <c r="D267" i="3"/>
  <c r="D268" i="3"/>
  <c r="E263" i="3"/>
  <c r="E264" i="3"/>
  <c r="E265" i="3"/>
  <c r="E266" i="3"/>
  <c r="E267" i="3"/>
  <c r="E268" i="3"/>
  <c r="F263" i="3"/>
  <c r="F264" i="3"/>
  <c r="F265" i="3"/>
  <c r="F266" i="3"/>
  <c r="F267" i="3"/>
  <c r="F268" i="3"/>
  <c r="G263" i="3"/>
  <c r="G264" i="3"/>
  <c r="G265" i="3"/>
  <c r="G266" i="3"/>
  <c r="G267" i="3"/>
  <c r="G268" i="3"/>
  <c r="H263" i="3"/>
  <c r="H264" i="3"/>
  <c r="H265" i="3"/>
  <c r="H266" i="3"/>
  <c r="H267" i="3"/>
  <c r="H268" i="3"/>
  <c r="I263" i="3"/>
  <c r="I264" i="3"/>
  <c r="I265" i="3"/>
  <c r="I266" i="3"/>
  <c r="I267" i="3"/>
  <c r="I268" i="3"/>
  <c r="J263" i="3"/>
  <c r="J264" i="3"/>
  <c r="J265" i="3"/>
  <c r="J266" i="3"/>
  <c r="J267" i="3"/>
  <c r="J268" i="3"/>
  <c r="C196" i="3"/>
  <c r="D196" i="3"/>
  <c r="E196" i="3"/>
  <c r="F196" i="3"/>
  <c r="G196" i="3"/>
  <c r="H196" i="3"/>
  <c r="I196" i="3"/>
  <c r="J196" i="3"/>
  <c r="C195" i="3"/>
  <c r="D195" i="3"/>
  <c r="E195" i="3"/>
  <c r="F195" i="3"/>
  <c r="G195" i="3"/>
  <c r="H195" i="3"/>
  <c r="I195" i="3"/>
  <c r="J195" i="3"/>
  <c r="J97" i="2"/>
  <c r="J96" i="2"/>
  <c r="J94" i="2"/>
  <c r="J93" i="2"/>
  <c r="C203" i="3"/>
  <c r="C204" i="3"/>
  <c r="C206" i="3"/>
  <c r="C209" i="3"/>
  <c r="D203" i="3"/>
  <c r="D204" i="3"/>
  <c r="D206" i="3"/>
  <c r="D209" i="3"/>
  <c r="E203" i="3"/>
  <c r="E204" i="3"/>
  <c r="E206" i="3"/>
  <c r="E209" i="3"/>
  <c r="F203" i="3"/>
  <c r="F204" i="3"/>
  <c r="F206" i="3"/>
  <c r="F209" i="3"/>
  <c r="G203" i="3"/>
  <c r="G204" i="3"/>
  <c r="G206" i="3"/>
  <c r="G209" i="3"/>
  <c r="H203" i="3"/>
  <c r="H204" i="3"/>
  <c r="H206" i="3"/>
  <c r="H209" i="3"/>
  <c r="I203" i="3"/>
  <c r="I204" i="3"/>
  <c r="I206" i="3"/>
  <c r="I209" i="3"/>
  <c r="J203" i="3"/>
  <c r="J204" i="3"/>
  <c r="J206" i="3"/>
  <c r="J209" i="3"/>
  <c r="J92" i="2"/>
  <c r="C193" i="3"/>
  <c r="D193" i="3"/>
  <c r="E193" i="3"/>
  <c r="F193" i="3"/>
  <c r="G193" i="3"/>
  <c r="H193" i="3"/>
  <c r="I193" i="3"/>
  <c r="J193" i="3"/>
  <c r="J88" i="2"/>
  <c r="C189" i="3"/>
  <c r="C191" i="3"/>
  <c r="C192" i="3"/>
  <c r="C194" i="3"/>
  <c r="C198" i="3"/>
  <c r="C199" i="3"/>
  <c r="C200" i="3"/>
  <c r="C201" i="3"/>
  <c r="C202" i="3"/>
  <c r="D189" i="3"/>
  <c r="D191" i="3"/>
  <c r="D192" i="3"/>
  <c r="D194" i="3"/>
  <c r="D198" i="3"/>
  <c r="D199" i="3"/>
  <c r="D200" i="3"/>
  <c r="D201" i="3"/>
  <c r="D202" i="3"/>
  <c r="E189" i="3"/>
  <c r="E191" i="3"/>
  <c r="E192" i="3"/>
  <c r="E194" i="3"/>
  <c r="E198" i="3"/>
  <c r="E199" i="3"/>
  <c r="E200" i="3"/>
  <c r="E201" i="3"/>
  <c r="E202" i="3"/>
  <c r="F189" i="3"/>
  <c r="F191" i="3"/>
  <c r="F192" i="3"/>
  <c r="F194" i="3"/>
  <c r="F198" i="3"/>
  <c r="F199" i="3"/>
  <c r="F200" i="3"/>
  <c r="F201" i="3"/>
  <c r="F202" i="3"/>
  <c r="G189" i="3"/>
  <c r="G191" i="3"/>
  <c r="G192" i="3"/>
  <c r="G194" i="3"/>
  <c r="G198" i="3"/>
  <c r="G199" i="3"/>
  <c r="G200" i="3"/>
  <c r="G201" i="3"/>
  <c r="G202" i="3"/>
  <c r="H189" i="3"/>
  <c r="H191" i="3"/>
  <c r="H192" i="3"/>
  <c r="H194" i="3"/>
  <c r="H198" i="3"/>
  <c r="H199" i="3"/>
  <c r="H200" i="3"/>
  <c r="H201" i="3"/>
  <c r="H202" i="3"/>
  <c r="I189" i="3"/>
  <c r="I191" i="3"/>
  <c r="I192" i="3"/>
  <c r="I194" i="3"/>
  <c r="I198" i="3"/>
  <c r="I199" i="3"/>
  <c r="I200" i="3"/>
  <c r="I201" i="3"/>
  <c r="I202" i="3"/>
  <c r="J189" i="3"/>
  <c r="J191" i="3"/>
  <c r="J192" i="3"/>
  <c r="J194" i="3"/>
  <c r="J198" i="3"/>
  <c r="J199" i="3"/>
  <c r="J200" i="3"/>
  <c r="J201" i="3"/>
  <c r="J202" i="3"/>
  <c r="C120" i="3"/>
  <c r="D120" i="3"/>
  <c r="E120" i="3"/>
  <c r="F120" i="3"/>
  <c r="G120" i="3"/>
  <c r="H120" i="3"/>
  <c r="I120" i="3"/>
  <c r="J120" i="3"/>
  <c r="C98" i="3"/>
  <c r="D98" i="3"/>
  <c r="E98" i="3"/>
  <c r="F98" i="3"/>
  <c r="G98" i="3"/>
  <c r="H98" i="3"/>
  <c r="I98" i="3"/>
  <c r="J98" i="3"/>
  <c r="J91" i="2"/>
  <c r="J90" i="2"/>
  <c r="J89" i="2"/>
  <c r="B66" i="1"/>
  <c r="H66" i="1" s="1"/>
  <c r="C66" i="1"/>
  <c r="E66" i="1" s="1"/>
  <c r="C118" i="3"/>
  <c r="C119" i="3"/>
  <c r="C121" i="3"/>
  <c r="C123" i="3"/>
  <c r="C124" i="3"/>
  <c r="C125" i="3"/>
  <c r="C126" i="3"/>
  <c r="D118" i="3"/>
  <c r="D119" i="3"/>
  <c r="D121" i="3"/>
  <c r="D123" i="3"/>
  <c r="D124" i="3"/>
  <c r="D125" i="3"/>
  <c r="D126" i="3"/>
  <c r="E118" i="3"/>
  <c r="E119" i="3"/>
  <c r="E121" i="3"/>
  <c r="E123" i="3"/>
  <c r="E124" i="3"/>
  <c r="E125" i="3"/>
  <c r="E126" i="3"/>
  <c r="F118" i="3"/>
  <c r="F119" i="3"/>
  <c r="F121" i="3"/>
  <c r="F123" i="3"/>
  <c r="F124" i="3"/>
  <c r="F125" i="3"/>
  <c r="F126" i="3"/>
  <c r="G118" i="3"/>
  <c r="G119" i="3"/>
  <c r="G121" i="3"/>
  <c r="G123" i="3"/>
  <c r="G124" i="3"/>
  <c r="G125" i="3"/>
  <c r="G126" i="3"/>
  <c r="H118" i="3"/>
  <c r="H119" i="3"/>
  <c r="H121" i="3"/>
  <c r="H123" i="3"/>
  <c r="H124" i="3"/>
  <c r="H125" i="3"/>
  <c r="H126" i="3"/>
  <c r="I118" i="3"/>
  <c r="I119" i="3"/>
  <c r="I121" i="3"/>
  <c r="I123" i="3"/>
  <c r="I124" i="3"/>
  <c r="I125" i="3"/>
  <c r="I126" i="3"/>
  <c r="J118" i="3"/>
  <c r="J119" i="3"/>
  <c r="J121" i="3"/>
  <c r="J123" i="3"/>
  <c r="J124" i="3"/>
  <c r="J125" i="3"/>
  <c r="J126" i="3"/>
  <c r="J87" i="2"/>
  <c r="J86" i="2"/>
  <c r="J8" i="2"/>
  <c r="C96" i="3"/>
  <c r="D96" i="3"/>
  <c r="E96" i="3"/>
  <c r="F96" i="3"/>
  <c r="G96" i="3"/>
  <c r="H96" i="3"/>
  <c r="I96" i="3"/>
  <c r="J96" i="3"/>
  <c r="C270" i="3"/>
  <c r="D270" i="3"/>
  <c r="E270" i="3"/>
  <c r="F270" i="3"/>
  <c r="G270" i="3"/>
  <c r="H270" i="3"/>
  <c r="I270" i="3"/>
  <c r="J270" i="3"/>
  <c r="C269" i="3"/>
  <c r="D269" i="3"/>
  <c r="E269" i="3"/>
  <c r="F269" i="3"/>
  <c r="G269" i="3"/>
  <c r="H269" i="3"/>
  <c r="I269" i="3"/>
  <c r="J269" i="3"/>
  <c r="J85" i="2"/>
  <c r="J21" i="2"/>
  <c r="J2" i="2"/>
  <c r="J3" i="2"/>
  <c r="J4" i="2"/>
  <c r="J5" i="2"/>
  <c r="J6" i="2"/>
  <c r="J7" i="2"/>
  <c r="J9" i="2"/>
  <c r="J11" i="2"/>
  <c r="J13" i="2"/>
  <c r="J14" i="2"/>
  <c r="J15" i="2"/>
  <c r="J16" i="2"/>
  <c r="J17" i="2"/>
  <c r="J18" i="2"/>
  <c r="J19" i="2"/>
  <c r="J20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C90" i="3"/>
  <c r="C92" i="3"/>
  <c r="D90" i="3"/>
  <c r="D92" i="3"/>
  <c r="E90" i="3"/>
  <c r="E92" i="3"/>
  <c r="F90" i="3"/>
  <c r="F92" i="3"/>
  <c r="G90" i="3"/>
  <c r="G92" i="3"/>
  <c r="H90" i="3"/>
  <c r="H92" i="3"/>
  <c r="I90" i="3"/>
  <c r="I92" i="3"/>
  <c r="J90" i="3"/>
  <c r="J92" i="3"/>
  <c r="C163" i="3"/>
  <c r="C164" i="3"/>
  <c r="C165" i="3"/>
  <c r="C166" i="3"/>
  <c r="D163" i="3"/>
  <c r="D164" i="3"/>
  <c r="D165" i="3"/>
  <c r="D166" i="3"/>
  <c r="E163" i="3"/>
  <c r="E164" i="3"/>
  <c r="E165" i="3"/>
  <c r="E166" i="3"/>
  <c r="F163" i="3"/>
  <c r="F164" i="3"/>
  <c r="F165" i="3"/>
  <c r="F166" i="3"/>
  <c r="G163" i="3"/>
  <c r="G164" i="3"/>
  <c r="G165" i="3"/>
  <c r="G166" i="3"/>
  <c r="H163" i="3"/>
  <c r="H164" i="3"/>
  <c r="H165" i="3"/>
  <c r="H166" i="3"/>
  <c r="I163" i="3"/>
  <c r="I164" i="3"/>
  <c r="I165" i="3"/>
  <c r="I166" i="3"/>
  <c r="J163" i="3"/>
  <c r="J164" i="3"/>
  <c r="J165" i="3"/>
  <c r="J166" i="3"/>
  <c r="B68" i="1"/>
  <c r="F68" i="1" s="1"/>
  <c r="C68" i="1"/>
  <c r="E68" i="1" s="1"/>
  <c r="C147" i="3"/>
  <c r="D147" i="3"/>
  <c r="E147" i="3"/>
  <c r="F147" i="3"/>
  <c r="G147" i="3"/>
  <c r="H147" i="3"/>
  <c r="I147" i="3"/>
  <c r="J147" i="3"/>
  <c r="C99" i="3"/>
  <c r="C103" i="3"/>
  <c r="C104" i="3"/>
  <c r="C105" i="3"/>
  <c r="C117" i="3"/>
  <c r="D99" i="3"/>
  <c r="D103" i="3"/>
  <c r="D104" i="3"/>
  <c r="D105" i="3"/>
  <c r="D117" i="3"/>
  <c r="E99" i="3"/>
  <c r="E103" i="3"/>
  <c r="E104" i="3"/>
  <c r="E105" i="3"/>
  <c r="E117" i="3"/>
  <c r="F99" i="3"/>
  <c r="F103" i="3"/>
  <c r="F104" i="3"/>
  <c r="F105" i="3"/>
  <c r="F117" i="3"/>
  <c r="G99" i="3"/>
  <c r="G103" i="3"/>
  <c r="G104" i="3"/>
  <c r="G105" i="3"/>
  <c r="G117" i="3"/>
  <c r="H99" i="3"/>
  <c r="H103" i="3"/>
  <c r="H104" i="3"/>
  <c r="H105" i="3"/>
  <c r="H117" i="3"/>
  <c r="I99" i="3"/>
  <c r="I103" i="3"/>
  <c r="I104" i="3"/>
  <c r="I105" i="3"/>
  <c r="I117" i="3"/>
  <c r="J99" i="3"/>
  <c r="J103" i="3"/>
  <c r="J104" i="3"/>
  <c r="J105" i="3"/>
  <c r="J117" i="3"/>
  <c r="C148" i="3"/>
  <c r="C149" i="3"/>
  <c r="C150" i="3"/>
  <c r="C151" i="3"/>
  <c r="D148" i="3"/>
  <c r="D149" i="3"/>
  <c r="D150" i="3"/>
  <c r="D151" i="3"/>
  <c r="E148" i="3"/>
  <c r="E149" i="3"/>
  <c r="E150" i="3"/>
  <c r="E151" i="3"/>
  <c r="F148" i="3"/>
  <c r="F149" i="3"/>
  <c r="F150" i="3"/>
  <c r="F151" i="3"/>
  <c r="G148" i="3"/>
  <c r="G149" i="3"/>
  <c r="G150" i="3"/>
  <c r="G151" i="3"/>
  <c r="H148" i="3"/>
  <c r="H149" i="3"/>
  <c r="H150" i="3"/>
  <c r="H151" i="3"/>
  <c r="I148" i="3"/>
  <c r="I149" i="3"/>
  <c r="I150" i="3"/>
  <c r="I151" i="3"/>
  <c r="J148" i="3"/>
  <c r="J149" i="3"/>
  <c r="J150" i="3"/>
  <c r="J151" i="3"/>
  <c r="C188" i="3"/>
  <c r="D188" i="3"/>
  <c r="E188" i="3"/>
  <c r="F188" i="3"/>
  <c r="G188" i="3"/>
  <c r="H188" i="3"/>
  <c r="I188" i="3"/>
  <c r="J188" i="3"/>
  <c r="C187" i="3"/>
  <c r="D187" i="3"/>
  <c r="E187" i="3"/>
  <c r="F187" i="3"/>
  <c r="G187" i="3"/>
  <c r="H187" i="3"/>
  <c r="I187" i="3"/>
  <c r="J187" i="3"/>
  <c r="C186" i="3"/>
  <c r="D186" i="3"/>
  <c r="E186" i="3"/>
  <c r="F186" i="3"/>
  <c r="G186" i="3"/>
  <c r="H186" i="3"/>
  <c r="I186" i="3"/>
  <c r="J186" i="3"/>
  <c r="C172" i="3"/>
  <c r="C173" i="3"/>
  <c r="C174" i="3"/>
  <c r="C175" i="3"/>
  <c r="D172" i="3"/>
  <c r="D173" i="3"/>
  <c r="D174" i="3"/>
  <c r="D175" i="3"/>
  <c r="E172" i="3"/>
  <c r="E173" i="3"/>
  <c r="E174" i="3"/>
  <c r="E175" i="3"/>
  <c r="F172" i="3"/>
  <c r="F173" i="3"/>
  <c r="F174" i="3"/>
  <c r="F175" i="3"/>
  <c r="G172" i="3"/>
  <c r="G173" i="3"/>
  <c r="G174" i="3"/>
  <c r="G175" i="3"/>
  <c r="H172" i="3"/>
  <c r="H173" i="3"/>
  <c r="H174" i="3"/>
  <c r="H175" i="3"/>
  <c r="I172" i="3"/>
  <c r="I173" i="3"/>
  <c r="I174" i="3"/>
  <c r="I175" i="3"/>
  <c r="J172" i="3"/>
  <c r="J173" i="3"/>
  <c r="J174" i="3"/>
  <c r="J175" i="3"/>
  <c r="C185" i="3"/>
  <c r="D185" i="3"/>
  <c r="E185" i="3"/>
  <c r="F185" i="3"/>
  <c r="G185" i="3"/>
  <c r="H185" i="3"/>
  <c r="I185" i="3"/>
  <c r="J185" i="3"/>
  <c r="G55" i="1" l="1"/>
  <c r="D54" i="21"/>
  <c r="I48" i="1"/>
  <c r="D44" i="21"/>
  <c r="I68" i="1"/>
  <c r="D65" i="21"/>
  <c r="I65" i="1"/>
  <c r="D62" i="21"/>
  <c r="I49" i="1"/>
  <c r="D48" i="21"/>
  <c r="G58" i="1"/>
  <c r="D57" i="21"/>
  <c r="I66" i="1"/>
  <c r="D63" i="21"/>
  <c r="I51" i="1"/>
  <c r="D50" i="21"/>
  <c r="H46" i="1"/>
  <c r="N15" i="19"/>
  <c r="N17" i="19"/>
  <c r="K276" i="3"/>
  <c r="K283" i="3"/>
  <c r="I46" i="1"/>
  <c r="J46" i="1"/>
  <c r="F46" i="1"/>
  <c r="G46" i="1"/>
  <c r="G7" i="19"/>
  <c r="D6" i="19"/>
  <c r="N6" i="19" s="1"/>
  <c r="G6" i="19"/>
  <c r="D5" i="19"/>
  <c r="N5" i="19" s="1"/>
  <c r="G5" i="19"/>
  <c r="G4" i="19"/>
  <c r="G3" i="19"/>
  <c r="I57" i="1"/>
  <c r="J57" i="1"/>
  <c r="G57" i="1"/>
  <c r="F57" i="1"/>
  <c r="H58" i="1"/>
  <c r="F59" i="1"/>
  <c r="J48" i="1"/>
  <c r="F60" i="1"/>
  <c r="F48" i="1"/>
  <c r="G48" i="1"/>
  <c r="F51" i="1"/>
  <c r="F56" i="1"/>
  <c r="G54" i="1"/>
  <c r="I54" i="1"/>
  <c r="G61" i="1"/>
  <c r="I61" i="1"/>
  <c r="J61" i="1"/>
  <c r="G52" i="1"/>
  <c r="I52" i="1"/>
  <c r="J52" i="1"/>
  <c r="I55" i="1"/>
  <c r="F61" i="1"/>
  <c r="F52" i="1"/>
  <c r="I58" i="1"/>
  <c r="F62" i="1"/>
  <c r="F53" i="1"/>
  <c r="F49" i="1"/>
  <c r="H54" i="1"/>
  <c r="F55" i="1"/>
  <c r="J55" i="1"/>
  <c r="J59" i="1"/>
  <c r="I59" i="1"/>
  <c r="G59" i="1"/>
  <c r="J60" i="1"/>
  <c r="I60" i="1"/>
  <c r="G60" i="1"/>
  <c r="I62" i="1"/>
  <c r="G62" i="1"/>
  <c r="J62" i="1"/>
  <c r="G56" i="1"/>
  <c r="J56" i="1"/>
  <c r="I56" i="1"/>
  <c r="I53" i="1"/>
  <c r="G53" i="1"/>
  <c r="J53" i="1"/>
  <c r="J54" i="1"/>
  <c r="J58" i="1"/>
  <c r="G50" i="1"/>
  <c r="I50" i="1"/>
  <c r="J50" i="1"/>
  <c r="G51" i="1"/>
  <c r="J51" i="1"/>
  <c r="H50" i="1"/>
  <c r="G49" i="1"/>
  <c r="J49" i="1"/>
  <c r="K281" i="3"/>
  <c r="K282" i="3"/>
  <c r="K280" i="3"/>
  <c r="K278" i="3"/>
  <c r="K277" i="3"/>
  <c r="K275" i="3"/>
  <c r="K274" i="3"/>
  <c r="K273" i="3"/>
  <c r="K272" i="3"/>
  <c r="K69" i="3"/>
  <c r="K45" i="3"/>
  <c r="K21" i="3"/>
  <c r="K53" i="3"/>
  <c r="K5" i="3"/>
  <c r="K61" i="3"/>
  <c r="K37" i="3"/>
  <c r="K13" i="3"/>
  <c r="K29" i="3"/>
  <c r="K70" i="3"/>
  <c r="K62" i="3"/>
  <c r="K54" i="3"/>
  <c r="K46" i="3"/>
  <c r="K38" i="3"/>
  <c r="K30" i="3"/>
  <c r="K22" i="3"/>
  <c r="K14" i="3"/>
  <c r="K6" i="3"/>
  <c r="K71" i="3"/>
  <c r="K63" i="3"/>
  <c r="K55" i="3"/>
  <c r="K47" i="3"/>
  <c r="K39" i="3"/>
  <c r="K31" i="3"/>
  <c r="K23" i="3"/>
  <c r="K15" i="3"/>
  <c r="K7" i="3"/>
  <c r="K72" i="3"/>
  <c r="K64" i="3"/>
  <c r="K56" i="3"/>
  <c r="K48" i="3"/>
  <c r="K40" i="3"/>
  <c r="K32" i="3"/>
  <c r="K24" i="3"/>
  <c r="K16" i="3"/>
  <c r="K8" i="3"/>
  <c r="K73" i="3"/>
  <c r="K65" i="3"/>
  <c r="K57" i="3"/>
  <c r="K49" i="3"/>
  <c r="K41" i="3"/>
  <c r="K33" i="3"/>
  <c r="K25" i="3"/>
  <c r="K17" i="3"/>
  <c r="K9" i="3"/>
  <c r="K66" i="3"/>
  <c r="K42" i="3"/>
  <c r="K18" i="3"/>
  <c r="K2" i="3"/>
  <c r="K51" i="3"/>
  <c r="K27" i="3"/>
  <c r="K3" i="3"/>
  <c r="K52" i="3"/>
  <c r="K28" i="3"/>
  <c r="K4" i="3"/>
  <c r="K58" i="3"/>
  <c r="K34" i="3"/>
  <c r="K10" i="3"/>
  <c r="K59" i="3"/>
  <c r="K35" i="3"/>
  <c r="K11" i="3"/>
  <c r="K60" i="3"/>
  <c r="K36" i="3"/>
  <c r="K12" i="3"/>
  <c r="K74" i="3"/>
  <c r="K50" i="3"/>
  <c r="K26" i="3"/>
  <c r="K67" i="3"/>
  <c r="K43" i="3"/>
  <c r="K19" i="3"/>
  <c r="K68" i="3"/>
  <c r="K44" i="3"/>
  <c r="K20" i="3"/>
  <c r="I47" i="1"/>
  <c r="J47" i="1"/>
  <c r="G47" i="1"/>
  <c r="F47" i="1"/>
  <c r="H47" i="1"/>
  <c r="K240" i="3"/>
  <c r="K215" i="3"/>
  <c r="K222" i="3"/>
  <c r="K223" i="3"/>
  <c r="K230" i="3"/>
  <c r="K231" i="3"/>
  <c r="K238" i="3"/>
  <c r="K214" i="3"/>
  <c r="K239" i="3"/>
  <c r="K232" i="3"/>
  <c r="K236" i="3"/>
  <c r="K228" i="3"/>
  <c r="K220" i="3"/>
  <c r="K212" i="3"/>
  <c r="K226" i="3"/>
  <c r="K210" i="3"/>
  <c r="K237" i="3"/>
  <c r="K229" i="3"/>
  <c r="K221" i="3"/>
  <c r="K213" i="3"/>
  <c r="K235" i="3"/>
  <c r="K227" i="3"/>
  <c r="K219" i="3"/>
  <c r="K211" i="3"/>
  <c r="K233" i="3"/>
  <c r="K225" i="3"/>
  <c r="K217" i="3"/>
  <c r="K234" i="3"/>
  <c r="K224" i="3"/>
  <c r="K218" i="3"/>
  <c r="K216" i="3"/>
  <c r="K262" i="3"/>
  <c r="K256" i="3"/>
  <c r="K257" i="3"/>
  <c r="K253" i="3"/>
  <c r="K243" i="3"/>
  <c r="K255" i="3"/>
  <c r="K245" i="3"/>
  <c r="K252" i="3"/>
  <c r="K242" i="3"/>
  <c r="K254" i="3"/>
  <c r="K246" i="3"/>
  <c r="K251" i="3"/>
  <c r="K249" i="3"/>
  <c r="K241" i="3"/>
  <c r="K244" i="3"/>
  <c r="K247" i="3"/>
  <c r="J65" i="1"/>
  <c r="G65" i="1"/>
  <c r="H65" i="1"/>
  <c r="K115" i="3"/>
  <c r="K108" i="3"/>
  <c r="K109" i="3"/>
  <c r="K107" i="3"/>
  <c r="K116" i="3"/>
  <c r="K114" i="3"/>
  <c r="K110" i="3"/>
  <c r="K111" i="3"/>
  <c r="K112" i="3"/>
  <c r="K113" i="3"/>
  <c r="K106" i="3"/>
  <c r="K205" i="3"/>
  <c r="K263" i="3"/>
  <c r="K266" i="3"/>
  <c r="K264" i="3"/>
  <c r="K265" i="3"/>
  <c r="K267" i="3"/>
  <c r="K268" i="3"/>
  <c r="K196" i="3"/>
  <c r="K195" i="3"/>
  <c r="K206" i="3"/>
  <c r="K204" i="3"/>
  <c r="K209" i="3"/>
  <c r="K203" i="3"/>
  <c r="K193" i="3"/>
  <c r="K189" i="3"/>
  <c r="K194" i="3"/>
  <c r="K198" i="3"/>
  <c r="K199" i="3"/>
  <c r="K200" i="3"/>
  <c r="K201" i="3"/>
  <c r="K202" i="3"/>
  <c r="K191" i="3"/>
  <c r="K192" i="3"/>
  <c r="K120" i="3"/>
  <c r="K98" i="3"/>
  <c r="K126" i="3"/>
  <c r="K125" i="3"/>
  <c r="K118" i="3"/>
  <c r="K123" i="3"/>
  <c r="K119" i="3"/>
  <c r="K121" i="3"/>
  <c r="K124" i="3"/>
  <c r="F66" i="1"/>
  <c r="J66" i="1"/>
  <c r="G66" i="1"/>
  <c r="K96" i="3"/>
  <c r="K270" i="3"/>
  <c r="K269" i="3"/>
  <c r="K92" i="3"/>
  <c r="K90" i="3"/>
  <c r="K166" i="3"/>
  <c r="K163" i="3"/>
  <c r="K164" i="3"/>
  <c r="K165" i="3"/>
  <c r="H68" i="1"/>
  <c r="J68" i="1"/>
  <c r="G68" i="1"/>
  <c r="K147" i="3"/>
  <c r="K99" i="3"/>
  <c r="K105" i="3"/>
  <c r="K117" i="3"/>
  <c r="K103" i="3"/>
  <c r="K104" i="3"/>
  <c r="K188" i="3"/>
  <c r="K151" i="3"/>
  <c r="K148" i="3"/>
  <c r="K150" i="3"/>
  <c r="K149" i="3"/>
  <c r="K187" i="3"/>
  <c r="K172" i="3"/>
  <c r="K186" i="3"/>
  <c r="K173" i="3"/>
  <c r="K185" i="3"/>
  <c r="K175" i="3"/>
  <c r="K174" i="3"/>
  <c r="C184" i="3"/>
  <c r="D184" i="3"/>
  <c r="E184" i="3"/>
  <c r="F184" i="3"/>
  <c r="G184" i="3"/>
  <c r="H184" i="3"/>
  <c r="I184" i="3"/>
  <c r="J184" i="3"/>
  <c r="C183" i="3"/>
  <c r="D183" i="3"/>
  <c r="E183" i="3"/>
  <c r="F183" i="3"/>
  <c r="G183" i="3"/>
  <c r="H183" i="3"/>
  <c r="I183" i="3"/>
  <c r="J183" i="3"/>
  <c r="C182" i="3"/>
  <c r="D182" i="3"/>
  <c r="E182" i="3"/>
  <c r="F182" i="3"/>
  <c r="G182" i="3"/>
  <c r="H182" i="3"/>
  <c r="I182" i="3"/>
  <c r="J182" i="3"/>
  <c r="C181" i="3"/>
  <c r="D181" i="3"/>
  <c r="E181" i="3"/>
  <c r="F181" i="3"/>
  <c r="G181" i="3"/>
  <c r="H181" i="3"/>
  <c r="I181" i="3"/>
  <c r="J181" i="3"/>
  <c r="C168" i="3"/>
  <c r="C169" i="3"/>
  <c r="C170" i="3"/>
  <c r="C171" i="3"/>
  <c r="D168" i="3"/>
  <c r="D169" i="3"/>
  <c r="D170" i="3"/>
  <c r="D171" i="3"/>
  <c r="E168" i="3"/>
  <c r="E169" i="3"/>
  <c r="E170" i="3"/>
  <c r="E171" i="3"/>
  <c r="F168" i="3"/>
  <c r="F169" i="3"/>
  <c r="F170" i="3"/>
  <c r="F171" i="3"/>
  <c r="G168" i="3"/>
  <c r="G169" i="3"/>
  <c r="G170" i="3"/>
  <c r="G171" i="3"/>
  <c r="H168" i="3"/>
  <c r="H169" i="3"/>
  <c r="H170" i="3"/>
  <c r="H171" i="3"/>
  <c r="I168" i="3"/>
  <c r="I169" i="3"/>
  <c r="I170" i="3"/>
  <c r="I171" i="3"/>
  <c r="J168" i="3"/>
  <c r="J169" i="3"/>
  <c r="J170" i="3"/>
  <c r="J171" i="3"/>
  <c r="C180" i="3"/>
  <c r="D180" i="3"/>
  <c r="E180" i="3"/>
  <c r="F180" i="3"/>
  <c r="G180" i="3"/>
  <c r="H180" i="3"/>
  <c r="I180" i="3"/>
  <c r="J180" i="3"/>
  <c r="C179" i="3"/>
  <c r="D179" i="3"/>
  <c r="E179" i="3"/>
  <c r="F179" i="3"/>
  <c r="G179" i="3"/>
  <c r="H179" i="3"/>
  <c r="I179" i="3"/>
  <c r="J179" i="3"/>
  <c r="C178" i="3"/>
  <c r="D178" i="3"/>
  <c r="E178" i="3"/>
  <c r="F178" i="3"/>
  <c r="G178" i="3"/>
  <c r="H178" i="3"/>
  <c r="I178" i="3"/>
  <c r="J178" i="3"/>
  <c r="C176" i="3"/>
  <c r="D176" i="3"/>
  <c r="E176" i="3"/>
  <c r="F176" i="3"/>
  <c r="G176" i="3"/>
  <c r="H176" i="3"/>
  <c r="I176" i="3"/>
  <c r="J176" i="3"/>
  <c r="C167" i="3"/>
  <c r="D167" i="3"/>
  <c r="E167" i="3"/>
  <c r="F167" i="3"/>
  <c r="G167" i="3"/>
  <c r="H167" i="3"/>
  <c r="I167" i="3"/>
  <c r="J167" i="3"/>
  <c r="C162" i="3"/>
  <c r="D162" i="3"/>
  <c r="E162" i="3"/>
  <c r="F162" i="3"/>
  <c r="G162" i="3"/>
  <c r="H162" i="3"/>
  <c r="I162" i="3"/>
  <c r="J162" i="3"/>
  <c r="C161" i="3"/>
  <c r="D161" i="3"/>
  <c r="E161" i="3"/>
  <c r="F161" i="3"/>
  <c r="G161" i="3"/>
  <c r="H161" i="3"/>
  <c r="I161" i="3"/>
  <c r="J161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5" i="3"/>
  <c r="E97" i="3"/>
  <c r="E127" i="3"/>
  <c r="E128" i="3"/>
  <c r="E129" i="3"/>
  <c r="E130" i="3"/>
  <c r="E132" i="3"/>
  <c r="E133" i="3"/>
  <c r="E134" i="3"/>
  <c r="E135" i="3"/>
  <c r="E136" i="3"/>
  <c r="E137" i="3"/>
  <c r="E138" i="3"/>
  <c r="E139" i="3"/>
  <c r="E140" i="3"/>
  <c r="E145" i="3"/>
  <c r="E146" i="3"/>
  <c r="E152" i="3"/>
  <c r="E153" i="3"/>
  <c r="E154" i="3"/>
  <c r="E155" i="3"/>
  <c r="E156" i="3"/>
  <c r="E157" i="3"/>
  <c r="E158" i="3"/>
  <c r="E159" i="3"/>
  <c r="E160" i="3"/>
  <c r="C160" i="3"/>
  <c r="D160" i="3"/>
  <c r="F160" i="3"/>
  <c r="G160" i="3"/>
  <c r="H160" i="3"/>
  <c r="I160" i="3"/>
  <c r="J160" i="3"/>
  <c r="C159" i="3"/>
  <c r="D159" i="3"/>
  <c r="F159" i="3"/>
  <c r="G159" i="3"/>
  <c r="H159" i="3"/>
  <c r="I159" i="3"/>
  <c r="J159" i="3"/>
  <c r="C158" i="3"/>
  <c r="D158" i="3"/>
  <c r="F158" i="3"/>
  <c r="G158" i="3"/>
  <c r="H158" i="3"/>
  <c r="I158" i="3"/>
  <c r="J158" i="3"/>
  <c r="C157" i="3"/>
  <c r="D157" i="3"/>
  <c r="F157" i="3"/>
  <c r="G157" i="3"/>
  <c r="H157" i="3"/>
  <c r="I157" i="3"/>
  <c r="J157" i="3"/>
  <c r="C156" i="3"/>
  <c r="D156" i="3"/>
  <c r="F156" i="3"/>
  <c r="G156" i="3"/>
  <c r="H156" i="3"/>
  <c r="I156" i="3"/>
  <c r="J156" i="3"/>
  <c r="C155" i="3"/>
  <c r="D155" i="3"/>
  <c r="F155" i="3"/>
  <c r="G155" i="3"/>
  <c r="H155" i="3"/>
  <c r="I155" i="3"/>
  <c r="J155" i="3"/>
  <c r="C154" i="3"/>
  <c r="D154" i="3"/>
  <c r="F154" i="3"/>
  <c r="G154" i="3"/>
  <c r="H154" i="3"/>
  <c r="I154" i="3"/>
  <c r="J154" i="3"/>
  <c r="C153" i="3"/>
  <c r="D153" i="3"/>
  <c r="F153" i="3"/>
  <c r="G153" i="3"/>
  <c r="H153" i="3"/>
  <c r="I153" i="3"/>
  <c r="J153" i="3"/>
  <c r="C152" i="3"/>
  <c r="D152" i="3"/>
  <c r="F152" i="3"/>
  <c r="G152" i="3"/>
  <c r="H152" i="3"/>
  <c r="I152" i="3"/>
  <c r="J152" i="3"/>
  <c r="C136" i="3"/>
  <c r="C137" i="3"/>
  <c r="C138" i="3"/>
  <c r="D136" i="3"/>
  <c r="D137" i="3"/>
  <c r="D138" i="3"/>
  <c r="F136" i="3"/>
  <c r="F137" i="3"/>
  <c r="F138" i="3"/>
  <c r="G136" i="3"/>
  <c r="G137" i="3"/>
  <c r="G138" i="3"/>
  <c r="H136" i="3"/>
  <c r="H137" i="3"/>
  <c r="H138" i="3"/>
  <c r="I136" i="3"/>
  <c r="I137" i="3"/>
  <c r="I138" i="3"/>
  <c r="J136" i="3"/>
  <c r="J137" i="3"/>
  <c r="J138" i="3"/>
  <c r="C146" i="3"/>
  <c r="D146" i="3"/>
  <c r="F146" i="3"/>
  <c r="G146" i="3"/>
  <c r="H146" i="3"/>
  <c r="I146" i="3"/>
  <c r="J146" i="3"/>
  <c r="C145" i="3"/>
  <c r="D145" i="3"/>
  <c r="F145" i="3"/>
  <c r="G145" i="3"/>
  <c r="H145" i="3"/>
  <c r="I145" i="3"/>
  <c r="J145" i="3"/>
  <c r="C139" i="3"/>
  <c r="C140" i="3"/>
  <c r="D139" i="3"/>
  <c r="D140" i="3"/>
  <c r="F139" i="3"/>
  <c r="F140" i="3"/>
  <c r="G139" i="3"/>
  <c r="G140" i="3"/>
  <c r="H139" i="3"/>
  <c r="H140" i="3"/>
  <c r="I139" i="3"/>
  <c r="I140" i="3"/>
  <c r="J139" i="3"/>
  <c r="J140" i="3"/>
  <c r="C135" i="3"/>
  <c r="D135" i="3"/>
  <c r="F135" i="3"/>
  <c r="G135" i="3"/>
  <c r="H135" i="3"/>
  <c r="I135" i="3"/>
  <c r="J135" i="3"/>
  <c r="C134" i="3"/>
  <c r="D134" i="3"/>
  <c r="F134" i="3"/>
  <c r="G134" i="3"/>
  <c r="H134" i="3"/>
  <c r="I134" i="3"/>
  <c r="J134" i="3"/>
  <c r="C133" i="3"/>
  <c r="D133" i="3"/>
  <c r="F133" i="3"/>
  <c r="G133" i="3"/>
  <c r="H133" i="3"/>
  <c r="I133" i="3"/>
  <c r="J133" i="3"/>
  <c r="C128" i="3"/>
  <c r="D128" i="3"/>
  <c r="F128" i="3"/>
  <c r="G128" i="3"/>
  <c r="H128" i="3"/>
  <c r="I128" i="3"/>
  <c r="J128" i="3"/>
  <c r="C132" i="3"/>
  <c r="D132" i="3"/>
  <c r="F132" i="3"/>
  <c r="G132" i="3"/>
  <c r="H132" i="3"/>
  <c r="I132" i="3"/>
  <c r="J132" i="3"/>
  <c r="C130" i="3"/>
  <c r="D130" i="3"/>
  <c r="F130" i="3"/>
  <c r="G130" i="3"/>
  <c r="H130" i="3"/>
  <c r="I130" i="3"/>
  <c r="J130" i="3"/>
  <c r="C129" i="3"/>
  <c r="D129" i="3"/>
  <c r="F129" i="3"/>
  <c r="G129" i="3"/>
  <c r="H129" i="3"/>
  <c r="I129" i="3"/>
  <c r="J129" i="3"/>
  <c r="C127" i="3"/>
  <c r="D127" i="3"/>
  <c r="F127" i="3"/>
  <c r="G127" i="3"/>
  <c r="H127" i="3"/>
  <c r="I127" i="3"/>
  <c r="J127" i="3"/>
  <c r="C97" i="3"/>
  <c r="D97" i="3"/>
  <c r="F97" i="3"/>
  <c r="G97" i="3"/>
  <c r="H97" i="3"/>
  <c r="I97" i="3"/>
  <c r="J97" i="3"/>
  <c r="C95" i="3"/>
  <c r="D95" i="3"/>
  <c r="F95" i="3"/>
  <c r="G95" i="3"/>
  <c r="H95" i="3"/>
  <c r="I95" i="3"/>
  <c r="J95" i="3"/>
  <c r="C89" i="3"/>
  <c r="D89" i="3"/>
  <c r="F89" i="3"/>
  <c r="G89" i="3"/>
  <c r="H89" i="3"/>
  <c r="I89" i="3"/>
  <c r="J89" i="3"/>
  <c r="C88" i="3"/>
  <c r="D88" i="3"/>
  <c r="F88" i="3"/>
  <c r="G88" i="3"/>
  <c r="H88" i="3"/>
  <c r="I88" i="3"/>
  <c r="J88" i="3"/>
  <c r="C87" i="3"/>
  <c r="D87" i="3"/>
  <c r="F87" i="3"/>
  <c r="G87" i="3"/>
  <c r="H87" i="3"/>
  <c r="I87" i="3"/>
  <c r="J87" i="3"/>
  <c r="C86" i="3"/>
  <c r="D86" i="3"/>
  <c r="F86" i="3"/>
  <c r="G86" i="3"/>
  <c r="H86" i="3"/>
  <c r="I86" i="3"/>
  <c r="J86" i="3"/>
  <c r="K184" i="3" l="1"/>
  <c r="K183" i="3"/>
  <c r="K182" i="3"/>
  <c r="K181" i="3"/>
  <c r="K169" i="3"/>
  <c r="K171" i="3"/>
  <c r="K168" i="3"/>
  <c r="K170" i="3"/>
  <c r="K180" i="3"/>
  <c r="K179" i="3"/>
  <c r="K178" i="3"/>
  <c r="K176" i="3"/>
  <c r="K167" i="3"/>
  <c r="K162" i="3"/>
  <c r="K161" i="3"/>
  <c r="K160" i="3"/>
  <c r="K159" i="3"/>
  <c r="K158" i="3"/>
  <c r="K157" i="3"/>
  <c r="K156" i="3"/>
  <c r="K155" i="3"/>
  <c r="K154" i="3"/>
  <c r="K153" i="3"/>
  <c r="K152" i="3"/>
  <c r="K136" i="3"/>
  <c r="K138" i="3"/>
  <c r="K137" i="3"/>
  <c r="K146" i="3"/>
  <c r="K145" i="3"/>
  <c r="K139" i="3"/>
  <c r="K140" i="3"/>
  <c r="K135" i="3"/>
  <c r="K134" i="3"/>
  <c r="K133" i="3"/>
  <c r="K128" i="3"/>
  <c r="K132" i="3"/>
  <c r="K130" i="3"/>
  <c r="K129" i="3"/>
  <c r="K127" i="3"/>
  <c r="K97" i="3"/>
  <c r="K95" i="3"/>
  <c r="K89" i="3"/>
  <c r="K88" i="3"/>
  <c r="K87" i="3"/>
  <c r="K86" i="3"/>
  <c r="C85" i="3"/>
  <c r="D85" i="3"/>
  <c r="F85" i="3"/>
  <c r="G85" i="3"/>
  <c r="H85" i="3"/>
  <c r="I85" i="3"/>
  <c r="J85" i="3"/>
  <c r="C84" i="3"/>
  <c r="D84" i="3"/>
  <c r="F84" i="3"/>
  <c r="G84" i="3"/>
  <c r="H84" i="3"/>
  <c r="I84" i="3"/>
  <c r="J84" i="3"/>
  <c r="K85" i="3" l="1"/>
  <c r="K84" i="3"/>
  <c r="C83" i="3"/>
  <c r="D83" i="3"/>
  <c r="F83" i="3"/>
  <c r="G83" i="3"/>
  <c r="H83" i="3"/>
  <c r="I83" i="3"/>
  <c r="J83" i="3"/>
  <c r="C82" i="3"/>
  <c r="D82" i="3"/>
  <c r="F82" i="3"/>
  <c r="G82" i="3"/>
  <c r="H82" i="3"/>
  <c r="I82" i="3"/>
  <c r="J82" i="3"/>
  <c r="C81" i="3"/>
  <c r="D81" i="3"/>
  <c r="F81" i="3"/>
  <c r="G81" i="3"/>
  <c r="H81" i="3"/>
  <c r="I81" i="3"/>
  <c r="J81" i="3"/>
  <c r="C80" i="3"/>
  <c r="D80" i="3"/>
  <c r="F80" i="3"/>
  <c r="G80" i="3"/>
  <c r="H80" i="3"/>
  <c r="I80" i="3"/>
  <c r="J80" i="3"/>
  <c r="C79" i="3"/>
  <c r="D79" i="3"/>
  <c r="F79" i="3"/>
  <c r="G79" i="3"/>
  <c r="H79" i="3"/>
  <c r="I79" i="3"/>
  <c r="J79" i="3"/>
  <c r="C78" i="3"/>
  <c r="D78" i="3"/>
  <c r="F78" i="3"/>
  <c r="G78" i="3"/>
  <c r="H78" i="3"/>
  <c r="I78" i="3"/>
  <c r="J78" i="3"/>
  <c r="C77" i="3"/>
  <c r="D77" i="3"/>
  <c r="F77" i="3"/>
  <c r="G77" i="3"/>
  <c r="H77" i="3"/>
  <c r="I77" i="3"/>
  <c r="J77" i="3"/>
  <c r="C76" i="3"/>
  <c r="D76" i="3"/>
  <c r="F76" i="3"/>
  <c r="G76" i="3"/>
  <c r="H76" i="3"/>
  <c r="I76" i="3"/>
  <c r="J76" i="3"/>
  <c r="C75" i="3"/>
  <c r="D75" i="3"/>
  <c r="F75" i="3"/>
  <c r="G75" i="3"/>
  <c r="H75" i="3"/>
  <c r="I75" i="3"/>
  <c r="J75" i="3"/>
  <c r="B72" i="1"/>
  <c r="H72" i="1" s="1"/>
  <c r="C72" i="1"/>
  <c r="E72" i="1" s="1"/>
  <c r="B67" i="1"/>
  <c r="H67" i="1" s="1"/>
  <c r="C67" i="1"/>
  <c r="E67" i="1" s="1"/>
  <c r="D64" i="21" s="1"/>
  <c r="B64" i="1"/>
  <c r="H64" i="1" s="1"/>
  <c r="C64" i="1"/>
  <c r="E64" i="1" s="1"/>
  <c r="I64" i="1" l="1"/>
  <c r="D61" i="21"/>
  <c r="K83" i="3"/>
  <c r="K82" i="3"/>
  <c r="K81" i="3"/>
  <c r="K80" i="3"/>
  <c r="K79" i="3"/>
  <c r="K78" i="3"/>
  <c r="K77" i="3"/>
  <c r="K76" i="3"/>
  <c r="K75" i="3"/>
  <c r="I72" i="1"/>
  <c r="G72" i="1"/>
  <c r="J72" i="1"/>
  <c r="F72" i="1"/>
  <c r="I67" i="1"/>
  <c r="J67" i="1"/>
  <c r="G67" i="1"/>
  <c r="F67" i="1"/>
  <c r="F64" i="1"/>
  <c r="J64" i="1"/>
  <c r="G64" i="1"/>
  <c r="B63" i="1"/>
  <c r="C63" i="1"/>
  <c r="E63" i="1" s="1"/>
  <c r="D60" i="21" s="1"/>
  <c r="D2" i="27"/>
  <c r="U2" i="14"/>
  <c r="T2" i="14"/>
  <c r="C39" i="21"/>
  <c r="Z2" i="14"/>
  <c r="Y2" i="14"/>
  <c r="X2" i="14"/>
  <c r="W2" i="14"/>
  <c r="D20" i="21"/>
  <c r="C2" i="26"/>
  <c r="C3" i="26"/>
  <c r="C4" i="26"/>
  <c r="EM2" i="9"/>
  <c r="EL2" i="9"/>
  <c r="EK2" i="9"/>
  <c r="EJ2" i="9"/>
  <c r="EI2" i="9"/>
  <c r="EH2" i="9"/>
  <c r="EF2" i="9"/>
  <c r="EE2" i="9"/>
  <c r="ED2" i="9"/>
  <c r="DP2" i="9"/>
  <c r="C20" i="21"/>
  <c r="B2" i="19"/>
  <c r="A2" i="19"/>
  <c r="AV2" i="28"/>
  <c r="D2" i="28"/>
  <c r="DO2" i="9"/>
  <c r="DC2" i="9"/>
  <c r="S2" i="27"/>
  <c r="R2" i="27"/>
  <c r="Q2" i="27"/>
  <c r="P2" i="27"/>
  <c r="O2" i="27"/>
  <c r="J2" i="31"/>
  <c r="J3" i="31" s="1"/>
  <c r="J4" i="31" s="1"/>
  <c r="E32" i="26" l="1"/>
  <c r="F32" i="26" s="1"/>
  <c r="G32" i="26" s="1"/>
  <c r="H32" i="26" s="1"/>
  <c r="E28" i="26"/>
  <c r="F28" i="26" s="1"/>
  <c r="G28" i="26" s="1"/>
  <c r="H28" i="26" s="1"/>
  <c r="E33" i="26"/>
  <c r="F33" i="26" s="1"/>
  <c r="G33" i="26" s="1"/>
  <c r="H33" i="26" s="1"/>
  <c r="E31" i="26"/>
  <c r="E30" i="26"/>
  <c r="F30" i="26" s="1"/>
  <c r="G30" i="26" s="1"/>
  <c r="H30" i="26" s="1"/>
  <c r="E29" i="26"/>
  <c r="F29" i="26" s="1"/>
  <c r="G29" i="26" s="1"/>
  <c r="H29" i="26" s="1"/>
  <c r="E26" i="26"/>
  <c r="F26" i="26" s="1"/>
  <c r="G26" i="26" s="1"/>
  <c r="H26" i="26" s="1"/>
  <c r="E27" i="26"/>
  <c r="F27" i="26" s="1"/>
  <c r="G27" i="26" s="1"/>
  <c r="H27" i="26" s="1"/>
  <c r="E24" i="26"/>
  <c r="F24" i="26" s="1"/>
  <c r="G24" i="26" s="1"/>
  <c r="H24" i="26" s="1"/>
  <c r="E25" i="26"/>
  <c r="F25" i="26" s="1"/>
  <c r="G25" i="26" s="1"/>
  <c r="H25" i="26" s="1"/>
  <c r="E23" i="26"/>
  <c r="F23" i="26" s="1"/>
  <c r="G23" i="26" s="1"/>
  <c r="H23" i="26" s="1"/>
  <c r="E19" i="26"/>
  <c r="F19" i="26" s="1"/>
  <c r="G19" i="26" s="1"/>
  <c r="H19" i="26" s="1"/>
  <c r="E20" i="26"/>
  <c r="F20" i="26" s="1"/>
  <c r="G20" i="26" s="1"/>
  <c r="H20" i="26" s="1"/>
  <c r="E21" i="26"/>
  <c r="E22" i="26"/>
  <c r="AT30" i="28"/>
  <c r="AT31" i="28"/>
  <c r="AT28" i="28"/>
  <c r="AT29" i="28"/>
  <c r="AT26" i="28"/>
  <c r="AT27" i="28"/>
  <c r="AT24" i="28"/>
  <c r="AT25" i="28"/>
  <c r="AT22" i="28"/>
  <c r="AT23" i="28"/>
  <c r="AT20" i="28"/>
  <c r="AT21" i="28"/>
  <c r="AT19" i="28"/>
  <c r="AT16" i="28"/>
  <c r="AT17" i="28"/>
  <c r="AT18" i="28"/>
  <c r="AT14" i="28"/>
  <c r="AT15" i="28"/>
  <c r="AT12" i="28"/>
  <c r="AT13" i="28"/>
  <c r="AT10" i="28"/>
  <c r="AT11" i="28"/>
  <c r="AT9" i="28"/>
  <c r="AT7" i="28"/>
  <c r="AT8" i="28"/>
  <c r="M2" i="27"/>
  <c r="L2" i="27"/>
  <c r="AT5" i="28"/>
  <c r="AT6" i="28"/>
  <c r="AT3" i="28"/>
  <c r="AT4" i="28"/>
  <c r="E14" i="26"/>
  <c r="E18" i="26"/>
  <c r="E16" i="26"/>
  <c r="E15" i="26"/>
  <c r="E17" i="26"/>
  <c r="E13" i="26"/>
  <c r="F13" i="26" s="1"/>
  <c r="E12" i="26"/>
  <c r="E10" i="26"/>
  <c r="E9" i="26"/>
  <c r="E11" i="26"/>
  <c r="F11" i="26" s="1"/>
  <c r="E6" i="26"/>
  <c r="F6" i="26" s="1"/>
  <c r="E8" i="26"/>
  <c r="F8" i="26" s="1"/>
  <c r="E7" i="26"/>
  <c r="F7" i="26" s="1"/>
  <c r="E5" i="26"/>
  <c r="F5" i="26" s="1"/>
  <c r="H63" i="1"/>
  <c r="I63" i="1"/>
  <c r="J63" i="1"/>
  <c r="F63" i="1"/>
  <c r="G63" i="1"/>
  <c r="H2" i="19"/>
  <c r="G2" i="19"/>
  <c r="J5" i="31"/>
  <c r="AL2" i="27"/>
  <c r="AH2" i="27"/>
  <c r="AQ2" i="27"/>
  <c r="AP2" i="27"/>
  <c r="AO2" i="27"/>
  <c r="AS2" i="29"/>
  <c r="X2" i="29"/>
  <c r="Y2" i="29"/>
  <c r="U2" i="29"/>
  <c r="T2" i="29"/>
  <c r="AV2" i="29"/>
  <c r="C2" i="29"/>
  <c r="BB2" i="28"/>
  <c r="BA2" i="28"/>
  <c r="AZ2" i="28"/>
  <c r="AN2" i="28"/>
  <c r="AM2" i="28"/>
  <c r="AL2" i="28"/>
  <c r="AK2" i="28"/>
  <c r="Y2" i="28"/>
  <c r="Z2" i="28"/>
  <c r="U2" i="28"/>
  <c r="V2" i="28"/>
  <c r="R2" i="19"/>
  <c r="W5" i="28" s="1"/>
  <c r="A2" i="28"/>
  <c r="C2" i="28"/>
  <c r="BU2" i="9"/>
  <c r="BZ2" i="9"/>
  <c r="P2" i="19"/>
  <c r="AG2" i="27"/>
  <c r="AK2" i="27"/>
  <c r="B2" i="27"/>
  <c r="AB19" i="27" s="1"/>
  <c r="AT2" i="9"/>
  <c r="AJ2" i="9"/>
  <c r="P2" i="9"/>
  <c r="B2" i="9"/>
  <c r="R2" i="9" s="1"/>
  <c r="AX2" i="9" s="1"/>
  <c r="C2" i="19"/>
  <c r="A2" i="14"/>
  <c r="C29" i="14" s="1"/>
  <c r="D29" i="14" s="1"/>
  <c r="M29" i="14" s="1"/>
  <c r="B2" i="14"/>
  <c r="D4" i="25"/>
  <c r="E4" i="25" s="1"/>
  <c r="F4" i="25" s="1"/>
  <c r="G4" i="25" s="1"/>
  <c r="H4" i="25" s="1"/>
  <c r="I4" i="25" s="1"/>
  <c r="J4" i="25" s="1"/>
  <c r="K4" i="25" s="1"/>
  <c r="L4" i="25" s="1"/>
  <c r="M4" i="25" s="1"/>
  <c r="N4" i="25" s="1"/>
  <c r="O4" i="25" s="1"/>
  <c r="P4" i="25" s="1"/>
  <c r="Q4" i="25" s="1"/>
  <c r="E3" i="31"/>
  <c r="F31" i="26" l="1"/>
  <c r="G31" i="26" s="1"/>
  <c r="H31" i="26" s="1"/>
  <c r="C27" i="14"/>
  <c r="D27" i="14" s="1"/>
  <c r="M27" i="14" s="1"/>
  <c r="C28" i="14"/>
  <c r="D28" i="14" s="1"/>
  <c r="M28" i="14" s="1"/>
  <c r="F21" i="26"/>
  <c r="G21" i="26" s="1"/>
  <c r="H21" i="26" s="1"/>
  <c r="F22" i="26"/>
  <c r="G22" i="26" s="1"/>
  <c r="H22" i="26" s="1"/>
  <c r="BB31" i="28"/>
  <c r="BB29" i="28"/>
  <c r="AM17" i="28"/>
  <c r="BB27" i="28"/>
  <c r="BB25" i="28"/>
  <c r="AM16" i="28"/>
  <c r="BA31" i="28"/>
  <c r="AL17" i="28"/>
  <c r="BA27" i="28"/>
  <c r="BA25" i="28"/>
  <c r="AL16" i="28"/>
  <c r="AZ31" i="28"/>
  <c r="AK17" i="28"/>
  <c r="AZ27" i="28"/>
  <c r="AK16" i="28"/>
  <c r="BA29" i="28"/>
  <c r="AZ29" i="28"/>
  <c r="AZ25" i="28"/>
  <c r="AN17" i="28"/>
  <c r="BB30" i="28"/>
  <c r="BB28" i="28"/>
  <c r="BB26" i="28"/>
  <c r="BB24" i="28"/>
  <c r="AV18" i="29"/>
  <c r="AZ30" i="28"/>
  <c r="AZ28" i="28"/>
  <c r="AZ26" i="28"/>
  <c r="AZ24" i="28"/>
  <c r="BA30" i="28"/>
  <c r="BA28" i="28"/>
  <c r="BA26" i="28"/>
  <c r="BA24" i="28"/>
  <c r="AL8" i="29"/>
  <c r="AN16" i="28"/>
  <c r="BA22" i="28"/>
  <c r="AV14" i="29"/>
  <c r="AL7" i="29"/>
  <c r="BB20" i="28"/>
  <c r="AN14" i="28"/>
  <c r="BB21" i="28"/>
  <c r="BA16" i="28"/>
  <c r="AN15" i="28"/>
  <c r="AV13" i="29"/>
  <c r="AM13" i="28"/>
  <c r="AL15" i="28"/>
  <c r="BB23" i="28"/>
  <c r="BA20" i="28"/>
  <c r="AM14" i="28"/>
  <c r="BA23" i="28"/>
  <c r="AL14" i="28"/>
  <c r="BB16" i="28"/>
  <c r="AZ23" i="28"/>
  <c r="BA21" i="28"/>
  <c r="AN13" i="28"/>
  <c r="AZ16" i="28"/>
  <c r="AM15" i="28"/>
  <c r="BB22" i="28"/>
  <c r="AL13" i="28"/>
  <c r="AZ19" i="28"/>
  <c r="AZ17" i="28"/>
  <c r="AN12" i="28"/>
  <c r="AL12" i="28"/>
  <c r="AK12" i="28"/>
  <c r="BB19" i="28"/>
  <c r="BA17" i="28"/>
  <c r="BB18" i="28"/>
  <c r="AM12" i="28"/>
  <c r="BA18" i="28"/>
  <c r="AZ18" i="28"/>
  <c r="BB17" i="28"/>
  <c r="BA19" i="28"/>
  <c r="AV11" i="29"/>
  <c r="Z3" i="29"/>
  <c r="AK14" i="28"/>
  <c r="AV16" i="29"/>
  <c r="AV12" i="29"/>
  <c r="Z4" i="29"/>
  <c r="AA7" i="28"/>
  <c r="AZ21" i="28"/>
  <c r="Z6" i="29"/>
  <c r="AV15" i="29"/>
  <c r="AA8" i="28"/>
  <c r="AA6" i="28"/>
  <c r="AZ22" i="28"/>
  <c r="Z5" i="29"/>
  <c r="AZ20" i="28"/>
  <c r="AK13" i="28"/>
  <c r="Z7" i="29"/>
  <c r="AV17" i="29"/>
  <c r="AK15" i="28"/>
  <c r="AL16" i="9"/>
  <c r="AL17" i="9"/>
  <c r="AL18" i="9"/>
  <c r="AL14" i="9"/>
  <c r="AL15" i="9"/>
  <c r="BN5" i="9"/>
  <c r="BF2" i="9"/>
  <c r="BF4" i="9"/>
  <c r="BF5" i="9"/>
  <c r="BF3" i="9"/>
  <c r="BF6" i="9"/>
  <c r="AK19" i="27"/>
  <c r="AG19" i="27"/>
  <c r="AL11" i="27"/>
  <c r="AL17" i="27"/>
  <c r="AL19" i="27"/>
  <c r="AL16" i="27"/>
  <c r="AL18" i="27"/>
  <c r="AL15" i="27"/>
  <c r="AL13" i="27"/>
  <c r="AH18" i="27"/>
  <c r="AW30" i="28"/>
  <c r="AH17" i="27"/>
  <c r="AW27" i="28"/>
  <c r="AW29" i="28"/>
  <c r="AW25" i="28"/>
  <c r="AW24" i="28"/>
  <c r="AW26" i="28"/>
  <c r="AI17" i="28"/>
  <c r="AW31" i="28"/>
  <c r="AI16" i="28"/>
  <c r="AH19" i="27"/>
  <c r="AW28" i="28"/>
  <c r="AH16" i="27"/>
  <c r="AH15" i="27"/>
  <c r="AB17" i="27"/>
  <c r="AB18" i="27"/>
  <c r="AB15" i="27"/>
  <c r="AG15" i="27" s="1"/>
  <c r="AB16" i="27"/>
  <c r="W7" i="14"/>
  <c r="AB14" i="27"/>
  <c r="Z7" i="14"/>
  <c r="Y7" i="14"/>
  <c r="AB13" i="27"/>
  <c r="X7" i="14"/>
  <c r="AH14" i="27"/>
  <c r="AH13" i="27"/>
  <c r="N6" i="28"/>
  <c r="AW23" i="28"/>
  <c r="AI13" i="28"/>
  <c r="N7" i="28"/>
  <c r="N8" i="28"/>
  <c r="AI14" i="28"/>
  <c r="AW20" i="28"/>
  <c r="AW21" i="28"/>
  <c r="AW22" i="28"/>
  <c r="AI15" i="28"/>
  <c r="AB11" i="27"/>
  <c r="AB12" i="27"/>
  <c r="AH12" i="27"/>
  <c r="AH11" i="27"/>
  <c r="AV17" i="9"/>
  <c r="AU17" i="9" s="1"/>
  <c r="AV18" i="9"/>
  <c r="AV15" i="9"/>
  <c r="AW15" i="9" s="1"/>
  <c r="AV16" i="9"/>
  <c r="AL10" i="27"/>
  <c r="AL7" i="27"/>
  <c r="AL9" i="27"/>
  <c r="AL8" i="27"/>
  <c r="AW16" i="28"/>
  <c r="AH8" i="27"/>
  <c r="AH7" i="27"/>
  <c r="AW18" i="28"/>
  <c r="N5" i="28"/>
  <c r="AI12" i="28"/>
  <c r="AW17" i="28"/>
  <c r="AW19" i="28"/>
  <c r="AH10" i="27"/>
  <c r="AH9" i="27"/>
  <c r="AV13" i="9"/>
  <c r="AU13" i="9" s="1"/>
  <c r="AV14" i="9"/>
  <c r="AB10" i="27"/>
  <c r="AB9" i="27"/>
  <c r="AB7" i="27"/>
  <c r="AG7" i="27" s="1"/>
  <c r="AB8" i="27"/>
  <c r="AL10" i="9"/>
  <c r="AM10" i="9" s="1"/>
  <c r="AL11" i="9"/>
  <c r="AL12" i="9"/>
  <c r="AL13" i="9"/>
  <c r="AV11" i="9"/>
  <c r="AW11" i="9" s="1"/>
  <c r="AV12" i="9"/>
  <c r="AZ10" i="28"/>
  <c r="AN9" i="28"/>
  <c r="AN11" i="28"/>
  <c r="BB15" i="28"/>
  <c r="AA3" i="28"/>
  <c r="BA12" i="28"/>
  <c r="AL7" i="28"/>
  <c r="AM7" i="28"/>
  <c r="BB14" i="28"/>
  <c r="AM9" i="28"/>
  <c r="AK9" i="28"/>
  <c r="AK11" i="28"/>
  <c r="BA15" i="28"/>
  <c r="AA4" i="28"/>
  <c r="AK7" i="28"/>
  <c r="AM8" i="28"/>
  <c r="BA10" i="28"/>
  <c r="AM10" i="28"/>
  <c r="AM11" i="28"/>
  <c r="BA13" i="28"/>
  <c r="AZ14" i="28"/>
  <c r="BB12" i="28"/>
  <c r="AL11" i="28"/>
  <c r="AN8" i="28"/>
  <c r="AK10" i="28"/>
  <c r="AZ12" i="28"/>
  <c r="AL8" i="28"/>
  <c r="AZ15" i="28"/>
  <c r="AL10" i="28"/>
  <c r="AZ13" i="28"/>
  <c r="AN7" i="28"/>
  <c r="AZ11" i="28"/>
  <c r="BB11" i="28"/>
  <c r="AN10" i="28"/>
  <c r="AK8" i="28"/>
  <c r="BB10" i="28"/>
  <c r="AL9" i="28"/>
  <c r="BB13" i="28"/>
  <c r="BA11" i="28"/>
  <c r="BA14" i="28"/>
  <c r="E2" i="27"/>
  <c r="F2" i="9"/>
  <c r="E2" i="29"/>
  <c r="E2" i="28"/>
  <c r="AI10" i="28"/>
  <c r="N3" i="28"/>
  <c r="W3" i="28" s="1"/>
  <c r="AI11" i="28"/>
  <c r="AW15" i="28"/>
  <c r="AW13" i="28"/>
  <c r="N4" i="28"/>
  <c r="W4" i="28" s="1"/>
  <c r="U4" i="28" s="1"/>
  <c r="AW14" i="28"/>
  <c r="X6" i="14"/>
  <c r="Z6" i="14"/>
  <c r="Y6" i="14"/>
  <c r="W6" i="14"/>
  <c r="AL5" i="27"/>
  <c r="AB6" i="27"/>
  <c r="Z5" i="14"/>
  <c r="AB5" i="27"/>
  <c r="Y5" i="14"/>
  <c r="X5" i="14"/>
  <c r="W5" i="14"/>
  <c r="AW10" i="28"/>
  <c r="AW12" i="28"/>
  <c r="AI9" i="28"/>
  <c r="AI8" i="28"/>
  <c r="AI7" i="28"/>
  <c r="AW11" i="28"/>
  <c r="AI5" i="28"/>
  <c r="AW7" i="28"/>
  <c r="AW8" i="28"/>
  <c r="AW9" i="28"/>
  <c r="AI6" i="28"/>
  <c r="AH5" i="27"/>
  <c r="AH6" i="27"/>
  <c r="AI4" i="28"/>
  <c r="AI3" i="28"/>
  <c r="AV10" i="29"/>
  <c r="AV8" i="29"/>
  <c r="AV9" i="29"/>
  <c r="AK4" i="28"/>
  <c r="AL4" i="28"/>
  <c r="BA8" i="28"/>
  <c r="AL6" i="29"/>
  <c r="BB7" i="28"/>
  <c r="AM5" i="28"/>
  <c r="AM3" i="28"/>
  <c r="BB9" i="28"/>
  <c r="BA7" i="28"/>
  <c r="AL5" i="28"/>
  <c r="AL3" i="28"/>
  <c r="BA9" i="28"/>
  <c r="AZ7" i="28"/>
  <c r="AK5" i="28"/>
  <c r="AK3" i="28"/>
  <c r="AZ9" i="28"/>
  <c r="AN4" i="28"/>
  <c r="AN6" i="28"/>
  <c r="AM4" i="28"/>
  <c r="BB8" i="28"/>
  <c r="AM6" i="28"/>
  <c r="AL5" i="29"/>
  <c r="AL6" i="28"/>
  <c r="AV7" i="29"/>
  <c r="AZ8" i="28"/>
  <c r="AK6" i="28"/>
  <c r="AN5" i="28"/>
  <c r="AN3" i="28"/>
  <c r="AL3" i="29"/>
  <c r="AV4" i="29"/>
  <c r="AL4" i="29"/>
  <c r="AV5" i="29"/>
  <c r="AV3" i="29"/>
  <c r="AV6" i="29"/>
  <c r="BA5" i="28"/>
  <c r="BA3" i="28"/>
  <c r="BB4" i="28"/>
  <c r="BA4" i="28"/>
  <c r="AZ6" i="28"/>
  <c r="AZ5" i="28"/>
  <c r="AZ3" i="28"/>
  <c r="BB6" i="28"/>
  <c r="AZ4" i="28"/>
  <c r="BB5" i="28"/>
  <c r="BB3" i="28"/>
  <c r="BA6" i="28"/>
  <c r="F16" i="26"/>
  <c r="G16" i="26" s="1"/>
  <c r="H16" i="26" s="1"/>
  <c r="F9" i="26"/>
  <c r="G9" i="26" s="1"/>
  <c r="H9" i="26" s="1"/>
  <c r="F14" i="26"/>
  <c r="G14" i="26" s="1"/>
  <c r="H14" i="26" s="1"/>
  <c r="F18" i="26"/>
  <c r="G18" i="26" s="1"/>
  <c r="H18" i="26" s="1"/>
  <c r="F15" i="26"/>
  <c r="G15" i="26" s="1"/>
  <c r="H15" i="26" s="1"/>
  <c r="F12" i="26"/>
  <c r="G12" i="26" s="1"/>
  <c r="H12" i="26" s="1"/>
  <c r="F17" i="26"/>
  <c r="G17" i="26" s="1"/>
  <c r="H17" i="26" s="1"/>
  <c r="F10" i="26"/>
  <c r="G10" i="26" s="1"/>
  <c r="H10" i="26" s="1"/>
  <c r="AV4" i="9"/>
  <c r="AV3" i="9"/>
  <c r="AV2" i="9"/>
  <c r="AV5" i="9"/>
  <c r="AV7" i="9"/>
  <c r="AV6" i="9"/>
  <c r="AV8" i="9"/>
  <c r="AV9" i="9"/>
  <c r="AV10" i="9"/>
  <c r="Y4" i="14"/>
  <c r="Y3" i="14"/>
  <c r="Z4" i="14"/>
  <c r="AB4" i="27"/>
  <c r="AB3" i="27"/>
  <c r="Z3" i="14"/>
  <c r="W3" i="14"/>
  <c r="X3" i="14"/>
  <c r="X4" i="14"/>
  <c r="W4" i="14"/>
  <c r="AH3" i="27"/>
  <c r="AH4" i="27"/>
  <c r="AL8" i="9"/>
  <c r="AK8" i="9" s="1"/>
  <c r="AL9" i="9"/>
  <c r="AL7" i="9"/>
  <c r="AL6" i="9"/>
  <c r="AL4" i="9"/>
  <c r="AL3" i="9"/>
  <c r="AL2" i="9"/>
  <c r="AL5" i="9"/>
  <c r="AW4" i="28"/>
  <c r="AW6" i="28"/>
  <c r="AW3" i="28"/>
  <c r="AW5" i="28"/>
  <c r="C5" i="14"/>
  <c r="D5" i="14" s="1"/>
  <c r="C4" i="14"/>
  <c r="D4" i="14" s="1"/>
  <c r="C3" i="14"/>
  <c r="C16" i="14"/>
  <c r="D16" i="14" s="1"/>
  <c r="C2" i="14"/>
  <c r="D2" i="14" s="1"/>
  <c r="C10" i="14"/>
  <c r="D10" i="14" s="1"/>
  <c r="C20" i="14"/>
  <c r="D20" i="14" s="1"/>
  <c r="C17" i="14"/>
  <c r="C22" i="14"/>
  <c r="D22" i="14" s="1"/>
  <c r="C24" i="14"/>
  <c r="D24" i="14" s="1"/>
  <c r="C26" i="14"/>
  <c r="D26" i="14" s="1"/>
  <c r="C14" i="14"/>
  <c r="D14" i="14" s="1"/>
  <c r="C23" i="14"/>
  <c r="D23" i="14" s="1"/>
  <c r="C8" i="14"/>
  <c r="D8" i="14" s="1"/>
  <c r="C9" i="14"/>
  <c r="D9" i="14" s="1"/>
  <c r="C6" i="14"/>
  <c r="D6" i="14" s="1"/>
  <c r="C13" i="14"/>
  <c r="D13" i="14" s="1"/>
  <c r="C19" i="14"/>
  <c r="D19" i="14" s="1"/>
  <c r="C15" i="14"/>
  <c r="D15" i="14" s="1"/>
  <c r="C21" i="14"/>
  <c r="D21" i="14" s="1"/>
  <c r="C18" i="14"/>
  <c r="C11" i="14"/>
  <c r="D11" i="14" s="1"/>
  <c r="C7" i="14"/>
  <c r="D7" i="14" s="1"/>
  <c r="C25" i="14"/>
  <c r="D25" i="14" s="1"/>
  <c r="C12" i="14"/>
  <c r="D12" i="14" s="1"/>
  <c r="G13" i="26"/>
  <c r="H13" i="26" s="1"/>
  <c r="G11" i="26"/>
  <c r="H11" i="26" s="1"/>
  <c r="G7" i="26"/>
  <c r="H7" i="26" s="1"/>
  <c r="G8" i="26"/>
  <c r="H8" i="26" s="1"/>
  <c r="G6" i="26"/>
  <c r="H6" i="26" s="1"/>
  <c r="DQ2" i="9"/>
  <c r="DE2" i="9"/>
  <c r="J6" i="31"/>
  <c r="Y2" i="27"/>
  <c r="AA2" i="28"/>
  <c r="AD2" i="28"/>
  <c r="AC2" i="28"/>
  <c r="AB2" i="28"/>
  <c r="K2" i="28"/>
  <c r="CA2" i="9"/>
  <c r="CB2" i="9"/>
  <c r="AI2" i="29"/>
  <c r="V2" i="29"/>
  <c r="Z2" i="29"/>
  <c r="AC2" i="29"/>
  <c r="AB2" i="29"/>
  <c r="AA2" i="29"/>
  <c r="AT2" i="28"/>
  <c r="AW2" i="28"/>
  <c r="AF2" i="28"/>
  <c r="AI2" i="28"/>
  <c r="W2" i="28"/>
  <c r="CJ2" i="9"/>
  <c r="D2" i="19"/>
  <c r="N2" i="19" s="1"/>
  <c r="B4" i="25"/>
  <c r="E3" i="25"/>
  <c r="E2" i="25"/>
  <c r="AM17" i="9" l="1"/>
  <c r="AK17" i="9"/>
  <c r="AM18" i="9"/>
  <c r="AK18" i="9"/>
  <c r="AK16" i="9"/>
  <c r="AM16" i="9"/>
  <c r="AM14" i="9"/>
  <c r="AK14" i="9"/>
  <c r="AM15" i="9"/>
  <c r="AK15" i="9"/>
  <c r="E7" i="29"/>
  <c r="E26" i="27"/>
  <c r="E25" i="27"/>
  <c r="V7" i="14"/>
  <c r="F8" i="9"/>
  <c r="E23" i="27"/>
  <c r="E24" i="27"/>
  <c r="E9" i="28"/>
  <c r="E32" i="27"/>
  <c r="E27" i="27"/>
  <c r="E10" i="28"/>
  <c r="E31" i="27"/>
  <c r="E28" i="27"/>
  <c r="E33" i="27"/>
  <c r="E11" i="28"/>
  <c r="AW17" i="9"/>
  <c r="W5" i="29"/>
  <c r="W7" i="29"/>
  <c r="W6" i="29"/>
  <c r="AK17" i="27"/>
  <c r="AG17" i="27"/>
  <c r="AK18" i="27"/>
  <c r="AG18" i="27"/>
  <c r="AK15" i="27"/>
  <c r="AK16" i="27"/>
  <c r="AG16" i="27"/>
  <c r="AK13" i="27"/>
  <c r="AG13" i="27"/>
  <c r="AK14" i="27"/>
  <c r="AG14" i="27"/>
  <c r="Z7" i="28"/>
  <c r="AD7" i="28"/>
  <c r="AB7" i="28"/>
  <c r="V7" i="28"/>
  <c r="AC7" i="28"/>
  <c r="W7" i="28"/>
  <c r="U7" i="28" s="1"/>
  <c r="Z6" i="28"/>
  <c r="AC6" i="28"/>
  <c r="AB6" i="28"/>
  <c r="V6" i="28"/>
  <c r="W6" i="28"/>
  <c r="U6" i="28" s="1"/>
  <c r="AD6" i="28"/>
  <c r="Z8" i="28"/>
  <c r="W8" i="28"/>
  <c r="U8" i="28" s="1"/>
  <c r="V8" i="28"/>
  <c r="AD8" i="28"/>
  <c r="AB8" i="28"/>
  <c r="AC8" i="28"/>
  <c r="AK11" i="27"/>
  <c r="AG11" i="27"/>
  <c r="AK12" i="27"/>
  <c r="AG12" i="27"/>
  <c r="AW18" i="9"/>
  <c r="AU18" i="9"/>
  <c r="AU15" i="9"/>
  <c r="AW16" i="9"/>
  <c r="AU16" i="9"/>
  <c r="E16" i="27"/>
  <c r="E20" i="27"/>
  <c r="E21" i="27"/>
  <c r="E6" i="29"/>
  <c r="F7" i="9"/>
  <c r="E22" i="27"/>
  <c r="W3" i="29"/>
  <c r="W4" i="29"/>
  <c r="Z5" i="28"/>
  <c r="AD5" i="28"/>
  <c r="V5" i="28"/>
  <c r="AB5" i="28"/>
  <c r="AC5" i="28"/>
  <c r="AA5" i="28"/>
  <c r="Y5" i="28" s="1"/>
  <c r="AW14" i="9"/>
  <c r="AU14" i="9"/>
  <c r="AW13" i="9"/>
  <c r="AK10" i="27"/>
  <c r="AG10" i="27"/>
  <c r="AK9" i="27"/>
  <c r="AG9" i="27"/>
  <c r="E18" i="27"/>
  <c r="E19" i="27"/>
  <c r="AK8" i="27"/>
  <c r="AG8" i="27"/>
  <c r="AK7" i="27"/>
  <c r="T5" i="28"/>
  <c r="U3" i="28"/>
  <c r="U5" i="28"/>
  <c r="AM11" i="9"/>
  <c r="AK11" i="9"/>
  <c r="AM12" i="9"/>
  <c r="AK12" i="9"/>
  <c r="AK10" i="9"/>
  <c r="AM13" i="9"/>
  <c r="AK13" i="9"/>
  <c r="E7" i="28"/>
  <c r="F6" i="9"/>
  <c r="AW12" i="9"/>
  <c r="AU12" i="9"/>
  <c r="AU11" i="9"/>
  <c r="A2" i="9"/>
  <c r="A2" i="27"/>
  <c r="K2" i="27"/>
  <c r="Y4" i="28"/>
  <c r="Z4" i="28"/>
  <c r="V4" i="28"/>
  <c r="AC4" i="28"/>
  <c r="AB4" i="28"/>
  <c r="AD4" i="28"/>
  <c r="A2" i="29"/>
  <c r="D2" i="29"/>
  <c r="J2" i="29" s="1"/>
  <c r="Z3" i="28"/>
  <c r="V3" i="28"/>
  <c r="AD3" i="28"/>
  <c r="AB3" i="28"/>
  <c r="AC3" i="28"/>
  <c r="X3" i="28"/>
  <c r="X4" i="28"/>
  <c r="Y3" i="28"/>
  <c r="T3" i="28"/>
  <c r="T4" i="28"/>
  <c r="AK5" i="27"/>
  <c r="AG5" i="27"/>
  <c r="AK6" i="27"/>
  <c r="AG6" i="27"/>
  <c r="E12" i="27"/>
  <c r="E11" i="27"/>
  <c r="V5" i="14"/>
  <c r="E10" i="27"/>
  <c r="E9" i="27"/>
  <c r="E5" i="29"/>
  <c r="E5" i="28"/>
  <c r="F5" i="9"/>
  <c r="AW4" i="9"/>
  <c r="AU4" i="9"/>
  <c r="AW3" i="9"/>
  <c r="AU3" i="9"/>
  <c r="AW2" i="9"/>
  <c r="AU2" i="9"/>
  <c r="AU7" i="9"/>
  <c r="AW7" i="9"/>
  <c r="AW6" i="9"/>
  <c r="AU6" i="9"/>
  <c r="AW10" i="9"/>
  <c r="AU10" i="9"/>
  <c r="AU8" i="9"/>
  <c r="AW8" i="9"/>
  <c r="AW5" i="9"/>
  <c r="AU5" i="9"/>
  <c r="AU9" i="9"/>
  <c r="AW9" i="9"/>
  <c r="AK4" i="27"/>
  <c r="AG4" i="27"/>
  <c r="AG3" i="27"/>
  <c r="AK3" i="27"/>
  <c r="AG2" i="29"/>
  <c r="AF3" i="28"/>
  <c r="AM9" i="9"/>
  <c r="AK9" i="9"/>
  <c r="AM8" i="9"/>
  <c r="AM6" i="9"/>
  <c r="AK6" i="9"/>
  <c r="AK4" i="9"/>
  <c r="AM4" i="9"/>
  <c r="AK3" i="9"/>
  <c r="AM3" i="9"/>
  <c r="AM5" i="9"/>
  <c r="AK5" i="9"/>
  <c r="AM7" i="9"/>
  <c r="AK7" i="9"/>
  <c r="AK2" i="9"/>
  <c r="AM2" i="9"/>
  <c r="D3" i="14"/>
  <c r="M34" i="19" s="1"/>
  <c r="D17" i="14"/>
  <c r="V3" i="14" s="1"/>
  <c r="D18" i="14"/>
  <c r="V4" i="14" s="1"/>
  <c r="M2" i="14"/>
  <c r="M4" i="14"/>
  <c r="G5" i="26"/>
  <c r="H5" i="26" s="1"/>
  <c r="X2" i="28"/>
  <c r="T2" i="28"/>
  <c r="J7" i="31"/>
  <c r="S2" i="29"/>
  <c r="W2" i="29"/>
  <c r="D9" i="21"/>
  <c r="C9" i="21"/>
  <c r="D19" i="21"/>
  <c r="D22" i="21"/>
  <c r="C19" i="21"/>
  <c r="C22" i="21"/>
  <c r="C23" i="21"/>
  <c r="D15" i="21"/>
  <c r="D13" i="21"/>
  <c r="D17" i="21"/>
  <c r="D14" i="21"/>
  <c r="D18" i="21"/>
  <c r="C12" i="21"/>
  <c r="C15" i="21"/>
  <c r="C13" i="21"/>
  <c r="C17" i="21"/>
  <c r="C14" i="21"/>
  <c r="C18" i="21"/>
  <c r="C16" i="21"/>
  <c r="C11" i="21"/>
  <c r="M42" i="19" l="1"/>
  <c r="M43" i="19"/>
  <c r="T12" i="19"/>
  <c r="M44" i="19"/>
  <c r="H44" i="19"/>
  <c r="T11" i="19"/>
  <c r="T10" i="19"/>
  <c r="H42" i="19"/>
  <c r="H43" i="19"/>
  <c r="M41" i="19"/>
  <c r="M40" i="19"/>
  <c r="H41" i="19"/>
  <c r="T9" i="19"/>
  <c r="H40" i="19"/>
  <c r="T8" i="19"/>
  <c r="M33" i="19"/>
  <c r="M39" i="19"/>
  <c r="H39" i="19"/>
  <c r="T7" i="19"/>
  <c r="T6" i="19"/>
  <c r="H37" i="19"/>
  <c r="M36" i="19"/>
  <c r="H33" i="19"/>
  <c r="M35" i="19"/>
  <c r="T4" i="19"/>
  <c r="M38" i="19"/>
  <c r="H38" i="19"/>
  <c r="M37" i="19"/>
  <c r="H36" i="19"/>
  <c r="H35" i="19"/>
  <c r="H34" i="19"/>
  <c r="T5" i="19"/>
  <c r="E30" i="27"/>
  <c r="E29" i="27"/>
  <c r="T3" i="19"/>
  <c r="T8" i="28"/>
  <c r="T6" i="28"/>
  <c r="T7" i="28"/>
  <c r="Y7" i="28"/>
  <c r="Y8" i="28"/>
  <c r="X8" i="28"/>
  <c r="X7" i="28"/>
  <c r="Y6" i="28"/>
  <c r="X6" i="28"/>
  <c r="X5" i="28"/>
  <c r="T2" i="19"/>
  <c r="H13" i="19"/>
  <c r="E15" i="27"/>
  <c r="E17" i="27"/>
  <c r="E8" i="28"/>
  <c r="C2" i="9"/>
  <c r="E2" i="9" s="1"/>
  <c r="K2" i="9" s="1"/>
  <c r="H9" i="19"/>
  <c r="M9" i="19"/>
  <c r="V6" i="14"/>
  <c r="E14" i="27"/>
  <c r="E13" i="27"/>
  <c r="M13" i="19"/>
  <c r="AF5" i="28"/>
  <c r="AF6" i="28"/>
  <c r="M17" i="19"/>
  <c r="E6" i="28"/>
  <c r="AF4" i="28"/>
  <c r="E3" i="29"/>
  <c r="E7" i="27"/>
  <c r="E4" i="27"/>
  <c r="E3" i="27"/>
  <c r="E5" i="27"/>
  <c r="E6" i="27"/>
  <c r="E8" i="27"/>
  <c r="E4" i="29"/>
  <c r="Z4" i="9"/>
  <c r="F3" i="9"/>
  <c r="E3" i="28"/>
  <c r="F4" i="9"/>
  <c r="E4" i="28"/>
  <c r="Z2" i="9"/>
  <c r="AC2" i="9"/>
  <c r="Z3" i="9"/>
  <c r="AC3" i="9"/>
  <c r="M3" i="14"/>
  <c r="H17" i="19"/>
  <c r="H18" i="19"/>
  <c r="M22" i="19"/>
  <c r="M14" i="19"/>
  <c r="H19" i="19"/>
  <c r="M11" i="19"/>
  <c r="H25" i="19"/>
  <c r="M15" i="19"/>
  <c r="H11" i="19"/>
  <c r="M12" i="19"/>
  <c r="H10" i="19"/>
  <c r="M30" i="19"/>
  <c r="H14" i="19"/>
  <c r="M8" i="19"/>
  <c r="M10" i="19"/>
  <c r="M23" i="19"/>
  <c r="H8" i="19"/>
  <c r="H15" i="19"/>
  <c r="M20" i="19"/>
  <c r="M21" i="19"/>
  <c r="H16" i="19"/>
  <c r="M18" i="19"/>
  <c r="M19" i="19"/>
  <c r="H12" i="19"/>
  <c r="M16" i="19"/>
  <c r="H28" i="19"/>
  <c r="M28" i="19"/>
  <c r="H32" i="19"/>
  <c r="H21" i="19"/>
  <c r="H26" i="19"/>
  <c r="M26" i="19"/>
  <c r="M24" i="19"/>
  <c r="H22" i="19"/>
  <c r="H24" i="19"/>
  <c r="H30" i="19"/>
  <c r="M27" i="19"/>
  <c r="H20" i="19"/>
  <c r="H23" i="19"/>
  <c r="H31" i="19"/>
  <c r="M32" i="19"/>
  <c r="M25" i="19"/>
  <c r="H27" i="19"/>
  <c r="M31" i="19"/>
  <c r="H29" i="19"/>
  <c r="M29" i="19"/>
  <c r="M5" i="14"/>
  <c r="D12" i="21"/>
  <c r="D16" i="21"/>
  <c r="D23" i="21"/>
  <c r="D11" i="21"/>
  <c r="J8" i="31"/>
  <c r="A33" i="27" l="1"/>
  <c r="L32" i="27"/>
  <c r="A31" i="27"/>
  <c r="K32" i="27"/>
  <c r="L31" i="27"/>
  <c r="K31" i="27"/>
  <c r="L33" i="27"/>
  <c r="K33" i="27"/>
  <c r="A32" i="27"/>
  <c r="K30" i="27"/>
  <c r="L30" i="27"/>
  <c r="A30" i="27"/>
  <c r="K29" i="27"/>
  <c r="L29" i="27"/>
  <c r="A29" i="27"/>
  <c r="L28" i="27"/>
  <c r="A28" i="27"/>
  <c r="K28" i="27"/>
  <c r="L27" i="27"/>
  <c r="A27" i="27"/>
  <c r="K27" i="27"/>
  <c r="K26" i="27"/>
  <c r="L26" i="27"/>
  <c r="A26" i="27"/>
  <c r="A25" i="27"/>
  <c r="L25" i="27"/>
  <c r="K25" i="27"/>
  <c r="D7" i="29"/>
  <c r="A7" i="29"/>
  <c r="K24" i="27"/>
  <c r="L24" i="27"/>
  <c r="A24" i="27"/>
  <c r="L23" i="27"/>
  <c r="A23" i="27"/>
  <c r="K23" i="27"/>
  <c r="A8" i="9"/>
  <c r="L22" i="27"/>
  <c r="A22" i="27"/>
  <c r="K22" i="27"/>
  <c r="A3" i="29"/>
  <c r="D6" i="29"/>
  <c r="A6" i="29"/>
  <c r="K21" i="27"/>
  <c r="A21" i="27"/>
  <c r="L21" i="27"/>
  <c r="A7" i="9"/>
  <c r="L20" i="27"/>
  <c r="A20" i="27"/>
  <c r="K20" i="27"/>
  <c r="L18" i="27"/>
  <c r="A18" i="27"/>
  <c r="K18" i="27"/>
  <c r="L19" i="27"/>
  <c r="K19" i="27"/>
  <c r="A19" i="27"/>
  <c r="A17" i="27"/>
  <c r="L17" i="27"/>
  <c r="K17" i="27"/>
  <c r="A15" i="27"/>
  <c r="K15" i="27"/>
  <c r="L16" i="27"/>
  <c r="L15" i="27"/>
  <c r="A16" i="27"/>
  <c r="K16" i="27"/>
  <c r="A3" i="9"/>
  <c r="A6" i="9"/>
  <c r="D5" i="29"/>
  <c r="J5" i="29" s="1"/>
  <c r="K14" i="27"/>
  <c r="L14" i="27"/>
  <c r="A14" i="27"/>
  <c r="K13" i="27"/>
  <c r="L13" i="27"/>
  <c r="A13" i="27"/>
  <c r="A5" i="9"/>
  <c r="D3" i="29"/>
  <c r="AI3" i="29" s="1"/>
  <c r="A5" i="29"/>
  <c r="L12" i="27"/>
  <c r="A12" i="27"/>
  <c r="K12" i="27"/>
  <c r="A5" i="27"/>
  <c r="L11" i="27"/>
  <c r="A11" i="27"/>
  <c r="K11" i="27"/>
  <c r="K10" i="27"/>
  <c r="A10" i="27"/>
  <c r="L10" i="27"/>
  <c r="A9" i="27"/>
  <c r="L9" i="27"/>
  <c r="K9" i="27"/>
  <c r="K6" i="27"/>
  <c r="D4" i="29"/>
  <c r="A6" i="27"/>
  <c r="A8" i="27"/>
  <c r="K5" i="27"/>
  <c r="A4" i="29"/>
  <c r="K8" i="27"/>
  <c r="K3" i="27"/>
  <c r="L8" i="27"/>
  <c r="L7" i="27"/>
  <c r="L4" i="27"/>
  <c r="L6" i="27"/>
  <c r="L5" i="27"/>
  <c r="L3" i="27"/>
  <c r="A3" i="27"/>
  <c r="A4" i="27"/>
  <c r="K7" i="27"/>
  <c r="K4" i="27"/>
  <c r="A7" i="27"/>
  <c r="AC4" i="9"/>
  <c r="A4" i="9"/>
  <c r="J9" i="31"/>
  <c r="E4" i="31"/>
  <c r="J7" i="29" l="1"/>
  <c r="M6" i="29"/>
  <c r="AL14" i="27"/>
  <c r="M7" i="29"/>
  <c r="M5" i="29"/>
  <c r="AI8" i="29"/>
  <c r="C8" i="9"/>
  <c r="E8" i="9" s="1"/>
  <c r="J6" i="29"/>
  <c r="AL12" i="27"/>
  <c r="M4" i="29"/>
  <c r="AI7" i="29"/>
  <c r="M3" i="29"/>
  <c r="C7" i="9"/>
  <c r="E7" i="9" s="1"/>
  <c r="C4" i="9"/>
  <c r="E4" i="9" s="1"/>
  <c r="K4" i="9" s="1"/>
  <c r="AC6" i="9"/>
  <c r="C6" i="9"/>
  <c r="E6" i="9" s="1"/>
  <c r="C3" i="9"/>
  <c r="E3" i="9" s="1"/>
  <c r="R3" i="9" s="1"/>
  <c r="AX3" i="9" s="1"/>
  <c r="AL6" i="27"/>
  <c r="AI5" i="29"/>
  <c r="AI6" i="29"/>
  <c r="AL3" i="27"/>
  <c r="J3" i="29"/>
  <c r="C5" i="9"/>
  <c r="E5" i="9" s="1"/>
  <c r="R8" i="9" s="1"/>
  <c r="AX8" i="9" s="1"/>
  <c r="AF7" i="28"/>
  <c r="J4" i="29"/>
  <c r="AI4" i="29"/>
  <c r="AG3" i="29"/>
  <c r="AL4" i="27"/>
  <c r="Z5" i="9"/>
  <c r="AC5" i="9"/>
  <c r="J10" i="31"/>
  <c r="AG8" i="29" l="1"/>
  <c r="U6" i="29"/>
  <c r="Y6" i="29"/>
  <c r="V6" i="29"/>
  <c r="T6" i="29" s="1"/>
  <c r="AC6" i="29"/>
  <c r="AA6" i="29"/>
  <c r="AB6" i="29"/>
  <c r="X6" i="29"/>
  <c r="Y5" i="29"/>
  <c r="V5" i="29"/>
  <c r="T5" i="29" s="1"/>
  <c r="AB5" i="29"/>
  <c r="U5" i="29"/>
  <c r="AC5" i="29"/>
  <c r="AA5" i="29"/>
  <c r="X5" i="29"/>
  <c r="K8" i="9"/>
  <c r="R18" i="9"/>
  <c r="AX18" i="9" s="1"/>
  <c r="R17" i="9"/>
  <c r="AX17" i="9" s="1"/>
  <c r="R16" i="9"/>
  <c r="AX16" i="9" s="1"/>
  <c r="R15" i="9"/>
  <c r="AX15" i="9" s="1"/>
  <c r="Y7" i="29"/>
  <c r="U7" i="29"/>
  <c r="AB7" i="29"/>
  <c r="V7" i="29"/>
  <c r="T7" i="29" s="1"/>
  <c r="AC7" i="29"/>
  <c r="AA7" i="29"/>
  <c r="X7" i="29"/>
  <c r="AG7" i="29"/>
  <c r="U4" i="29"/>
  <c r="Y4" i="29"/>
  <c r="V4" i="29"/>
  <c r="T4" i="29" s="1"/>
  <c r="AA4" i="29"/>
  <c r="AC4" i="29"/>
  <c r="AB4" i="29"/>
  <c r="X4" i="29"/>
  <c r="Y3" i="29"/>
  <c r="V3" i="29"/>
  <c r="AA3" i="29"/>
  <c r="AC3" i="29"/>
  <c r="AB3" i="29"/>
  <c r="U3" i="29"/>
  <c r="X3" i="29"/>
  <c r="K7" i="9"/>
  <c r="R14" i="9"/>
  <c r="AX14" i="9" s="1"/>
  <c r="K6" i="9"/>
  <c r="R13" i="9"/>
  <c r="AX13" i="9" s="1"/>
  <c r="R12" i="9"/>
  <c r="AX12" i="9" s="1"/>
  <c r="R11" i="9"/>
  <c r="AX11" i="9" s="1"/>
  <c r="R6" i="9"/>
  <c r="AX6" i="9" s="1"/>
  <c r="R5" i="9"/>
  <c r="AX5" i="9" s="1"/>
  <c r="Z6" i="9"/>
  <c r="K3" i="9"/>
  <c r="R4" i="9"/>
  <c r="AX4" i="9" s="1"/>
  <c r="AG6" i="29"/>
  <c r="R7" i="9"/>
  <c r="AX7" i="9" s="1"/>
  <c r="R10" i="9"/>
  <c r="AX10" i="9" s="1"/>
  <c r="AG4" i="29"/>
  <c r="AS5" i="29" s="1"/>
  <c r="R9" i="9"/>
  <c r="AX9" i="9" s="1"/>
  <c r="AF8" i="28"/>
  <c r="AF9" i="28"/>
  <c r="AG5" i="29"/>
  <c r="K5" i="9"/>
  <c r="AS4" i="29"/>
  <c r="AS3" i="29"/>
  <c r="AC7" i="9"/>
  <c r="M6" i="14"/>
  <c r="J11" i="31"/>
  <c r="AS15" i="29" l="1"/>
  <c r="AS18" i="29"/>
  <c r="AS17" i="29"/>
  <c r="AS16" i="29"/>
  <c r="S6" i="29"/>
  <c r="S7" i="29"/>
  <c r="T3" i="29"/>
  <c r="S5" i="29"/>
  <c r="AS13" i="29"/>
  <c r="AS14" i="29"/>
  <c r="S4" i="29"/>
  <c r="S3" i="29"/>
  <c r="AS11" i="29"/>
  <c r="AS12" i="29"/>
  <c r="AS6" i="29"/>
  <c r="AS10" i="29"/>
  <c r="AS7" i="29"/>
  <c r="AS9" i="29"/>
  <c r="AS8" i="29"/>
  <c r="AC9" i="9"/>
  <c r="Z7" i="9"/>
  <c r="Z8" i="9"/>
  <c r="AC8" i="9"/>
  <c r="M7" i="14"/>
  <c r="J12" i="31"/>
  <c r="Z10" i="9" l="1"/>
  <c r="Z9" i="9"/>
  <c r="M8" i="14"/>
  <c r="J13" i="31"/>
  <c r="Z11" i="9" l="1"/>
  <c r="AC10" i="9"/>
  <c r="M9" i="14"/>
  <c r="J14" i="31"/>
  <c r="D33" i="21"/>
  <c r="C33" i="21"/>
  <c r="D32" i="21"/>
  <c r="C32" i="21"/>
  <c r="AC12" i="9" l="1"/>
  <c r="AC11" i="9"/>
  <c r="M10" i="14"/>
  <c r="J15" i="31"/>
  <c r="D30" i="21"/>
  <c r="C30" i="21"/>
  <c r="D37" i="21"/>
  <c r="C37" i="21"/>
  <c r="C2" i="21"/>
  <c r="C21" i="21"/>
  <c r="C29" i="21"/>
  <c r="C31" i="21"/>
  <c r="C34" i="21"/>
  <c r="C36" i="21"/>
  <c r="C35" i="21"/>
  <c r="C42" i="21"/>
  <c r="T4" i="25"/>
  <c r="S4" i="25"/>
  <c r="B7" i="25"/>
  <c r="B6" i="25"/>
  <c r="S3" i="25"/>
  <c r="S2" i="25"/>
  <c r="S1" i="25"/>
  <c r="AC13" i="9" l="1"/>
  <c r="Z12" i="9"/>
  <c r="M11" i="14"/>
  <c r="J16" i="31"/>
  <c r="C43" i="21"/>
  <c r="C8" i="21"/>
  <c r="D8" i="21"/>
  <c r="D2" i="21"/>
  <c r="C3" i="21"/>
  <c r="C5" i="21"/>
  <c r="C6" i="21"/>
  <c r="C7" i="21"/>
  <c r="C10" i="21"/>
  <c r="C24" i="21"/>
  <c r="C25" i="21"/>
  <c r="C26" i="21"/>
  <c r="C38" i="21"/>
  <c r="C40" i="21"/>
  <c r="C27" i="21"/>
  <c r="C41" i="21"/>
  <c r="C28" i="21"/>
  <c r="D21" i="21"/>
  <c r="D29" i="21"/>
  <c r="D34" i="21"/>
  <c r="D36" i="21"/>
  <c r="D35" i="21"/>
  <c r="D27" i="21"/>
  <c r="D28" i="21"/>
  <c r="AC14" i="9" l="1"/>
  <c r="Z13" i="9"/>
  <c r="M12" i="14"/>
  <c r="D26" i="21"/>
  <c r="D39" i="21"/>
  <c r="E2" i="26"/>
  <c r="F2" i="26" s="1"/>
  <c r="E3" i="26"/>
  <c r="F3" i="26" s="1"/>
  <c r="E4" i="26"/>
  <c r="F4" i="26" s="1"/>
  <c r="D31" i="21"/>
  <c r="J17" i="31"/>
  <c r="D42" i="21"/>
  <c r="D43" i="21"/>
  <c r="D25" i="21"/>
  <c r="D41" i="21"/>
  <c r="D7" i="21"/>
  <c r="D10" i="21"/>
  <c r="D6" i="21"/>
  <c r="D40" i="21"/>
  <c r="D24" i="21"/>
  <c r="D3" i="21"/>
  <c r="D38" i="21"/>
  <c r="D5" i="21"/>
  <c r="AC15" i="9" l="1"/>
  <c r="Z14" i="9"/>
  <c r="E1" i="25"/>
  <c r="B8" i="25" s="1"/>
  <c r="M13" i="14"/>
  <c r="G2" i="26"/>
  <c r="H2" i="26" s="1"/>
  <c r="G4" i="26"/>
  <c r="H4" i="26" s="1"/>
  <c r="G3" i="26"/>
  <c r="H3" i="26" s="1"/>
  <c r="J18" i="31"/>
  <c r="Z16" i="9" l="1"/>
  <c r="Z15" i="9"/>
  <c r="M14" i="14"/>
  <c r="J19" i="31"/>
  <c r="AC17" i="9" l="1"/>
  <c r="AC16" i="9"/>
  <c r="M15" i="14"/>
  <c r="J20" i="31"/>
  <c r="Z17" i="9" l="1"/>
  <c r="M16" i="14"/>
  <c r="J21" i="31"/>
  <c r="Z18" i="9" l="1"/>
  <c r="AC18" i="9"/>
  <c r="M17" i="14"/>
  <c r="J22" i="31"/>
  <c r="M18" i="14" l="1"/>
  <c r="J23" i="31"/>
  <c r="M19" i="14" l="1"/>
  <c r="J24" i="31"/>
  <c r="M20" i="14" l="1"/>
  <c r="J25" i="31"/>
  <c r="M21" i="14" l="1"/>
  <c r="J26" i="31"/>
  <c r="A2" i="26"/>
  <c r="J27" i="31" l="1"/>
  <c r="A3" i="26"/>
  <c r="M22" i="14" l="1"/>
  <c r="J28" i="31"/>
  <c r="A4" i="26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J29" i="31" l="1"/>
  <c r="M23" i="14" l="1"/>
  <c r="J30" i="31"/>
  <c r="M24" i="14" l="1"/>
  <c r="J31" i="31"/>
  <c r="E2" i="31"/>
  <c r="K9" i="31" l="1"/>
  <c r="K14" i="31"/>
  <c r="K5" i="31"/>
  <c r="K8" i="31"/>
  <c r="K10" i="31"/>
  <c r="K7" i="31"/>
  <c r="K6" i="31"/>
  <c r="K13" i="31"/>
  <c r="K2" i="31"/>
  <c r="K4" i="31"/>
  <c r="K12" i="31"/>
  <c r="K3" i="31"/>
  <c r="K11" i="31"/>
  <c r="M25" i="14"/>
  <c r="J32" i="31"/>
  <c r="M26" i="14" l="1"/>
  <c r="H6" i="19"/>
  <c r="H5" i="19"/>
  <c r="M4" i="19"/>
  <c r="M6" i="19"/>
  <c r="M5" i="19"/>
  <c r="M3" i="19"/>
  <c r="M7" i="19"/>
  <c r="H3" i="19"/>
  <c r="H4" i="19"/>
  <c r="H7" i="19"/>
  <c r="J33" i="31"/>
  <c r="J34" i="31" l="1"/>
  <c r="J35" i="31" l="1"/>
  <c r="J36" i="31" l="1"/>
  <c r="J37" i="31" l="1"/>
  <c r="J38" i="31" l="1"/>
  <c r="J39" i="31" l="1"/>
  <c r="J40" i="31" l="1"/>
  <c r="J41" i="31" l="1"/>
  <c r="J42" i="31" l="1"/>
  <c r="J43" i="31" l="1"/>
  <c r="J44" i="31" l="1"/>
  <c r="J45" i="31" l="1"/>
  <c r="J46" i="31" l="1"/>
  <c r="J47" i="31" l="1"/>
  <c r="J48" i="31" l="1"/>
  <c r="J49" i="31" l="1"/>
  <c r="J50" i="31" l="1"/>
  <c r="J51" i="31" l="1"/>
  <c r="J52" i="31" l="1"/>
  <c r="J53" i="31" l="1"/>
  <c r="J54" i="31" l="1"/>
  <c r="J55" i="31" l="1"/>
  <c r="J56" i="31" l="1"/>
  <c r="J57" i="31" l="1"/>
  <c r="J58" i="31" l="1"/>
  <c r="J59" i="31" l="1"/>
  <c r="J60" i="31" l="1"/>
  <c r="J61" i="31" l="1"/>
  <c r="E5" i="31"/>
  <c r="K46" i="31" l="1"/>
  <c r="K48" i="31"/>
  <c r="K53" i="31"/>
  <c r="K23" i="31"/>
  <c r="K41" i="31"/>
  <c r="K24" i="31"/>
  <c r="K33" i="31"/>
  <c r="K16" i="31"/>
  <c r="K36" i="31"/>
  <c r="K56" i="31"/>
  <c r="K19" i="31"/>
  <c r="K57" i="31"/>
  <c r="K40" i="31"/>
  <c r="K29" i="31"/>
  <c r="K34" i="31"/>
  <c r="K15" i="31"/>
  <c r="K60" i="31"/>
  <c r="K44" i="31"/>
  <c r="K55" i="31"/>
  <c r="K49" i="31"/>
  <c r="K32" i="31"/>
  <c r="K21" i="31"/>
  <c r="K54" i="31"/>
  <c r="K52" i="31"/>
  <c r="K59" i="31"/>
  <c r="K50" i="31"/>
  <c r="K30" i="31"/>
  <c r="K51" i="31"/>
  <c r="K26" i="31"/>
  <c r="K45" i="31"/>
  <c r="K42" i="31"/>
  <c r="K43" i="31"/>
  <c r="K20" i="31"/>
  <c r="K22" i="31"/>
  <c r="K31" i="31"/>
  <c r="K25" i="31"/>
  <c r="K18" i="31"/>
  <c r="K47" i="31"/>
  <c r="K61" i="31"/>
  <c r="K28" i="31"/>
  <c r="K35" i="31"/>
  <c r="K17" i="31"/>
  <c r="K38" i="31"/>
  <c r="K39" i="31"/>
  <c r="K37" i="31"/>
  <c r="K58" i="31"/>
  <c r="K27" i="31"/>
  <c r="L2" i="31"/>
  <c r="M2" i="31" s="1"/>
  <c r="J62" i="31"/>
  <c r="K62" i="31" s="1"/>
  <c r="N2" i="31"/>
  <c r="L13" i="31" l="1"/>
  <c r="M13" i="31" s="1"/>
  <c r="L12" i="31"/>
  <c r="M12" i="31" s="1"/>
  <c r="L14" i="31"/>
  <c r="M14" i="31" s="1"/>
  <c r="L15" i="31"/>
  <c r="M15" i="31" s="1"/>
  <c r="L16" i="31"/>
  <c r="M16" i="31" s="1"/>
  <c r="L17" i="31"/>
  <c r="M17" i="31" s="1"/>
  <c r="L11" i="31"/>
  <c r="M11" i="31" s="1"/>
  <c r="L4" i="31"/>
  <c r="M4" i="31" s="1"/>
  <c r="L10" i="31"/>
  <c r="M10" i="31" s="1"/>
  <c r="L9" i="31"/>
  <c r="M9" i="31" s="1"/>
  <c r="L8" i="31"/>
  <c r="M8" i="31" s="1"/>
  <c r="L7" i="31"/>
  <c r="M7" i="31" s="1"/>
  <c r="L6" i="31"/>
  <c r="M6" i="31" s="1"/>
  <c r="L5" i="31"/>
  <c r="M5" i="31" s="1"/>
  <c r="L3" i="31"/>
  <c r="M3" i="31" s="1"/>
  <c r="O2" i="31"/>
  <c r="L61" i="31"/>
  <c r="M61" i="31" s="1"/>
  <c r="L34" i="31"/>
  <c r="M34" i="31" s="1"/>
  <c r="L51" i="31"/>
  <c r="M51" i="31" s="1"/>
  <c r="L43" i="31"/>
  <c r="M43" i="31" s="1"/>
  <c r="L35" i="31"/>
  <c r="M35" i="31" s="1"/>
  <c r="L27" i="31"/>
  <c r="M27" i="31" s="1"/>
  <c r="L19" i="31"/>
  <c r="M19" i="31" s="1"/>
  <c r="L52" i="31"/>
  <c r="M52" i="31" s="1"/>
  <c r="L44" i="31"/>
  <c r="M44" i="31" s="1"/>
  <c r="L36" i="31"/>
  <c r="M36" i="31" s="1"/>
  <c r="L28" i="31"/>
  <c r="M28" i="31" s="1"/>
  <c r="L20" i="31"/>
  <c r="M20" i="31" s="1"/>
  <c r="L60" i="31"/>
  <c r="M60" i="31" s="1"/>
  <c r="L50" i="31"/>
  <c r="M50" i="31" s="1"/>
  <c r="L18" i="31"/>
  <c r="M18" i="31" s="1"/>
  <c r="L53" i="31"/>
  <c r="M53" i="31" s="1"/>
  <c r="L29" i="31"/>
  <c r="M29" i="31" s="1"/>
  <c r="L46" i="31"/>
  <c r="M46" i="31" s="1"/>
  <c r="L22" i="31"/>
  <c r="M22" i="31" s="1"/>
  <c r="L55" i="31"/>
  <c r="M55" i="31" s="1"/>
  <c r="L47" i="31"/>
  <c r="M47" i="31" s="1"/>
  <c r="L39" i="31"/>
  <c r="M39" i="31" s="1"/>
  <c r="L31" i="31"/>
  <c r="M31" i="31" s="1"/>
  <c r="L23" i="31"/>
  <c r="M23" i="31" s="1"/>
  <c r="L58" i="31"/>
  <c r="M58" i="31" s="1"/>
  <c r="L26" i="31"/>
  <c r="M26" i="31" s="1"/>
  <c r="L45" i="31"/>
  <c r="M45" i="31" s="1"/>
  <c r="L21" i="31"/>
  <c r="M21" i="31" s="1"/>
  <c r="L30" i="31"/>
  <c r="M30" i="31" s="1"/>
  <c r="L56" i="31"/>
  <c r="M56" i="31" s="1"/>
  <c r="L48" i="31"/>
  <c r="M48" i="31" s="1"/>
  <c r="L40" i="31"/>
  <c r="M40" i="31" s="1"/>
  <c r="L32" i="31"/>
  <c r="M32" i="31" s="1"/>
  <c r="L24" i="31"/>
  <c r="M24" i="31" s="1"/>
  <c r="L42" i="31"/>
  <c r="M42" i="31" s="1"/>
  <c r="L59" i="31"/>
  <c r="M59" i="31" s="1"/>
  <c r="L37" i="31"/>
  <c r="M37" i="31" s="1"/>
  <c r="L54" i="31"/>
  <c r="M54" i="31" s="1"/>
  <c r="L38" i="31"/>
  <c r="M38" i="31" s="1"/>
  <c r="L57" i="31"/>
  <c r="M57" i="31" s="1"/>
  <c r="L49" i="31"/>
  <c r="M49" i="31" s="1"/>
  <c r="L41" i="31"/>
  <c r="M41" i="31" s="1"/>
  <c r="L33" i="31"/>
  <c r="M33" i="31" s="1"/>
  <c r="L25" i="31"/>
  <c r="M25" i="31" s="1"/>
  <c r="L62" i="31"/>
  <c r="J63" i="31"/>
  <c r="K63" i="31" s="1"/>
  <c r="P24" i="31"/>
  <c r="P60" i="31"/>
  <c r="N30" i="31"/>
  <c r="P58" i="31"/>
  <c r="N42" i="31"/>
  <c r="N28" i="31"/>
  <c r="P38" i="31"/>
  <c r="P7" i="31"/>
  <c r="P18" i="31"/>
  <c r="N46" i="31"/>
  <c r="N9" i="31"/>
  <c r="P5" i="31"/>
  <c r="N59" i="31"/>
  <c r="P54" i="31"/>
  <c r="P31" i="31"/>
  <c r="P22" i="31"/>
  <c r="P36" i="31"/>
  <c r="P35" i="31"/>
  <c r="N34" i="31"/>
  <c r="N17" i="31"/>
  <c r="P44" i="31"/>
  <c r="N56" i="31"/>
  <c r="P14" i="31"/>
  <c r="P25" i="31"/>
  <c r="P2" i="31"/>
  <c r="P51" i="31"/>
  <c r="P47" i="31"/>
  <c r="P20" i="31"/>
  <c r="P26" i="31"/>
  <c r="P11" i="31"/>
  <c r="P27" i="31"/>
  <c r="N45" i="31"/>
  <c r="N55" i="31"/>
  <c r="N37" i="31"/>
  <c r="P41" i="31"/>
  <c r="N3" i="31"/>
  <c r="P50" i="31"/>
  <c r="N32" i="31"/>
  <c r="N48" i="31"/>
  <c r="N16" i="31"/>
  <c r="P49" i="31"/>
  <c r="P19" i="31"/>
  <c r="P13" i="31"/>
  <c r="P6" i="31"/>
  <c r="P21" i="31"/>
  <c r="N39" i="31"/>
  <c r="N12" i="31"/>
  <c r="N61" i="31"/>
  <c r="P15" i="31"/>
  <c r="N29" i="31"/>
  <c r="P17" i="31"/>
  <c r="P43" i="31"/>
  <c r="P33" i="31"/>
  <c r="P10" i="31"/>
  <c r="P8" i="31"/>
  <c r="N52" i="31"/>
  <c r="N4" i="31"/>
  <c r="P40" i="31"/>
  <c r="N23" i="31"/>
  <c r="P53" i="31"/>
  <c r="P57" i="31"/>
  <c r="O7" i="27" l="1"/>
  <c r="O5" i="27"/>
  <c r="O3" i="27"/>
  <c r="O12" i="31"/>
  <c r="O16" i="31"/>
  <c r="O17" i="31"/>
  <c r="O9" i="31"/>
  <c r="O3" i="31"/>
  <c r="O4" i="31"/>
  <c r="O42" i="31"/>
  <c r="O55" i="31"/>
  <c r="O52" i="31"/>
  <c r="O34" i="31"/>
  <c r="O56" i="31"/>
  <c r="O48" i="31"/>
  <c r="O45" i="31"/>
  <c r="O23" i="31"/>
  <c r="O32" i="31"/>
  <c r="O37" i="31"/>
  <c r="O39" i="31"/>
  <c r="O59" i="31"/>
  <c r="O29" i="31"/>
  <c r="O30" i="31"/>
  <c r="O46" i="31"/>
  <c r="O28" i="31"/>
  <c r="O61" i="31"/>
  <c r="M62" i="31"/>
  <c r="L63" i="31"/>
  <c r="J64" i="31"/>
  <c r="K64" i="31" s="1"/>
  <c r="N41" i="31"/>
  <c r="N20" i="31"/>
  <c r="N58" i="31"/>
  <c r="N27" i="31"/>
  <c r="N50" i="31"/>
  <c r="N7" i="31"/>
  <c r="N33" i="31"/>
  <c r="N31" i="31"/>
  <c r="P4" i="31"/>
  <c r="N25" i="31"/>
  <c r="P16" i="31"/>
  <c r="N35" i="31"/>
  <c r="N60" i="31"/>
  <c r="N22" i="31"/>
  <c r="N36" i="31"/>
  <c r="P61" i="31"/>
  <c r="P12" i="31"/>
  <c r="P3" i="31"/>
  <c r="N14" i="31"/>
  <c r="P46" i="31"/>
  <c r="N18" i="31"/>
  <c r="N21" i="31"/>
  <c r="P28" i="31"/>
  <c r="N19" i="31"/>
  <c r="N57" i="31"/>
  <c r="N54" i="31"/>
  <c r="N40" i="31"/>
  <c r="N6" i="31"/>
  <c r="P56" i="31"/>
  <c r="P30" i="31"/>
  <c r="P48" i="31"/>
  <c r="N43" i="31"/>
  <c r="N38" i="31"/>
  <c r="P37" i="31"/>
  <c r="P45" i="31"/>
  <c r="P32" i="31"/>
  <c r="P52" i="31"/>
  <c r="N15" i="31"/>
  <c r="N49" i="31"/>
  <c r="N47" i="31"/>
  <c r="N26" i="31"/>
  <c r="P59" i="31"/>
  <c r="P9" i="31"/>
  <c r="N10" i="31"/>
  <c r="N5" i="31"/>
  <c r="N51" i="31"/>
  <c r="N24" i="31"/>
  <c r="P29" i="31"/>
  <c r="P34" i="31"/>
  <c r="N44" i="31"/>
  <c r="N53" i="31"/>
  <c r="N62" i="31"/>
  <c r="P23" i="31"/>
  <c r="N8" i="31"/>
  <c r="P39" i="31"/>
  <c r="N11" i="31"/>
  <c r="P42" i="31"/>
  <c r="N13" i="31"/>
  <c r="P55" i="31"/>
  <c r="O11" i="31" l="1"/>
  <c r="O8" i="27"/>
  <c r="O5" i="31"/>
  <c r="P17" i="27" s="1"/>
  <c r="O6" i="31"/>
  <c r="O12" i="27"/>
  <c r="O9" i="27"/>
  <c r="O15" i="31"/>
  <c r="O13" i="31"/>
  <c r="O10" i="31"/>
  <c r="O14" i="31"/>
  <c r="O7" i="31"/>
  <c r="O8" i="31"/>
  <c r="O21" i="31"/>
  <c r="O26" i="31"/>
  <c r="O60" i="31"/>
  <c r="O35" i="31"/>
  <c r="O19" i="31"/>
  <c r="O18" i="31"/>
  <c r="O27" i="31"/>
  <c r="O31" i="31"/>
  <c r="O50" i="31"/>
  <c r="O25" i="31"/>
  <c r="O54" i="31"/>
  <c r="O53" i="31"/>
  <c r="O51" i="31"/>
  <c r="O49" i="31"/>
  <c r="O22" i="31"/>
  <c r="O24" i="31"/>
  <c r="O40" i="31"/>
  <c r="O36" i="31"/>
  <c r="O47" i="31"/>
  <c r="O58" i="31"/>
  <c r="O38" i="31"/>
  <c r="O57" i="31"/>
  <c r="O41" i="31"/>
  <c r="O44" i="31"/>
  <c r="O33" i="31"/>
  <c r="O43" i="31"/>
  <c r="O20" i="31"/>
  <c r="O62" i="31"/>
  <c r="M63" i="31"/>
  <c r="L64" i="31"/>
  <c r="J65" i="31"/>
  <c r="K65" i="31" s="1"/>
  <c r="P62" i="31"/>
  <c r="N63" i="31"/>
  <c r="P19" i="27" l="1"/>
  <c r="O16" i="27"/>
  <c r="O21" i="27"/>
  <c r="P33" i="27"/>
  <c r="P32" i="27"/>
  <c r="P31" i="27"/>
  <c r="P30" i="27"/>
  <c r="O30" i="27"/>
  <c r="P29" i="27"/>
  <c r="O29" i="27"/>
  <c r="O28" i="27"/>
  <c r="O27" i="27"/>
  <c r="O26" i="27"/>
  <c r="P26" i="27"/>
  <c r="O25" i="27"/>
  <c r="O23" i="27"/>
  <c r="O24" i="27"/>
  <c r="O22" i="27"/>
  <c r="P21" i="27"/>
  <c r="O20" i="27"/>
  <c r="O19" i="27"/>
  <c r="O18" i="27"/>
  <c r="O17" i="27"/>
  <c r="O15" i="27"/>
  <c r="P14" i="27"/>
  <c r="O14" i="27"/>
  <c r="O13" i="27"/>
  <c r="P12" i="27"/>
  <c r="O11" i="27"/>
  <c r="O63" i="31"/>
  <c r="M64" i="31"/>
  <c r="L65" i="31"/>
  <c r="J66" i="31"/>
  <c r="K66" i="31" s="1"/>
  <c r="P63" i="31"/>
  <c r="P64" i="31"/>
  <c r="P18" i="27" l="1"/>
  <c r="M65" i="31"/>
  <c r="L66" i="31"/>
  <c r="J67" i="31"/>
  <c r="K67" i="31" s="1"/>
  <c r="N64" i="31"/>
  <c r="N65" i="31"/>
  <c r="O64" i="31" l="1"/>
  <c r="O33" i="27" s="1"/>
  <c r="O65" i="31"/>
  <c r="M66" i="31"/>
  <c r="L67" i="31"/>
  <c r="J68" i="31"/>
  <c r="K68" i="31" s="1"/>
  <c r="P65" i="31"/>
  <c r="N66" i="31"/>
  <c r="O32" i="27" l="1"/>
  <c r="O31" i="27"/>
  <c r="O66" i="31"/>
  <c r="M67" i="31"/>
  <c r="L68" i="31"/>
  <c r="J69" i="31"/>
  <c r="K69" i="31" s="1"/>
  <c r="P66" i="31"/>
  <c r="N67" i="31"/>
  <c r="O67" i="31" l="1"/>
  <c r="M68" i="31"/>
  <c r="L69" i="31"/>
  <c r="J70" i="31"/>
  <c r="K70" i="31" s="1"/>
  <c r="P67" i="31"/>
  <c r="N68" i="31"/>
  <c r="O68" i="31" l="1"/>
  <c r="M69" i="31"/>
  <c r="L70" i="31"/>
  <c r="J71" i="31"/>
  <c r="K71" i="31" s="1"/>
  <c r="P68" i="31"/>
  <c r="N69" i="31"/>
  <c r="O69" i="31" l="1"/>
  <c r="M70" i="31"/>
  <c r="L71" i="31"/>
  <c r="J72" i="31"/>
  <c r="K72" i="31" s="1"/>
  <c r="P69" i="31"/>
  <c r="N70" i="31"/>
  <c r="O70" i="31" l="1"/>
  <c r="M71" i="31"/>
  <c r="L72" i="31"/>
  <c r="J73" i="31"/>
  <c r="K73" i="31" s="1"/>
  <c r="P70" i="31"/>
  <c r="N71" i="31"/>
  <c r="O71" i="31" l="1"/>
  <c r="M72" i="31"/>
  <c r="L73" i="31"/>
  <c r="J74" i="31"/>
  <c r="K74" i="31" s="1"/>
  <c r="P71" i="31"/>
  <c r="N72" i="31"/>
  <c r="O72" i="31" l="1"/>
  <c r="M73" i="31"/>
  <c r="L74" i="31"/>
  <c r="J75" i="31"/>
  <c r="K75" i="31" s="1"/>
  <c r="P72" i="31"/>
  <c r="N73" i="31"/>
  <c r="O73" i="31" l="1"/>
  <c r="M74" i="31"/>
  <c r="L75" i="31"/>
  <c r="J76" i="31"/>
  <c r="K76" i="31" s="1"/>
  <c r="P73" i="31"/>
  <c r="N74" i="31"/>
  <c r="O74" i="31" l="1"/>
  <c r="M75" i="31"/>
  <c r="L76" i="31"/>
  <c r="J77" i="31"/>
  <c r="K77" i="31" s="1"/>
  <c r="P74" i="31"/>
  <c r="N75" i="31"/>
  <c r="O75" i="31" l="1"/>
  <c r="M76" i="31"/>
  <c r="L77" i="31"/>
  <c r="J78" i="31"/>
  <c r="K78" i="31" s="1"/>
  <c r="P75" i="31"/>
  <c r="N76" i="31"/>
  <c r="O76" i="31" l="1"/>
  <c r="M77" i="31"/>
  <c r="L78" i="31"/>
  <c r="J79" i="31"/>
  <c r="K79" i="31" s="1"/>
  <c r="N77" i="31"/>
  <c r="P76" i="31"/>
  <c r="O77" i="31" l="1"/>
  <c r="M78" i="31"/>
  <c r="L79" i="31"/>
  <c r="J80" i="31"/>
  <c r="K80" i="31" s="1"/>
  <c r="N78" i="31"/>
  <c r="P77" i="31"/>
  <c r="O78" i="31" l="1"/>
  <c r="M79" i="31"/>
  <c r="L80" i="31"/>
  <c r="J81" i="31"/>
  <c r="K81" i="31" s="1"/>
  <c r="N79" i="31"/>
  <c r="P78" i="31"/>
  <c r="O79" i="31" l="1"/>
  <c r="M80" i="31"/>
  <c r="L81" i="31"/>
  <c r="J82" i="31"/>
  <c r="K82" i="31" s="1"/>
  <c r="N80" i="31"/>
  <c r="P79" i="31"/>
  <c r="O80" i="31" l="1"/>
  <c r="M81" i="31"/>
  <c r="L82" i="31"/>
  <c r="J83" i="31"/>
  <c r="K83" i="31" s="1"/>
  <c r="P80" i="31"/>
  <c r="N81" i="31"/>
  <c r="O81" i="31" l="1"/>
  <c r="M82" i="31"/>
  <c r="L83" i="31"/>
  <c r="J84" i="31"/>
  <c r="K84" i="31" s="1"/>
  <c r="N82" i="31"/>
  <c r="P81" i="31"/>
  <c r="O82" i="31" l="1"/>
  <c r="M83" i="31"/>
  <c r="L84" i="31"/>
  <c r="J85" i="31"/>
  <c r="K85" i="31" s="1"/>
  <c r="N83" i="31"/>
  <c r="P82" i="31"/>
  <c r="O83" i="31" l="1"/>
  <c r="M84" i="31"/>
  <c r="L85" i="31"/>
  <c r="J86" i="31"/>
  <c r="K86" i="31" s="1"/>
  <c r="N84" i="31"/>
  <c r="P83" i="31"/>
  <c r="O84" i="31" l="1"/>
  <c r="M85" i="31"/>
  <c r="L86" i="31"/>
  <c r="J87" i="31"/>
  <c r="K87" i="31" s="1"/>
  <c r="N85" i="31"/>
  <c r="P84" i="31"/>
  <c r="O85" i="31" l="1"/>
  <c r="M86" i="31"/>
  <c r="L87" i="31"/>
  <c r="J88" i="31"/>
  <c r="K88" i="31" s="1"/>
  <c r="P85" i="31"/>
  <c r="N86" i="31"/>
  <c r="O86" i="31" l="1"/>
  <c r="M87" i="31"/>
  <c r="L88" i="31"/>
  <c r="J89" i="31"/>
  <c r="K89" i="31" s="1"/>
  <c r="N87" i="31"/>
  <c r="P86" i="31"/>
  <c r="O87" i="31" l="1"/>
  <c r="M88" i="31"/>
  <c r="L89" i="31"/>
  <c r="J90" i="31"/>
  <c r="K90" i="31" s="1"/>
  <c r="N88" i="31"/>
  <c r="P87" i="31"/>
  <c r="O88" i="31" l="1"/>
  <c r="M89" i="31"/>
  <c r="L90" i="31"/>
  <c r="J91" i="31"/>
  <c r="K91" i="31" s="1"/>
  <c r="N89" i="31"/>
  <c r="P88" i="31"/>
  <c r="O89" i="31" l="1"/>
  <c r="M90" i="31"/>
  <c r="L91" i="31"/>
  <c r="J92" i="31"/>
  <c r="K92" i="31" s="1"/>
  <c r="P89" i="31"/>
  <c r="N90" i="31"/>
  <c r="O90" i="31" l="1"/>
  <c r="M91" i="31"/>
  <c r="L92" i="31"/>
  <c r="J93" i="31"/>
  <c r="K93" i="31" s="1"/>
  <c r="N91" i="31"/>
  <c r="P90" i="31"/>
  <c r="O91" i="31" l="1"/>
  <c r="M92" i="31"/>
  <c r="L93" i="31"/>
  <c r="J94" i="31"/>
  <c r="K94" i="31" s="1"/>
  <c r="N92" i="31"/>
  <c r="P91" i="31"/>
  <c r="O92" i="31" l="1"/>
  <c r="M93" i="31"/>
  <c r="L94" i="31"/>
  <c r="J95" i="31"/>
  <c r="K95" i="31" s="1"/>
  <c r="N93" i="31"/>
  <c r="P92" i="31"/>
  <c r="O93" i="31" l="1"/>
  <c r="M94" i="31"/>
  <c r="L95" i="31"/>
  <c r="J96" i="31"/>
  <c r="K96" i="31" s="1"/>
  <c r="N94" i="31"/>
  <c r="P93" i="31"/>
  <c r="O94" i="31" l="1"/>
  <c r="M95" i="31"/>
  <c r="L96" i="31"/>
  <c r="J97" i="31"/>
  <c r="K97" i="31" s="1"/>
  <c r="N95" i="31"/>
  <c r="P94" i="31"/>
  <c r="O95" i="31" l="1"/>
  <c r="M96" i="31"/>
  <c r="L97" i="31"/>
  <c r="J98" i="31"/>
  <c r="K98" i="31" s="1"/>
  <c r="N96" i="31"/>
  <c r="P95" i="31"/>
  <c r="O96" i="31" l="1"/>
  <c r="M97" i="31"/>
  <c r="L98" i="31"/>
  <c r="J99" i="31"/>
  <c r="K99" i="31" s="1"/>
  <c r="N97" i="31"/>
  <c r="P96" i="31"/>
  <c r="O97" i="31" l="1"/>
  <c r="M98" i="31"/>
  <c r="L99" i="31"/>
  <c r="J100" i="31"/>
  <c r="K100" i="31" s="1"/>
  <c r="N98" i="31"/>
  <c r="P97" i="31"/>
  <c r="O98" i="31" l="1"/>
  <c r="M99" i="31"/>
  <c r="L100" i="31"/>
  <c r="J101" i="31"/>
  <c r="K101" i="31" s="1"/>
  <c r="N99" i="31"/>
  <c r="P98" i="31"/>
  <c r="O99" i="31" l="1"/>
  <c r="M100" i="31"/>
  <c r="L101" i="31"/>
  <c r="J102" i="31"/>
  <c r="K102" i="31" s="1"/>
  <c r="N100" i="31"/>
  <c r="P99" i="31"/>
  <c r="O100" i="31" l="1"/>
  <c r="M101" i="31"/>
  <c r="L102" i="31"/>
  <c r="J103" i="31"/>
  <c r="K103" i="31" s="1"/>
  <c r="N101" i="31"/>
  <c r="P100" i="31"/>
  <c r="O101" i="31" l="1"/>
  <c r="M102" i="31"/>
  <c r="L103" i="31"/>
  <c r="J104" i="31"/>
  <c r="K104" i="31" s="1"/>
  <c r="N102" i="31"/>
  <c r="P101" i="31"/>
  <c r="O102" i="31" l="1"/>
  <c r="M103" i="31"/>
  <c r="L104" i="31"/>
  <c r="J105" i="31"/>
  <c r="K105" i="31" s="1"/>
  <c r="N103" i="31"/>
  <c r="P102" i="31"/>
  <c r="O103" i="31" l="1"/>
  <c r="M104" i="31"/>
  <c r="L105" i="31"/>
  <c r="J106" i="31"/>
  <c r="K106" i="31" s="1"/>
  <c r="N104" i="31"/>
  <c r="P103" i="31"/>
  <c r="O104" i="31" l="1"/>
  <c r="M105" i="31"/>
  <c r="L106" i="31"/>
  <c r="J107" i="31"/>
  <c r="K107" i="31" s="1"/>
  <c r="N105" i="31"/>
  <c r="P104" i="31"/>
  <c r="O105" i="31" l="1"/>
  <c r="M106" i="31"/>
  <c r="L107" i="31"/>
  <c r="J108" i="31"/>
  <c r="K108" i="31" s="1"/>
  <c r="N106" i="31"/>
  <c r="P105" i="31"/>
  <c r="O106" i="31" l="1"/>
  <c r="M107" i="31"/>
  <c r="L108" i="31"/>
  <c r="J109" i="31"/>
  <c r="K109" i="31" s="1"/>
  <c r="P106" i="31"/>
  <c r="N107" i="31"/>
  <c r="O107" i="31" l="1"/>
  <c r="M108" i="31"/>
  <c r="L109" i="31"/>
  <c r="J110" i="31"/>
  <c r="K110" i="31" s="1"/>
  <c r="P107" i="31"/>
  <c r="N108" i="31"/>
  <c r="O108" i="31" l="1"/>
  <c r="M109" i="31"/>
  <c r="L110" i="31"/>
  <c r="J111" i="31"/>
  <c r="K111" i="31" s="1"/>
  <c r="P108" i="31"/>
  <c r="N109" i="31"/>
  <c r="O109" i="31" l="1"/>
  <c r="M110" i="31"/>
  <c r="L111" i="31"/>
  <c r="J112" i="31"/>
  <c r="K112" i="31" s="1"/>
  <c r="P109" i="31"/>
  <c r="N110" i="31"/>
  <c r="O110" i="31" l="1"/>
  <c r="M111" i="31"/>
  <c r="L112" i="31"/>
  <c r="J113" i="31"/>
  <c r="K113" i="31" s="1"/>
  <c r="P110" i="31"/>
  <c r="N111" i="31"/>
  <c r="O111" i="31" l="1"/>
  <c r="M112" i="31"/>
  <c r="L113" i="31"/>
  <c r="J114" i="31"/>
  <c r="K114" i="31" s="1"/>
  <c r="P111" i="31"/>
  <c r="N112" i="31"/>
  <c r="O112" i="31" l="1"/>
  <c r="M113" i="31"/>
  <c r="L114" i="31"/>
  <c r="J115" i="31"/>
  <c r="K115" i="31" s="1"/>
  <c r="P112" i="31"/>
  <c r="N113" i="31"/>
  <c r="O113" i="31" l="1"/>
  <c r="M114" i="31"/>
  <c r="L115" i="31"/>
  <c r="J116" i="31"/>
  <c r="K116" i="31" s="1"/>
  <c r="N114" i="31"/>
  <c r="P113" i="31"/>
  <c r="O114" i="31" l="1"/>
  <c r="M115" i="31"/>
  <c r="L116" i="31"/>
  <c r="J117" i="31"/>
  <c r="K117" i="31" s="1"/>
  <c r="P114" i="31"/>
  <c r="N115" i="31"/>
  <c r="O115" i="31" l="1"/>
  <c r="M116" i="31"/>
  <c r="L117" i="31"/>
  <c r="J118" i="31"/>
  <c r="K118" i="31" s="1"/>
  <c r="P115" i="31"/>
  <c r="N116" i="31"/>
  <c r="O116" i="31" l="1"/>
  <c r="M117" i="31"/>
  <c r="L118" i="31"/>
  <c r="J119" i="31"/>
  <c r="K119" i="31" s="1"/>
  <c r="P116" i="31"/>
  <c r="N117" i="31"/>
  <c r="O117" i="31" l="1"/>
  <c r="M118" i="31"/>
  <c r="L119" i="31"/>
  <c r="J120" i="31"/>
  <c r="K120" i="31" s="1"/>
  <c r="P117" i="31"/>
  <c r="N118" i="31"/>
  <c r="O118" i="31" l="1"/>
  <c r="M119" i="31"/>
  <c r="L120" i="31"/>
  <c r="J121" i="31"/>
  <c r="K121" i="31" s="1"/>
  <c r="P118" i="31"/>
  <c r="N119" i="31"/>
  <c r="O119" i="31" l="1"/>
  <c r="M120" i="31"/>
  <c r="L121" i="31"/>
  <c r="J122" i="31"/>
  <c r="K122" i="31" s="1"/>
  <c r="N120" i="31"/>
  <c r="P119" i="31"/>
  <c r="O120" i="31" l="1"/>
  <c r="M121" i="31"/>
  <c r="L122" i="31"/>
  <c r="J123" i="31"/>
  <c r="K123" i="31" s="1"/>
  <c r="P120" i="31"/>
  <c r="N121" i="31"/>
  <c r="O121" i="31" l="1"/>
  <c r="M122" i="31"/>
  <c r="L123" i="31"/>
  <c r="J124" i="31"/>
  <c r="K124" i="31" s="1"/>
  <c r="P121" i="31"/>
  <c r="N122" i="31"/>
  <c r="O122" i="31" l="1"/>
  <c r="M123" i="31"/>
  <c r="L124" i="31"/>
  <c r="J125" i="31"/>
  <c r="K125" i="31" s="1"/>
  <c r="P122" i="31"/>
  <c r="N123" i="31"/>
  <c r="O123" i="31" l="1"/>
  <c r="M124" i="31"/>
  <c r="L125" i="31"/>
  <c r="J126" i="31"/>
  <c r="K126" i="31" s="1"/>
  <c r="P123" i="31"/>
  <c r="N124" i="31"/>
  <c r="O124" i="31" l="1"/>
  <c r="M125" i="31"/>
  <c r="L126" i="31"/>
  <c r="J127" i="31"/>
  <c r="K127" i="31" s="1"/>
  <c r="P124" i="31"/>
  <c r="N125" i="31"/>
  <c r="O125" i="31" l="1"/>
  <c r="M126" i="31"/>
  <c r="L127" i="31"/>
  <c r="J128" i="31"/>
  <c r="K128" i="31" s="1"/>
  <c r="P125" i="31"/>
  <c r="N126" i="31"/>
  <c r="O126" i="31" l="1"/>
  <c r="M127" i="31"/>
  <c r="L128" i="31"/>
  <c r="J129" i="31"/>
  <c r="K129" i="31" s="1"/>
  <c r="P126" i="31"/>
  <c r="N127" i="31"/>
  <c r="O127" i="31" l="1"/>
  <c r="M128" i="31"/>
  <c r="L129" i="31"/>
  <c r="J130" i="31"/>
  <c r="K130" i="31" s="1"/>
  <c r="P127" i="31"/>
  <c r="N128" i="31"/>
  <c r="O128" i="31" l="1"/>
  <c r="M129" i="31"/>
  <c r="L130" i="31"/>
  <c r="J131" i="31"/>
  <c r="K131" i="31" s="1"/>
  <c r="N129" i="31"/>
  <c r="P128" i="31"/>
  <c r="O129" i="31" l="1"/>
  <c r="M130" i="31"/>
  <c r="L131" i="31"/>
  <c r="J132" i="31"/>
  <c r="K132" i="31" s="1"/>
  <c r="P129" i="31"/>
  <c r="N130" i="31"/>
  <c r="O130" i="31" l="1"/>
  <c r="M131" i="31"/>
  <c r="L132" i="31"/>
  <c r="J133" i="31"/>
  <c r="K133" i="31" s="1"/>
  <c r="P130" i="31"/>
  <c r="N131" i="31"/>
  <c r="O131" i="31" l="1"/>
  <c r="M132" i="31"/>
  <c r="L133" i="31"/>
  <c r="J134" i="31"/>
  <c r="K134" i="31" s="1"/>
  <c r="P131" i="31"/>
  <c r="N132" i="31"/>
  <c r="O132" i="31" l="1"/>
  <c r="M133" i="31"/>
  <c r="L134" i="31"/>
  <c r="J135" i="31"/>
  <c r="K135" i="31" s="1"/>
  <c r="P132" i="31"/>
  <c r="N133" i="31"/>
  <c r="O133" i="31" l="1"/>
  <c r="M134" i="31"/>
  <c r="L135" i="31"/>
  <c r="J136" i="31"/>
  <c r="K136" i="31" s="1"/>
  <c r="P133" i="31"/>
  <c r="N134" i="31"/>
  <c r="O134" i="31" l="1"/>
  <c r="M135" i="31"/>
  <c r="L136" i="31"/>
  <c r="J137" i="31"/>
  <c r="K137" i="31" s="1"/>
  <c r="N135" i="31"/>
  <c r="P134" i="31"/>
  <c r="O135" i="31" l="1"/>
  <c r="M136" i="31"/>
  <c r="L137" i="31"/>
  <c r="J138" i="31"/>
  <c r="K138" i="31" s="1"/>
  <c r="P135" i="31"/>
  <c r="N136" i="31"/>
  <c r="O136" i="31" l="1"/>
  <c r="M137" i="31"/>
  <c r="L138" i="31"/>
  <c r="J139" i="31"/>
  <c r="K139" i="31" s="1"/>
  <c r="P136" i="31"/>
  <c r="N137" i="31"/>
  <c r="O137" i="31" l="1"/>
  <c r="M138" i="31"/>
  <c r="L139" i="31"/>
  <c r="J140" i="31"/>
  <c r="K140" i="31" s="1"/>
  <c r="P137" i="31"/>
  <c r="N138" i="31"/>
  <c r="O138" i="31" l="1"/>
  <c r="M139" i="31"/>
  <c r="L140" i="31"/>
  <c r="J141" i="31"/>
  <c r="K141" i="31" s="1"/>
  <c r="N139" i="31"/>
  <c r="P138" i="31"/>
  <c r="O139" i="31" l="1"/>
  <c r="M140" i="31"/>
  <c r="L141" i="31"/>
  <c r="J142" i="31"/>
  <c r="K142" i="31" s="1"/>
  <c r="P139" i="31"/>
  <c r="N140" i="31"/>
  <c r="O140" i="31" l="1"/>
  <c r="M141" i="31"/>
  <c r="L142" i="31"/>
  <c r="J143" i="31"/>
  <c r="K143" i="31" s="1"/>
  <c r="P140" i="31"/>
  <c r="N141" i="31"/>
  <c r="O141" i="31" l="1"/>
  <c r="M142" i="31"/>
  <c r="L143" i="31"/>
  <c r="J144" i="31"/>
  <c r="K144" i="31" s="1"/>
  <c r="P141" i="31"/>
  <c r="N142" i="31"/>
  <c r="O142" i="31" l="1"/>
  <c r="M143" i="31"/>
  <c r="L144" i="31"/>
  <c r="J145" i="31"/>
  <c r="K145" i="31" s="1"/>
  <c r="N143" i="31"/>
  <c r="P142" i="31"/>
  <c r="O143" i="31" l="1"/>
  <c r="M144" i="31"/>
  <c r="L145" i="31"/>
  <c r="J146" i="31"/>
  <c r="K146" i="31" s="1"/>
  <c r="P143" i="31"/>
  <c r="N144" i="31"/>
  <c r="O144" i="31" l="1"/>
  <c r="M145" i="31"/>
  <c r="L146" i="31"/>
  <c r="J147" i="31"/>
  <c r="K147" i="31" s="1"/>
  <c r="P144" i="31"/>
  <c r="N145" i="31"/>
  <c r="O145" i="31" l="1"/>
  <c r="M146" i="31"/>
  <c r="L147" i="31"/>
  <c r="J148" i="31"/>
  <c r="K148" i="31" s="1"/>
  <c r="N146" i="31"/>
  <c r="P145" i="31"/>
  <c r="O146" i="31" l="1"/>
  <c r="M147" i="31"/>
  <c r="L148" i="31"/>
  <c r="J149" i="31"/>
  <c r="K149" i="31" s="1"/>
  <c r="P147" i="31"/>
  <c r="P146" i="31"/>
  <c r="M148" i="31" l="1"/>
  <c r="L149" i="31"/>
  <c r="J150" i="31"/>
  <c r="K150" i="31" s="1"/>
  <c r="N148" i="31"/>
  <c r="N147" i="31"/>
  <c r="O147" i="31" l="1"/>
  <c r="O148" i="31"/>
  <c r="M149" i="31"/>
  <c r="L150" i="31"/>
  <c r="J151" i="31"/>
  <c r="K151" i="31" s="1"/>
  <c r="P148" i="31"/>
  <c r="N149" i="31"/>
  <c r="O149" i="31" l="1"/>
  <c r="M150" i="31"/>
  <c r="L151" i="31"/>
  <c r="J152" i="31"/>
  <c r="K152" i="31" s="1"/>
  <c r="P149" i="31"/>
  <c r="N150" i="31"/>
  <c r="O150" i="31" l="1"/>
  <c r="M151" i="31"/>
  <c r="L152" i="31"/>
  <c r="J153" i="31"/>
  <c r="K153" i="31" s="1"/>
  <c r="N151" i="31"/>
  <c r="P150" i="31"/>
  <c r="O151" i="31" l="1"/>
  <c r="M152" i="31"/>
  <c r="L153" i="31"/>
  <c r="J154" i="31"/>
  <c r="K154" i="31" s="1"/>
  <c r="P151" i="31"/>
  <c r="N152" i="31"/>
  <c r="O152" i="31" l="1"/>
  <c r="M153" i="31"/>
  <c r="L154" i="31"/>
  <c r="J155" i="31"/>
  <c r="K155" i="31" s="1"/>
  <c r="P152" i="31"/>
  <c r="N153" i="31"/>
  <c r="O153" i="31" l="1"/>
  <c r="M154" i="31"/>
  <c r="L155" i="31"/>
  <c r="J156" i="31"/>
  <c r="K156" i="31" s="1"/>
  <c r="P153" i="31"/>
  <c r="N154" i="31"/>
  <c r="O154" i="31" l="1"/>
  <c r="M155" i="31"/>
  <c r="L156" i="31"/>
  <c r="J157" i="31"/>
  <c r="K157" i="31" s="1"/>
  <c r="P154" i="31"/>
  <c r="N155" i="31"/>
  <c r="O155" i="31" l="1"/>
  <c r="M156" i="31"/>
  <c r="L157" i="31"/>
  <c r="J158" i="31"/>
  <c r="K158" i="31" s="1"/>
  <c r="P155" i="31"/>
  <c r="N156" i="31"/>
  <c r="O156" i="31" l="1"/>
  <c r="M157" i="31"/>
  <c r="L158" i="31"/>
  <c r="J159" i="31"/>
  <c r="K159" i="31" s="1"/>
  <c r="P156" i="31"/>
  <c r="N157" i="31"/>
  <c r="O157" i="31" l="1"/>
  <c r="M158" i="31"/>
  <c r="L159" i="31"/>
  <c r="J160" i="31"/>
  <c r="K160" i="31" s="1"/>
  <c r="P157" i="31"/>
  <c r="N158" i="31"/>
  <c r="O158" i="31" l="1"/>
  <c r="M159" i="31"/>
  <c r="L160" i="31"/>
  <c r="J161" i="31"/>
  <c r="K161" i="31" s="1"/>
  <c r="P158" i="31"/>
  <c r="N159" i="31"/>
  <c r="O159" i="31" l="1"/>
  <c r="M160" i="31"/>
  <c r="L161" i="31"/>
  <c r="J162" i="31"/>
  <c r="K162" i="31" s="1"/>
  <c r="P159" i="31"/>
  <c r="N160" i="31"/>
  <c r="O160" i="31" l="1"/>
  <c r="M161" i="31"/>
  <c r="L162" i="31"/>
  <c r="J163" i="31"/>
  <c r="K163" i="31" s="1"/>
  <c r="P160" i="31"/>
  <c r="N161" i="31"/>
  <c r="O161" i="31" l="1"/>
  <c r="M162" i="31"/>
  <c r="L163" i="31"/>
  <c r="J164" i="31"/>
  <c r="K164" i="31" s="1"/>
  <c r="P161" i="31"/>
  <c r="N162" i="31"/>
  <c r="O162" i="31" l="1"/>
  <c r="M163" i="31"/>
  <c r="L164" i="31"/>
  <c r="J165" i="31"/>
  <c r="K165" i="31" s="1"/>
  <c r="N163" i="31"/>
  <c r="P162" i="31"/>
  <c r="O163" i="31" l="1"/>
  <c r="M164" i="31"/>
  <c r="L165" i="31"/>
  <c r="J166" i="31"/>
  <c r="K166" i="31" s="1"/>
  <c r="P163" i="31"/>
  <c r="N164" i="31"/>
  <c r="O164" i="31" l="1"/>
  <c r="M165" i="31"/>
  <c r="L166" i="31"/>
  <c r="J167" i="31"/>
  <c r="K167" i="31" s="1"/>
  <c r="P164" i="31"/>
  <c r="N165" i="31"/>
  <c r="O165" i="31" l="1"/>
  <c r="M166" i="31"/>
  <c r="L167" i="31"/>
  <c r="J168" i="31"/>
  <c r="K168" i="31" s="1"/>
  <c r="N166" i="31"/>
  <c r="P165" i="31"/>
  <c r="O166" i="31" l="1"/>
  <c r="M167" i="31"/>
  <c r="L168" i="31"/>
  <c r="J169" i="31"/>
  <c r="K169" i="31" s="1"/>
  <c r="P166" i="31"/>
  <c r="N167" i="31"/>
  <c r="O167" i="31" l="1"/>
  <c r="M168" i="31"/>
  <c r="L169" i="31"/>
  <c r="J170" i="31"/>
  <c r="K170" i="31" s="1"/>
  <c r="P167" i="31"/>
  <c r="N168" i="31"/>
  <c r="O168" i="31" l="1"/>
  <c r="M169" i="31"/>
  <c r="L170" i="31"/>
  <c r="J171" i="31"/>
  <c r="K171" i="31" s="1"/>
  <c r="P168" i="31"/>
  <c r="N169" i="31"/>
  <c r="O169" i="31" l="1"/>
  <c r="M170" i="31"/>
  <c r="L171" i="31"/>
  <c r="J172" i="31"/>
  <c r="K172" i="31" s="1"/>
  <c r="P169" i="31"/>
  <c r="N170" i="31"/>
  <c r="O170" i="31" l="1"/>
  <c r="M171" i="31"/>
  <c r="L172" i="31"/>
  <c r="J173" i="31"/>
  <c r="K173" i="31" s="1"/>
  <c r="P170" i="31"/>
  <c r="N171" i="31"/>
  <c r="O171" i="31" l="1"/>
  <c r="M172" i="31"/>
  <c r="L173" i="31"/>
  <c r="J174" i="31"/>
  <c r="K174" i="31" s="1"/>
  <c r="P171" i="31"/>
  <c r="N172" i="31"/>
  <c r="O172" i="31" l="1"/>
  <c r="M173" i="31"/>
  <c r="L174" i="31"/>
  <c r="J175" i="31"/>
  <c r="K175" i="31" s="1"/>
  <c r="P172" i="31"/>
  <c r="N173" i="31"/>
  <c r="O173" i="31" l="1"/>
  <c r="M174" i="31"/>
  <c r="L175" i="31"/>
  <c r="J176" i="31"/>
  <c r="K176" i="31" s="1"/>
  <c r="P173" i="31"/>
  <c r="N174" i="31"/>
  <c r="O174" i="31" l="1"/>
  <c r="M175" i="31"/>
  <c r="L176" i="31"/>
  <c r="J177" i="31"/>
  <c r="K177" i="31" s="1"/>
  <c r="P174" i="31"/>
  <c r="N175" i="31"/>
  <c r="O175" i="31" l="1"/>
  <c r="M176" i="31"/>
  <c r="L177" i="31"/>
  <c r="J178" i="31"/>
  <c r="K178" i="31" s="1"/>
  <c r="N176" i="31"/>
  <c r="P175" i="31"/>
  <c r="O176" i="31" l="1"/>
  <c r="M177" i="31"/>
  <c r="L178" i="31"/>
  <c r="J179" i="31"/>
  <c r="K179" i="31" s="1"/>
  <c r="P176" i="31"/>
  <c r="N177" i="31"/>
  <c r="O177" i="31" l="1"/>
  <c r="M178" i="31"/>
  <c r="L179" i="31"/>
  <c r="J180" i="31"/>
  <c r="K180" i="31" s="1"/>
  <c r="P177" i="31"/>
  <c r="N178" i="31"/>
  <c r="O178" i="31" l="1"/>
  <c r="M179" i="31"/>
  <c r="L180" i="31"/>
  <c r="J181" i="31"/>
  <c r="K181" i="31" s="1"/>
  <c r="N179" i="31"/>
  <c r="P178" i="31"/>
  <c r="O179" i="31" l="1"/>
  <c r="M180" i="31"/>
  <c r="L181" i="31"/>
  <c r="J182" i="31"/>
  <c r="K182" i="31" s="1"/>
  <c r="P179" i="31"/>
  <c r="N180" i="31"/>
  <c r="O180" i="31" l="1"/>
  <c r="M181" i="31"/>
  <c r="L182" i="31"/>
  <c r="J183" i="31"/>
  <c r="K183" i="31" s="1"/>
  <c r="P180" i="31"/>
  <c r="N181" i="31"/>
  <c r="O181" i="31" l="1"/>
  <c r="M182" i="31"/>
  <c r="L183" i="31"/>
  <c r="J184" i="31"/>
  <c r="K184" i="31" s="1"/>
  <c r="N182" i="31"/>
  <c r="P181" i="31"/>
  <c r="O182" i="31" l="1"/>
  <c r="M183" i="31"/>
  <c r="L184" i="31"/>
  <c r="J185" i="31"/>
  <c r="K185" i="31" s="1"/>
  <c r="P182" i="31"/>
  <c r="N183" i="31"/>
  <c r="O183" i="31" l="1"/>
  <c r="M184" i="31"/>
  <c r="L185" i="31"/>
  <c r="J186" i="31"/>
  <c r="K186" i="31" s="1"/>
  <c r="P183" i="31"/>
  <c r="N184" i="31"/>
  <c r="O184" i="31" l="1"/>
  <c r="M185" i="31"/>
  <c r="L186" i="31"/>
  <c r="J187" i="31"/>
  <c r="K187" i="31" s="1"/>
  <c r="P184" i="31"/>
  <c r="N185" i="31"/>
  <c r="O185" i="31" l="1"/>
  <c r="M186" i="31"/>
  <c r="L187" i="31"/>
  <c r="J188" i="31"/>
  <c r="K188" i="31" s="1"/>
  <c r="P185" i="31"/>
  <c r="N186" i="31"/>
  <c r="O186" i="31" l="1"/>
  <c r="M187" i="31"/>
  <c r="L188" i="31"/>
  <c r="J189" i="31"/>
  <c r="K189" i="31" s="1"/>
  <c r="P186" i="31"/>
  <c r="N187" i="31"/>
  <c r="O187" i="31" l="1"/>
  <c r="M188" i="31"/>
  <c r="L189" i="31"/>
  <c r="J190" i="31"/>
  <c r="K190" i="31" s="1"/>
  <c r="P187" i="31"/>
  <c r="N188" i="31"/>
  <c r="O188" i="31" l="1"/>
  <c r="M189" i="31"/>
  <c r="L190" i="31"/>
  <c r="J191" i="31"/>
  <c r="K191" i="31" s="1"/>
  <c r="P188" i="31"/>
  <c r="N189" i="31"/>
  <c r="O189" i="31" l="1"/>
  <c r="M190" i="31"/>
  <c r="L191" i="31"/>
  <c r="J192" i="31"/>
  <c r="K192" i="31" s="1"/>
  <c r="P189" i="31"/>
  <c r="N190" i="31"/>
  <c r="O190" i="31" l="1"/>
  <c r="M191" i="31"/>
  <c r="L192" i="31"/>
  <c r="J193" i="31"/>
  <c r="K193" i="31" s="1"/>
  <c r="N191" i="31"/>
  <c r="P190" i="31"/>
  <c r="O191" i="31" l="1"/>
  <c r="M192" i="31"/>
  <c r="L193" i="31"/>
  <c r="J194" i="31"/>
  <c r="K194" i="31" s="1"/>
  <c r="N192" i="31"/>
  <c r="P191" i="31"/>
  <c r="O192" i="31" l="1"/>
  <c r="M193" i="31"/>
  <c r="L194" i="31"/>
  <c r="J195" i="31"/>
  <c r="K195" i="31" s="1"/>
  <c r="P192" i="31"/>
  <c r="N193" i="31"/>
  <c r="O193" i="31" l="1"/>
  <c r="M194" i="31"/>
  <c r="L195" i="31"/>
  <c r="J196" i="31"/>
  <c r="K196" i="31" s="1"/>
  <c r="P193" i="31"/>
  <c r="N194" i="31"/>
  <c r="O194" i="31" l="1"/>
  <c r="M195" i="31"/>
  <c r="L196" i="31"/>
  <c r="J197" i="31"/>
  <c r="K197" i="31" s="1"/>
  <c r="P194" i="31"/>
  <c r="N195" i="31"/>
  <c r="O195" i="31" l="1"/>
  <c r="M196" i="31"/>
  <c r="L197" i="31"/>
  <c r="J198" i="31"/>
  <c r="K198" i="31" s="1"/>
  <c r="P195" i="31"/>
  <c r="N196" i="31"/>
  <c r="O196" i="31" l="1"/>
  <c r="M197" i="31"/>
  <c r="L198" i="31"/>
  <c r="J199" i="31"/>
  <c r="K199" i="31" s="1"/>
  <c r="P196" i="31"/>
  <c r="N197" i="31"/>
  <c r="O197" i="31" l="1"/>
  <c r="M198" i="31"/>
  <c r="L199" i="31"/>
  <c r="J200" i="31"/>
  <c r="K200" i="31" s="1"/>
  <c r="P197" i="31"/>
  <c r="N198" i="31"/>
  <c r="O198" i="31" l="1"/>
  <c r="M199" i="31"/>
  <c r="L200" i="31"/>
  <c r="J201" i="31"/>
  <c r="K201" i="31" s="1"/>
  <c r="P198" i="31"/>
  <c r="N199" i="31"/>
  <c r="O199" i="31" l="1"/>
  <c r="M200" i="31"/>
  <c r="L201" i="31"/>
  <c r="J202" i="31"/>
  <c r="K202" i="31" s="1"/>
  <c r="P199" i="31"/>
  <c r="N200" i="31"/>
  <c r="O200" i="31" l="1"/>
  <c r="M201" i="31"/>
  <c r="L202" i="31"/>
  <c r="J203" i="31"/>
  <c r="K203" i="31" s="1"/>
  <c r="P200" i="31"/>
  <c r="N201" i="31"/>
  <c r="O201" i="31" l="1"/>
  <c r="M202" i="31"/>
  <c r="L203" i="31"/>
  <c r="J204" i="31"/>
  <c r="K204" i="31" s="1"/>
  <c r="P201" i="31"/>
  <c r="N202" i="31"/>
  <c r="O202" i="31" l="1"/>
  <c r="M203" i="31"/>
  <c r="L204" i="31"/>
  <c r="J205" i="31"/>
  <c r="K205" i="31" s="1"/>
  <c r="P202" i="31"/>
  <c r="N203" i="31"/>
  <c r="O203" i="31" l="1"/>
  <c r="M204" i="31"/>
  <c r="L205" i="31"/>
  <c r="J206" i="31"/>
  <c r="K206" i="31" s="1"/>
  <c r="P203" i="31"/>
  <c r="N204" i="31"/>
  <c r="O204" i="31" l="1"/>
  <c r="M205" i="31"/>
  <c r="L206" i="31"/>
  <c r="J207" i="31"/>
  <c r="K207" i="31" s="1"/>
  <c r="P204" i="31"/>
  <c r="N205" i="31"/>
  <c r="O205" i="31" l="1"/>
  <c r="M206" i="31"/>
  <c r="L207" i="31"/>
  <c r="J208" i="31"/>
  <c r="K208" i="31" s="1"/>
  <c r="P205" i="31"/>
  <c r="N206" i="31"/>
  <c r="O206" i="31" l="1"/>
  <c r="M207" i="31"/>
  <c r="L208" i="31"/>
  <c r="J209" i="31"/>
  <c r="K209" i="31" s="1"/>
  <c r="P206" i="31"/>
  <c r="N207" i="31"/>
  <c r="O207" i="31" l="1"/>
  <c r="M208" i="31"/>
  <c r="L209" i="31"/>
  <c r="J210" i="31"/>
  <c r="K210" i="31" s="1"/>
  <c r="P207" i="31"/>
  <c r="N208" i="31"/>
  <c r="O208" i="31" l="1"/>
  <c r="M209" i="31"/>
  <c r="L210" i="31"/>
  <c r="J211" i="31"/>
  <c r="K211" i="31" s="1"/>
  <c r="P208" i="31"/>
  <c r="N209" i="31"/>
  <c r="O209" i="31" l="1"/>
  <c r="M210" i="31"/>
  <c r="L211" i="31"/>
  <c r="J212" i="31"/>
  <c r="K212" i="31" s="1"/>
  <c r="P209" i="31"/>
  <c r="N210" i="31"/>
  <c r="O210" i="31" l="1"/>
  <c r="M211" i="31"/>
  <c r="L212" i="31"/>
  <c r="J213" i="31"/>
  <c r="K213" i="31" s="1"/>
  <c r="N211" i="31"/>
  <c r="P210" i="31"/>
  <c r="O211" i="31" l="1"/>
  <c r="M212" i="31"/>
  <c r="L213" i="31"/>
  <c r="J214" i="31"/>
  <c r="K214" i="31" s="1"/>
  <c r="P211" i="31"/>
  <c r="N212" i="31"/>
  <c r="O212" i="31" l="1"/>
  <c r="M213" i="31"/>
  <c r="L214" i="31"/>
  <c r="J215" i="31"/>
  <c r="K215" i="31" s="1"/>
  <c r="P212" i="31"/>
  <c r="N213" i="31"/>
  <c r="O213" i="31" l="1"/>
  <c r="M214" i="31"/>
  <c r="L215" i="31"/>
  <c r="J216" i="31"/>
  <c r="K216" i="31" s="1"/>
  <c r="P213" i="31"/>
  <c r="N214" i="31"/>
  <c r="O214" i="31" l="1"/>
  <c r="M215" i="31"/>
  <c r="L216" i="31"/>
  <c r="J217" i="31"/>
  <c r="K217" i="31" s="1"/>
  <c r="P214" i="31"/>
  <c r="P215" i="31"/>
  <c r="M216" i="31" l="1"/>
  <c r="L217" i="31"/>
  <c r="J218" i="31"/>
  <c r="K218" i="31" s="1"/>
  <c r="N216" i="31"/>
  <c r="N215" i="31"/>
  <c r="O215" i="31" l="1"/>
  <c r="O216" i="31"/>
  <c r="M217" i="31"/>
  <c r="L218" i="31"/>
  <c r="J219" i="31"/>
  <c r="K219" i="31" s="1"/>
  <c r="N217" i="31"/>
  <c r="P216" i="31"/>
  <c r="O217" i="31" l="1"/>
  <c r="M218" i="31"/>
  <c r="L219" i="31"/>
  <c r="J220" i="31"/>
  <c r="K220" i="31" s="1"/>
  <c r="P217" i="31"/>
  <c r="N218" i="31"/>
  <c r="O218" i="31" l="1"/>
  <c r="M219" i="31"/>
  <c r="L220" i="31"/>
  <c r="J221" i="31"/>
  <c r="K221" i="31" s="1"/>
  <c r="P218" i="31"/>
  <c r="N219" i="31"/>
  <c r="O219" i="31" l="1"/>
  <c r="M220" i="31"/>
  <c r="L221" i="31"/>
  <c r="J222" i="31"/>
  <c r="K222" i="31" s="1"/>
  <c r="P219" i="31"/>
  <c r="N220" i="31"/>
  <c r="O220" i="31" l="1"/>
  <c r="M221" i="31"/>
  <c r="L222" i="31"/>
  <c r="J223" i="31"/>
  <c r="K223" i="31" s="1"/>
  <c r="N221" i="31"/>
  <c r="P220" i="31"/>
  <c r="O221" i="31" l="1"/>
  <c r="M222" i="31"/>
  <c r="L223" i="31"/>
  <c r="J224" i="31"/>
  <c r="K224" i="31" s="1"/>
  <c r="P221" i="31"/>
  <c r="N222" i="31"/>
  <c r="O222" i="31" l="1"/>
  <c r="M223" i="31"/>
  <c r="L224" i="31"/>
  <c r="J225" i="31"/>
  <c r="K225" i="31" s="1"/>
  <c r="P222" i="31"/>
  <c r="N223" i="31"/>
  <c r="O223" i="31" l="1"/>
  <c r="M224" i="31"/>
  <c r="L225" i="31"/>
  <c r="J226" i="31"/>
  <c r="K226" i="31" s="1"/>
  <c r="P223" i="31"/>
  <c r="N224" i="31"/>
  <c r="O224" i="31" l="1"/>
  <c r="M225" i="31"/>
  <c r="L226" i="31"/>
  <c r="J227" i="31"/>
  <c r="K227" i="31" s="1"/>
  <c r="P224" i="31"/>
  <c r="N225" i="31"/>
  <c r="O225" i="31" l="1"/>
  <c r="M226" i="31"/>
  <c r="L227" i="31"/>
  <c r="J228" i="31"/>
  <c r="K228" i="31" s="1"/>
  <c r="P225" i="31"/>
  <c r="N226" i="31"/>
  <c r="O226" i="31" l="1"/>
  <c r="M227" i="31"/>
  <c r="L228" i="31"/>
  <c r="J229" i="31"/>
  <c r="K229" i="31" s="1"/>
  <c r="P226" i="31"/>
  <c r="N227" i="31"/>
  <c r="O227" i="31" l="1"/>
  <c r="M228" i="31"/>
  <c r="L229" i="31"/>
  <c r="J230" i="31"/>
  <c r="K230" i="31" s="1"/>
  <c r="P227" i="31"/>
  <c r="N228" i="31"/>
  <c r="O228" i="31" l="1"/>
  <c r="M229" i="31"/>
  <c r="L230" i="31"/>
  <c r="J231" i="31"/>
  <c r="K231" i="31" s="1"/>
  <c r="P228" i="31"/>
  <c r="N229" i="31"/>
  <c r="O229" i="31" l="1"/>
  <c r="M230" i="31"/>
  <c r="L231" i="31"/>
  <c r="J232" i="31"/>
  <c r="K232" i="31" s="1"/>
  <c r="P229" i="31"/>
  <c r="N230" i="31"/>
  <c r="O230" i="31" l="1"/>
  <c r="M231" i="31"/>
  <c r="L232" i="31"/>
  <c r="J233" i="31"/>
  <c r="K233" i="31" s="1"/>
  <c r="P230" i="31"/>
  <c r="N231" i="31"/>
  <c r="O231" i="31" l="1"/>
  <c r="M232" i="31"/>
  <c r="L233" i="31"/>
  <c r="J234" i="31"/>
  <c r="K234" i="31" s="1"/>
  <c r="P231" i="31"/>
  <c r="N232" i="31"/>
  <c r="O232" i="31" l="1"/>
  <c r="M233" i="31"/>
  <c r="L234" i="31"/>
  <c r="J235" i="31"/>
  <c r="K235" i="31" s="1"/>
  <c r="P232" i="31"/>
  <c r="P233" i="31"/>
  <c r="M234" i="31" l="1"/>
  <c r="L235" i="31"/>
  <c r="J236" i="31"/>
  <c r="K236" i="31" s="1"/>
  <c r="N233" i="31"/>
  <c r="N234" i="31"/>
  <c r="O233" i="31" l="1"/>
  <c r="O234" i="31"/>
  <c r="M235" i="31"/>
  <c r="L236" i="31"/>
  <c r="J237" i="31"/>
  <c r="K237" i="31" s="1"/>
  <c r="P234" i="31"/>
  <c r="N235" i="31"/>
  <c r="O235" i="31" l="1"/>
  <c r="M236" i="31"/>
  <c r="L237" i="31"/>
  <c r="J238" i="31"/>
  <c r="K238" i="31" s="1"/>
  <c r="P235" i="31"/>
  <c r="N236" i="31"/>
  <c r="O236" i="31" l="1"/>
  <c r="M237" i="31"/>
  <c r="L238" i="31"/>
  <c r="J239" i="31"/>
  <c r="K239" i="31" s="1"/>
  <c r="P236" i="31"/>
  <c r="N237" i="31"/>
  <c r="O237" i="31" l="1"/>
  <c r="M238" i="31"/>
  <c r="L239" i="31"/>
  <c r="J240" i="31"/>
  <c r="K240" i="31" s="1"/>
  <c r="P237" i="31"/>
  <c r="N238" i="31"/>
  <c r="O238" i="31" l="1"/>
  <c r="M239" i="31"/>
  <c r="L240" i="31"/>
  <c r="J241" i="31"/>
  <c r="K241" i="31" s="1"/>
  <c r="P238" i="31"/>
  <c r="N239" i="31"/>
  <c r="O239" i="31" l="1"/>
  <c r="M240" i="31"/>
  <c r="L241" i="31"/>
  <c r="J242" i="31"/>
  <c r="K242" i="31" s="1"/>
  <c r="N240" i="31"/>
  <c r="P239" i="31"/>
  <c r="O240" i="31" l="1"/>
  <c r="M241" i="31"/>
  <c r="L242" i="31"/>
  <c r="J243" i="31"/>
  <c r="K243" i="31" s="1"/>
  <c r="P240" i="31"/>
  <c r="N241" i="31"/>
  <c r="O241" i="31" l="1"/>
  <c r="M242" i="31"/>
  <c r="L243" i="31"/>
  <c r="J244" i="31"/>
  <c r="K244" i="31" s="1"/>
  <c r="N242" i="31"/>
  <c r="P241" i="31"/>
  <c r="O242" i="31" l="1"/>
  <c r="M243" i="31"/>
  <c r="L244" i="31"/>
  <c r="J245" i="31"/>
  <c r="K245" i="31" s="1"/>
  <c r="P242" i="31"/>
  <c r="N243" i="31"/>
  <c r="O243" i="31" l="1"/>
  <c r="M244" i="31"/>
  <c r="L245" i="31"/>
  <c r="J246" i="31"/>
  <c r="K246" i="31" s="1"/>
  <c r="P243" i="31"/>
  <c r="N244" i="31"/>
  <c r="O244" i="31" l="1"/>
  <c r="M245" i="31"/>
  <c r="L246" i="31"/>
  <c r="J247" i="31"/>
  <c r="K247" i="31" s="1"/>
  <c r="P244" i="31"/>
  <c r="N245" i="31"/>
  <c r="O245" i="31" l="1"/>
  <c r="M246" i="31"/>
  <c r="L247" i="31"/>
  <c r="J248" i="31"/>
  <c r="K248" i="31" s="1"/>
  <c r="P245" i="31"/>
  <c r="N246" i="31"/>
  <c r="O246" i="31" l="1"/>
  <c r="M247" i="31"/>
  <c r="L248" i="31"/>
  <c r="J249" i="31"/>
  <c r="K249" i="31" s="1"/>
  <c r="N247" i="31"/>
  <c r="P246" i="31"/>
  <c r="O247" i="31" l="1"/>
  <c r="M248" i="31"/>
  <c r="L249" i="31"/>
  <c r="J250" i="31"/>
  <c r="K250" i="31" s="1"/>
  <c r="P247" i="31"/>
  <c r="N248" i="31"/>
  <c r="O248" i="31" l="1"/>
  <c r="M249" i="31"/>
  <c r="L250" i="31"/>
  <c r="J251" i="31"/>
  <c r="K251" i="31" s="1"/>
  <c r="P248" i="31"/>
  <c r="P249" i="31"/>
  <c r="M250" i="31" l="1"/>
  <c r="L251" i="31"/>
  <c r="J252" i="31"/>
  <c r="K252" i="31" s="1"/>
  <c r="N250" i="31"/>
  <c r="N249" i="31"/>
  <c r="O249" i="31" l="1"/>
  <c r="O250" i="31"/>
  <c r="M251" i="31"/>
  <c r="L252" i="31"/>
  <c r="J253" i="31"/>
  <c r="K253" i="31" s="1"/>
  <c r="P250" i="31"/>
  <c r="N251" i="31"/>
  <c r="O251" i="31" l="1"/>
  <c r="M252" i="31"/>
  <c r="L253" i="31"/>
  <c r="J254" i="31"/>
  <c r="K254" i="31" s="1"/>
  <c r="P251" i="31"/>
  <c r="N252" i="31"/>
  <c r="O252" i="31" l="1"/>
  <c r="M253" i="31"/>
  <c r="L254" i="31"/>
  <c r="J255" i="31"/>
  <c r="K255" i="31" s="1"/>
  <c r="P252" i="31"/>
  <c r="N253" i="31"/>
  <c r="O253" i="31" l="1"/>
  <c r="M254" i="31"/>
  <c r="L255" i="31"/>
  <c r="J256" i="31"/>
  <c r="K256" i="31" s="1"/>
  <c r="P253" i="31"/>
  <c r="N254" i="31"/>
  <c r="O254" i="31" l="1"/>
  <c r="M255" i="31"/>
  <c r="L256" i="31"/>
  <c r="J257" i="31"/>
  <c r="K257" i="31" s="1"/>
  <c r="P254" i="31"/>
  <c r="N255" i="31"/>
  <c r="O255" i="31" l="1"/>
  <c r="M256" i="31"/>
  <c r="L257" i="31"/>
  <c r="J258" i="31"/>
  <c r="K258" i="31" s="1"/>
  <c r="P255" i="31"/>
  <c r="N256" i="31"/>
  <c r="O256" i="31" l="1"/>
  <c r="M257" i="31"/>
  <c r="L258" i="31"/>
  <c r="J259" i="31"/>
  <c r="K259" i="31" s="1"/>
  <c r="P256" i="31"/>
  <c r="N257" i="31"/>
  <c r="O257" i="31" l="1"/>
  <c r="M258" i="31"/>
  <c r="L259" i="31"/>
  <c r="J260" i="31"/>
  <c r="K260" i="31" s="1"/>
  <c r="P257" i="31"/>
  <c r="N258" i="31"/>
  <c r="O258" i="31" l="1"/>
  <c r="M259" i="31"/>
  <c r="L260" i="31"/>
  <c r="J261" i="31"/>
  <c r="K261" i="31" s="1"/>
  <c r="N259" i="31"/>
  <c r="P258" i="31"/>
  <c r="O259" i="31" l="1"/>
  <c r="M260" i="31"/>
  <c r="L261" i="31"/>
  <c r="J262" i="31"/>
  <c r="K262" i="31" s="1"/>
  <c r="P259" i="31"/>
  <c r="N260" i="31"/>
  <c r="O260" i="31" l="1"/>
  <c r="M261" i="31"/>
  <c r="L262" i="31"/>
  <c r="J263" i="31"/>
  <c r="K263" i="31" s="1"/>
  <c r="P260" i="31"/>
  <c r="N261" i="31"/>
  <c r="O261" i="31" l="1"/>
  <c r="M262" i="31"/>
  <c r="L263" i="31"/>
  <c r="J264" i="31"/>
  <c r="K264" i="31" s="1"/>
  <c r="P261" i="31"/>
  <c r="N262" i="31"/>
  <c r="O262" i="31" l="1"/>
  <c r="M263" i="31"/>
  <c r="L264" i="31"/>
  <c r="J265" i="31"/>
  <c r="K265" i="31" s="1"/>
  <c r="P262" i="31"/>
  <c r="N263" i="31"/>
  <c r="O263" i="31" l="1"/>
  <c r="M264" i="31"/>
  <c r="L265" i="31"/>
  <c r="J266" i="31"/>
  <c r="K266" i="31" s="1"/>
  <c r="P263" i="31"/>
  <c r="N264" i="31"/>
  <c r="O264" i="31" l="1"/>
  <c r="M265" i="31"/>
  <c r="L266" i="31"/>
  <c r="J267" i="31"/>
  <c r="K267" i="31" s="1"/>
  <c r="P264" i="31"/>
  <c r="N265" i="31"/>
  <c r="O265" i="31" l="1"/>
  <c r="M266" i="31"/>
  <c r="L267" i="31"/>
  <c r="J268" i="31"/>
  <c r="K268" i="31" s="1"/>
  <c r="P265" i="31"/>
  <c r="N266" i="31"/>
  <c r="O266" i="31" l="1"/>
  <c r="M267" i="31"/>
  <c r="L268" i="31"/>
  <c r="J269" i="31"/>
  <c r="K269" i="31" s="1"/>
  <c r="N267" i="31"/>
  <c r="P266" i="31"/>
  <c r="O267" i="31" l="1"/>
  <c r="M268" i="31"/>
  <c r="L269" i="31"/>
  <c r="J270" i="31"/>
  <c r="K270" i="31" s="1"/>
  <c r="P267" i="31"/>
  <c r="N268" i="31"/>
  <c r="O268" i="31" l="1"/>
  <c r="M269" i="31"/>
  <c r="L270" i="31"/>
  <c r="J271" i="31"/>
  <c r="K271" i="31" s="1"/>
  <c r="P268" i="31"/>
  <c r="N269" i="31"/>
  <c r="O269" i="31" l="1"/>
  <c r="M270" i="31"/>
  <c r="L271" i="31"/>
  <c r="J272" i="31"/>
  <c r="K272" i="31" s="1"/>
  <c r="P269" i="31"/>
  <c r="N270" i="31"/>
  <c r="O270" i="31" l="1"/>
  <c r="M271" i="31"/>
  <c r="L272" i="31"/>
  <c r="J273" i="31"/>
  <c r="K273" i="31" s="1"/>
  <c r="P270" i="31"/>
  <c r="N271" i="31"/>
  <c r="O271" i="31" l="1"/>
  <c r="M272" i="31"/>
  <c r="L273" i="31"/>
  <c r="J274" i="31"/>
  <c r="K274" i="31" s="1"/>
  <c r="P271" i="31"/>
  <c r="N272" i="31"/>
  <c r="O272" i="31" l="1"/>
  <c r="M273" i="31"/>
  <c r="L274" i="31"/>
  <c r="J275" i="31"/>
  <c r="K275" i="31" s="1"/>
  <c r="P272" i="31"/>
  <c r="N273" i="31"/>
  <c r="O273" i="31" l="1"/>
  <c r="M274" i="31"/>
  <c r="L275" i="31"/>
  <c r="J276" i="31"/>
  <c r="K276" i="31" s="1"/>
  <c r="P273" i="31"/>
  <c r="N274" i="31"/>
  <c r="O274" i="31" l="1"/>
  <c r="M275" i="31"/>
  <c r="L276" i="31"/>
  <c r="J277" i="31"/>
  <c r="K277" i="31" s="1"/>
  <c r="P274" i="31"/>
  <c r="N275" i="31"/>
  <c r="O275" i="31" l="1"/>
  <c r="M276" i="31"/>
  <c r="L277" i="31"/>
  <c r="J278" i="31"/>
  <c r="K278" i="31" s="1"/>
  <c r="N276" i="31"/>
  <c r="P275" i="31"/>
  <c r="O276" i="31" l="1"/>
  <c r="M277" i="31"/>
  <c r="L278" i="31"/>
  <c r="J279" i="31"/>
  <c r="K279" i="31" s="1"/>
  <c r="P276" i="31"/>
  <c r="N277" i="31"/>
  <c r="O277" i="31" l="1"/>
  <c r="M278" i="31"/>
  <c r="L279" i="31"/>
  <c r="J280" i="31"/>
  <c r="K280" i="31" s="1"/>
  <c r="P277" i="31"/>
  <c r="N278" i="31"/>
  <c r="O278" i="31" l="1"/>
  <c r="M279" i="31"/>
  <c r="L280" i="31"/>
  <c r="J281" i="31"/>
  <c r="K281" i="31" s="1"/>
  <c r="P278" i="31"/>
  <c r="N279" i="31"/>
  <c r="O279" i="31" l="1"/>
  <c r="M280" i="31"/>
  <c r="L281" i="31"/>
  <c r="J282" i="31"/>
  <c r="K282" i="31" s="1"/>
  <c r="P279" i="31"/>
  <c r="N280" i="31"/>
  <c r="O280" i="31" l="1"/>
  <c r="M281" i="31"/>
  <c r="L282" i="31"/>
  <c r="J283" i="31"/>
  <c r="K283" i="31" s="1"/>
  <c r="P280" i="31"/>
  <c r="N281" i="31"/>
  <c r="O281" i="31" l="1"/>
  <c r="M282" i="31"/>
  <c r="L283" i="31"/>
  <c r="J284" i="31"/>
  <c r="K284" i="31" s="1"/>
  <c r="P281" i="31"/>
  <c r="N282" i="31"/>
  <c r="O282" i="31" l="1"/>
  <c r="M283" i="31"/>
  <c r="L284" i="31"/>
  <c r="J285" i="31"/>
  <c r="K285" i="31" s="1"/>
  <c r="P282" i="31"/>
  <c r="N283" i="31"/>
  <c r="O283" i="31" l="1"/>
  <c r="M284" i="31"/>
  <c r="L285" i="31"/>
  <c r="J286" i="31"/>
  <c r="K286" i="31" s="1"/>
  <c r="P283" i="31"/>
  <c r="N284" i="31"/>
  <c r="O284" i="31" l="1"/>
  <c r="M285" i="31"/>
  <c r="L286" i="31"/>
  <c r="J287" i="31"/>
  <c r="K287" i="31" s="1"/>
  <c r="P284" i="31"/>
  <c r="N285" i="31"/>
  <c r="O285" i="31" l="1"/>
  <c r="M286" i="31"/>
  <c r="L287" i="31"/>
  <c r="J288" i="31"/>
  <c r="K288" i="31" s="1"/>
  <c r="P285" i="31"/>
  <c r="N286" i="31"/>
  <c r="O286" i="31" l="1"/>
  <c r="M287" i="31"/>
  <c r="L288" i="31"/>
  <c r="J289" i="31"/>
  <c r="K289" i="31" s="1"/>
  <c r="P286" i="31"/>
  <c r="N287" i="31"/>
  <c r="O287" i="31" l="1"/>
  <c r="M288" i="31"/>
  <c r="L289" i="31"/>
  <c r="J290" i="31"/>
  <c r="K290" i="31" s="1"/>
  <c r="N288" i="31"/>
  <c r="P287" i="31"/>
  <c r="O288" i="31" l="1"/>
  <c r="M289" i="31"/>
  <c r="L290" i="31"/>
  <c r="J291" i="31"/>
  <c r="K291" i="31" s="1"/>
  <c r="N289" i="31"/>
  <c r="P288" i="31"/>
  <c r="O289" i="31" l="1"/>
  <c r="M290" i="31"/>
  <c r="L291" i="31"/>
  <c r="J292" i="31"/>
  <c r="K292" i="31" s="1"/>
  <c r="P289" i="31"/>
  <c r="N290" i="31"/>
  <c r="O290" i="31" l="1"/>
  <c r="M291" i="31"/>
  <c r="L292" i="31"/>
  <c r="J293" i="31"/>
  <c r="K293" i="31" s="1"/>
  <c r="P290" i="31"/>
  <c r="N291" i="31"/>
  <c r="O291" i="31" l="1"/>
  <c r="M292" i="31"/>
  <c r="L293" i="31"/>
  <c r="J294" i="31"/>
  <c r="K294" i="31" s="1"/>
  <c r="P291" i="31"/>
  <c r="N292" i="31"/>
  <c r="O292" i="31" l="1"/>
  <c r="M293" i="31"/>
  <c r="L294" i="31"/>
  <c r="J295" i="31"/>
  <c r="K295" i="31" s="1"/>
  <c r="P292" i="31"/>
  <c r="N293" i="31"/>
  <c r="O293" i="31" l="1"/>
  <c r="M294" i="31"/>
  <c r="L295" i="31"/>
  <c r="J296" i="31"/>
  <c r="K296" i="31" s="1"/>
  <c r="P293" i="31"/>
  <c r="N294" i="31"/>
  <c r="O294" i="31" l="1"/>
  <c r="M295" i="31"/>
  <c r="L296" i="31"/>
  <c r="J297" i="31"/>
  <c r="K297" i="31" s="1"/>
  <c r="P294" i="31"/>
  <c r="N295" i="31"/>
  <c r="O295" i="31" l="1"/>
  <c r="M296" i="31"/>
  <c r="L297" i="31"/>
  <c r="J298" i="31"/>
  <c r="K298" i="31" s="1"/>
  <c r="P295" i="31"/>
  <c r="N296" i="31"/>
  <c r="O296" i="31" l="1"/>
  <c r="M297" i="31"/>
  <c r="L298" i="31"/>
  <c r="J299" i="31"/>
  <c r="K299" i="31" s="1"/>
  <c r="P296" i="31"/>
  <c r="N297" i="31"/>
  <c r="O297" i="31" l="1"/>
  <c r="M298" i="31"/>
  <c r="L299" i="31"/>
  <c r="J300" i="31"/>
  <c r="K300" i="31" s="1"/>
  <c r="P297" i="31"/>
  <c r="N298" i="31"/>
  <c r="O298" i="31" l="1"/>
  <c r="M299" i="31"/>
  <c r="L300" i="31"/>
  <c r="J301" i="31"/>
  <c r="K301" i="31" s="1"/>
  <c r="P298" i="31"/>
  <c r="N299" i="31"/>
  <c r="O299" i="31" l="1"/>
  <c r="M300" i="31"/>
  <c r="L301" i="31"/>
  <c r="J302" i="31"/>
  <c r="K302" i="31" s="1"/>
  <c r="P299" i="31"/>
  <c r="N300" i="31"/>
  <c r="O300" i="31" l="1"/>
  <c r="M301" i="31"/>
  <c r="L302" i="31"/>
  <c r="J303" i="31"/>
  <c r="K303" i="31" s="1"/>
  <c r="P300" i="31"/>
  <c r="N301" i="31"/>
  <c r="O301" i="31" l="1"/>
  <c r="M302" i="31"/>
  <c r="L303" i="31"/>
  <c r="J304" i="31"/>
  <c r="K304" i="31" s="1"/>
  <c r="P301" i="31"/>
  <c r="N302" i="31"/>
  <c r="O302" i="31" l="1"/>
  <c r="M303" i="31"/>
  <c r="L304" i="31"/>
  <c r="J305" i="31"/>
  <c r="K305" i="31" s="1"/>
  <c r="P302" i="31"/>
  <c r="N303" i="31"/>
  <c r="O303" i="31" l="1"/>
  <c r="M304" i="31"/>
  <c r="L305" i="31"/>
  <c r="J306" i="31"/>
  <c r="K306" i="31" s="1"/>
  <c r="P303" i="31"/>
  <c r="N304" i="31"/>
  <c r="O304" i="31" l="1"/>
  <c r="M305" i="31"/>
  <c r="L306" i="31"/>
  <c r="J307" i="31"/>
  <c r="K307" i="31" s="1"/>
  <c r="P304" i="31"/>
  <c r="N305" i="31"/>
  <c r="O305" i="31" l="1"/>
  <c r="M306" i="31"/>
  <c r="L307" i="31"/>
  <c r="J308" i="31"/>
  <c r="K308" i="31" s="1"/>
  <c r="P305" i="31"/>
  <c r="N306" i="31"/>
  <c r="O306" i="31" l="1"/>
  <c r="M307" i="31"/>
  <c r="L308" i="31"/>
  <c r="J309" i="31"/>
  <c r="K309" i="31" s="1"/>
  <c r="P306" i="31"/>
  <c r="N307" i="31"/>
  <c r="O307" i="31" l="1"/>
  <c r="M308" i="31"/>
  <c r="L309" i="31"/>
  <c r="J310" i="31"/>
  <c r="K310" i="31" s="1"/>
  <c r="N308" i="31"/>
  <c r="P307" i="31"/>
  <c r="O308" i="31" l="1"/>
  <c r="M309" i="31"/>
  <c r="L310" i="31"/>
  <c r="J311" i="31"/>
  <c r="K311" i="31" s="1"/>
  <c r="P308" i="31"/>
  <c r="N309" i="31"/>
  <c r="O309" i="31" l="1"/>
  <c r="M310" i="31"/>
  <c r="L311" i="31"/>
  <c r="J312" i="31"/>
  <c r="K312" i="31" s="1"/>
  <c r="P309" i="31"/>
  <c r="N310" i="31"/>
  <c r="O310" i="31" l="1"/>
  <c r="M311" i="31"/>
  <c r="L312" i="31"/>
  <c r="J313" i="31"/>
  <c r="K313" i="31" s="1"/>
  <c r="P310" i="31"/>
  <c r="N311" i="31"/>
  <c r="O311" i="31" l="1"/>
  <c r="M312" i="31"/>
  <c r="L313" i="31"/>
  <c r="J314" i="31"/>
  <c r="K314" i="31" s="1"/>
  <c r="N312" i="31"/>
  <c r="P311" i="31"/>
  <c r="O312" i="31" l="1"/>
  <c r="M313" i="31"/>
  <c r="L314" i="31"/>
  <c r="J315" i="31"/>
  <c r="K315" i="31" s="1"/>
  <c r="P312" i="31"/>
  <c r="N313" i="31"/>
  <c r="O313" i="31" l="1"/>
  <c r="M314" i="31"/>
  <c r="L315" i="31"/>
  <c r="J316" i="31"/>
  <c r="K316" i="31" s="1"/>
  <c r="P313" i="31"/>
  <c r="N314" i="31"/>
  <c r="O314" i="31" l="1"/>
  <c r="M315" i="31"/>
  <c r="L316" i="31"/>
  <c r="J317" i="31"/>
  <c r="K317" i="31" s="1"/>
  <c r="P314" i="31"/>
  <c r="N315" i="31"/>
  <c r="O315" i="31" l="1"/>
  <c r="M316" i="31"/>
  <c r="L317" i="31"/>
  <c r="J318" i="31"/>
  <c r="K318" i="31" s="1"/>
  <c r="P315" i="31"/>
  <c r="N316" i="31"/>
  <c r="O316" i="31" l="1"/>
  <c r="M317" i="31"/>
  <c r="L318" i="31"/>
  <c r="J319" i="31"/>
  <c r="K319" i="31" s="1"/>
  <c r="P316" i="31"/>
  <c r="N317" i="31"/>
  <c r="O317" i="31" l="1"/>
  <c r="M318" i="31"/>
  <c r="L319" i="31"/>
  <c r="J320" i="31"/>
  <c r="K320" i="31" s="1"/>
  <c r="N318" i="31"/>
  <c r="P317" i="31"/>
  <c r="O318" i="31" l="1"/>
  <c r="M319" i="31"/>
  <c r="L320" i="31"/>
  <c r="J321" i="31"/>
  <c r="K321" i="31" s="1"/>
  <c r="P318" i="31"/>
  <c r="N319" i="31"/>
  <c r="O319" i="31" l="1"/>
  <c r="M320" i="31"/>
  <c r="L321" i="31"/>
  <c r="J322" i="31"/>
  <c r="K322" i="31" s="1"/>
  <c r="P319" i="31"/>
  <c r="N320" i="31"/>
  <c r="O320" i="31" l="1"/>
  <c r="M321" i="31"/>
  <c r="L322" i="31"/>
  <c r="J323" i="31"/>
  <c r="K323" i="31" s="1"/>
  <c r="P320" i="31"/>
  <c r="N321" i="31"/>
  <c r="O321" i="31" l="1"/>
  <c r="M322" i="31"/>
  <c r="L323" i="31"/>
  <c r="J324" i="31"/>
  <c r="K324" i="31" s="1"/>
  <c r="P321" i="31"/>
  <c r="N322" i="31"/>
  <c r="O322" i="31" l="1"/>
  <c r="M323" i="31"/>
  <c r="L324" i="31"/>
  <c r="J325" i="31"/>
  <c r="K325" i="31" s="1"/>
  <c r="P322" i="31"/>
  <c r="N323" i="31"/>
  <c r="O323" i="31" l="1"/>
  <c r="M324" i="31"/>
  <c r="L325" i="31"/>
  <c r="J326" i="31"/>
  <c r="K326" i="31" s="1"/>
  <c r="P323" i="31"/>
  <c r="N324" i="31"/>
  <c r="O324" i="31" l="1"/>
  <c r="M325" i="31"/>
  <c r="L326" i="31"/>
  <c r="J327" i="31"/>
  <c r="K327" i="31" s="1"/>
  <c r="P324" i="31"/>
  <c r="N325" i="31"/>
  <c r="O325" i="31" l="1"/>
  <c r="M326" i="31"/>
  <c r="L327" i="31"/>
  <c r="J328" i="31"/>
  <c r="K328" i="31" s="1"/>
  <c r="P325" i="31"/>
  <c r="N326" i="31"/>
  <c r="O326" i="31" l="1"/>
  <c r="M327" i="31"/>
  <c r="L328" i="31"/>
  <c r="J329" i="31"/>
  <c r="K329" i="31" s="1"/>
  <c r="P326" i="31"/>
  <c r="N327" i="31"/>
  <c r="O327" i="31" l="1"/>
  <c r="M328" i="31"/>
  <c r="L329" i="31"/>
  <c r="J330" i="31"/>
  <c r="K330" i="31" s="1"/>
  <c r="P327" i="31"/>
  <c r="N328" i="31"/>
  <c r="O328" i="31" l="1"/>
  <c r="M329" i="31"/>
  <c r="L330" i="31"/>
  <c r="J331" i="31"/>
  <c r="K331" i="31" s="1"/>
  <c r="P328" i="31"/>
  <c r="N329" i="31"/>
  <c r="O329" i="31" l="1"/>
  <c r="M330" i="31"/>
  <c r="L331" i="31"/>
  <c r="J332" i="31"/>
  <c r="K332" i="31" s="1"/>
  <c r="P329" i="31"/>
  <c r="N330" i="31"/>
  <c r="O330" i="31" l="1"/>
  <c r="M331" i="31"/>
  <c r="L332" i="31"/>
  <c r="J333" i="31"/>
  <c r="K333" i="31" s="1"/>
  <c r="P330" i="31"/>
  <c r="N331" i="31"/>
  <c r="O331" i="31" l="1"/>
  <c r="M332" i="31"/>
  <c r="L333" i="31"/>
  <c r="J334" i="31"/>
  <c r="K334" i="31" s="1"/>
  <c r="P331" i="31"/>
  <c r="N332" i="31"/>
  <c r="O332" i="31" l="1"/>
  <c r="M333" i="31"/>
  <c r="L334" i="31"/>
  <c r="J335" i="31"/>
  <c r="K335" i="31" s="1"/>
  <c r="P332" i="31"/>
  <c r="N333" i="31"/>
  <c r="O333" i="31" l="1"/>
  <c r="M334" i="31"/>
  <c r="L335" i="31"/>
  <c r="J336" i="31"/>
  <c r="K336" i="31" s="1"/>
  <c r="N334" i="31"/>
  <c r="P333" i="31"/>
  <c r="O334" i="31" l="1"/>
  <c r="M335" i="31"/>
  <c r="L336" i="31"/>
  <c r="J337" i="31"/>
  <c r="K337" i="31" s="1"/>
  <c r="P334" i="31"/>
  <c r="N335" i="31"/>
  <c r="O335" i="31" l="1"/>
  <c r="M336" i="31"/>
  <c r="L337" i="31"/>
  <c r="J338" i="31"/>
  <c r="K338" i="31" s="1"/>
  <c r="P335" i="31"/>
  <c r="N336" i="31"/>
  <c r="O336" i="31" l="1"/>
  <c r="M337" i="31"/>
  <c r="L338" i="31"/>
  <c r="J339" i="31"/>
  <c r="K339" i="31" s="1"/>
  <c r="P336" i="31"/>
  <c r="N337" i="31"/>
  <c r="O337" i="31" l="1"/>
  <c r="M338" i="31"/>
  <c r="L339" i="31"/>
  <c r="J340" i="31"/>
  <c r="K340" i="31" s="1"/>
  <c r="P337" i="31"/>
  <c r="N338" i="31"/>
  <c r="O338" i="31" l="1"/>
  <c r="M339" i="31"/>
  <c r="L340" i="31"/>
  <c r="J341" i="31"/>
  <c r="K341" i="31" s="1"/>
  <c r="P338" i="31"/>
  <c r="N339" i="31"/>
  <c r="O339" i="31" l="1"/>
  <c r="M340" i="31"/>
  <c r="L341" i="31"/>
  <c r="J342" i="31"/>
  <c r="K342" i="31" s="1"/>
  <c r="P339" i="31"/>
  <c r="N340" i="31"/>
  <c r="O340" i="31" l="1"/>
  <c r="M341" i="31"/>
  <c r="L342" i="31"/>
  <c r="J343" i="31"/>
  <c r="K343" i="31" s="1"/>
  <c r="P340" i="31"/>
  <c r="N341" i="31"/>
  <c r="O341" i="31" l="1"/>
  <c r="M342" i="31"/>
  <c r="L343" i="31"/>
  <c r="J344" i="31"/>
  <c r="K344" i="31" s="1"/>
  <c r="P341" i="31"/>
  <c r="N342" i="31"/>
  <c r="O342" i="31" l="1"/>
  <c r="M343" i="31"/>
  <c r="L344" i="31"/>
  <c r="J345" i="31"/>
  <c r="K345" i="31" s="1"/>
  <c r="P342" i="31"/>
  <c r="N343" i="31"/>
  <c r="O343" i="31" l="1"/>
  <c r="M344" i="31"/>
  <c r="L345" i="31"/>
  <c r="J346" i="31"/>
  <c r="K346" i="31" s="1"/>
  <c r="P343" i="31"/>
  <c r="N344" i="31"/>
  <c r="O344" i="31" l="1"/>
  <c r="M345" i="31"/>
  <c r="L346" i="31"/>
  <c r="J347" i="31"/>
  <c r="K347" i="31" s="1"/>
  <c r="P344" i="31"/>
  <c r="N345" i="31"/>
  <c r="O345" i="31" l="1"/>
  <c r="M346" i="31"/>
  <c r="L347" i="31"/>
  <c r="J348" i="31"/>
  <c r="K348" i="31" s="1"/>
  <c r="P345" i="31"/>
  <c r="N346" i="31"/>
  <c r="O346" i="31" l="1"/>
  <c r="M347" i="31"/>
  <c r="L348" i="31"/>
  <c r="J349" i="31"/>
  <c r="K349" i="31" s="1"/>
  <c r="P346" i="31"/>
  <c r="N347" i="31"/>
  <c r="O347" i="31" l="1"/>
  <c r="M348" i="31"/>
  <c r="L349" i="31"/>
  <c r="J350" i="31"/>
  <c r="K350" i="31" s="1"/>
  <c r="P347" i="31"/>
  <c r="N348" i="31"/>
  <c r="O348" i="31" l="1"/>
  <c r="M349" i="31"/>
  <c r="L350" i="31"/>
  <c r="J351" i="31"/>
  <c r="K351" i="31" s="1"/>
  <c r="P348" i="31"/>
  <c r="N349" i="31"/>
  <c r="O349" i="31" l="1"/>
  <c r="M350" i="31"/>
  <c r="L351" i="31"/>
  <c r="J352" i="31"/>
  <c r="K352" i="31" s="1"/>
  <c r="P349" i="31"/>
  <c r="N350" i="31"/>
  <c r="O350" i="31" l="1"/>
  <c r="M351" i="31"/>
  <c r="L352" i="31"/>
  <c r="J353" i="31"/>
  <c r="K353" i="31" s="1"/>
  <c r="P350" i="31"/>
  <c r="N351" i="31"/>
  <c r="O351" i="31" l="1"/>
  <c r="M352" i="31"/>
  <c r="L353" i="31"/>
  <c r="J354" i="31"/>
  <c r="K354" i="31" s="1"/>
  <c r="P351" i="31"/>
  <c r="N352" i="31"/>
  <c r="O352" i="31" l="1"/>
  <c r="M353" i="31"/>
  <c r="L354" i="31"/>
  <c r="J355" i="31"/>
  <c r="K355" i="31" s="1"/>
  <c r="P352" i="31"/>
  <c r="N353" i="31"/>
  <c r="O353" i="31" l="1"/>
  <c r="M354" i="31"/>
  <c r="L355" i="31"/>
  <c r="J356" i="31"/>
  <c r="K356" i="31" s="1"/>
  <c r="P353" i="31"/>
  <c r="N354" i="31"/>
  <c r="O354" i="31" l="1"/>
  <c r="M355" i="31"/>
  <c r="L356" i="31"/>
  <c r="J357" i="31"/>
  <c r="K357" i="31" s="1"/>
  <c r="P354" i="31"/>
  <c r="N355" i="31"/>
  <c r="O355" i="31" l="1"/>
  <c r="M356" i="31"/>
  <c r="L357" i="31"/>
  <c r="J358" i="31"/>
  <c r="K358" i="31" s="1"/>
  <c r="P355" i="31"/>
  <c r="N356" i="31"/>
  <c r="O356" i="31" l="1"/>
  <c r="M357" i="31"/>
  <c r="L358" i="31"/>
  <c r="J359" i="31"/>
  <c r="K359" i="31" s="1"/>
  <c r="P356" i="31"/>
  <c r="N357" i="31"/>
  <c r="O357" i="31" l="1"/>
  <c r="M358" i="31"/>
  <c r="L359" i="31"/>
  <c r="J360" i="31"/>
  <c r="K360" i="31" s="1"/>
  <c r="N358" i="31"/>
  <c r="P357" i="31"/>
  <c r="O358" i="31" l="1"/>
  <c r="M359" i="31"/>
  <c r="L360" i="31"/>
  <c r="J361" i="31"/>
  <c r="K361" i="31" s="1"/>
  <c r="N359" i="31"/>
  <c r="P358" i="31"/>
  <c r="O359" i="31" l="1"/>
  <c r="M360" i="31"/>
  <c r="L361" i="31"/>
  <c r="J362" i="31"/>
  <c r="K362" i="31" s="1"/>
  <c r="P359" i="31"/>
  <c r="N360" i="31"/>
  <c r="O360" i="31" l="1"/>
  <c r="M361" i="31"/>
  <c r="L362" i="31"/>
  <c r="J363" i="31"/>
  <c r="K363" i="31" s="1"/>
  <c r="P360" i="31"/>
  <c r="N361" i="31"/>
  <c r="O361" i="31" l="1"/>
  <c r="M362" i="31"/>
  <c r="L363" i="31"/>
  <c r="J364" i="31"/>
  <c r="K364" i="31" s="1"/>
  <c r="P361" i="31"/>
  <c r="N362" i="31"/>
  <c r="O362" i="31" l="1"/>
  <c r="M363" i="31"/>
  <c r="L364" i="31"/>
  <c r="J365" i="31"/>
  <c r="K365" i="31" s="1"/>
  <c r="P362" i="31"/>
  <c r="N363" i="31"/>
  <c r="O363" i="31" l="1"/>
  <c r="M364" i="31"/>
  <c r="L365" i="31"/>
  <c r="J366" i="31"/>
  <c r="K366" i="31" s="1"/>
  <c r="P363" i="31"/>
  <c r="N364" i="31"/>
  <c r="O364" i="31" l="1"/>
  <c r="M365" i="31"/>
  <c r="L366" i="31"/>
  <c r="J367" i="31"/>
  <c r="K367" i="31" s="1"/>
  <c r="P364" i="31"/>
  <c r="N365" i="31"/>
  <c r="O365" i="31" l="1"/>
  <c r="M366" i="31"/>
  <c r="L367" i="31"/>
  <c r="J368" i="31"/>
  <c r="K368" i="31" s="1"/>
  <c r="N366" i="31"/>
  <c r="P365" i="31"/>
  <c r="O366" i="31" l="1"/>
  <c r="M367" i="31"/>
  <c r="L368" i="31"/>
  <c r="J369" i="31"/>
  <c r="K369" i="31" s="1"/>
  <c r="P366" i="31"/>
  <c r="N367" i="31"/>
  <c r="O367" i="31" l="1"/>
  <c r="M368" i="31"/>
  <c r="L369" i="31"/>
  <c r="J370" i="31"/>
  <c r="K370" i="31" s="1"/>
  <c r="N368" i="31"/>
  <c r="P367" i="31"/>
  <c r="O368" i="31" l="1"/>
  <c r="M369" i="31"/>
  <c r="L370" i="31"/>
  <c r="J371" i="31"/>
  <c r="K371" i="31" s="1"/>
  <c r="P368" i="31"/>
  <c r="N369" i="31"/>
  <c r="O369" i="31" l="1"/>
  <c r="M370" i="31"/>
  <c r="L371" i="31"/>
  <c r="J372" i="31"/>
  <c r="K372" i="31" s="1"/>
  <c r="P369" i="31"/>
  <c r="N370" i="31"/>
  <c r="O370" i="31" l="1"/>
  <c r="M371" i="31"/>
  <c r="L372" i="31"/>
  <c r="J373" i="31"/>
  <c r="K373" i="31" s="1"/>
  <c r="P370" i="31"/>
  <c r="N371" i="31"/>
  <c r="O371" i="31" l="1"/>
  <c r="M372" i="31"/>
  <c r="L373" i="31"/>
  <c r="J374" i="31"/>
  <c r="K374" i="31" s="1"/>
  <c r="N372" i="31"/>
  <c r="P371" i="31"/>
  <c r="O372" i="31" l="1"/>
  <c r="M373" i="31"/>
  <c r="L374" i="31"/>
  <c r="J375" i="31"/>
  <c r="K375" i="31" s="1"/>
  <c r="P372" i="31"/>
  <c r="N373" i="31"/>
  <c r="O373" i="31" l="1"/>
  <c r="M374" i="31"/>
  <c r="L375" i="31"/>
  <c r="J376" i="31"/>
  <c r="K376" i="31" s="1"/>
  <c r="P373" i="31"/>
  <c r="N374" i="31"/>
  <c r="O374" i="31" l="1"/>
  <c r="M375" i="31"/>
  <c r="L376" i="31"/>
  <c r="J377" i="31"/>
  <c r="K377" i="31" s="1"/>
  <c r="P374" i="31"/>
  <c r="N375" i="31"/>
  <c r="O375" i="31" l="1"/>
  <c r="M376" i="31"/>
  <c r="L377" i="31"/>
  <c r="J378" i="31"/>
  <c r="K378" i="31" s="1"/>
  <c r="P375" i="31"/>
  <c r="N376" i="31"/>
  <c r="O376" i="31" l="1"/>
  <c r="M377" i="31"/>
  <c r="L378" i="31"/>
  <c r="J379" i="31"/>
  <c r="K379" i="31" s="1"/>
  <c r="P376" i="31"/>
  <c r="N377" i="31"/>
  <c r="O377" i="31" l="1"/>
  <c r="M378" i="31"/>
  <c r="L379" i="31"/>
  <c r="J380" i="31"/>
  <c r="K380" i="31" s="1"/>
  <c r="P377" i="31"/>
  <c r="N378" i="31"/>
  <c r="O378" i="31" l="1"/>
  <c r="M379" i="31"/>
  <c r="L380" i="31"/>
  <c r="J381" i="31"/>
  <c r="K381" i="31" s="1"/>
  <c r="P378" i="31"/>
  <c r="N379" i="31"/>
  <c r="O379" i="31" l="1"/>
  <c r="M380" i="31"/>
  <c r="L381" i="31"/>
  <c r="J382" i="31"/>
  <c r="K382" i="31" s="1"/>
  <c r="N380" i="31"/>
  <c r="P379" i="31"/>
  <c r="O380" i="31" l="1"/>
  <c r="M381" i="31"/>
  <c r="L382" i="31"/>
  <c r="J383" i="31"/>
  <c r="K383" i="31" s="1"/>
  <c r="P380" i="31"/>
  <c r="N381" i="31"/>
  <c r="O381" i="31" l="1"/>
  <c r="M382" i="31"/>
  <c r="L383" i="31"/>
  <c r="J384" i="31"/>
  <c r="K384" i="31" s="1"/>
  <c r="P381" i="31"/>
  <c r="N382" i="31"/>
  <c r="O382" i="31" l="1"/>
  <c r="M383" i="31"/>
  <c r="L384" i="31"/>
  <c r="J385" i="31"/>
  <c r="K385" i="31" s="1"/>
  <c r="P382" i="31"/>
  <c r="N383" i="31"/>
  <c r="O383" i="31" l="1"/>
  <c r="M384" i="31"/>
  <c r="L385" i="31"/>
  <c r="J386" i="31"/>
  <c r="K386" i="31" s="1"/>
  <c r="P383" i="31"/>
  <c r="N384" i="31"/>
  <c r="O384" i="31" l="1"/>
  <c r="M385" i="31"/>
  <c r="L386" i="31"/>
  <c r="J387" i="31"/>
  <c r="K387" i="31" s="1"/>
  <c r="P384" i="31"/>
  <c r="N385" i="31"/>
  <c r="O385" i="31" l="1"/>
  <c r="M386" i="31"/>
  <c r="L387" i="31"/>
  <c r="J388" i="31"/>
  <c r="K388" i="31" s="1"/>
  <c r="P385" i="31"/>
  <c r="N386" i="31"/>
  <c r="O386" i="31" l="1"/>
  <c r="M387" i="31"/>
  <c r="L388" i="31"/>
  <c r="J389" i="31"/>
  <c r="K389" i="31" s="1"/>
  <c r="P386" i="31"/>
  <c r="N387" i="31"/>
  <c r="O387" i="31" l="1"/>
  <c r="M388" i="31"/>
  <c r="L389" i="31"/>
  <c r="J390" i="31"/>
  <c r="K390" i="31" s="1"/>
  <c r="P387" i="31"/>
  <c r="N388" i="31"/>
  <c r="O388" i="31" l="1"/>
  <c r="M389" i="31"/>
  <c r="L390" i="31"/>
  <c r="J391" i="31"/>
  <c r="K391" i="31" s="1"/>
  <c r="P388" i="31"/>
  <c r="N389" i="31"/>
  <c r="O389" i="31" l="1"/>
  <c r="M390" i="31"/>
  <c r="L391" i="31"/>
  <c r="J392" i="31"/>
  <c r="K392" i="31" s="1"/>
  <c r="P389" i="31"/>
  <c r="N390" i="31"/>
  <c r="O390" i="31" l="1"/>
  <c r="M391" i="31"/>
  <c r="L392" i="31"/>
  <c r="J393" i="31"/>
  <c r="K393" i="31" s="1"/>
  <c r="P390" i="31"/>
  <c r="N391" i="31"/>
  <c r="O391" i="31" l="1"/>
  <c r="M392" i="31"/>
  <c r="L393" i="31"/>
  <c r="J394" i="31"/>
  <c r="K394" i="31" s="1"/>
  <c r="P391" i="31"/>
  <c r="N392" i="31"/>
  <c r="O392" i="31" l="1"/>
  <c r="M393" i="31"/>
  <c r="L394" i="31"/>
  <c r="J395" i="31"/>
  <c r="K395" i="31" s="1"/>
  <c r="P392" i="31"/>
  <c r="N393" i="31"/>
  <c r="O393" i="31" l="1"/>
  <c r="M394" i="31"/>
  <c r="L395" i="31"/>
  <c r="J396" i="31"/>
  <c r="K396" i="31" s="1"/>
  <c r="P393" i="31"/>
  <c r="N394" i="31"/>
  <c r="O394" i="31" l="1"/>
  <c r="M395" i="31"/>
  <c r="L396" i="31"/>
  <c r="J397" i="31"/>
  <c r="K397" i="31" s="1"/>
  <c r="P394" i="31"/>
  <c r="N395" i="31"/>
  <c r="O395" i="31" l="1"/>
  <c r="M396" i="31"/>
  <c r="L397" i="31"/>
  <c r="J398" i="31"/>
  <c r="K398" i="31" s="1"/>
  <c r="N396" i="31"/>
  <c r="P395" i="31"/>
  <c r="O396" i="31" l="1"/>
  <c r="M397" i="31"/>
  <c r="L398" i="31"/>
  <c r="J399" i="31"/>
  <c r="K399" i="31" s="1"/>
  <c r="P396" i="31"/>
  <c r="N397" i="31"/>
  <c r="O397" i="31" l="1"/>
  <c r="M398" i="31"/>
  <c r="L399" i="31"/>
  <c r="J400" i="31"/>
  <c r="K400" i="31" s="1"/>
  <c r="P397" i="31"/>
  <c r="N398" i="31"/>
  <c r="O398" i="31" l="1"/>
  <c r="M399" i="31"/>
  <c r="L400" i="31"/>
  <c r="J401" i="31"/>
  <c r="K401" i="31" s="1"/>
  <c r="P398" i="31"/>
  <c r="N399" i="31"/>
  <c r="O399" i="31" l="1"/>
  <c r="M400" i="31"/>
  <c r="L401" i="31"/>
  <c r="J402" i="31"/>
  <c r="K402" i="31" s="1"/>
  <c r="P399" i="31"/>
  <c r="P400" i="31"/>
  <c r="M401" i="31" l="1"/>
  <c r="L402" i="31"/>
  <c r="J403" i="31"/>
  <c r="K403" i="31" s="1"/>
  <c r="N401" i="31"/>
  <c r="N400" i="31"/>
  <c r="O400" i="31" l="1"/>
  <c r="O401" i="31"/>
  <c r="M402" i="31"/>
  <c r="L403" i="31"/>
  <c r="J404" i="31"/>
  <c r="K404" i="31" s="1"/>
  <c r="P401" i="31"/>
  <c r="N402" i="31"/>
  <c r="O402" i="31" l="1"/>
  <c r="M403" i="31"/>
  <c r="L404" i="31"/>
  <c r="J405" i="31"/>
  <c r="K405" i="31" s="1"/>
  <c r="P402" i="31"/>
  <c r="N403" i="31"/>
  <c r="O403" i="31" l="1"/>
  <c r="M404" i="31"/>
  <c r="L405" i="31"/>
  <c r="J406" i="31"/>
  <c r="K406" i="31" s="1"/>
  <c r="N404" i="31"/>
  <c r="P403" i="31"/>
  <c r="O404" i="31" l="1"/>
  <c r="M405" i="31"/>
  <c r="L406" i="31"/>
  <c r="J407" i="31"/>
  <c r="K407" i="31" s="1"/>
  <c r="P404" i="31"/>
  <c r="N405" i="31"/>
  <c r="O405" i="31" l="1"/>
  <c r="M406" i="31"/>
  <c r="L407" i="31"/>
  <c r="J408" i="31"/>
  <c r="K408" i="31" s="1"/>
  <c r="P405" i="31"/>
  <c r="N406" i="31"/>
  <c r="O406" i="31" l="1"/>
  <c r="M407" i="31"/>
  <c r="L408" i="31"/>
  <c r="J409" i="31"/>
  <c r="K409" i="31" s="1"/>
  <c r="P406" i="31"/>
  <c r="N407" i="31"/>
  <c r="O407" i="31" l="1"/>
  <c r="M408" i="31"/>
  <c r="L409" i="31"/>
  <c r="J410" i="31"/>
  <c r="K410" i="31" s="1"/>
  <c r="N408" i="31"/>
  <c r="P407" i="31"/>
  <c r="O408" i="31" l="1"/>
  <c r="M409" i="31"/>
  <c r="L410" i="31"/>
  <c r="J411" i="31"/>
  <c r="K411" i="31" s="1"/>
  <c r="P408" i="31"/>
  <c r="N409" i="31"/>
  <c r="O409" i="31" l="1"/>
  <c r="M410" i="31"/>
  <c r="L411" i="31"/>
  <c r="J412" i="31"/>
  <c r="K412" i="31" s="1"/>
  <c r="N410" i="31"/>
  <c r="P409" i="31"/>
  <c r="O410" i="31" l="1"/>
  <c r="M411" i="31"/>
  <c r="L412" i="31"/>
  <c r="J413" i="31"/>
  <c r="K413" i="31" s="1"/>
  <c r="P410" i="31"/>
  <c r="N411" i="31"/>
  <c r="O411" i="31" l="1"/>
  <c r="M412" i="31"/>
  <c r="L413" i="31"/>
  <c r="J414" i="31"/>
  <c r="K414" i="31" s="1"/>
  <c r="P411" i="31"/>
  <c r="N412" i="31"/>
  <c r="O412" i="31" l="1"/>
  <c r="M413" i="31"/>
  <c r="L414" i="31"/>
  <c r="J415" i="31"/>
  <c r="K415" i="31" s="1"/>
  <c r="P412" i="31"/>
  <c r="N413" i="31"/>
  <c r="O413" i="31" l="1"/>
  <c r="M414" i="31"/>
  <c r="L415" i="31"/>
  <c r="J416" i="31"/>
  <c r="K416" i="31" s="1"/>
  <c r="P413" i="31"/>
  <c r="N414" i="31"/>
  <c r="O414" i="31" l="1"/>
  <c r="M415" i="31"/>
  <c r="L416" i="31"/>
  <c r="J417" i="31"/>
  <c r="K417" i="31" s="1"/>
  <c r="P414" i="31"/>
  <c r="N415" i="31"/>
  <c r="O415" i="31" l="1"/>
  <c r="M416" i="31"/>
  <c r="L417" i="31"/>
  <c r="J418" i="31"/>
  <c r="K418" i="31" s="1"/>
  <c r="P415" i="31"/>
  <c r="N416" i="31"/>
  <c r="O416" i="31" l="1"/>
  <c r="M417" i="31"/>
  <c r="L418" i="31"/>
  <c r="J419" i="31"/>
  <c r="K419" i="31" s="1"/>
  <c r="P416" i="31"/>
  <c r="N417" i="31"/>
  <c r="O417" i="31" l="1"/>
  <c r="M418" i="31"/>
  <c r="L419" i="31"/>
  <c r="J420" i="31"/>
  <c r="K420" i="31" s="1"/>
  <c r="P417" i="31"/>
  <c r="N418" i="31"/>
  <c r="O418" i="31" l="1"/>
  <c r="M419" i="31"/>
  <c r="L420" i="31"/>
  <c r="J421" i="31"/>
  <c r="K421" i="31" s="1"/>
  <c r="P418" i="31"/>
  <c r="N419" i="31"/>
  <c r="O419" i="31" l="1"/>
  <c r="M420" i="31"/>
  <c r="L421" i="31"/>
  <c r="J422" i="31"/>
  <c r="K422" i="31" s="1"/>
  <c r="N420" i="31"/>
  <c r="P419" i="31"/>
  <c r="O420" i="31" l="1"/>
  <c r="M421" i="31"/>
  <c r="L422" i="31"/>
  <c r="J423" i="31"/>
  <c r="K423" i="31" s="1"/>
  <c r="P420" i="31"/>
  <c r="N421" i="31"/>
  <c r="O421" i="31" l="1"/>
  <c r="M422" i="31"/>
  <c r="L423" i="31"/>
  <c r="J424" i="31"/>
  <c r="K424" i="31" s="1"/>
  <c r="P421" i="31"/>
  <c r="N422" i="31"/>
  <c r="O422" i="31" l="1"/>
  <c r="M423" i="31"/>
  <c r="L424" i="31"/>
  <c r="J425" i="31"/>
  <c r="K425" i="31" s="1"/>
  <c r="P422" i="31"/>
  <c r="N423" i="31"/>
  <c r="O423" i="31" l="1"/>
  <c r="M424" i="31"/>
  <c r="L425" i="31"/>
  <c r="J426" i="31"/>
  <c r="K426" i="31" s="1"/>
  <c r="P423" i="31"/>
  <c r="N424" i="31"/>
  <c r="O424" i="31" l="1"/>
  <c r="M425" i="31"/>
  <c r="L426" i="31"/>
  <c r="J427" i="31"/>
  <c r="K427" i="31" s="1"/>
  <c r="P424" i="31"/>
  <c r="N425" i="31"/>
  <c r="O425" i="31" l="1"/>
  <c r="M426" i="31"/>
  <c r="L427" i="31"/>
  <c r="J428" i="31"/>
  <c r="K428" i="31" s="1"/>
  <c r="P425" i="31"/>
  <c r="N426" i="31"/>
  <c r="O426" i="31" l="1"/>
  <c r="M427" i="31"/>
  <c r="L428" i="31"/>
  <c r="J429" i="31"/>
  <c r="K429" i="31" s="1"/>
  <c r="P426" i="31"/>
  <c r="N427" i="31"/>
  <c r="O427" i="31" l="1"/>
  <c r="M428" i="31"/>
  <c r="L429" i="31"/>
  <c r="J430" i="31"/>
  <c r="K430" i="31" s="1"/>
  <c r="N428" i="31"/>
  <c r="P427" i="31"/>
  <c r="O428" i="31" l="1"/>
  <c r="M429" i="31"/>
  <c r="L430" i="31"/>
  <c r="J431" i="31"/>
  <c r="K431" i="31" s="1"/>
  <c r="P428" i="31"/>
  <c r="N429" i="31"/>
  <c r="O429" i="31" l="1"/>
  <c r="M430" i="31"/>
  <c r="L431" i="31"/>
  <c r="J432" i="31"/>
  <c r="K432" i="31" s="1"/>
  <c r="N430" i="31"/>
  <c r="P429" i="31"/>
  <c r="O430" i="31" l="1"/>
  <c r="M431" i="31"/>
  <c r="L432" i="31"/>
  <c r="J433" i="31"/>
  <c r="K433" i="31" s="1"/>
  <c r="P430" i="31"/>
  <c r="N431" i="31"/>
  <c r="O431" i="31" l="1"/>
  <c r="M432" i="31"/>
  <c r="L433" i="31"/>
  <c r="J434" i="31"/>
  <c r="K434" i="31" s="1"/>
  <c r="P431" i="31"/>
  <c r="N432" i="31"/>
  <c r="O432" i="31" l="1"/>
  <c r="M433" i="31"/>
  <c r="L434" i="31"/>
  <c r="J435" i="31"/>
  <c r="K435" i="31" s="1"/>
  <c r="P432" i="31"/>
  <c r="N433" i="31"/>
  <c r="O433" i="31" l="1"/>
  <c r="M434" i="31"/>
  <c r="L435" i="31"/>
  <c r="J436" i="31"/>
  <c r="K436" i="31" s="1"/>
  <c r="P433" i="31"/>
  <c r="N434" i="31"/>
  <c r="O434" i="31" l="1"/>
  <c r="M435" i="31"/>
  <c r="L436" i="31"/>
  <c r="J437" i="31"/>
  <c r="K437" i="31" s="1"/>
  <c r="P434" i="31"/>
  <c r="N435" i="31"/>
  <c r="O435" i="31" l="1"/>
  <c r="M436" i="31"/>
  <c r="L437" i="31"/>
  <c r="J438" i="31"/>
  <c r="K438" i="31" s="1"/>
  <c r="N436" i="31"/>
  <c r="P435" i="31"/>
  <c r="O436" i="31" l="1"/>
  <c r="M437" i="31"/>
  <c r="L438" i="31"/>
  <c r="J439" i="31"/>
  <c r="K439" i="31" s="1"/>
  <c r="P436" i="31"/>
  <c r="N437" i="31"/>
  <c r="O437" i="31" l="1"/>
  <c r="M438" i="31"/>
  <c r="L439" i="31"/>
  <c r="J440" i="31"/>
  <c r="K440" i="31" s="1"/>
  <c r="P437" i="31"/>
  <c r="N438" i="31"/>
  <c r="O438" i="31" l="1"/>
  <c r="M439" i="31"/>
  <c r="L440" i="31"/>
  <c r="J441" i="31"/>
  <c r="K441" i="31" s="1"/>
  <c r="P438" i="31"/>
  <c r="N439" i="31"/>
  <c r="O439" i="31" l="1"/>
  <c r="M440" i="31"/>
  <c r="L441" i="31"/>
  <c r="J442" i="31"/>
  <c r="K442" i="31" s="1"/>
  <c r="N440" i="31"/>
  <c r="P439" i="31"/>
  <c r="O440" i="31" l="1"/>
  <c r="M441" i="31"/>
  <c r="L442" i="31"/>
  <c r="J443" i="31"/>
  <c r="K443" i="31" s="1"/>
  <c r="P440" i="31"/>
  <c r="N441" i="31"/>
  <c r="O441" i="31" l="1"/>
  <c r="M442" i="31"/>
  <c r="L443" i="31"/>
  <c r="J444" i="31"/>
  <c r="K444" i="31" s="1"/>
  <c r="P441" i="31"/>
  <c r="N442" i="31"/>
  <c r="O442" i="31" l="1"/>
  <c r="M443" i="31"/>
  <c r="L444" i="31"/>
  <c r="J445" i="31"/>
  <c r="K445" i="31" s="1"/>
  <c r="P442" i="31"/>
  <c r="N443" i="31"/>
  <c r="O443" i="31" l="1"/>
  <c r="M444" i="31"/>
  <c r="L445" i="31"/>
  <c r="J446" i="31"/>
  <c r="K446" i="31" s="1"/>
  <c r="N444" i="31"/>
  <c r="P443" i="31"/>
  <c r="O444" i="31" l="1"/>
  <c r="M445" i="31"/>
  <c r="L446" i="31"/>
  <c r="J447" i="31"/>
  <c r="K447" i="31" s="1"/>
  <c r="P444" i="31"/>
  <c r="N445" i="31"/>
  <c r="O445" i="31" l="1"/>
  <c r="M446" i="31"/>
  <c r="L447" i="31"/>
  <c r="J448" i="31"/>
  <c r="K448" i="31" s="1"/>
  <c r="P445" i="31"/>
  <c r="N446" i="31"/>
  <c r="O446" i="31" l="1"/>
  <c r="M447" i="31"/>
  <c r="L448" i="31"/>
  <c r="J449" i="31"/>
  <c r="K449" i="31" s="1"/>
  <c r="P446" i="31"/>
  <c r="N447" i="31"/>
  <c r="O447" i="31" l="1"/>
  <c r="M448" i="31"/>
  <c r="L449" i="31"/>
  <c r="J450" i="31"/>
  <c r="K450" i="31" s="1"/>
  <c r="P447" i="31"/>
  <c r="N448" i="31"/>
  <c r="O448" i="31" l="1"/>
  <c r="M449" i="31"/>
  <c r="L450" i="31"/>
  <c r="J451" i="31"/>
  <c r="K451" i="31" s="1"/>
  <c r="P448" i="31"/>
  <c r="N449" i="31"/>
  <c r="O449" i="31" l="1"/>
  <c r="M450" i="31"/>
  <c r="L451" i="31"/>
  <c r="J452" i="31"/>
  <c r="K452" i="31" s="1"/>
  <c r="P449" i="31"/>
  <c r="N450" i="31"/>
  <c r="O450" i="31" l="1"/>
  <c r="M451" i="31"/>
  <c r="L452" i="31"/>
  <c r="J453" i="31"/>
  <c r="K453" i="31" s="1"/>
  <c r="P450" i="31"/>
  <c r="N451" i="31"/>
  <c r="O451" i="31" l="1"/>
  <c r="M452" i="31"/>
  <c r="L453" i="31"/>
  <c r="J454" i="31"/>
  <c r="K454" i="31" s="1"/>
  <c r="N452" i="31"/>
  <c r="P451" i="31"/>
  <c r="O452" i="31" l="1"/>
  <c r="M453" i="31"/>
  <c r="L454" i="31"/>
  <c r="J455" i="31"/>
  <c r="K455" i="31" s="1"/>
  <c r="P452" i="31"/>
  <c r="N453" i="31"/>
  <c r="O453" i="31" l="1"/>
  <c r="M454" i="31"/>
  <c r="L455" i="31"/>
  <c r="J456" i="31"/>
  <c r="K456" i="31" s="1"/>
  <c r="P453" i="31"/>
  <c r="N454" i="31"/>
  <c r="O454" i="31" l="1"/>
  <c r="M455" i="31"/>
  <c r="L456" i="31"/>
  <c r="J457" i="31"/>
  <c r="K457" i="31" s="1"/>
  <c r="P454" i="31"/>
  <c r="N455" i="31"/>
  <c r="O455" i="31" l="1"/>
  <c r="M456" i="31"/>
  <c r="L457" i="31"/>
  <c r="J458" i="31"/>
  <c r="K458" i="31" s="1"/>
  <c r="P455" i="31"/>
  <c r="N456" i="31"/>
  <c r="O456" i="31" l="1"/>
  <c r="M457" i="31"/>
  <c r="L458" i="31"/>
  <c r="J459" i="31"/>
  <c r="K459" i="31" s="1"/>
  <c r="P456" i="31"/>
  <c r="N457" i="31"/>
  <c r="O457" i="31" l="1"/>
  <c r="M458" i="31"/>
  <c r="L459" i="31"/>
  <c r="J460" i="31"/>
  <c r="K460" i="31" s="1"/>
  <c r="N458" i="31"/>
  <c r="P457" i="31"/>
  <c r="O458" i="31" l="1"/>
  <c r="M459" i="31"/>
  <c r="L460" i="31"/>
  <c r="J461" i="31"/>
  <c r="K461" i="31" s="1"/>
  <c r="P458" i="31"/>
  <c r="N459" i="31"/>
  <c r="O459" i="31" l="1"/>
  <c r="M460" i="31"/>
  <c r="L461" i="31"/>
  <c r="J462" i="31"/>
  <c r="K462" i="31" s="1"/>
  <c r="P459" i="31"/>
  <c r="N460" i="31"/>
  <c r="O460" i="31" l="1"/>
  <c r="M461" i="31"/>
  <c r="L462" i="31"/>
  <c r="J463" i="31"/>
  <c r="K463" i="31" s="1"/>
  <c r="P460" i="31"/>
  <c r="N461" i="31"/>
  <c r="O461" i="31" l="1"/>
  <c r="M462" i="31"/>
  <c r="L463" i="31"/>
  <c r="J464" i="31"/>
  <c r="K464" i="31" s="1"/>
  <c r="P461" i="31"/>
  <c r="N462" i="31"/>
  <c r="O462" i="31" l="1"/>
  <c r="M463" i="31"/>
  <c r="L464" i="31"/>
  <c r="J465" i="31"/>
  <c r="K465" i="31" s="1"/>
  <c r="P462" i="31"/>
  <c r="N463" i="31"/>
  <c r="O463" i="31" l="1"/>
  <c r="M464" i="31"/>
  <c r="L465" i="31"/>
  <c r="J466" i="31"/>
  <c r="K466" i="31" s="1"/>
  <c r="P463" i="31"/>
  <c r="N464" i="31"/>
  <c r="O464" i="31" l="1"/>
  <c r="M465" i="31"/>
  <c r="L466" i="31"/>
  <c r="J467" i="31"/>
  <c r="K467" i="31" s="1"/>
  <c r="P464" i="31"/>
  <c r="N465" i="31"/>
  <c r="O465" i="31" l="1"/>
  <c r="M466" i="31"/>
  <c r="L467" i="31"/>
  <c r="J468" i="31"/>
  <c r="K468" i="31" s="1"/>
  <c r="P465" i="31"/>
  <c r="N466" i="31"/>
  <c r="O466" i="31" l="1"/>
  <c r="M467" i="31"/>
  <c r="L468" i="31"/>
  <c r="J469" i="31"/>
  <c r="K469" i="31" s="1"/>
  <c r="P466" i="31"/>
  <c r="N467" i="31"/>
  <c r="O467" i="31" l="1"/>
  <c r="M468" i="31"/>
  <c r="L469" i="31"/>
  <c r="J470" i="31"/>
  <c r="K470" i="31" s="1"/>
  <c r="P467" i="31"/>
  <c r="N468" i="31"/>
  <c r="O468" i="31" l="1"/>
  <c r="M469" i="31"/>
  <c r="L470" i="31"/>
  <c r="J471" i="31"/>
  <c r="K471" i="31" s="1"/>
  <c r="P468" i="31"/>
  <c r="N469" i="31"/>
  <c r="O469" i="31" l="1"/>
  <c r="M470" i="31"/>
  <c r="L471" i="31"/>
  <c r="J472" i="31"/>
  <c r="K472" i="31" s="1"/>
  <c r="P469" i="31"/>
  <c r="N470" i="31"/>
  <c r="O470" i="31" l="1"/>
  <c r="M471" i="31"/>
  <c r="L472" i="31"/>
  <c r="J473" i="31"/>
  <c r="K473" i="31" s="1"/>
  <c r="P470" i="31"/>
  <c r="N471" i="31"/>
  <c r="O471" i="31" l="1"/>
  <c r="M472" i="31"/>
  <c r="L473" i="31"/>
  <c r="J474" i="31"/>
  <c r="K474" i="31" s="1"/>
  <c r="P471" i="31"/>
  <c r="N472" i="31"/>
  <c r="O472" i="31" l="1"/>
  <c r="M473" i="31"/>
  <c r="L474" i="31"/>
  <c r="J475" i="31"/>
  <c r="K475" i="31" s="1"/>
  <c r="P472" i="31"/>
  <c r="N473" i="31"/>
  <c r="O473" i="31" l="1"/>
  <c r="M474" i="31"/>
  <c r="L475" i="31"/>
  <c r="J476" i="31"/>
  <c r="K476" i="31" s="1"/>
  <c r="P473" i="31"/>
  <c r="N474" i="31"/>
  <c r="O474" i="31" l="1"/>
  <c r="M475" i="31"/>
  <c r="L476" i="31"/>
  <c r="J477" i="31"/>
  <c r="K477" i="31" s="1"/>
  <c r="P474" i="31"/>
  <c r="N475" i="31"/>
  <c r="O475" i="31" l="1"/>
  <c r="M476" i="31"/>
  <c r="L477" i="31"/>
  <c r="J478" i="31"/>
  <c r="K478" i="31" s="1"/>
  <c r="P475" i="31"/>
  <c r="N476" i="31"/>
  <c r="O476" i="31" l="1"/>
  <c r="M477" i="31"/>
  <c r="L478" i="31"/>
  <c r="J479" i="31"/>
  <c r="K479" i="31" s="1"/>
  <c r="N477" i="31"/>
  <c r="P476" i="31"/>
  <c r="O477" i="31" l="1"/>
  <c r="M478" i="31"/>
  <c r="L479" i="31"/>
  <c r="J480" i="31"/>
  <c r="K480" i="31" s="1"/>
  <c r="P477" i="31"/>
  <c r="N478" i="31"/>
  <c r="O478" i="31" l="1"/>
  <c r="M479" i="31"/>
  <c r="L480" i="31"/>
  <c r="J481" i="31"/>
  <c r="K481" i="31" s="1"/>
  <c r="P478" i="31"/>
  <c r="N479" i="31"/>
  <c r="O479" i="31" l="1"/>
  <c r="M480" i="31"/>
  <c r="L481" i="31"/>
  <c r="J482" i="31"/>
  <c r="K482" i="31" s="1"/>
  <c r="P479" i="31"/>
  <c r="N480" i="31"/>
  <c r="O480" i="31" l="1"/>
  <c r="M481" i="31"/>
  <c r="L482" i="31"/>
  <c r="J483" i="31"/>
  <c r="K483" i="31" s="1"/>
  <c r="P480" i="31"/>
  <c r="N481" i="31"/>
  <c r="O481" i="31" l="1"/>
  <c r="M482" i="31"/>
  <c r="L483" i="31"/>
  <c r="J484" i="31"/>
  <c r="K484" i="31" s="1"/>
  <c r="P481" i="31"/>
  <c r="N482" i="31"/>
  <c r="O482" i="31" l="1"/>
  <c r="M483" i="31"/>
  <c r="L484" i="31"/>
  <c r="J485" i="31"/>
  <c r="K485" i="31" s="1"/>
  <c r="P482" i="31"/>
  <c r="N483" i="31"/>
  <c r="O483" i="31" l="1"/>
  <c r="M484" i="31"/>
  <c r="L485" i="31"/>
  <c r="J486" i="31"/>
  <c r="K486" i="31" s="1"/>
  <c r="P483" i="31"/>
  <c r="N484" i="31"/>
  <c r="O484" i="31" l="1"/>
  <c r="M485" i="31"/>
  <c r="L486" i="31"/>
  <c r="J487" i="31"/>
  <c r="K487" i="31" s="1"/>
  <c r="P484" i="31"/>
  <c r="N485" i="31"/>
  <c r="O485" i="31" l="1"/>
  <c r="M486" i="31"/>
  <c r="L487" i="31"/>
  <c r="J488" i="31"/>
  <c r="K488" i="31" s="1"/>
  <c r="P485" i="31"/>
  <c r="N486" i="31"/>
  <c r="O486" i="31" l="1"/>
  <c r="M487" i="31"/>
  <c r="L488" i="31"/>
  <c r="J489" i="31"/>
  <c r="K489" i="31" s="1"/>
  <c r="N487" i="31"/>
  <c r="P486" i="31"/>
  <c r="O487" i="31" l="1"/>
  <c r="M488" i="31"/>
  <c r="L489" i="31"/>
  <c r="J490" i="31"/>
  <c r="K490" i="31" s="1"/>
  <c r="P487" i="31"/>
  <c r="N488" i="31"/>
  <c r="O488" i="31" l="1"/>
  <c r="M489" i="31"/>
  <c r="L490" i="31"/>
  <c r="J491" i="31"/>
  <c r="K491" i="31" s="1"/>
  <c r="P488" i="31"/>
  <c r="N489" i="31"/>
  <c r="O489" i="31" l="1"/>
  <c r="M490" i="31"/>
  <c r="L491" i="31"/>
  <c r="J492" i="31"/>
  <c r="K492" i="31" s="1"/>
  <c r="P489" i="31"/>
  <c r="N490" i="31"/>
  <c r="O490" i="31" l="1"/>
  <c r="M491" i="31"/>
  <c r="L492" i="31"/>
  <c r="J493" i="31"/>
  <c r="K493" i="31" s="1"/>
  <c r="P490" i="31"/>
  <c r="N491" i="31"/>
  <c r="O491" i="31" l="1"/>
  <c r="M492" i="31"/>
  <c r="L493" i="31"/>
  <c r="J494" i="31"/>
  <c r="K494" i="31" s="1"/>
  <c r="P491" i="31"/>
  <c r="N492" i="31"/>
  <c r="O492" i="31" l="1"/>
  <c r="M493" i="31"/>
  <c r="L494" i="31"/>
  <c r="J495" i="31"/>
  <c r="K495" i="31" s="1"/>
  <c r="P492" i="31"/>
  <c r="N493" i="31"/>
  <c r="O493" i="31" l="1"/>
  <c r="M494" i="31"/>
  <c r="L495" i="31"/>
  <c r="J496" i="31"/>
  <c r="K496" i="31" s="1"/>
  <c r="P493" i="31"/>
  <c r="N494" i="31"/>
  <c r="O494" i="31" l="1"/>
  <c r="M495" i="31"/>
  <c r="L496" i="31"/>
  <c r="J497" i="31"/>
  <c r="K497" i="31" s="1"/>
  <c r="P494" i="31"/>
  <c r="N495" i="31"/>
  <c r="O495" i="31" l="1"/>
  <c r="M496" i="31"/>
  <c r="L497" i="31"/>
  <c r="J498" i="31"/>
  <c r="K498" i="31" s="1"/>
  <c r="P495" i="31"/>
  <c r="N496" i="31"/>
  <c r="O496" i="31" l="1"/>
  <c r="M497" i="31"/>
  <c r="L498" i="31"/>
  <c r="J499" i="31"/>
  <c r="K499" i="31" s="1"/>
  <c r="P496" i="31"/>
  <c r="N497" i="31"/>
  <c r="O497" i="31" l="1"/>
  <c r="M498" i="31"/>
  <c r="L499" i="31"/>
  <c r="J500" i="31"/>
  <c r="K500" i="31" s="1"/>
  <c r="P497" i="31"/>
  <c r="N498" i="31"/>
  <c r="O498" i="31" l="1"/>
  <c r="M499" i="31"/>
  <c r="L500" i="31"/>
  <c r="J501" i="31"/>
  <c r="P498" i="31"/>
  <c r="N499" i="31"/>
  <c r="K501" i="31" l="1"/>
  <c r="O499" i="31"/>
  <c r="M500" i="31"/>
  <c r="P499" i="31"/>
  <c r="N500" i="31"/>
  <c r="L501" i="31" l="1"/>
  <c r="M501" i="31" s="1"/>
  <c r="O500" i="31"/>
  <c r="H5" i="25"/>
  <c r="N5" i="25"/>
  <c r="P5" i="25"/>
  <c r="N501" i="31"/>
  <c r="M5" i="25"/>
  <c r="E5" i="25"/>
  <c r="I5" i="25"/>
  <c r="L5" i="25"/>
  <c r="O5" i="25"/>
  <c r="D5" i="25"/>
  <c r="G5" i="25"/>
  <c r="F5" i="25"/>
  <c r="K5" i="25"/>
  <c r="J5" i="25"/>
  <c r="Q5" i="25"/>
  <c r="P500" i="31"/>
  <c r="O501" i="31" l="1"/>
  <c r="Q19" i="27"/>
  <c r="Q18" i="27"/>
  <c r="Q17" i="27"/>
  <c r="P8" i="27"/>
  <c r="P7" i="27"/>
  <c r="O10" i="27"/>
  <c r="O4" i="27"/>
  <c r="O6" i="27"/>
  <c r="BN4" i="9"/>
  <c r="BN3" i="9"/>
  <c r="B9" i="25"/>
  <c r="P501" i="31"/>
  <c r="Q32" i="27" l="1"/>
  <c r="Q30" i="27"/>
  <c r="R9" i="25"/>
  <c r="Q9" i="25"/>
  <c r="M9" i="25"/>
  <c r="L9" i="25"/>
  <c r="K9" i="25"/>
  <c r="N9" i="25"/>
  <c r="J9" i="25"/>
  <c r="P9" i="25"/>
  <c r="O9" i="25"/>
  <c r="F9" i="25"/>
  <c r="G9" i="25"/>
  <c r="C5" i="25"/>
  <c r="H9" i="25"/>
  <c r="I9" i="25"/>
  <c r="E9" i="25"/>
  <c r="D9" i="25"/>
  <c r="B10" i="25"/>
  <c r="R10" i="25" l="1"/>
  <c r="P10" i="25"/>
  <c r="J10" i="25"/>
  <c r="O10" i="25"/>
  <c r="K10" i="25"/>
  <c r="M10" i="25"/>
  <c r="L10" i="25"/>
  <c r="Q10" i="25"/>
  <c r="N10" i="25"/>
  <c r="E10" i="25"/>
  <c r="G10" i="25"/>
  <c r="B11" i="25"/>
  <c r="D10" i="25"/>
  <c r="C9" i="25"/>
  <c r="C10" i="25"/>
  <c r="F10" i="25"/>
  <c r="I10" i="25"/>
  <c r="H10" i="25"/>
  <c r="R11" i="25" l="1"/>
  <c r="M11" i="25"/>
  <c r="N11" i="25"/>
  <c r="O11" i="25"/>
  <c r="J11" i="25"/>
  <c r="K11" i="25"/>
  <c r="P11" i="25"/>
  <c r="L11" i="25"/>
  <c r="Q11" i="25"/>
  <c r="E11" i="25"/>
  <c r="D11" i="25"/>
  <c r="I11" i="25"/>
  <c r="F11" i="25"/>
  <c r="H11" i="25"/>
  <c r="B12" i="25"/>
  <c r="C11" i="25"/>
  <c r="G11" i="25"/>
  <c r="R12" i="25" l="1"/>
  <c r="O12" i="25"/>
  <c r="M12" i="25"/>
  <c r="N12" i="25"/>
  <c r="Q12" i="25"/>
  <c r="L12" i="25"/>
  <c r="K12" i="25"/>
  <c r="J12" i="25"/>
  <c r="P12" i="25"/>
  <c r="H12" i="25"/>
  <c r="D12" i="25"/>
  <c r="G12" i="25"/>
  <c r="F12" i="25"/>
  <c r="C12" i="25"/>
  <c r="B13" i="25"/>
  <c r="I12" i="25"/>
  <c r="E12" i="25"/>
  <c r="R13" i="25" l="1"/>
  <c r="P13" i="25"/>
  <c r="O13" i="25"/>
  <c r="Q13" i="25"/>
  <c r="L13" i="25"/>
  <c r="M13" i="25"/>
  <c r="J13" i="25"/>
  <c r="K13" i="25"/>
  <c r="N13" i="25"/>
  <c r="G13" i="25"/>
  <c r="I13" i="25"/>
  <c r="C13" i="25"/>
  <c r="F13" i="25"/>
  <c r="B14" i="25"/>
  <c r="D13" i="25"/>
  <c r="E13" i="25"/>
  <c r="H13" i="25"/>
  <c r="R14" i="25" l="1"/>
  <c r="K14" i="25"/>
  <c r="J14" i="25"/>
  <c r="O14" i="25"/>
  <c r="M14" i="25"/>
  <c r="N14" i="25"/>
  <c r="L14" i="25"/>
  <c r="Q14" i="25"/>
  <c r="P14" i="25"/>
  <c r="B15" i="25"/>
  <c r="G14" i="25"/>
  <c r="E14" i="25"/>
  <c r="D14" i="25"/>
  <c r="I14" i="25"/>
  <c r="C14" i="25"/>
  <c r="H14" i="25"/>
  <c r="F14" i="25"/>
  <c r="R15" i="25" l="1"/>
  <c r="P15" i="25"/>
  <c r="K15" i="25"/>
  <c r="Q15" i="25"/>
  <c r="O15" i="25"/>
  <c r="J15" i="25"/>
  <c r="N15" i="25"/>
  <c r="M15" i="25"/>
  <c r="L15" i="25"/>
  <c r="B16" i="25"/>
  <c r="F15" i="25"/>
  <c r="I15" i="25"/>
  <c r="G15" i="25"/>
  <c r="E15" i="25"/>
  <c r="D15" i="25"/>
  <c r="C15" i="25"/>
  <c r="H15" i="25"/>
  <c r="R16" i="25" l="1"/>
  <c r="Q16" i="25"/>
  <c r="O16" i="25"/>
  <c r="M16" i="25"/>
  <c r="J16" i="25"/>
  <c r="P16" i="25"/>
  <c r="K16" i="25"/>
  <c r="L16" i="25"/>
  <c r="N16" i="25"/>
  <c r="G16" i="25"/>
  <c r="E16" i="25"/>
  <c r="B17" i="25"/>
  <c r="I16" i="25"/>
  <c r="F16" i="25"/>
  <c r="D16" i="25"/>
  <c r="H16" i="25"/>
  <c r="C16" i="25"/>
  <c r="R17" i="25" l="1"/>
  <c r="J17" i="25"/>
  <c r="O17" i="25"/>
  <c r="K17" i="25"/>
  <c r="Q17" i="25"/>
  <c r="P17" i="25"/>
  <c r="L17" i="25"/>
  <c r="N17" i="25"/>
  <c r="M17" i="25"/>
  <c r="F17" i="25"/>
  <c r="I17" i="25"/>
  <c r="C17" i="25"/>
  <c r="G17" i="25"/>
  <c r="D17" i="25"/>
  <c r="H17" i="25"/>
  <c r="E17" i="25"/>
  <c r="B18" i="25"/>
  <c r="R18" i="25" l="1"/>
  <c r="K18" i="25"/>
  <c r="O18" i="25"/>
  <c r="J18" i="25"/>
  <c r="N18" i="25"/>
  <c r="M18" i="25"/>
  <c r="L18" i="25"/>
  <c r="Q18" i="25"/>
  <c r="P18" i="25"/>
  <c r="E18" i="25"/>
  <c r="C18" i="25"/>
  <c r="G18" i="25"/>
  <c r="I18" i="25"/>
  <c r="F18" i="25"/>
  <c r="H18" i="25"/>
  <c r="D18" i="25"/>
  <c r="B19" i="25"/>
  <c r="R19" i="25" l="1"/>
  <c r="J19" i="25"/>
  <c r="M19" i="25"/>
  <c r="O19" i="25"/>
  <c r="P19" i="25"/>
  <c r="L19" i="25"/>
  <c r="N19" i="25"/>
  <c r="Q19" i="25"/>
  <c r="K19" i="25"/>
  <c r="B20" i="25"/>
  <c r="E19" i="25"/>
  <c r="F19" i="25"/>
  <c r="I19" i="25"/>
  <c r="D19" i="25"/>
  <c r="C19" i="25"/>
  <c r="G19" i="25"/>
  <c r="H19" i="25"/>
  <c r="R20" i="25" l="1"/>
  <c r="J20" i="25"/>
  <c r="M20" i="25"/>
  <c r="Q20" i="25"/>
  <c r="O20" i="25"/>
  <c r="P20" i="25"/>
  <c r="L20" i="25"/>
  <c r="N20" i="25"/>
  <c r="K20" i="25"/>
  <c r="I20" i="25"/>
  <c r="B21" i="25"/>
  <c r="D20" i="25"/>
  <c r="F20" i="25"/>
  <c r="G20" i="25"/>
  <c r="E20" i="25"/>
  <c r="C20" i="25"/>
  <c r="H20" i="25"/>
  <c r="R21" i="25" l="1"/>
  <c r="J21" i="25"/>
  <c r="P21" i="25"/>
  <c r="N21" i="25"/>
  <c r="Q21" i="25"/>
  <c r="L21" i="25"/>
  <c r="O21" i="25"/>
  <c r="M21" i="25"/>
  <c r="K21" i="25"/>
  <c r="F21" i="25"/>
  <c r="H21" i="25"/>
  <c r="B22" i="25"/>
  <c r="E21" i="25"/>
  <c r="C21" i="25"/>
  <c r="D21" i="25"/>
  <c r="I21" i="25"/>
  <c r="G21" i="25"/>
  <c r="R22" i="25" l="1"/>
  <c r="K22" i="25"/>
  <c r="O22" i="25"/>
  <c r="N22" i="25"/>
  <c r="M22" i="25"/>
  <c r="Q22" i="25"/>
  <c r="P22" i="25"/>
  <c r="L22" i="25"/>
  <c r="J22" i="25"/>
  <c r="C22" i="25"/>
  <c r="F22" i="25"/>
  <c r="H22" i="25"/>
  <c r="D22" i="25"/>
  <c r="I22" i="25"/>
  <c r="G22" i="25"/>
  <c r="B23" i="25"/>
  <c r="E22" i="25"/>
  <c r="R23" i="25" l="1"/>
  <c r="J23" i="25"/>
  <c r="L23" i="25"/>
  <c r="Q23" i="25"/>
  <c r="M23" i="25"/>
  <c r="P23" i="25"/>
  <c r="O23" i="25"/>
  <c r="N23" i="25"/>
  <c r="K23" i="25"/>
  <c r="H23" i="25"/>
  <c r="C23" i="25"/>
  <c r="E23" i="25"/>
  <c r="D23" i="25"/>
  <c r="G23" i="25"/>
  <c r="I23" i="25"/>
  <c r="B24" i="25"/>
  <c r="F23" i="25"/>
  <c r="R24" i="25" l="1"/>
  <c r="K24" i="25"/>
  <c r="N24" i="25"/>
  <c r="O24" i="25"/>
  <c r="P24" i="25"/>
  <c r="M24" i="25"/>
  <c r="Q24" i="25"/>
  <c r="L24" i="25"/>
  <c r="J24" i="25"/>
  <c r="I24" i="25"/>
  <c r="H24" i="25"/>
  <c r="E24" i="25"/>
  <c r="F24" i="25"/>
  <c r="C24" i="25"/>
  <c r="B25" i="25"/>
  <c r="D24" i="25"/>
  <c r="G24" i="25"/>
  <c r="R25" i="25" l="1"/>
  <c r="K25" i="25"/>
  <c r="L25" i="25"/>
  <c r="N25" i="25"/>
  <c r="Q25" i="25"/>
  <c r="O25" i="25"/>
  <c r="P25" i="25"/>
  <c r="J25" i="25"/>
  <c r="M25" i="25"/>
  <c r="E25" i="25"/>
  <c r="B26" i="25"/>
  <c r="F25" i="25"/>
  <c r="G25" i="25"/>
  <c r="C25" i="25"/>
  <c r="H25" i="25"/>
  <c r="I25" i="25"/>
  <c r="D25" i="25"/>
  <c r="R26" i="25" l="1"/>
  <c r="J26" i="25"/>
  <c r="P26" i="25"/>
  <c r="Q26" i="25"/>
  <c r="N26" i="25"/>
  <c r="O26" i="25"/>
  <c r="L26" i="25"/>
  <c r="K26" i="25"/>
  <c r="M26" i="25"/>
  <c r="F26" i="25"/>
  <c r="B27" i="25"/>
  <c r="I26" i="25"/>
  <c r="D26" i="25"/>
  <c r="G26" i="25"/>
  <c r="H26" i="25"/>
  <c r="C26" i="25"/>
  <c r="E26" i="25"/>
  <c r="R27" i="25" l="1"/>
  <c r="K27" i="25"/>
  <c r="N27" i="25"/>
  <c r="O27" i="25"/>
  <c r="L27" i="25"/>
  <c r="Q27" i="25"/>
  <c r="M27" i="25"/>
  <c r="P27" i="25"/>
  <c r="J27" i="25"/>
  <c r="D27" i="25"/>
  <c r="E27" i="25"/>
  <c r="C27" i="25"/>
  <c r="G27" i="25"/>
  <c r="B28" i="25"/>
  <c r="H27" i="25"/>
  <c r="F27" i="25"/>
  <c r="I27" i="25"/>
  <c r="R28" i="25" l="1"/>
  <c r="J28" i="25"/>
  <c r="L28" i="25"/>
  <c r="Q28" i="25"/>
  <c r="P28" i="25"/>
  <c r="M28" i="25"/>
  <c r="N28" i="25"/>
  <c r="O28" i="25"/>
  <c r="K28" i="25"/>
  <c r="D28" i="25"/>
  <c r="I28" i="25"/>
  <c r="E28" i="25"/>
  <c r="C28" i="25"/>
  <c r="H28" i="25"/>
  <c r="G28" i="25"/>
  <c r="B29" i="25"/>
  <c r="F28" i="25"/>
  <c r="R29" i="25" l="1"/>
  <c r="J29" i="25"/>
  <c r="L29" i="25"/>
  <c r="Q29" i="25"/>
  <c r="M29" i="25"/>
  <c r="N29" i="25"/>
  <c r="P29" i="25"/>
  <c r="O29" i="25"/>
  <c r="K29" i="25"/>
  <c r="F29" i="25"/>
  <c r="H29" i="25"/>
  <c r="C29" i="25"/>
  <c r="I29" i="25"/>
  <c r="B30" i="25"/>
  <c r="E29" i="25"/>
  <c r="G29" i="25"/>
  <c r="D29" i="25"/>
  <c r="R30" i="25" l="1"/>
  <c r="K30" i="25"/>
  <c r="P30" i="25"/>
  <c r="M30" i="25"/>
  <c r="L30" i="25"/>
  <c r="Q30" i="25"/>
  <c r="N30" i="25"/>
  <c r="O30" i="25"/>
  <c r="J30" i="25"/>
  <c r="B31" i="25"/>
  <c r="D30" i="25"/>
  <c r="H30" i="25"/>
  <c r="E30" i="25"/>
  <c r="C30" i="25"/>
  <c r="I30" i="25"/>
  <c r="F30" i="25"/>
  <c r="G30" i="25"/>
  <c r="R31" i="25" l="1"/>
  <c r="K31" i="25"/>
  <c r="P31" i="25"/>
  <c r="L31" i="25"/>
  <c r="M31" i="25"/>
  <c r="N31" i="25"/>
  <c r="Q31" i="25"/>
  <c r="O31" i="25"/>
  <c r="J31" i="25"/>
  <c r="C31" i="25"/>
  <c r="G31" i="25"/>
  <c r="I31" i="25"/>
  <c r="B32" i="25"/>
  <c r="F31" i="25"/>
  <c r="E31" i="25"/>
  <c r="H31" i="25"/>
  <c r="D31" i="25"/>
  <c r="R32" i="25" l="1"/>
  <c r="J32" i="25"/>
  <c r="P32" i="25"/>
  <c r="O32" i="25"/>
  <c r="Q32" i="25"/>
  <c r="N32" i="25"/>
  <c r="L32" i="25"/>
  <c r="M32" i="25"/>
  <c r="K32" i="25"/>
  <c r="D32" i="25"/>
  <c r="E32" i="25"/>
  <c r="I32" i="25"/>
  <c r="F32" i="25"/>
  <c r="H32" i="25"/>
  <c r="C32" i="25"/>
  <c r="G32" i="25"/>
  <c r="B33" i="25"/>
  <c r="R33" i="25" l="1"/>
  <c r="J33" i="25"/>
  <c r="M33" i="25"/>
  <c r="N33" i="25"/>
  <c r="L33" i="25"/>
  <c r="P33" i="25"/>
  <c r="K33" i="25"/>
  <c r="O33" i="25"/>
  <c r="Q33" i="25"/>
  <c r="C33" i="25"/>
  <c r="F33" i="25"/>
  <c r="B34" i="25"/>
  <c r="I33" i="25"/>
  <c r="G33" i="25"/>
  <c r="E33" i="25"/>
  <c r="H33" i="25"/>
  <c r="D33" i="25"/>
  <c r="R34" i="25" l="1"/>
  <c r="K34" i="25"/>
  <c r="O34" i="25"/>
  <c r="Q34" i="25"/>
  <c r="M34" i="25"/>
  <c r="P34" i="25"/>
  <c r="J34" i="25"/>
  <c r="L34" i="25"/>
  <c r="N34" i="25"/>
  <c r="E34" i="25"/>
  <c r="I34" i="25"/>
  <c r="H34" i="25"/>
  <c r="B35" i="25"/>
  <c r="D34" i="25"/>
  <c r="G34" i="25"/>
  <c r="C34" i="25"/>
  <c r="F34" i="25"/>
  <c r="R35" i="25" l="1"/>
  <c r="J35" i="25"/>
  <c r="M35" i="25"/>
  <c r="N35" i="25"/>
  <c r="O35" i="25"/>
  <c r="L35" i="25"/>
  <c r="P35" i="25"/>
  <c r="Q35" i="25"/>
  <c r="K35" i="25"/>
  <c r="B36" i="25"/>
  <c r="H35" i="25"/>
  <c r="F35" i="25"/>
  <c r="G35" i="25"/>
  <c r="I35" i="25"/>
  <c r="D35" i="25"/>
  <c r="E35" i="25"/>
  <c r="C35" i="25"/>
  <c r="R36" i="25" l="1"/>
  <c r="Q36" i="25"/>
  <c r="O36" i="25"/>
  <c r="L36" i="25"/>
  <c r="P36" i="25"/>
  <c r="N36" i="25"/>
  <c r="M36" i="25"/>
  <c r="K36" i="25"/>
  <c r="J36" i="25"/>
  <c r="B37" i="25"/>
  <c r="C36" i="25"/>
  <c r="E36" i="25"/>
  <c r="H36" i="25"/>
  <c r="I36" i="25"/>
  <c r="D36" i="25"/>
  <c r="F36" i="25"/>
  <c r="G36" i="25"/>
  <c r="R37" i="25" l="1"/>
  <c r="L37" i="25"/>
  <c r="M37" i="25"/>
  <c r="N37" i="25"/>
  <c r="O37" i="25"/>
  <c r="P37" i="25"/>
  <c r="Q37" i="25"/>
  <c r="J37" i="25"/>
  <c r="K37" i="25"/>
  <c r="E37" i="25"/>
  <c r="I37" i="25"/>
  <c r="H37" i="25"/>
  <c r="F37" i="25"/>
  <c r="B38" i="25"/>
  <c r="D37" i="25"/>
  <c r="C37" i="25"/>
  <c r="G37" i="25"/>
  <c r="R38" i="25" l="1"/>
  <c r="N38" i="25"/>
  <c r="L38" i="25"/>
  <c r="M38" i="25"/>
  <c r="O38" i="25"/>
  <c r="Q38" i="25"/>
  <c r="P38" i="25"/>
  <c r="J38" i="25"/>
  <c r="K38" i="25"/>
  <c r="F38" i="25"/>
  <c r="G38" i="25"/>
  <c r="I38" i="25"/>
  <c r="E38" i="25"/>
  <c r="D38" i="25"/>
  <c r="H38" i="25"/>
  <c r="C38" i="25"/>
  <c r="B39" i="25"/>
  <c r="R39" i="25" l="1"/>
  <c r="Q39" i="25"/>
  <c r="O39" i="25"/>
  <c r="M39" i="25"/>
  <c r="L39" i="25"/>
  <c r="P39" i="25"/>
  <c r="N39" i="25"/>
  <c r="J39" i="25"/>
  <c r="K39" i="25"/>
  <c r="D39" i="25"/>
  <c r="H39" i="25"/>
  <c r="G39" i="25"/>
  <c r="B40" i="25"/>
  <c r="I39" i="25"/>
  <c r="F39" i="25"/>
  <c r="C39" i="25"/>
  <c r="E39" i="25"/>
  <c r="M40" i="25" l="1"/>
  <c r="L40" i="25"/>
  <c r="O40" i="25"/>
  <c r="R40" i="25"/>
  <c r="N40" i="25"/>
  <c r="Q40" i="25"/>
  <c r="P40" i="25"/>
  <c r="K40" i="25"/>
  <c r="J40" i="25"/>
  <c r="E40" i="25"/>
  <c r="B41" i="25"/>
  <c r="I40" i="25"/>
  <c r="C40" i="25"/>
  <c r="F40" i="25"/>
  <c r="H40" i="25"/>
  <c r="D40" i="25"/>
  <c r="G40" i="25"/>
  <c r="J41" i="25" l="1"/>
  <c r="P41" i="25"/>
  <c r="M41" i="25"/>
  <c r="Q41" i="25"/>
  <c r="L41" i="25"/>
  <c r="R41" i="25"/>
  <c r="K41" i="25"/>
  <c r="O41" i="25"/>
  <c r="N41" i="25"/>
  <c r="G41" i="25"/>
  <c r="D41" i="25"/>
  <c r="F41" i="25"/>
  <c r="E41" i="25"/>
  <c r="H41" i="25"/>
  <c r="I41" i="25"/>
  <c r="C41" i="25"/>
  <c r="B42" i="25"/>
  <c r="P42" i="25" l="1"/>
  <c r="L42" i="25"/>
  <c r="M42" i="25"/>
  <c r="K42" i="25"/>
  <c r="Q42" i="25"/>
  <c r="J42" i="25"/>
  <c r="R42" i="25"/>
  <c r="O42" i="25"/>
  <c r="N42" i="25"/>
  <c r="G42" i="25"/>
  <c r="C42" i="25"/>
  <c r="B43" i="25"/>
  <c r="H42" i="25"/>
  <c r="D42" i="25"/>
  <c r="F42" i="25"/>
  <c r="E42" i="25"/>
  <c r="I42" i="25"/>
  <c r="L43" i="25" l="1"/>
  <c r="P43" i="25"/>
  <c r="R43" i="25"/>
  <c r="N43" i="25"/>
  <c r="Q43" i="25"/>
  <c r="J43" i="25"/>
  <c r="O43" i="25"/>
  <c r="K43" i="25"/>
  <c r="M43" i="25"/>
  <c r="H43" i="25"/>
  <c r="F43" i="25"/>
  <c r="G43" i="25"/>
  <c r="C43" i="25"/>
  <c r="D43" i="25"/>
  <c r="I43" i="25"/>
  <c r="B44" i="25"/>
  <c r="E43" i="25"/>
  <c r="M44" i="25" l="1"/>
  <c r="R44" i="25"/>
  <c r="P44" i="25"/>
  <c r="O44" i="25"/>
  <c r="N44" i="25"/>
  <c r="K44" i="25"/>
  <c r="Q44" i="25"/>
  <c r="L44" i="25"/>
  <c r="J44" i="25"/>
  <c r="B45" i="25"/>
  <c r="C44" i="25"/>
  <c r="I44" i="25"/>
  <c r="H44" i="25"/>
  <c r="G44" i="25"/>
  <c r="E44" i="25"/>
  <c r="D44" i="25"/>
  <c r="F44" i="25"/>
  <c r="L45" i="25" l="1"/>
  <c r="O45" i="25"/>
  <c r="K45" i="25"/>
  <c r="M45" i="25"/>
  <c r="J45" i="25"/>
  <c r="P45" i="25"/>
  <c r="N45" i="25"/>
  <c r="Q45" i="25"/>
  <c r="R45" i="25"/>
  <c r="C45" i="25"/>
  <c r="F45" i="25"/>
  <c r="H45" i="25"/>
  <c r="I45" i="25"/>
  <c r="B46" i="25"/>
  <c r="G45" i="25"/>
  <c r="E45" i="25"/>
  <c r="D45" i="25"/>
  <c r="R46" i="25" l="1"/>
  <c r="Q46" i="25"/>
  <c r="O46" i="25"/>
  <c r="P46" i="25"/>
  <c r="K46" i="25"/>
  <c r="M46" i="25"/>
  <c r="N46" i="25"/>
  <c r="L46" i="25"/>
  <c r="J46" i="25"/>
  <c r="D46" i="25"/>
  <c r="I46" i="25"/>
  <c r="C46" i="25"/>
  <c r="G46" i="25"/>
  <c r="F46" i="25"/>
  <c r="E46" i="25"/>
  <c r="H46" i="25"/>
  <c r="B47" i="25"/>
  <c r="J47" i="25" l="1"/>
  <c r="M47" i="25"/>
  <c r="R47" i="25"/>
  <c r="P47" i="25"/>
  <c r="O47" i="25"/>
  <c r="N47" i="25"/>
  <c r="Q47" i="25"/>
  <c r="L47" i="25"/>
  <c r="K47" i="25"/>
  <c r="B48" i="25"/>
  <c r="D47" i="25"/>
  <c r="C47" i="25"/>
  <c r="I47" i="25"/>
  <c r="E47" i="25"/>
  <c r="F47" i="25"/>
  <c r="G47" i="25"/>
  <c r="H47" i="25"/>
  <c r="P48" i="25" l="1"/>
  <c r="R48" i="25"/>
  <c r="O48" i="25"/>
  <c r="L48" i="25"/>
  <c r="J48" i="25"/>
  <c r="Q48" i="25"/>
  <c r="M48" i="25"/>
  <c r="K48" i="25"/>
  <c r="N48" i="25"/>
  <c r="F48" i="25"/>
  <c r="I48" i="25"/>
  <c r="C48" i="25"/>
  <c r="B49" i="25"/>
  <c r="H48" i="25"/>
  <c r="E48" i="25"/>
  <c r="D48" i="25"/>
  <c r="G48" i="25"/>
  <c r="Q49" i="25" l="1"/>
  <c r="J49" i="25"/>
  <c r="O49" i="25"/>
  <c r="N49" i="25"/>
  <c r="R49" i="25"/>
  <c r="K49" i="25"/>
  <c r="L49" i="25"/>
  <c r="M49" i="25"/>
  <c r="P49" i="25"/>
  <c r="F49" i="25"/>
  <c r="G49" i="25"/>
  <c r="E49" i="25"/>
  <c r="I49" i="25"/>
  <c r="B50" i="25"/>
  <c r="H49" i="25"/>
  <c r="D49" i="25"/>
  <c r="C49" i="25"/>
  <c r="N50" i="25" l="1"/>
  <c r="O50" i="25"/>
  <c r="L50" i="25"/>
  <c r="J50" i="25"/>
  <c r="K50" i="25"/>
  <c r="P50" i="25"/>
  <c r="R50" i="25"/>
  <c r="M50" i="25"/>
  <c r="Q50" i="25"/>
  <c r="E50" i="25"/>
  <c r="H50" i="25"/>
  <c r="C50" i="25"/>
  <c r="I50" i="25"/>
  <c r="G50" i="25"/>
  <c r="F50" i="25"/>
  <c r="B51" i="25"/>
  <c r="D50" i="25"/>
  <c r="P51" i="25" l="1"/>
  <c r="O51" i="25"/>
  <c r="J51" i="25"/>
  <c r="N51" i="25"/>
  <c r="L51" i="25"/>
  <c r="K51" i="25"/>
  <c r="R51" i="25"/>
  <c r="M51" i="25"/>
  <c r="Q51" i="25"/>
  <c r="I51" i="25"/>
  <c r="G51" i="25"/>
  <c r="E51" i="25"/>
  <c r="H51" i="25"/>
  <c r="B52" i="25"/>
  <c r="F51" i="25"/>
  <c r="C51" i="25"/>
  <c r="D51" i="25"/>
  <c r="J52" i="25" l="1"/>
  <c r="L52" i="25"/>
  <c r="O52" i="25"/>
  <c r="N52" i="25"/>
  <c r="M52" i="25"/>
  <c r="P52" i="25"/>
  <c r="R52" i="25"/>
  <c r="Q52" i="25"/>
  <c r="K52" i="25"/>
  <c r="H52" i="25"/>
  <c r="F52" i="25"/>
  <c r="G52" i="25"/>
  <c r="E52" i="25"/>
  <c r="D52" i="25"/>
  <c r="I52" i="25"/>
  <c r="B53" i="25"/>
  <c r="C52" i="25"/>
  <c r="N53" i="25" l="1"/>
  <c r="R53" i="25"/>
  <c r="L53" i="25"/>
  <c r="O53" i="25"/>
  <c r="Q53" i="25"/>
  <c r="M53" i="25"/>
  <c r="J53" i="25"/>
  <c r="P53" i="25"/>
  <c r="K53" i="25"/>
  <c r="F53" i="25"/>
  <c r="E53" i="25"/>
  <c r="I53" i="25"/>
  <c r="G53" i="25"/>
  <c r="C53" i="25"/>
  <c r="B54" i="25"/>
  <c r="H53" i="25"/>
  <c r="D53" i="25"/>
  <c r="J54" i="25" l="1"/>
  <c r="Q54" i="25"/>
  <c r="N54" i="25"/>
  <c r="M54" i="25"/>
  <c r="K54" i="25"/>
  <c r="L54" i="25"/>
  <c r="R54" i="25"/>
  <c r="P54" i="25"/>
  <c r="O54" i="25"/>
  <c r="F54" i="25"/>
  <c r="G54" i="25"/>
  <c r="B55" i="25"/>
  <c r="H54" i="25"/>
  <c r="C54" i="25"/>
  <c r="I54" i="25"/>
  <c r="E54" i="25"/>
  <c r="D54" i="25"/>
  <c r="M55" i="25" l="1"/>
  <c r="N55" i="25"/>
  <c r="L55" i="25"/>
  <c r="J55" i="25"/>
  <c r="O55" i="25"/>
  <c r="Q55" i="25"/>
  <c r="R55" i="25"/>
  <c r="P55" i="25"/>
  <c r="K55" i="25"/>
  <c r="C55" i="25"/>
  <c r="F55" i="25"/>
  <c r="I55" i="25"/>
  <c r="H55" i="25"/>
  <c r="D55" i="25"/>
  <c r="E55" i="25"/>
  <c r="G55" i="25"/>
  <c r="B56" i="25"/>
  <c r="M56" i="25" l="1"/>
  <c r="Q56" i="25"/>
  <c r="O56" i="25"/>
  <c r="K56" i="25"/>
  <c r="J56" i="25"/>
  <c r="P56" i="25"/>
  <c r="N56" i="25"/>
  <c r="L56" i="25"/>
  <c r="R56" i="25"/>
  <c r="H56" i="25"/>
  <c r="F56" i="25"/>
  <c r="C56" i="25"/>
  <c r="D56" i="25"/>
  <c r="B57" i="25"/>
  <c r="G56" i="25"/>
  <c r="E56" i="25"/>
  <c r="I56" i="25"/>
  <c r="Q57" i="25" l="1"/>
  <c r="O57" i="25"/>
  <c r="M57" i="25"/>
  <c r="R57" i="25"/>
  <c r="L57" i="25"/>
  <c r="P57" i="25"/>
  <c r="K57" i="25"/>
  <c r="J57" i="25"/>
  <c r="N57" i="25"/>
  <c r="D57" i="25"/>
  <c r="B58" i="25"/>
  <c r="I57" i="25"/>
  <c r="E57" i="25"/>
  <c r="F57" i="25"/>
  <c r="C57" i="25"/>
  <c r="H57" i="25"/>
  <c r="G57" i="25"/>
  <c r="O58" i="25" l="1"/>
  <c r="R58" i="25"/>
  <c r="N58" i="25"/>
  <c r="Q58" i="25"/>
  <c r="J58" i="25"/>
  <c r="M58" i="25"/>
  <c r="K58" i="25"/>
  <c r="P58" i="25"/>
  <c r="L58" i="25"/>
  <c r="G58" i="25"/>
  <c r="I58" i="25"/>
  <c r="H58" i="25"/>
  <c r="D58" i="25"/>
  <c r="E58" i="25"/>
  <c r="B59" i="25"/>
  <c r="C58" i="25"/>
  <c r="F58" i="25"/>
  <c r="M59" i="25" l="1"/>
  <c r="L59" i="25"/>
  <c r="J59" i="25"/>
  <c r="Q59" i="25"/>
  <c r="P59" i="25"/>
  <c r="R59" i="25"/>
  <c r="O59" i="25"/>
  <c r="N59" i="25"/>
  <c r="K59" i="25"/>
  <c r="B60" i="25"/>
  <c r="G59" i="25"/>
  <c r="D59" i="25"/>
  <c r="I59" i="25"/>
  <c r="H59" i="25"/>
  <c r="C59" i="25"/>
  <c r="E59" i="25"/>
  <c r="F59" i="25"/>
  <c r="Q60" i="25" l="1"/>
  <c r="M60" i="25"/>
  <c r="P60" i="25"/>
  <c r="R60" i="25"/>
  <c r="K60" i="25"/>
  <c r="O60" i="25"/>
  <c r="J60" i="25"/>
  <c r="N60" i="25"/>
  <c r="L60" i="25"/>
  <c r="B61" i="25"/>
  <c r="F60" i="25"/>
  <c r="E60" i="25"/>
  <c r="C60" i="25"/>
  <c r="D60" i="25"/>
  <c r="H60" i="25"/>
  <c r="I60" i="25"/>
  <c r="G60" i="25"/>
  <c r="K61" i="25" l="1"/>
  <c r="Q61" i="25"/>
  <c r="J61" i="25"/>
  <c r="P61" i="25"/>
  <c r="O61" i="25"/>
  <c r="R61" i="25"/>
  <c r="M61" i="25"/>
  <c r="N61" i="25"/>
  <c r="L61" i="25"/>
  <c r="I61" i="25"/>
  <c r="G61" i="25"/>
  <c r="F61" i="25"/>
  <c r="C61" i="25"/>
  <c r="E61" i="25"/>
  <c r="H61" i="25"/>
  <c r="B62" i="25"/>
  <c r="D61" i="25"/>
  <c r="N62" i="25" l="1"/>
  <c r="Q62" i="25"/>
  <c r="M62" i="25"/>
  <c r="K62" i="25"/>
  <c r="P62" i="25"/>
  <c r="J62" i="25"/>
  <c r="R62" i="25"/>
  <c r="O62" i="25"/>
  <c r="L62" i="25"/>
  <c r="H62" i="25"/>
  <c r="F62" i="25"/>
  <c r="G62" i="25"/>
  <c r="E62" i="25"/>
  <c r="C62" i="25"/>
  <c r="B63" i="25"/>
  <c r="D62" i="25"/>
  <c r="I62" i="25"/>
  <c r="P63" i="25" l="1"/>
  <c r="J63" i="25"/>
  <c r="R63" i="25"/>
  <c r="L63" i="25"/>
  <c r="N63" i="25"/>
  <c r="K63" i="25"/>
  <c r="Q63" i="25"/>
  <c r="O63" i="25"/>
  <c r="M63" i="25"/>
  <c r="F63" i="25"/>
  <c r="H63" i="25"/>
  <c r="B64" i="25"/>
  <c r="D63" i="25"/>
  <c r="C63" i="25"/>
  <c r="E63" i="25"/>
  <c r="G63" i="25"/>
  <c r="I63" i="25"/>
  <c r="J64" i="25" l="1"/>
  <c r="Q64" i="25"/>
  <c r="K64" i="25"/>
  <c r="P64" i="25"/>
  <c r="L64" i="25"/>
  <c r="R64" i="25"/>
  <c r="O64" i="25"/>
  <c r="M64" i="25"/>
  <c r="N64" i="25"/>
  <c r="I64" i="25"/>
  <c r="D64" i="25"/>
  <c r="G64" i="25"/>
  <c r="H64" i="25"/>
  <c r="E64" i="25"/>
  <c r="C64" i="25"/>
  <c r="B65" i="25"/>
  <c r="F64" i="25"/>
  <c r="M65" i="25" l="1"/>
  <c r="J65" i="25"/>
  <c r="O65" i="25"/>
  <c r="K65" i="25"/>
  <c r="L65" i="25"/>
  <c r="N65" i="25"/>
  <c r="P65" i="25"/>
  <c r="Q65" i="25"/>
  <c r="R65" i="25"/>
  <c r="F65" i="25"/>
  <c r="I65" i="25"/>
  <c r="C65" i="25"/>
  <c r="G65" i="25"/>
  <c r="H65" i="25"/>
  <c r="E65" i="25"/>
  <c r="D65" i="25"/>
  <c r="B66" i="25"/>
  <c r="K66" i="25" l="1"/>
  <c r="J66" i="25"/>
  <c r="R66" i="25"/>
  <c r="O66" i="25"/>
  <c r="L66" i="25"/>
  <c r="M66" i="25"/>
  <c r="Q66" i="25"/>
  <c r="P66" i="25"/>
  <c r="N66" i="25"/>
  <c r="C66" i="25"/>
  <c r="F66" i="25"/>
  <c r="G66" i="25"/>
  <c r="H66" i="25"/>
  <c r="E66" i="25"/>
  <c r="B67" i="25"/>
  <c r="I66" i="25"/>
  <c r="D66" i="25"/>
  <c r="J67" i="25" l="1"/>
  <c r="M67" i="25"/>
  <c r="K67" i="25"/>
  <c r="N67" i="25"/>
  <c r="R67" i="25"/>
  <c r="L67" i="25"/>
  <c r="Q67" i="25"/>
  <c r="O67" i="25"/>
  <c r="P67" i="25"/>
  <c r="B68" i="25"/>
  <c r="C67" i="25"/>
  <c r="H67" i="25"/>
  <c r="E67" i="25"/>
  <c r="I67" i="25"/>
  <c r="G67" i="25"/>
  <c r="D67" i="25"/>
  <c r="F67" i="25"/>
  <c r="L68" i="25" l="1"/>
  <c r="J68" i="25"/>
  <c r="P68" i="25"/>
  <c r="R68" i="25"/>
  <c r="O68" i="25"/>
  <c r="Q68" i="25"/>
  <c r="N68" i="25"/>
  <c r="M68" i="25"/>
  <c r="K68" i="25"/>
  <c r="D68" i="25"/>
  <c r="G68" i="25"/>
  <c r="I68" i="25"/>
  <c r="H68" i="25"/>
  <c r="E68" i="25"/>
  <c r="F68" i="25"/>
  <c r="C68" i="25"/>
  <c r="B69" i="25"/>
  <c r="K69" i="25" l="1"/>
  <c r="R69" i="25"/>
  <c r="J69" i="25"/>
  <c r="Q69" i="25"/>
  <c r="L69" i="25"/>
  <c r="O69" i="25"/>
  <c r="M69" i="25"/>
  <c r="N69" i="25"/>
  <c r="P69" i="25"/>
  <c r="F69" i="25"/>
  <c r="D69" i="25"/>
  <c r="E69" i="25"/>
  <c r="I69" i="25"/>
  <c r="H69" i="25"/>
  <c r="C69" i="25"/>
  <c r="B70" i="25"/>
  <c r="G69" i="25"/>
  <c r="K70" i="25" l="1"/>
  <c r="R70" i="25"/>
  <c r="N70" i="25"/>
  <c r="J70" i="25"/>
  <c r="Q70" i="25"/>
  <c r="L70" i="25"/>
  <c r="M70" i="25"/>
  <c r="P70" i="25"/>
  <c r="O70" i="25"/>
  <c r="C70" i="25"/>
  <c r="E70" i="25"/>
  <c r="B71" i="25"/>
  <c r="G70" i="25"/>
  <c r="F70" i="25"/>
  <c r="H70" i="25"/>
  <c r="D70" i="25"/>
  <c r="I70" i="25"/>
  <c r="O71" i="25" l="1"/>
  <c r="N71" i="25"/>
  <c r="M71" i="25"/>
  <c r="P71" i="25"/>
  <c r="J71" i="25"/>
  <c r="K71" i="25"/>
  <c r="L71" i="25"/>
  <c r="R71" i="25"/>
  <c r="Q71" i="25"/>
  <c r="C71" i="25"/>
  <c r="I71" i="25"/>
  <c r="B72" i="25"/>
  <c r="F71" i="25"/>
  <c r="H71" i="25"/>
  <c r="E71" i="25"/>
  <c r="D71" i="25"/>
  <c r="G71" i="25"/>
  <c r="J72" i="25" l="1"/>
  <c r="R72" i="25"/>
  <c r="N72" i="25"/>
  <c r="O72" i="25"/>
  <c r="K72" i="25"/>
  <c r="Q72" i="25"/>
  <c r="M72" i="25"/>
  <c r="P72" i="25"/>
  <c r="L72" i="25"/>
  <c r="C72" i="25"/>
  <c r="H72" i="25"/>
  <c r="D72" i="25"/>
  <c r="E72" i="25"/>
  <c r="F72" i="25"/>
  <c r="G72" i="25"/>
  <c r="B73" i="25"/>
  <c r="I72" i="25"/>
  <c r="Q73" i="25" l="1"/>
  <c r="R73" i="25"/>
  <c r="K73" i="25"/>
  <c r="O73" i="25"/>
  <c r="L73" i="25"/>
  <c r="M73" i="25"/>
  <c r="P73" i="25"/>
  <c r="N73" i="25"/>
  <c r="J73" i="25"/>
  <c r="G73" i="25"/>
  <c r="I73" i="25"/>
  <c r="B74" i="25"/>
  <c r="H73" i="25"/>
  <c r="D73" i="25"/>
  <c r="E73" i="25"/>
  <c r="C73" i="25"/>
  <c r="F73" i="25"/>
  <c r="L74" i="25" l="1"/>
  <c r="N74" i="25"/>
  <c r="M74" i="25"/>
  <c r="P74" i="25"/>
  <c r="K74" i="25"/>
  <c r="R74" i="25"/>
  <c r="J74" i="25"/>
  <c r="Q74" i="25"/>
  <c r="O74" i="25"/>
  <c r="I74" i="25"/>
  <c r="H74" i="25"/>
  <c r="D74" i="25"/>
  <c r="B75" i="25"/>
  <c r="E74" i="25"/>
  <c r="F74" i="25"/>
  <c r="G74" i="25"/>
  <c r="C74" i="25"/>
  <c r="K75" i="25" l="1"/>
  <c r="M75" i="25"/>
  <c r="O75" i="25"/>
  <c r="L75" i="25"/>
  <c r="Q75" i="25"/>
  <c r="R75" i="25"/>
  <c r="J75" i="25"/>
  <c r="P75" i="25"/>
  <c r="N75" i="25"/>
  <c r="G75" i="25"/>
  <c r="H75" i="25"/>
  <c r="F75" i="25"/>
  <c r="C75" i="25"/>
  <c r="B76" i="25"/>
  <c r="I75" i="25"/>
  <c r="E75" i="25"/>
  <c r="D75" i="25"/>
  <c r="M76" i="25" l="1"/>
  <c r="K76" i="25"/>
  <c r="Q76" i="25"/>
  <c r="R76" i="25"/>
  <c r="O76" i="25"/>
  <c r="N76" i="25"/>
  <c r="P76" i="25"/>
  <c r="L76" i="25"/>
  <c r="J76" i="25"/>
  <c r="D76" i="25"/>
  <c r="C76" i="25"/>
  <c r="H76" i="25"/>
  <c r="I76" i="25"/>
  <c r="B77" i="25"/>
  <c r="E76" i="25"/>
  <c r="G76" i="25"/>
  <c r="F76" i="25"/>
  <c r="O77" i="25" l="1"/>
  <c r="R77" i="25"/>
  <c r="J77" i="25"/>
  <c r="K77" i="25"/>
  <c r="N77" i="25"/>
  <c r="M77" i="25"/>
  <c r="Q77" i="25"/>
  <c r="L77" i="25"/>
  <c r="P77" i="25"/>
  <c r="E77" i="25"/>
  <c r="B78" i="25"/>
  <c r="C77" i="25"/>
  <c r="H77" i="25"/>
  <c r="I77" i="25"/>
  <c r="D77" i="25"/>
  <c r="G77" i="25"/>
  <c r="F77" i="25"/>
  <c r="G78" i="25" l="1"/>
  <c r="R78" i="25"/>
  <c r="N78" i="25"/>
  <c r="C78" i="25"/>
  <c r="L78" i="25"/>
  <c r="E78" i="25"/>
  <c r="B79" i="25"/>
  <c r="D78" i="25"/>
  <c r="F78" i="25"/>
  <c r="H78" i="25"/>
  <c r="P78" i="25"/>
  <c r="I78" i="25"/>
  <c r="K78" i="25"/>
  <c r="M78" i="25"/>
  <c r="O78" i="25"/>
  <c r="J78" i="25"/>
  <c r="Q78" i="25"/>
  <c r="D79" i="25" l="1"/>
  <c r="N79" i="25"/>
  <c r="F79" i="25"/>
  <c r="C79" i="25"/>
  <c r="L79" i="25"/>
  <c r="E79" i="25"/>
  <c r="H79" i="25"/>
  <c r="P79" i="25"/>
  <c r="K79" i="25"/>
  <c r="J79" i="25"/>
  <c r="O79" i="25"/>
  <c r="B80" i="25"/>
  <c r="G79" i="25"/>
  <c r="R79" i="25"/>
  <c r="Q79" i="25"/>
  <c r="I79" i="25"/>
  <c r="M79" i="25"/>
  <c r="L80" i="25" l="1"/>
  <c r="F80" i="25"/>
  <c r="N80" i="25"/>
  <c r="R80" i="25"/>
  <c r="M80" i="25"/>
  <c r="C80" i="25"/>
  <c r="E80" i="25"/>
  <c r="D80" i="25"/>
  <c r="B81" i="25"/>
  <c r="Q80" i="25"/>
  <c r="O80" i="25"/>
  <c r="H80" i="25"/>
  <c r="G80" i="25"/>
  <c r="K80" i="25"/>
  <c r="I80" i="25"/>
  <c r="J80" i="25"/>
  <c r="P80" i="25"/>
  <c r="O81" i="25" l="1"/>
  <c r="F81" i="25"/>
  <c r="R81" i="25"/>
  <c r="N81" i="25"/>
  <c r="L81" i="25"/>
  <c r="I81" i="25"/>
  <c r="J81" i="25"/>
  <c r="K81" i="25"/>
  <c r="Q81" i="25"/>
  <c r="C81" i="25"/>
  <c r="E81" i="25"/>
  <c r="M81" i="25"/>
  <c r="G81" i="25"/>
  <c r="P81" i="25"/>
  <c r="H81" i="25"/>
  <c r="B82" i="25"/>
  <c r="D81" i="25"/>
  <c r="K82" i="25" l="1"/>
  <c r="F82" i="25"/>
  <c r="P82" i="25"/>
  <c r="L82" i="25"/>
  <c r="D82" i="25"/>
  <c r="B83" i="25"/>
  <c r="I82" i="25"/>
  <c r="R82" i="25"/>
  <c r="H82" i="25"/>
  <c r="C82" i="25"/>
  <c r="M82" i="25"/>
  <c r="J82" i="25"/>
  <c r="N82" i="25"/>
  <c r="Q82" i="25"/>
  <c r="G82" i="25"/>
  <c r="O82" i="25"/>
  <c r="E82" i="25"/>
  <c r="N83" i="25" l="1"/>
  <c r="E83" i="25"/>
  <c r="M83" i="25"/>
  <c r="O83" i="25"/>
  <c r="L83" i="25"/>
  <c r="Q83" i="25"/>
  <c r="K83" i="25"/>
  <c r="R83" i="25"/>
  <c r="H83" i="25"/>
  <c r="D83" i="25"/>
  <c r="I83" i="25"/>
  <c r="B84" i="25"/>
  <c r="P83" i="25"/>
  <c r="F83" i="25"/>
  <c r="C83" i="25"/>
  <c r="J83" i="25"/>
  <c r="G83" i="25"/>
  <c r="N84" i="25" l="1"/>
  <c r="G84" i="25"/>
  <c r="P84" i="25"/>
  <c r="E84" i="25"/>
  <c r="D84" i="25"/>
  <c r="R84" i="25"/>
  <c r="J84" i="25"/>
  <c r="I84" i="25"/>
  <c r="F84" i="25"/>
  <c r="H84" i="25"/>
  <c r="O84" i="25"/>
  <c r="M84" i="25"/>
  <c r="L84" i="25"/>
  <c r="K84" i="25"/>
  <c r="Q84" i="25"/>
  <c r="C84" i="25"/>
  <c r="B85" i="25"/>
  <c r="F85" i="25" l="1"/>
  <c r="E85" i="25"/>
  <c r="I85" i="25"/>
  <c r="R85" i="25"/>
  <c r="K85" i="25"/>
  <c r="L85" i="25"/>
  <c r="G85" i="25"/>
  <c r="B86" i="25"/>
  <c r="P85" i="25"/>
  <c r="C85" i="25"/>
  <c r="Q85" i="25"/>
  <c r="H85" i="25"/>
  <c r="D85" i="25"/>
  <c r="O85" i="25"/>
  <c r="J85" i="25"/>
  <c r="N85" i="25"/>
  <c r="M85" i="25"/>
  <c r="K86" i="25" l="1"/>
  <c r="C86" i="25"/>
  <c r="J86" i="25"/>
  <c r="R86" i="25"/>
  <c r="Q86" i="25"/>
  <c r="D86" i="25"/>
  <c r="L86" i="25"/>
  <c r="H86" i="25"/>
  <c r="I86" i="25"/>
  <c r="N86" i="25"/>
  <c r="M86" i="25"/>
  <c r="G86" i="25"/>
  <c r="B87" i="25"/>
  <c r="F86" i="25"/>
  <c r="O86" i="25"/>
  <c r="P86" i="25"/>
  <c r="E86" i="25"/>
  <c r="J87" i="25" l="1"/>
  <c r="G87" i="25"/>
  <c r="I87" i="25"/>
  <c r="R87" i="25"/>
  <c r="M87" i="25"/>
  <c r="K87" i="25"/>
  <c r="L87" i="25"/>
  <c r="C87" i="25"/>
  <c r="B88" i="25"/>
  <c r="H87" i="25"/>
  <c r="N87" i="25"/>
  <c r="Q87" i="25"/>
  <c r="E87" i="25"/>
  <c r="D87" i="25"/>
  <c r="P87" i="25"/>
  <c r="O87" i="25"/>
  <c r="F87" i="25"/>
  <c r="D88" i="25" l="1"/>
  <c r="E88" i="25"/>
  <c r="R88" i="25"/>
  <c r="I88" i="25"/>
  <c r="L88" i="25"/>
  <c r="C88" i="25"/>
  <c r="K88" i="25"/>
  <c r="B89" i="25"/>
  <c r="Q88" i="25"/>
  <c r="H88" i="25"/>
  <c r="N88" i="25"/>
  <c r="M88" i="25"/>
  <c r="O88" i="25"/>
  <c r="F88" i="25"/>
  <c r="G88" i="25"/>
  <c r="P88" i="25"/>
  <c r="J88" i="25"/>
  <c r="F89" i="25" l="1"/>
  <c r="C89" i="25"/>
  <c r="N89" i="25"/>
  <c r="E89" i="25"/>
  <c r="K89" i="25"/>
  <c r="G89" i="25"/>
  <c r="M89" i="25"/>
  <c r="J89" i="25"/>
  <c r="I89" i="25"/>
  <c r="R89" i="25"/>
  <c r="H89" i="25"/>
  <c r="D89" i="25"/>
  <c r="B90" i="25"/>
  <c r="Q89" i="25"/>
  <c r="P89" i="25"/>
  <c r="L89" i="25"/>
  <c r="O89" i="25"/>
  <c r="Q90" i="25" l="1"/>
  <c r="G90" i="25"/>
  <c r="O90" i="25"/>
  <c r="F90" i="25"/>
  <c r="P90" i="25"/>
  <c r="D90" i="25"/>
  <c r="I90" i="25"/>
  <c r="N90" i="25"/>
  <c r="C90" i="25"/>
  <c r="R90" i="25"/>
  <c r="H90" i="25"/>
  <c r="L90" i="25"/>
  <c r="K90" i="25"/>
  <c r="M90" i="25"/>
  <c r="E90" i="25"/>
  <c r="B91" i="25"/>
  <c r="J90" i="25"/>
  <c r="O91" i="25" l="1"/>
  <c r="G91" i="25"/>
  <c r="R91" i="25"/>
  <c r="C91" i="25"/>
  <c r="E91" i="25"/>
  <c r="P91" i="25"/>
  <c r="L91" i="25"/>
  <c r="K91" i="25"/>
  <c r="N91" i="25"/>
  <c r="F91" i="25"/>
  <c r="M91" i="25"/>
  <c r="B92" i="25"/>
  <c r="D91" i="25"/>
  <c r="J91" i="25"/>
  <c r="Q91" i="25"/>
  <c r="I91" i="25"/>
  <c r="H91" i="25"/>
  <c r="N92" i="25" l="1"/>
  <c r="D92" i="25"/>
  <c r="J92" i="25"/>
  <c r="O92" i="25"/>
  <c r="I92" i="25"/>
  <c r="M92" i="25"/>
  <c r="R92" i="25"/>
  <c r="L92" i="25"/>
  <c r="K92" i="25"/>
  <c r="Q92" i="25"/>
  <c r="B93" i="25"/>
  <c r="H92" i="25"/>
  <c r="C92" i="25"/>
  <c r="P92" i="25"/>
  <c r="F92" i="25"/>
  <c r="E92" i="25"/>
  <c r="G92" i="25"/>
  <c r="P93" i="25" l="1"/>
  <c r="G93" i="25"/>
  <c r="Q93" i="25"/>
  <c r="R93" i="25"/>
  <c r="O93" i="25"/>
  <c r="K93" i="25"/>
  <c r="H93" i="25"/>
  <c r="J93" i="25"/>
  <c r="C93" i="25"/>
  <c r="I93" i="25"/>
  <c r="F93" i="25"/>
  <c r="D93" i="25"/>
  <c r="N93" i="25"/>
  <c r="L93" i="25"/>
  <c r="M93" i="25"/>
  <c r="B94" i="25"/>
  <c r="E93" i="25"/>
  <c r="N94" i="25" l="1"/>
  <c r="R94" i="25"/>
  <c r="G94" i="25"/>
  <c r="J94" i="25"/>
  <c r="P94" i="25"/>
  <c r="L94" i="25"/>
  <c r="O94" i="25"/>
  <c r="D94" i="25"/>
  <c r="I94" i="25"/>
  <c r="K94" i="25"/>
  <c r="C94" i="25"/>
  <c r="F94" i="25"/>
  <c r="H94" i="25"/>
  <c r="E94" i="25"/>
  <c r="M94" i="25"/>
  <c r="B95" i="25"/>
  <c r="Q94" i="25"/>
  <c r="E95" i="25" l="1"/>
  <c r="F95" i="25"/>
  <c r="P95" i="25"/>
  <c r="R95" i="25"/>
  <c r="N95" i="25"/>
  <c r="K95" i="25"/>
  <c r="C95" i="25"/>
  <c r="L95" i="25"/>
  <c r="B96" i="25"/>
  <c r="Q95" i="25"/>
  <c r="I95" i="25"/>
  <c r="G95" i="25"/>
  <c r="H95" i="25"/>
  <c r="M95" i="25"/>
  <c r="J95" i="25"/>
  <c r="D95" i="25"/>
  <c r="O95" i="25"/>
  <c r="O96" i="25" l="1"/>
  <c r="G96" i="25"/>
  <c r="I96" i="25"/>
  <c r="R96" i="25"/>
  <c r="L96" i="25"/>
  <c r="F96" i="25"/>
  <c r="N96" i="25"/>
  <c r="P96" i="25"/>
  <c r="E96" i="25"/>
  <c r="K96" i="25"/>
  <c r="M96" i="25"/>
  <c r="C96" i="25"/>
  <c r="Q96" i="25"/>
  <c r="J96" i="25"/>
  <c r="D96" i="25"/>
  <c r="B97" i="25"/>
  <c r="H96" i="25"/>
  <c r="J97" i="25" l="1"/>
  <c r="C97" i="25"/>
  <c r="D97" i="25"/>
  <c r="E97" i="25"/>
  <c r="I97" i="25"/>
  <c r="L97" i="25"/>
  <c r="M97" i="25"/>
  <c r="N97" i="25"/>
  <c r="R97" i="25"/>
  <c r="B98" i="25"/>
  <c r="F97" i="25"/>
  <c r="K97" i="25"/>
  <c r="G97" i="25"/>
  <c r="Q97" i="25"/>
  <c r="P97" i="25"/>
  <c r="O97" i="25"/>
  <c r="H97" i="25"/>
  <c r="C98" i="25" l="1"/>
  <c r="R98" i="25"/>
  <c r="F98" i="25"/>
  <c r="M98" i="25"/>
  <c r="D98" i="25"/>
  <c r="O98" i="25"/>
  <c r="N98" i="25"/>
  <c r="J98" i="25"/>
  <c r="P98" i="25"/>
  <c r="L98" i="25"/>
  <c r="H98" i="25"/>
  <c r="I98" i="25"/>
  <c r="E98" i="25"/>
  <c r="Q98" i="25"/>
  <c r="G98" i="25"/>
  <c r="B99" i="25"/>
  <c r="K98" i="25"/>
  <c r="P99" i="25" l="1"/>
  <c r="E99" i="25"/>
  <c r="R99" i="25"/>
  <c r="Q99" i="25"/>
  <c r="M99" i="25"/>
  <c r="N99" i="25"/>
  <c r="K99" i="25"/>
  <c r="D99" i="25"/>
  <c r="F99" i="25"/>
  <c r="G99" i="25"/>
  <c r="B100" i="25"/>
  <c r="J99" i="25"/>
  <c r="C99" i="25"/>
  <c r="L99" i="25"/>
  <c r="I99" i="25"/>
  <c r="O99" i="25"/>
  <c r="H99" i="25"/>
  <c r="D100" i="25" l="1"/>
  <c r="C100" i="25"/>
  <c r="H100" i="25"/>
  <c r="G100" i="25"/>
  <c r="E100" i="25"/>
  <c r="I100" i="25"/>
  <c r="R100" i="25"/>
  <c r="J100" i="25"/>
  <c r="O100" i="25"/>
  <c r="F100" i="25"/>
  <c r="Q100" i="25"/>
  <c r="P100" i="25"/>
  <c r="B101" i="25"/>
  <c r="K100" i="25"/>
  <c r="M100" i="25"/>
  <c r="L100" i="25"/>
  <c r="N100" i="25"/>
  <c r="E101" i="25" l="1"/>
  <c r="F101" i="25"/>
  <c r="P101" i="25"/>
  <c r="R101" i="25"/>
  <c r="H101" i="25"/>
  <c r="N101" i="25"/>
  <c r="I101" i="25"/>
  <c r="J101" i="25"/>
  <c r="M101" i="25"/>
  <c r="C101" i="25"/>
  <c r="L101" i="25"/>
  <c r="G101" i="25"/>
  <c r="D101" i="25"/>
  <c r="Q101" i="25"/>
  <c r="B102" i="25"/>
  <c r="O101" i="25"/>
  <c r="K101" i="25"/>
  <c r="P102" i="25" l="1"/>
  <c r="G102" i="25"/>
  <c r="H102" i="25"/>
  <c r="O102" i="25"/>
  <c r="J102" i="25"/>
  <c r="R102" i="25"/>
  <c r="M102" i="25"/>
  <c r="D102" i="25"/>
  <c r="F102" i="25"/>
  <c r="I102" i="25"/>
  <c r="Q102" i="25"/>
  <c r="K102" i="25"/>
  <c r="N102" i="25"/>
  <c r="E102" i="25"/>
  <c r="C102" i="25"/>
  <c r="B103" i="25"/>
  <c r="L102" i="25"/>
  <c r="N103" i="25" l="1"/>
  <c r="I103" i="25"/>
  <c r="K103" i="25"/>
  <c r="L103" i="25"/>
  <c r="P103" i="25"/>
  <c r="R103" i="25"/>
  <c r="G103" i="25"/>
  <c r="J103" i="25"/>
  <c r="D103" i="25"/>
  <c r="O103" i="25"/>
  <c r="H103" i="25"/>
  <c r="E103" i="25"/>
  <c r="C103" i="25"/>
  <c r="M103" i="25"/>
  <c r="Q103" i="25"/>
  <c r="F103" i="25"/>
  <c r="B104" i="25"/>
  <c r="J104" i="25" l="1"/>
  <c r="F104" i="25"/>
  <c r="R104" i="25"/>
  <c r="M104" i="25"/>
  <c r="E104" i="25"/>
  <c r="I104" i="25"/>
  <c r="Q104" i="25"/>
  <c r="G104" i="25"/>
  <c r="C104" i="25"/>
  <c r="O104" i="25"/>
  <c r="N104" i="25"/>
  <c r="L104" i="25"/>
  <c r="D104" i="25"/>
  <c r="K104" i="25"/>
  <c r="P104" i="25"/>
  <c r="B105" i="25"/>
  <c r="H104" i="25"/>
  <c r="N105" i="25" l="1"/>
  <c r="G105" i="25"/>
  <c r="R105" i="25"/>
  <c r="M105" i="25"/>
  <c r="E105" i="25"/>
  <c r="H105" i="25"/>
  <c r="Q105" i="25"/>
  <c r="P105" i="25"/>
  <c r="D105" i="25"/>
  <c r="O105" i="25"/>
  <c r="L105" i="25"/>
  <c r="I105" i="25"/>
  <c r="K105" i="25"/>
  <c r="J105" i="25"/>
  <c r="F105" i="25"/>
  <c r="C105" i="25"/>
  <c r="B106" i="25"/>
  <c r="G106" i="25" l="1"/>
  <c r="R106" i="25"/>
  <c r="L106" i="25"/>
  <c r="D106" i="25"/>
  <c r="F106" i="25"/>
  <c r="Q106" i="25"/>
  <c r="J106" i="25"/>
  <c r="K106" i="25"/>
  <c r="O106" i="25"/>
  <c r="N106" i="25"/>
  <c r="P106" i="25"/>
  <c r="H106" i="25"/>
  <c r="I106" i="25"/>
  <c r="E106" i="25"/>
  <c r="B107" i="25"/>
  <c r="C106" i="25"/>
  <c r="M106" i="25"/>
  <c r="J107" i="25" l="1"/>
  <c r="D107" i="25"/>
  <c r="I107" i="25"/>
  <c r="L107" i="25"/>
  <c r="F107" i="25"/>
  <c r="G107" i="25"/>
  <c r="N107" i="25"/>
  <c r="M107" i="25"/>
  <c r="O107" i="25"/>
  <c r="B108" i="25"/>
  <c r="K107" i="25"/>
  <c r="R107" i="25"/>
  <c r="Q107" i="25"/>
  <c r="E107" i="25"/>
  <c r="P107" i="25"/>
  <c r="H107" i="25"/>
  <c r="C107" i="25"/>
  <c r="J108" i="25" l="1"/>
  <c r="C108" i="25"/>
  <c r="G108" i="25"/>
  <c r="M108" i="25"/>
  <c r="P108" i="25"/>
  <c r="O108" i="25"/>
  <c r="D108" i="25"/>
  <c r="E108" i="25"/>
  <c r="L108" i="25"/>
  <c r="N108" i="25"/>
  <c r="R108" i="25"/>
  <c r="B109" i="25"/>
  <c r="Q108" i="25"/>
  <c r="K108" i="25"/>
  <c r="I108" i="25"/>
  <c r="H108" i="25"/>
  <c r="F108" i="25"/>
  <c r="C109" i="25" l="1"/>
  <c r="D109" i="25"/>
  <c r="R109" i="25"/>
  <c r="F109" i="25"/>
  <c r="N109" i="25"/>
  <c r="P109" i="25"/>
  <c r="H109" i="25"/>
  <c r="B110" i="25"/>
  <c r="E109" i="25"/>
  <c r="L109" i="25"/>
  <c r="O109" i="25"/>
  <c r="I109" i="25"/>
  <c r="M109" i="25"/>
  <c r="K109" i="25"/>
  <c r="Q109" i="25"/>
  <c r="J109" i="25"/>
  <c r="G109" i="25"/>
  <c r="F110" i="25" l="1"/>
  <c r="R110" i="25"/>
  <c r="G110" i="25"/>
  <c r="E110" i="25"/>
  <c r="Q110" i="25"/>
  <c r="L110" i="25"/>
  <c r="P110" i="25"/>
  <c r="B111" i="25"/>
  <c r="J110" i="25"/>
  <c r="O110" i="25"/>
  <c r="H110" i="25"/>
  <c r="D110" i="25"/>
  <c r="N110" i="25"/>
  <c r="I110" i="25"/>
  <c r="C110" i="25"/>
  <c r="K110" i="25"/>
  <c r="M110" i="25"/>
  <c r="N111" i="25" l="1"/>
  <c r="R111" i="25"/>
  <c r="J111" i="25"/>
  <c r="F111" i="25"/>
  <c r="C111" i="25"/>
  <c r="K111" i="25"/>
  <c r="O111" i="25"/>
  <c r="M111" i="25"/>
  <c r="E111" i="25"/>
  <c r="D111" i="25"/>
  <c r="G111" i="25"/>
  <c r="L111" i="25"/>
  <c r="B112" i="25"/>
  <c r="P111" i="25"/>
  <c r="Q111" i="25"/>
  <c r="I111" i="25"/>
  <c r="H111" i="25"/>
  <c r="Q112" i="25" l="1"/>
  <c r="R112" i="25"/>
  <c r="O112" i="25"/>
  <c r="F112" i="25"/>
  <c r="P112" i="25"/>
  <c r="K112" i="25"/>
  <c r="I112" i="25"/>
  <c r="B113" i="25"/>
  <c r="J112" i="25"/>
  <c r="D112" i="25"/>
  <c r="M112" i="25"/>
  <c r="L112" i="25"/>
  <c r="G112" i="25"/>
  <c r="E112" i="25"/>
  <c r="H112" i="25"/>
  <c r="C112" i="25"/>
  <c r="N112" i="25"/>
  <c r="H113" i="25" l="1"/>
  <c r="I113" i="25"/>
  <c r="D113" i="25"/>
  <c r="F113" i="25"/>
  <c r="J113" i="25"/>
  <c r="G113" i="25"/>
  <c r="K113" i="25"/>
  <c r="R113" i="25"/>
  <c r="P113" i="25"/>
  <c r="E113" i="25"/>
  <c r="M113" i="25"/>
  <c r="N113" i="25"/>
  <c r="B114" i="25"/>
  <c r="Q113" i="25"/>
  <c r="L113" i="25"/>
  <c r="O113" i="25"/>
  <c r="C113" i="25"/>
  <c r="N114" i="25" l="1"/>
  <c r="R114" i="25"/>
  <c r="G114" i="25"/>
  <c r="E114" i="25"/>
  <c r="H114" i="25"/>
  <c r="K114" i="25"/>
  <c r="F114" i="25"/>
  <c r="I114" i="25"/>
  <c r="J114" i="25"/>
  <c r="D114" i="25"/>
  <c r="O114" i="25"/>
  <c r="B115" i="25"/>
  <c r="P114" i="25"/>
  <c r="Q114" i="25"/>
  <c r="M114" i="25"/>
  <c r="L114" i="25"/>
  <c r="C114" i="25"/>
  <c r="I115" i="25" l="1"/>
  <c r="Q115" i="25"/>
  <c r="D115" i="25"/>
  <c r="R115" i="25"/>
  <c r="F115" i="25"/>
  <c r="C115" i="25"/>
  <c r="B116" i="25"/>
  <c r="J115" i="25"/>
  <c r="M115" i="25"/>
  <c r="H115" i="25"/>
  <c r="P115" i="25"/>
  <c r="K115" i="25"/>
  <c r="L115" i="25"/>
  <c r="O115" i="25"/>
  <c r="N115" i="25"/>
  <c r="G115" i="25"/>
  <c r="E115" i="25"/>
  <c r="P116" i="25" l="1"/>
  <c r="L116" i="25"/>
  <c r="H116" i="25"/>
  <c r="I116" i="25"/>
  <c r="M116" i="25"/>
  <c r="D116" i="25"/>
  <c r="O116" i="25"/>
  <c r="J116" i="25"/>
  <c r="Q116" i="25"/>
  <c r="C116" i="25"/>
  <c r="R116" i="25"/>
  <c r="N116" i="25"/>
  <c r="F116" i="25"/>
  <c r="K116" i="25"/>
  <c r="E116" i="25"/>
  <c r="B117" i="25"/>
  <c r="G116" i="25"/>
  <c r="J117" i="25" l="1"/>
  <c r="R117" i="25"/>
  <c r="M117" i="25"/>
  <c r="E117" i="25"/>
  <c r="H117" i="25"/>
  <c r="G117" i="25"/>
  <c r="C117" i="25"/>
  <c r="Q117" i="25"/>
  <c r="D117" i="25"/>
  <c r="O117" i="25"/>
  <c r="F117" i="25"/>
  <c r="B118" i="25"/>
  <c r="L117" i="25"/>
  <c r="P117" i="25"/>
  <c r="K117" i="25"/>
  <c r="I117" i="25"/>
  <c r="N117" i="25"/>
  <c r="P118" i="25" l="1"/>
  <c r="J118" i="25"/>
  <c r="M118" i="25"/>
  <c r="I118" i="25"/>
  <c r="N118" i="25"/>
  <c r="K118" i="25"/>
  <c r="D118" i="25"/>
  <c r="L118" i="25"/>
  <c r="F118" i="25"/>
  <c r="H118" i="25"/>
  <c r="Q118" i="25"/>
  <c r="G118" i="25"/>
  <c r="E118" i="25"/>
  <c r="C118" i="25"/>
  <c r="B119" i="25"/>
  <c r="O118" i="25"/>
  <c r="R118" i="25"/>
  <c r="L119" i="25" l="1"/>
  <c r="K119" i="25"/>
  <c r="H119" i="25"/>
  <c r="F119" i="25"/>
  <c r="E119" i="25"/>
  <c r="D119" i="25"/>
  <c r="N119" i="25"/>
  <c r="P119" i="25"/>
  <c r="M119" i="25"/>
  <c r="O119" i="25"/>
  <c r="B120" i="25"/>
  <c r="G119" i="25"/>
  <c r="J119" i="25"/>
  <c r="Q119" i="25"/>
  <c r="C119" i="25"/>
  <c r="I119" i="25"/>
  <c r="R119" i="25"/>
  <c r="G120" i="25" l="1"/>
  <c r="R120" i="25"/>
  <c r="I120" i="25"/>
  <c r="F120" i="25"/>
  <c r="M120" i="25"/>
  <c r="K120" i="25"/>
  <c r="J120" i="25"/>
  <c r="Q120" i="25"/>
  <c r="C120" i="25"/>
  <c r="P120" i="25"/>
  <c r="H120" i="25"/>
  <c r="E120" i="25"/>
  <c r="N120" i="25"/>
  <c r="D120" i="25"/>
  <c r="B121" i="25"/>
  <c r="L120" i="25"/>
  <c r="O120" i="25"/>
  <c r="D121" i="25" l="1"/>
  <c r="E121" i="25"/>
  <c r="I121" i="25"/>
  <c r="O121" i="25"/>
  <c r="G121" i="25"/>
  <c r="B122" i="25"/>
  <c r="R121" i="25"/>
  <c r="Q121" i="25"/>
  <c r="P121" i="25"/>
  <c r="C121" i="25"/>
  <c r="N121" i="25"/>
  <c r="M121" i="25"/>
  <c r="H121" i="25"/>
  <c r="K121" i="25"/>
  <c r="J121" i="25"/>
  <c r="F121" i="25"/>
  <c r="L121" i="25"/>
  <c r="N122" i="25" l="1"/>
  <c r="E122" i="25"/>
  <c r="L122" i="25"/>
  <c r="F122" i="25"/>
  <c r="C122" i="25"/>
  <c r="O122" i="25"/>
  <c r="R122" i="25"/>
  <c r="H122" i="25"/>
  <c r="J122" i="25"/>
  <c r="K122" i="25"/>
  <c r="Q122" i="25"/>
  <c r="I122" i="25"/>
  <c r="P122" i="25"/>
  <c r="D122" i="25"/>
  <c r="G122" i="25"/>
  <c r="M122" i="25"/>
  <c r="B123" i="25"/>
  <c r="H123" i="25" l="1"/>
  <c r="K123" i="25"/>
  <c r="F123" i="25"/>
  <c r="G123" i="25"/>
  <c r="I123" i="25"/>
  <c r="Q123" i="25"/>
  <c r="D123" i="25"/>
  <c r="E123" i="25"/>
  <c r="M123" i="25"/>
  <c r="C123" i="25"/>
  <c r="N123" i="25"/>
  <c r="J123" i="25"/>
  <c r="O123" i="25"/>
  <c r="P123" i="25"/>
  <c r="B124" i="25"/>
  <c r="L123" i="25"/>
  <c r="R123" i="25"/>
  <c r="C124" i="25" l="1"/>
  <c r="O124" i="25"/>
  <c r="L124" i="25"/>
  <c r="F124" i="25"/>
  <c r="M124" i="25"/>
  <c r="R124" i="25"/>
  <c r="D124" i="25"/>
  <c r="B125" i="25"/>
  <c r="I124" i="25"/>
  <c r="G124" i="25"/>
  <c r="K124" i="25"/>
  <c r="E124" i="25"/>
  <c r="Q124" i="25"/>
  <c r="H124" i="25"/>
  <c r="J124" i="25"/>
  <c r="P124" i="25"/>
  <c r="N124" i="25"/>
  <c r="H125" i="25" l="1"/>
  <c r="E125" i="25"/>
  <c r="I125" i="25"/>
  <c r="G125" i="25"/>
  <c r="Q125" i="25"/>
  <c r="K125" i="25"/>
  <c r="L125" i="25"/>
  <c r="F125" i="25"/>
  <c r="B126" i="25"/>
  <c r="O125" i="25"/>
  <c r="J125" i="25"/>
  <c r="N125" i="25"/>
  <c r="M125" i="25"/>
  <c r="C125" i="25"/>
  <c r="D125" i="25"/>
  <c r="P125" i="25"/>
  <c r="R125" i="25"/>
  <c r="P126" i="25" l="1"/>
  <c r="N126" i="25"/>
  <c r="C126" i="25"/>
  <c r="I126" i="25"/>
  <c r="L126" i="25"/>
  <c r="M126" i="25"/>
  <c r="E126" i="25"/>
  <c r="O126" i="25"/>
  <c r="K126" i="25"/>
  <c r="G126" i="25"/>
  <c r="F126" i="25"/>
  <c r="H126" i="25"/>
  <c r="J126" i="25"/>
  <c r="D126" i="25"/>
  <c r="Q126" i="25"/>
  <c r="B127" i="25"/>
  <c r="R126" i="25"/>
  <c r="I127" i="25" l="1"/>
  <c r="P127" i="25"/>
  <c r="E127" i="25"/>
  <c r="F127" i="25"/>
  <c r="Q127" i="25"/>
  <c r="L127" i="25"/>
  <c r="K127" i="25"/>
  <c r="O127" i="25"/>
  <c r="M127" i="25"/>
  <c r="N127" i="25"/>
  <c r="G127" i="25"/>
  <c r="J127" i="25"/>
  <c r="H127" i="25"/>
  <c r="D127" i="25"/>
  <c r="R127" i="25"/>
  <c r="C127" i="25"/>
  <c r="B128" i="25"/>
  <c r="I128" i="25" l="1"/>
  <c r="R128" i="25"/>
  <c r="G128" i="25"/>
  <c r="E128" i="25"/>
  <c r="F128" i="25"/>
  <c r="L128" i="25"/>
  <c r="M128" i="25"/>
  <c r="K128" i="25"/>
  <c r="N128" i="25"/>
  <c r="P128" i="25"/>
  <c r="Q128" i="25"/>
  <c r="H128" i="25"/>
  <c r="C128" i="25"/>
  <c r="O128" i="25"/>
  <c r="D128" i="25"/>
  <c r="J128" i="25"/>
  <c r="B129" i="25"/>
  <c r="F129" i="25" l="1"/>
  <c r="D129" i="25"/>
  <c r="M129" i="25"/>
  <c r="C129" i="25"/>
  <c r="G129" i="25"/>
  <c r="J129" i="25"/>
  <c r="O129" i="25"/>
  <c r="H129" i="25"/>
  <c r="B130" i="25"/>
  <c r="P129" i="25"/>
  <c r="K129" i="25"/>
  <c r="E129" i="25"/>
  <c r="I129" i="25"/>
  <c r="L129" i="25"/>
  <c r="N129" i="25"/>
  <c r="Q129" i="25"/>
  <c r="R129" i="25"/>
  <c r="O130" i="25" l="1"/>
  <c r="N130" i="25"/>
  <c r="I130" i="25"/>
  <c r="M130" i="25"/>
  <c r="E130" i="25"/>
  <c r="K130" i="25"/>
  <c r="H130" i="25"/>
  <c r="L130" i="25"/>
  <c r="D130" i="25"/>
  <c r="B131" i="25"/>
  <c r="G130" i="25"/>
  <c r="C130" i="25"/>
  <c r="Q130" i="25"/>
  <c r="P130" i="25"/>
  <c r="R130" i="25"/>
  <c r="F130" i="25"/>
  <c r="J130" i="25"/>
  <c r="L131" i="25" l="1"/>
  <c r="N131" i="25"/>
  <c r="K131" i="25"/>
  <c r="P131" i="25"/>
  <c r="M131" i="25"/>
  <c r="Q131" i="25"/>
  <c r="H131" i="25"/>
  <c r="I131" i="25"/>
  <c r="R131" i="25"/>
  <c r="J131" i="25"/>
  <c r="E131" i="25"/>
  <c r="D131" i="25"/>
  <c r="O131" i="25"/>
  <c r="C131" i="25"/>
  <c r="B132" i="25"/>
  <c r="G131" i="25"/>
  <c r="F131" i="25"/>
  <c r="H132" i="25" l="1"/>
  <c r="R132" i="25"/>
  <c r="M132" i="25"/>
  <c r="G132" i="25"/>
  <c r="F132" i="25"/>
  <c r="I132" i="25"/>
  <c r="D132" i="25"/>
  <c r="N132" i="25"/>
  <c r="J132" i="25"/>
  <c r="Q132" i="25"/>
  <c r="O132" i="25"/>
  <c r="B133" i="25"/>
  <c r="P132" i="25"/>
  <c r="C132" i="25"/>
  <c r="L132" i="25"/>
  <c r="K132" i="25"/>
  <c r="E132" i="25"/>
  <c r="D133" i="25" l="1"/>
  <c r="J133" i="25"/>
  <c r="G133" i="25"/>
  <c r="E133" i="25"/>
  <c r="N133" i="25"/>
  <c r="C133" i="25"/>
  <c r="K133" i="25"/>
  <c r="Q133" i="25"/>
  <c r="F133" i="25"/>
  <c r="H133" i="25"/>
  <c r="B134" i="25"/>
  <c r="R133" i="25"/>
  <c r="O133" i="25"/>
  <c r="L133" i="25"/>
  <c r="P133" i="25"/>
  <c r="M133" i="25"/>
  <c r="I133" i="25"/>
  <c r="H134" i="25" l="1"/>
  <c r="N134" i="25"/>
  <c r="Q134" i="25"/>
  <c r="I134" i="25"/>
  <c r="J134" i="25"/>
  <c r="C134" i="25"/>
  <c r="E134" i="25"/>
  <c r="L134" i="25"/>
  <c r="O134" i="25"/>
  <c r="R134" i="25"/>
  <c r="D134" i="25"/>
  <c r="M134" i="25"/>
  <c r="K134" i="25"/>
  <c r="G134" i="25"/>
  <c r="P134" i="25"/>
  <c r="F134" i="25"/>
  <c r="B135" i="25"/>
  <c r="N135" i="25" l="1"/>
  <c r="Q135" i="25"/>
  <c r="I135" i="25"/>
  <c r="L135" i="25"/>
  <c r="E135" i="25"/>
  <c r="C135" i="25"/>
  <c r="J135" i="25"/>
  <c r="F135" i="25"/>
  <c r="K135" i="25"/>
  <c r="B136" i="25"/>
  <c r="R135" i="25"/>
  <c r="M135" i="25"/>
  <c r="P135" i="25"/>
  <c r="D135" i="25"/>
  <c r="H135" i="25"/>
  <c r="G135" i="25"/>
  <c r="O135" i="25"/>
  <c r="L136" i="25" l="1"/>
  <c r="R136" i="25"/>
  <c r="J136" i="25"/>
  <c r="K136" i="25"/>
  <c r="N136" i="25"/>
  <c r="Q136" i="25"/>
  <c r="M136" i="25"/>
  <c r="C136" i="25"/>
  <c r="I136" i="25"/>
  <c r="H136" i="25"/>
  <c r="P136" i="25"/>
  <c r="E136" i="25"/>
  <c r="F136" i="25"/>
  <c r="G136" i="25"/>
  <c r="D136" i="25"/>
  <c r="O136" i="25"/>
  <c r="B137" i="25"/>
  <c r="I137" i="25" l="1"/>
  <c r="O137" i="25"/>
  <c r="G137" i="25"/>
  <c r="M137" i="25"/>
  <c r="C137" i="25"/>
  <c r="K137" i="25"/>
  <c r="D137" i="25"/>
  <c r="P137" i="25"/>
  <c r="L137" i="25"/>
  <c r="F137" i="25"/>
  <c r="E137" i="25"/>
  <c r="H137" i="25"/>
  <c r="N137" i="25"/>
  <c r="Q137" i="25"/>
  <c r="B138" i="25"/>
  <c r="J137" i="25"/>
  <c r="R137" i="25"/>
  <c r="P138" i="25" l="1"/>
  <c r="I138" i="25"/>
  <c r="K138" i="25"/>
  <c r="E138" i="25"/>
  <c r="O138" i="25"/>
  <c r="C138" i="25"/>
  <c r="G138" i="25"/>
  <c r="D138" i="25"/>
  <c r="N138" i="25"/>
  <c r="F138" i="25"/>
  <c r="H138" i="25"/>
  <c r="Q138" i="25"/>
  <c r="M138" i="25"/>
  <c r="J138" i="25"/>
  <c r="B139" i="25"/>
  <c r="L138" i="25"/>
  <c r="R138" i="25"/>
  <c r="H139" i="25" l="1"/>
  <c r="C139" i="25"/>
  <c r="I139" i="25"/>
  <c r="P139" i="25"/>
  <c r="D139" i="25"/>
  <c r="K139" i="25"/>
  <c r="Q139" i="25"/>
  <c r="M139" i="25"/>
  <c r="B140" i="25"/>
  <c r="O139" i="25"/>
  <c r="R139" i="25"/>
  <c r="L139" i="25"/>
  <c r="F139" i="25"/>
  <c r="G139" i="25"/>
  <c r="N139" i="25"/>
  <c r="J139" i="25"/>
  <c r="E139" i="25"/>
  <c r="I140" i="25" l="1"/>
  <c r="Q140" i="25"/>
  <c r="J140" i="25"/>
  <c r="F140" i="25"/>
  <c r="M140" i="25"/>
  <c r="C140" i="25"/>
  <c r="H140" i="25"/>
  <c r="E140" i="25"/>
  <c r="B141" i="25"/>
  <c r="P140" i="25"/>
  <c r="K140" i="25"/>
  <c r="L140" i="25"/>
  <c r="O140" i="25"/>
  <c r="N140" i="25"/>
  <c r="R140" i="25"/>
  <c r="D140" i="25"/>
  <c r="G140" i="25"/>
  <c r="N141" i="25" l="1"/>
  <c r="C141" i="25"/>
  <c r="O141" i="25"/>
  <c r="D141" i="25"/>
  <c r="L141" i="25"/>
  <c r="K141" i="25"/>
  <c r="M141" i="25"/>
  <c r="I141" i="25"/>
  <c r="Q141" i="25"/>
  <c r="H141" i="25"/>
  <c r="E141" i="25"/>
  <c r="B142" i="25"/>
  <c r="G141" i="25"/>
  <c r="P141" i="25"/>
  <c r="F141" i="25"/>
  <c r="J141" i="25"/>
  <c r="R141" i="25"/>
  <c r="N142" i="25" l="1"/>
  <c r="D142" i="25"/>
  <c r="Q142" i="25"/>
  <c r="M142" i="25"/>
  <c r="J142" i="25"/>
  <c r="O142" i="25"/>
  <c r="F142" i="25"/>
  <c r="L142" i="25"/>
  <c r="K142" i="25"/>
  <c r="E142" i="25"/>
  <c r="H142" i="25"/>
  <c r="P142" i="25"/>
  <c r="I142" i="25"/>
  <c r="C142" i="25"/>
  <c r="R142" i="25"/>
  <c r="B143" i="25"/>
  <c r="G142" i="25"/>
  <c r="L143" i="25" l="1"/>
  <c r="M143" i="25"/>
  <c r="C143" i="25"/>
  <c r="F143" i="25"/>
  <c r="E143" i="25"/>
  <c r="K143" i="25"/>
  <c r="O143" i="25"/>
  <c r="Q143" i="25"/>
  <c r="G143" i="25"/>
  <c r="P143" i="25"/>
  <c r="H143" i="25"/>
  <c r="I143" i="25"/>
  <c r="D143" i="25"/>
  <c r="N143" i="25"/>
  <c r="B144" i="25"/>
  <c r="J143" i="25"/>
  <c r="R143" i="25"/>
  <c r="L144" i="25" l="1"/>
  <c r="C144" i="25"/>
  <c r="N144" i="25"/>
  <c r="M144" i="25"/>
  <c r="R144" i="25"/>
  <c r="H144" i="25"/>
  <c r="D144" i="25"/>
  <c r="B145" i="25"/>
  <c r="K144" i="25"/>
  <c r="F144" i="25"/>
  <c r="J144" i="25"/>
  <c r="Q144" i="25"/>
  <c r="G144" i="25"/>
  <c r="P144" i="25"/>
  <c r="E144" i="25"/>
  <c r="O144" i="25"/>
  <c r="I144" i="25"/>
  <c r="M145" i="25" l="1"/>
  <c r="J145" i="25"/>
  <c r="K145" i="25"/>
  <c r="L145" i="25"/>
  <c r="P145" i="25"/>
  <c r="E145" i="25"/>
  <c r="G145" i="25"/>
  <c r="D145" i="25"/>
  <c r="H145" i="25"/>
  <c r="O145" i="25"/>
  <c r="I145" i="25"/>
  <c r="F145" i="25"/>
  <c r="B146" i="25"/>
  <c r="R145" i="25"/>
  <c r="Q145" i="25"/>
  <c r="N145" i="25"/>
  <c r="C145" i="25"/>
  <c r="N146" i="25" l="1"/>
  <c r="E146" i="25"/>
  <c r="Q146" i="25"/>
  <c r="F146" i="25"/>
  <c r="C146" i="25"/>
  <c r="J146" i="25"/>
  <c r="O146" i="25"/>
  <c r="I146" i="25"/>
  <c r="B147" i="25"/>
  <c r="H146" i="25"/>
  <c r="G146" i="25"/>
  <c r="K146" i="25"/>
  <c r="R146" i="25"/>
  <c r="P146" i="25"/>
  <c r="D146" i="25"/>
  <c r="M146" i="25"/>
  <c r="L146" i="25"/>
  <c r="P147" i="25" l="1"/>
  <c r="C147" i="25"/>
  <c r="M147" i="25"/>
  <c r="I147" i="25"/>
  <c r="N147" i="25"/>
  <c r="L147" i="25"/>
  <c r="G147" i="25"/>
  <c r="K147" i="25"/>
  <c r="Q147" i="25"/>
  <c r="R147" i="25"/>
  <c r="J147" i="25"/>
  <c r="B148" i="25"/>
  <c r="D147" i="25"/>
  <c r="H147" i="25"/>
  <c r="E147" i="25"/>
  <c r="O147" i="25"/>
  <c r="F147" i="25"/>
  <c r="O148" i="25" l="1"/>
  <c r="R148" i="25"/>
  <c r="L148" i="25"/>
  <c r="N148" i="25"/>
  <c r="G148" i="25"/>
  <c r="M148" i="25"/>
  <c r="F148" i="25"/>
  <c r="Q148" i="25"/>
  <c r="K148" i="25"/>
  <c r="E148" i="25"/>
  <c r="B149" i="25"/>
  <c r="J148" i="25"/>
  <c r="H148" i="25"/>
  <c r="P148" i="25"/>
  <c r="C148" i="25"/>
  <c r="I148" i="25"/>
  <c r="D148" i="25"/>
  <c r="P149" i="25" l="1"/>
  <c r="L149" i="25"/>
  <c r="H149" i="25"/>
  <c r="K149" i="25"/>
  <c r="Q149" i="25"/>
  <c r="I149" i="25"/>
  <c r="M149" i="25"/>
  <c r="E149" i="25"/>
  <c r="B150" i="25"/>
  <c r="F149" i="25"/>
  <c r="D149" i="25"/>
  <c r="G149" i="25"/>
  <c r="C149" i="25"/>
  <c r="J149" i="25"/>
  <c r="N149" i="25"/>
  <c r="O149" i="25"/>
  <c r="R149" i="25"/>
  <c r="E150" i="25" l="1"/>
  <c r="P150" i="25"/>
  <c r="I150" i="25"/>
  <c r="O150" i="25"/>
  <c r="Q150" i="25"/>
  <c r="D150" i="25"/>
  <c r="M150" i="25"/>
  <c r="C150" i="25"/>
  <c r="G150" i="25"/>
  <c r="H150" i="25"/>
  <c r="L150" i="25"/>
  <c r="F150" i="25"/>
  <c r="B151" i="25"/>
  <c r="N150" i="25"/>
  <c r="R150" i="25"/>
  <c r="J150" i="25"/>
  <c r="K150" i="25"/>
  <c r="J151" i="25" l="1"/>
  <c r="H151" i="25"/>
  <c r="N151" i="25"/>
  <c r="G151" i="25"/>
  <c r="E151" i="25"/>
  <c r="O151" i="25"/>
  <c r="Q151" i="25"/>
  <c r="R151" i="25"/>
  <c r="L151" i="25"/>
  <c r="C151" i="25"/>
  <c r="M151" i="25"/>
  <c r="K151" i="25"/>
  <c r="D151" i="25"/>
  <c r="B152" i="25"/>
  <c r="F151" i="25"/>
  <c r="P151" i="25"/>
  <c r="I151" i="25"/>
  <c r="G152" i="25" l="1"/>
  <c r="R152" i="25"/>
  <c r="Q152" i="25"/>
  <c r="H152" i="25"/>
  <c r="E152" i="25"/>
  <c r="O152" i="25"/>
  <c r="P152" i="25"/>
  <c r="C152" i="25"/>
  <c r="B153" i="25"/>
  <c r="M152" i="25"/>
  <c r="I152" i="25"/>
  <c r="N152" i="25"/>
  <c r="F152" i="25"/>
  <c r="K152" i="25"/>
  <c r="D152" i="25"/>
  <c r="L152" i="25"/>
  <c r="J152" i="25"/>
  <c r="L153" i="25" l="1"/>
  <c r="I153" i="25"/>
  <c r="Q153" i="25"/>
  <c r="K153" i="25"/>
  <c r="E153" i="25"/>
  <c r="C153" i="25"/>
  <c r="G153" i="25"/>
  <c r="O153" i="25"/>
  <c r="J153" i="25"/>
  <c r="M153" i="25"/>
  <c r="H153" i="25"/>
  <c r="P153" i="25"/>
  <c r="R153" i="25"/>
  <c r="D153" i="25"/>
  <c r="B154" i="25"/>
  <c r="N153" i="25"/>
  <c r="F153" i="25"/>
  <c r="Q154" i="25" l="1"/>
  <c r="J154" i="25"/>
  <c r="P154" i="25"/>
  <c r="K154" i="25"/>
  <c r="O154" i="25"/>
  <c r="D154" i="25"/>
  <c r="B155" i="25"/>
  <c r="G154" i="25"/>
  <c r="H154" i="25"/>
  <c r="I154" i="25"/>
  <c r="R154" i="25"/>
  <c r="F154" i="25"/>
  <c r="E154" i="25"/>
  <c r="L154" i="25"/>
  <c r="N154" i="25"/>
  <c r="C154" i="25"/>
  <c r="M154" i="25"/>
  <c r="M155" i="25" l="1"/>
  <c r="J155" i="25"/>
  <c r="Q155" i="25"/>
  <c r="C155" i="25"/>
  <c r="B156" i="25"/>
  <c r="O155" i="25"/>
  <c r="N155" i="25"/>
  <c r="D155" i="25"/>
  <c r="P155" i="25"/>
  <c r="F155" i="25"/>
  <c r="E155" i="25"/>
  <c r="R155" i="25"/>
  <c r="H155" i="25"/>
  <c r="G155" i="25"/>
  <c r="K155" i="25"/>
  <c r="I155" i="25"/>
  <c r="L155" i="25"/>
  <c r="I156" i="25" l="1"/>
  <c r="R156" i="25"/>
  <c r="K156" i="25"/>
  <c r="O156" i="25"/>
  <c r="E156" i="25"/>
  <c r="M156" i="25"/>
  <c r="B157" i="25"/>
  <c r="N156" i="25"/>
  <c r="D156" i="25"/>
  <c r="P156" i="25"/>
  <c r="J156" i="25"/>
  <c r="F156" i="25"/>
  <c r="C156" i="25"/>
  <c r="L156" i="25"/>
  <c r="H156" i="25"/>
  <c r="Q156" i="25"/>
  <c r="G156" i="25"/>
  <c r="E157" i="25" l="1"/>
  <c r="C157" i="25"/>
  <c r="D157" i="25"/>
  <c r="P157" i="25"/>
  <c r="H157" i="25"/>
  <c r="Q157" i="25"/>
  <c r="F157" i="25"/>
  <c r="N157" i="25"/>
  <c r="R157" i="25"/>
  <c r="I157" i="25"/>
  <c r="K157" i="25"/>
  <c r="B158" i="25"/>
  <c r="O157" i="25"/>
  <c r="J157" i="25"/>
  <c r="L157" i="25"/>
  <c r="M157" i="25"/>
  <c r="G157" i="25"/>
  <c r="J158" i="25" l="1"/>
  <c r="F158" i="25"/>
  <c r="M158" i="25"/>
  <c r="L158" i="25"/>
  <c r="R158" i="25"/>
  <c r="H158" i="25"/>
  <c r="C158" i="25"/>
  <c r="E158" i="25"/>
  <c r="N158" i="25"/>
  <c r="G158" i="25"/>
  <c r="O158" i="25"/>
  <c r="Q158" i="25"/>
  <c r="P158" i="25"/>
  <c r="B159" i="25"/>
  <c r="D158" i="25"/>
  <c r="K158" i="25"/>
  <c r="I158" i="25"/>
  <c r="G159" i="25" l="1"/>
  <c r="P159" i="25"/>
  <c r="M159" i="25"/>
  <c r="Q159" i="25"/>
  <c r="K159" i="25"/>
  <c r="D159" i="25"/>
  <c r="I159" i="25"/>
  <c r="C159" i="25"/>
  <c r="L159" i="25"/>
  <c r="J159" i="25"/>
  <c r="H159" i="25"/>
  <c r="R159" i="25"/>
  <c r="F159" i="25"/>
  <c r="N159" i="25"/>
  <c r="B160" i="25"/>
  <c r="O159" i="25"/>
  <c r="E159" i="25"/>
  <c r="Q160" i="25" l="1"/>
  <c r="R160" i="25"/>
  <c r="F160" i="25"/>
  <c r="B161" i="25"/>
  <c r="M160" i="25"/>
  <c r="L160" i="25"/>
  <c r="O160" i="25"/>
  <c r="K160" i="25"/>
  <c r="G160" i="25"/>
  <c r="N160" i="25"/>
  <c r="P160" i="25"/>
  <c r="J160" i="25"/>
  <c r="C160" i="25"/>
  <c r="I160" i="25"/>
  <c r="H160" i="25"/>
  <c r="E160" i="25"/>
  <c r="D160" i="25"/>
  <c r="O161" i="25" l="1"/>
  <c r="I161" i="25"/>
  <c r="K161" i="25"/>
  <c r="D161" i="25"/>
  <c r="J161" i="25"/>
  <c r="C161" i="25"/>
  <c r="H161" i="25"/>
  <c r="R161" i="25"/>
  <c r="E161" i="25"/>
  <c r="B162" i="25"/>
  <c r="Q161" i="25"/>
  <c r="M161" i="25"/>
  <c r="G161" i="25"/>
  <c r="P161" i="25"/>
  <c r="F161" i="25"/>
  <c r="L161" i="25"/>
  <c r="N161" i="25"/>
  <c r="D162" i="25" l="1"/>
  <c r="G162" i="25"/>
  <c r="M162" i="25"/>
  <c r="E162" i="25"/>
  <c r="K162" i="25"/>
  <c r="Q162" i="25"/>
  <c r="C162" i="25"/>
  <c r="P162" i="25"/>
  <c r="J162" i="25"/>
  <c r="R162" i="25"/>
  <c r="N162" i="25"/>
  <c r="F162" i="25"/>
  <c r="B163" i="25"/>
  <c r="O162" i="25"/>
  <c r="I162" i="25"/>
  <c r="H162" i="25"/>
  <c r="L162" i="25"/>
  <c r="D163" i="25" l="1"/>
  <c r="I163" i="25"/>
  <c r="P163" i="25"/>
  <c r="F163" i="25"/>
  <c r="K163" i="25"/>
  <c r="H163" i="25"/>
  <c r="L163" i="25"/>
  <c r="B164" i="25"/>
  <c r="R163" i="25"/>
  <c r="M163" i="25"/>
  <c r="C163" i="25"/>
  <c r="E163" i="25"/>
  <c r="J163" i="25"/>
  <c r="Q163" i="25"/>
  <c r="O163" i="25"/>
  <c r="N163" i="25"/>
  <c r="G163" i="25"/>
  <c r="E164" i="25" l="1"/>
  <c r="R164" i="25"/>
  <c r="P164" i="25"/>
  <c r="G164" i="25"/>
  <c r="D164" i="25"/>
  <c r="L164" i="25"/>
  <c r="F164" i="25"/>
  <c r="Q164" i="25"/>
  <c r="J164" i="25"/>
  <c r="B165" i="25"/>
  <c r="C164" i="25"/>
  <c r="M164" i="25"/>
  <c r="O164" i="25"/>
  <c r="H164" i="25"/>
  <c r="N164" i="25"/>
  <c r="K164" i="25"/>
  <c r="I164" i="25"/>
  <c r="H165" i="25" l="1"/>
  <c r="L165" i="25"/>
  <c r="Q165" i="25"/>
  <c r="E165" i="25"/>
  <c r="P165" i="25"/>
  <c r="K165" i="25"/>
  <c r="J165" i="25"/>
  <c r="N165" i="25"/>
  <c r="F165" i="25"/>
  <c r="C165" i="25"/>
  <c r="M165" i="25"/>
  <c r="O165" i="25"/>
  <c r="D165" i="25"/>
  <c r="B166" i="25"/>
  <c r="R165" i="25"/>
  <c r="G165" i="25"/>
  <c r="I165" i="25"/>
  <c r="L166" i="25" l="1"/>
  <c r="N166" i="25"/>
  <c r="R166" i="25"/>
  <c r="M166" i="25"/>
  <c r="P166" i="25"/>
  <c r="O166" i="25"/>
  <c r="Q166" i="25"/>
  <c r="G166" i="25"/>
  <c r="H166" i="25"/>
  <c r="F166" i="25"/>
  <c r="K166" i="25"/>
  <c r="J166" i="25"/>
  <c r="B167" i="25"/>
  <c r="D166" i="25"/>
  <c r="C166" i="25"/>
  <c r="I166" i="25"/>
  <c r="E166" i="25"/>
  <c r="P167" i="25" l="1"/>
  <c r="L167" i="25"/>
  <c r="G167" i="25"/>
  <c r="J167" i="25"/>
  <c r="F167" i="25"/>
  <c r="D167" i="25"/>
  <c r="H167" i="25"/>
  <c r="M167" i="25"/>
  <c r="N167" i="25"/>
  <c r="K167" i="25"/>
  <c r="O167" i="25"/>
  <c r="E167" i="25"/>
  <c r="Q167" i="25"/>
  <c r="C167" i="25"/>
  <c r="B168" i="25"/>
  <c r="I167" i="25"/>
  <c r="R167" i="25"/>
  <c r="K168" i="25" l="1"/>
  <c r="R168" i="25"/>
  <c r="C168" i="25"/>
  <c r="D168" i="25"/>
  <c r="G168" i="25"/>
  <c r="M168" i="25"/>
  <c r="J168" i="25"/>
  <c r="I168" i="25"/>
  <c r="Q168" i="25"/>
  <c r="F168" i="25"/>
  <c r="H168" i="25"/>
  <c r="E168" i="25"/>
  <c r="N168" i="25"/>
  <c r="P168" i="25"/>
  <c r="B169" i="25"/>
  <c r="L168" i="25"/>
  <c r="O168" i="25"/>
  <c r="J169" i="25" l="1"/>
  <c r="P169" i="25"/>
  <c r="G169" i="25"/>
  <c r="C169" i="25"/>
  <c r="M169" i="25"/>
  <c r="R169" i="25"/>
  <c r="H169" i="25"/>
  <c r="N169" i="25"/>
  <c r="I169" i="25"/>
  <c r="L169" i="25"/>
  <c r="B170" i="25"/>
  <c r="E169" i="25"/>
  <c r="O169" i="25"/>
  <c r="F169" i="25"/>
  <c r="K169" i="25"/>
  <c r="Q169" i="25"/>
  <c r="D169" i="25"/>
  <c r="N170" i="25" l="1"/>
  <c r="K170" i="25"/>
  <c r="G170" i="25"/>
  <c r="L170" i="25"/>
  <c r="I170" i="25"/>
  <c r="B171" i="25"/>
  <c r="E170" i="25"/>
  <c r="P170" i="25"/>
  <c r="C170" i="25"/>
  <c r="Q170" i="25"/>
  <c r="F170" i="25"/>
  <c r="J170" i="25"/>
  <c r="O170" i="25"/>
  <c r="D170" i="25"/>
  <c r="H170" i="25"/>
  <c r="M170" i="25"/>
  <c r="R170" i="25"/>
  <c r="E171" i="25" l="1"/>
  <c r="K171" i="25"/>
  <c r="F171" i="25"/>
  <c r="R171" i="25"/>
  <c r="P171" i="25"/>
  <c r="C171" i="25"/>
  <c r="Q171" i="25"/>
  <c r="G171" i="25"/>
  <c r="H171" i="25"/>
  <c r="B172" i="25"/>
  <c r="D171" i="25"/>
  <c r="M171" i="25"/>
  <c r="J171" i="25"/>
  <c r="L171" i="25"/>
  <c r="I171" i="25"/>
  <c r="O171" i="25"/>
  <c r="N171" i="25"/>
  <c r="N172" i="25" l="1"/>
  <c r="G172" i="25"/>
  <c r="C172" i="25"/>
  <c r="D172" i="25"/>
  <c r="R172" i="25"/>
  <c r="J172" i="25"/>
  <c r="F172" i="25"/>
  <c r="L172" i="25"/>
  <c r="M172" i="25"/>
  <c r="E172" i="25"/>
  <c r="H172" i="25"/>
  <c r="K172" i="25"/>
  <c r="I172" i="25"/>
  <c r="O172" i="25"/>
  <c r="Q172" i="25"/>
  <c r="B173" i="25"/>
  <c r="P172" i="25"/>
  <c r="P173" i="25" l="1"/>
  <c r="D173" i="25"/>
  <c r="F173" i="25"/>
  <c r="G173" i="25"/>
  <c r="L173" i="25"/>
  <c r="I173" i="25"/>
  <c r="J173" i="25"/>
  <c r="H173" i="25"/>
  <c r="K173" i="25"/>
  <c r="O173" i="25"/>
  <c r="E173" i="25"/>
  <c r="M173" i="25"/>
  <c r="N173" i="25"/>
  <c r="C173" i="25"/>
  <c r="B174" i="25"/>
  <c r="R173" i="25"/>
  <c r="Q173" i="25"/>
  <c r="I174" i="25" l="1"/>
  <c r="L174" i="25"/>
  <c r="C174" i="25"/>
  <c r="H174" i="25"/>
  <c r="J174" i="25"/>
  <c r="E174" i="25"/>
  <c r="M174" i="25"/>
  <c r="B175" i="25"/>
  <c r="R174" i="25"/>
  <c r="Q174" i="25"/>
  <c r="K174" i="25"/>
  <c r="D174" i="25"/>
  <c r="P174" i="25"/>
  <c r="G174" i="25"/>
  <c r="N174" i="25"/>
  <c r="F174" i="25"/>
  <c r="O174" i="25"/>
  <c r="J175" i="25" l="1"/>
  <c r="F175" i="25"/>
  <c r="I175" i="25"/>
  <c r="H175" i="25"/>
  <c r="E175" i="25"/>
  <c r="G175" i="25"/>
  <c r="N175" i="25"/>
  <c r="M175" i="25"/>
  <c r="K175" i="25"/>
  <c r="O175" i="25"/>
  <c r="Q175" i="25"/>
  <c r="D175" i="25"/>
  <c r="C175" i="25"/>
  <c r="L175" i="25"/>
  <c r="B176" i="25"/>
  <c r="P175" i="25"/>
  <c r="R175" i="25"/>
  <c r="P176" i="25" l="1"/>
  <c r="K176" i="25"/>
  <c r="C176" i="25"/>
  <c r="R176" i="25"/>
  <c r="H176" i="25"/>
  <c r="E176" i="25"/>
  <c r="J176" i="25"/>
  <c r="I176" i="25"/>
  <c r="L176" i="25"/>
  <c r="N176" i="25"/>
  <c r="B177" i="25"/>
  <c r="D176" i="25"/>
  <c r="Q176" i="25"/>
  <c r="M176" i="25"/>
  <c r="O176" i="25"/>
  <c r="G176" i="25"/>
  <c r="F176" i="25"/>
  <c r="I177" i="25" l="1"/>
  <c r="L177" i="25"/>
  <c r="C177" i="25"/>
  <c r="K177" i="25"/>
  <c r="J177" i="25"/>
  <c r="F177" i="25"/>
  <c r="G177" i="25"/>
  <c r="B178" i="25"/>
  <c r="M177" i="25"/>
  <c r="O177" i="25"/>
  <c r="N177" i="25"/>
  <c r="Q177" i="25"/>
  <c r="P177" i="25"/>
  <c r="E177" i="25"/>
  <c r="H177" i="25"/>
  <c r="D177" i="25"/>
  <c r="R177" i="25"/>
  <c r="H178" i="25" l="1"/>
  <c r="D178" i="25"/>
  <c r="Q178" i="25"/>
  <c r="F178" i="25"/>
  <c r="K178" i="25"/>
  <c r="J178" i="25"/>
  <c r="B179" i="25"/>
  <c r="P178" i="25"/>
  <c r="O178" i="25"/>
  <c r="R178" i="25"/>
  <c r="C178" i="25"/>
  <c r="N178" i="25"/>
  <c r="I178" i="25"/>
  <c r="G178" i="25"/>
  <c r="M178" i="25"/>
  <c r="E178" i="25"/>
  <c r="L178" i="25"/>
  <c r="I179" i="25" l="1"/>
  <c r="R179" i="25"/>
  <c r="K179" i="25"/>
  <c r="E179" i="25"/>
  <c r="F179" i="25"/>
  <c r="H179" i="25"/>
  <c r="M179" i="25"/>
  <c r="P179" i="25"/>
  <c r="O179" i="25"/>
  <c r="C179" i="25"/>
  <c r="B180" i="25"/>
  <c r="D179" i="25"/>
  <c r="G179" i="25"/>
  <c r="J179" i="25"/>
  <c r="N179" i="25"/>
  <c r="Q179" i="25"/>
  <c r="L179" i="25"/>
  <c r="O180" i="25" l="1"/>
  <c r="E180" i="25"/>
  <c r="D180" i="25"/>
  <c r="H180" i="25"/>
  <c r="C180" i="25"/>
  <c r="R180" i="25"/>
  <c r="P180" i="25"/>
  <c r="L180" i="25"/>
  <c r="I180" i="25"/>
  <c r="N180" i="25"/>
  <c r="G180" i="25"/>
  <c r="Q180" i="25"/>
  <c r="M180" i="25"/>
  <c r="F180" i="25"/>
  <c r="B181" i="25"/>
  <c r="K180" i="25"/>
  <c r="J180" i="25"/>
  <c r="M181" i="25" l="1"/>
  <c r="I181" i="25"/>
  <c r="O181" i="25"/>
  <c r="D181" i="25"/>
  <c r="N181" i="25"/>
  <c r="P181" i="25"/>
  <c r="E181" i="25"/>
  <c r="L181" i="25"/>
  <c r="J181" i="25"/>
  <c r="B182" i="25"/>
  <c r="K181" i="25"/>
  <c r="Q181" i="25"/>
  <c r="F181" i="25"/>
  <c r="G181" i="25"/>
  <c r="R181" i="25"/>
  <c r="C181" i="25"/>
  <c r="H181" i="25"/>
  <c r="M182" i="25" l="1"/>
  <c r="K182" i="25"/>
  <c r="R182" i="25"/>
  <c r="C182" i="25"/>
  <c r="O182" i="25"/>
  <c r="Q182" i="25"/>
  <c r="N182" i="25"/>
  <c r="E182" i="25"/>
  <c r="F182" i="25"/>
  <c r="B183" i="25"/>
  <c r="L182" i="25"/>
  <c r="J182" i="25"/>
  <c r="H182" i="25"/>
  <c r="G182" i="25"/>
  <c r="I182" i="25"/>
  <c r="D182" i="25"/>
  <c r="P182" i="25"/>
  <c r="Q183" i="25" l="1"/>
  <c r="C183" i="25"/>
  <c r="N183" i="25"/>
  <c r="G183" i="25"/>
  <c r="I183" i="25"/>
  <c r="F183" i="25"/>
  <c r="L183" i="25"/>
  <c r="K183" i="25"/>
  <c r="B184" i="25"/>
  <c r="O183" i="25"/>
  <c r="D183" i="25"/>
  <c r="E183" i="25"/>
  <c r="H183" i="25"/>
  <c r="M183" i="25"/>
  <c r="J183" i="25"/>
  <c r="R183" i="25"/>
  <c r="P183" i="25"/>
  <c r="G184" i="25" l="1"/>
  <c r="C184" i="25"/>
  <c r="F184" i="25"/>
  <c r="L184" i="25"/>
  <c r="O184" i="25"/>
  <c r="D184" i="25"/>
  <c r="J184" i="25"/>
  <c r="I184" i="25"/>
  <c r="E184" i="25"/>
  <c r="P184" i="25"/>
  <c r="M184" i="25"/>
  <c r="N184" i="25"/>
  <c r="R184" i="25"/>
  <c r="K184" i="25"/>
  <c r="Q184" i="25"/>
  <c r="H184" i="25"/>
  <c r="B185" i="25"/>
  <c r="N185" i="25" l="1"/>
  <c r="Q185" i="25"/>
  <c r="D185" i="25"/>
  <c r="K185" i="25"/>
  <c r="M185" i="25"/>
  <c r="H185" i="25"/>
  <c r="L185" i="25"/>
  <c r="C185" i="25"/>
  <c r="R185" i="25"/>
  <c r="P185" i="25"/>
  <c r="F185" i="25"/>
  <c r="J185" i="25"/>
  <c r="G185" i="25"/>
  <c r="E185" i="25"/>
  <c r="O185" i="25"/>
  <c r="I185" i="25"/>
  <c r="B186" i="25"/>
  <c r="D186" i="25" l="1"/>
  <c r="N186" i="25"/>
  <c r="L186" i="25"/>
  <c r="F186" i="25"/>
  <c r="Q186" i="25"/>
  <c r="P186" i="25"/>
  <c r="H186" i="25"/>
  <c r="M186" i="25"/>
  <c r="B187" i="25"/>
  <c r="C186" i="25"/>
  <c r="K186" i="25"/>
  <c r="O186" i="25"/>
  <c r="I186" i="25"/>
  <c r="J186" i="25"/>
  <c r="G186" i="25"/>
  <c r="R186" i="25"/>
  <c r="E186" i="25"/>
  <c r="D187" i="25" l="1"/>
  <c r="E187" i="25"/>
  <c r="R187" i="25"/>
  <c r="H187" i="25"/>
  <c r="O187" i="25"/>
  <c r="G187" i="25"/>
  <c r="N187" i="25"/>
  <c r="I187" i="25"/>
  <c r="C187" i="25"/>
  <c r="B188" i="25"/>
  <c r="F187" i="25"/>
  <c r="P187" i="25"/>
  <c r="K187" i="25"/>
  <c r="Q187" i="25"/>
  <c r="L187" i="25"/>
  <c r="J187" i="25"/>
  <c r="M187" i="25"/>
  <c r="G188" i="25" l="1"/>
  <c r="Q188" i="25"/>
  <c r="M188" i="25"/>
  <c r="R188" i="25"/>
  <c r="K188" i="25"/>
  <c r="C188" i="25"/>
  <c r="O188" i="25"/>
  <c r="D188" i="25"/>
  <c r="H188" i="25"/>
  <c r="P188" i="25"/>
  <c r="I188" i="25"/>
  <c r="E188" i="25"/>
  <c r="N188" i="25"/>
  <c r="F188" i="25"/>
  <c r="B189" i="25"/>
  <c r="L188" i="25"/>
  <c r="J188" i="25"/>
  <c r="J189" i="25" l="1"/>
  <c r="L189" i="25"/>
  <c r="H189" i="25"/>
  <c r="P189" i="25"/>
  <c r="F189" i="25"/>
  <c r="N189" i="25"/>
  <c r="D189" i="25"/>
  <c r="G189" i="25"/>
  <c r="K189" i="25"/>
  <c r="I189" i="25"/>
  <c r="C189" i="25"/>
  <c r="O189" i="25"/>
  <c r="R189" i="25"/>
  <c r="B190" i="25"/>
  <c r="M189" i="25"/>
  <c r="Q189" i="25"/>
  <c r="E189" i="25"/>
  <c r="M190" i="25" l="1"/>
  <c r="R190" i="25"/>
  <c r="L190" i="25"/>
  <c r="E190" i="25"/>
  <c r="J190" i="25"/>
  <c r="K190" i="25"/>
  <c r="C190" i="25"/>
  <c r="Q190" i="25"/>
  <c r="H190" i="25"/>
  <c r="I190" i="25"/>
  <c r="B191" i="25"/>
  <c r="N190" i="25"/>
  <c r="D190" i="25"/>
  <c r="O190" i="25"/>
  <c r="P190" i="25"/>
  <c r="F190" i="25"/>
  <c r="G190" i="25"/>
  <c r="J191" i="25" l="1"/>
  <c r="R191" i="25"/>
  <c r="C191" i="25"/>
  <c r="O191" i="25"/>
  <c r="F191" i="25"/>
  <c r="L191" i="25"/>
  <c r="D191" i="25"/>
  <c r="P191" i="25"/>
  <c r="I191" i="25"/>
  <c r="Q191" i="25"/>
  <c r="M191" i="25"/>
  <c r="K191" i="25"/>
  <c r="N191" i="25"/>
  <c r="G191" i="25"/>
  <c r="E191" i="25"/>
  <c r="B192" i="25"/>
  <c r="H191" i="25"/>
  <c r="C192" i="25" l="1"/>
  <c r="D192" i="25"/>
  <c r="K192" i="25"/>
  <c r="J192" i="25"/>
  <c r="I192" i="25"/>
  <c r="Q192" i="25"/>
  <c r="P192" i="25"/>
  <c r="F192" i="25"/>
  <c r="R192" i="25"/>
  <c r="B193" i="25"/>
  <c r="L192" i="25"/>
  <c r="N192" i="25"/>
  <c r="H192" i="25"/>
  <c r="E192" i="25"/>
  <c r="M192" i="25"/>
  <c r="O192" i="25"/>
  <c r="G192" i="25"/>
  <c r="O193" i="25" l="1"/>
  <c r="R193" i="25"/>
  <c r="M193" i="25"/>
  <c r="L193" i="25"/>
  <c r="Q193" i="25"/>
  <c r="J193" i="25"/>
  <c r="H193" i="25"/>
  <c r="I193" i="25"/>
  <c r="F193" i="25"/>
  <c r="P193" i="25"/>
  <c r="C193" i="25"/>
  <c r="D193" i="25"/>
  <c r="K193" i="25"/>
  <c r="E193" i="25"/>
  <c r="B194" i="25"/>
  <c r="N193" i="25"/>
  <c r="G193" i="25"/>
  <c r="D194" i="25" l="1"/>
  <c r="O194" i="25"/>
  <c r="R194" i="25"/>
  <c r="K194" i="25"/>
  <c r="G194" i="25"/>
  <c r="Q194" i="25"/>
  <c r="J194" i="25"/>
  <c r="I194" i="25"/>
  <c r="F194" i="25"/>
  <c r="C194" i="25"/>
  <c r="P194" i="25"/>
  <c r="N194" i="25"/>
  <c r="H194" i="25"/>
  <c r="E194" i="25"/>
  <c r="M194" i="25"/>
  <c r="B195" i="25"/>
  <c r="L194" i="25"/>
  <c r="C195" i="25" l="1"/>
  <c r="M195" i="25"/>
  <c r="L195" i="25"/>
  <c r="H195" i="25"/>
  <c r="J195" i="25"/>
  <c r="P195" i="25"/>
  <c r="R195" i="25"/>
  <c r="K195" i="25"/>
  <c r="Q195" i="25"/>
  <c r="F195" i="25"/>
  <c r="D195" i="25"/>
  <c r="B196" i="25"/>
  <c r="N195" i="25"/>
  <c r="O195" i="25"/>
  <c r="E195" i="25"/>
  <c r="G195" i="25"/>
  <c r="I195" i="25"/>
  <c r="M196" i="25" l="1"/>
  <c r="N196" i="25"/>
  <c r="O196" i="25"/>
  <c r="E196" i="25"/>
  <c r="H196" i="25"/>
  <c r="K196" i="25"/>
  <c r="F196" i="25"/>
  <c r="C196" i="25"/>
  <c r="Q196" i="25"/>
  <c r="I196" i="25"/>
  <c r="D196" i="25"/>
  <c r="G196" i="25"/>
  <c r="L196" i="25"/>
  <c r="P196" i="25"/>
  <c r="J196" i="25"/>
  <c r="R196" i="25"/>
  <c r="B197" i="25"/>
  <c r="H197" i="25" l="1"/>
  <c r="F197" i="25"/>
  <c r="O197" i="25"/>
  <c r="B198" i="25"/>
  <c r="L197" i="25"/>
  <c r="C197" i="25"/>
  <c r="P197" i="25"/>
  <c r="I197" i="25"/>
  <c r="Q197" i="25"/>
  <c r="J197" i="25"/>
  <c r="M197" i="25"/>
  <c r="E197" i="25"/>
  <c r="R197" i="25"/>
  <c r="D197" i="25"/>
  <c r="K197" i="25"/>
  <c r="N197" i="25"/>
  <c r="G197" i="25"/>
  <c r="N198" i="25" l="1"/>
  <c r="J198" i="25"/>
  <c r="R198" i="25"/>
  <c r="D198" i="25"/>
  <c r="C198" i="25"/>
  <c r="F198" i="25"/>
  <c r="B199" i="25"/>
  <c r="E198" i="25"/>
  <c r="O198" i="25"/>
  <c r="G198" i="25"/>
  <c r="M198" i="25"/>
  <c r="Q198" i="25"/>
  <c r="L198" i="25"/>
  <c r="H198" i="25"/>
  <c r="K198" i="25"/>
  <c r="I198" i="25"/>
  <c r="P198" i="25"/>
  <c r="R199" i="25" l="1"/>
  <c r="E199" i="25"/>
  <c r="G199" i="25"/>
  <c r="J199" i="25"/>
  <c r="F199" i="25"/>
  <c r="O199" i="25"/>
  <c r="P199" i="25"/>
  <c r="L199" i="25"/>
  <c r="Q199" i="25"/>
  <c r="M199" i="25"/>
  <c r="I199" i="25"/>
  <c r="D199" i="25"/>
  <c r="K199" i="25"/>
  <c r="N199" i="25"/>
  <c r="B200" i="25"/>
  <c r="H199" i="25"/>
  <c r="C199" i="25"/>
  <c r="O200" i="25" l="1"/>
  <c r="G200" i="25"/>
  <c r="R200" i="25"/>
  <c r="H200" i="25"/>
  <c r="P200" i="25"/>
  <c r="Q200" i="25"/>
  <c r="L200" i="25"/>
  <c r="K200" i="25"/>
  <c r="C200" i="25"/>
  <c r="I200" i="25"/>
  <c r="B201" i="25"/>
  <c r="N200" i="25"/>
  <c r="F200" i="25"/>
  <c r="D200" i="25"/>
  <c r="M200" i="25"/>
  <c r="J200" i="25"/>
  <c r="E200" i="25"/>
  <c r="J201" i="25" l="1"/>
  <c r="K201" i="25"/>
  <c r="R201" i="25"/>
  <c r="E201" i="25"/>
  <c r="I201" i="25"/>
  <c r="D201" i="25"/>
  <c r="F201" i="25"/>
  <c r="P201" i="25"/>
  <c r="N201" i="25"/>
  <c r="H201" i="25"/>
  <c r="M201" i="25"/>
  <c r="O201" i="25"/>
  <c r="Q201" i="25"/>
  <c r="C201" i="25"/>
  <c r="B202" i="25"/>
  <c r="L201" i="25"/>
  <c r="G201" i="25"/>
  <c r="O202" i="25" l="1"/>
  <c r="K202" i="25"/>
  <c r="I202" i="25"/>
  <c r="R202" i="25"/>
  <c r="P202" i="25"/>
  <c r="J202" i="25"/>
  <c r="N202" i="25"/>
  <c r="Q202" i="25"/>
  <c r="L202" i="25"/>
  <c r="H202" i="25"/>
  <c r="M202" i="25"/>
  <c r="D202" i="25"/>
  <c r="E202" i="25"/>
  <c r="F202" i="25"/>
  <c r="B203" i="25"/>
  <c r="G202" i="25"/>
  <c r="C202" i="25"/>
  <c r="L203" i="25" l="1"/>
  <c r="K203" i="25"/>
  <c r="H203" i="25"/>
  <c r="J203" i="25"/>
  <c r="Q203" i="25"/>
  <c r="E203" i="25"/>
  <c r="P203" i="25"/>
  <c r="B204" i="25"/>
  <c r="C203" i="25"/>
  <c r="I203" i="25"/>
  <c r="R203" i="25"/>
  <c r="D203" i="25"/>
  <c r="M203" i="25"/>
  <c r="O203" i="25"/>
  <c r="G203" i="25"/>
  <c r="F203" i="25"/>
  <c r="N203" i="25"/>
  <c r="K204" i="25" l="1"/>
  <c r="H204" i="25"/>
  <c r="O204" i="25"/>
  <c r="J204" i="25"/>
  <c r="L204" i="25"/>
  <c r="D204" i="25"/>
  <c r="E204" i="25"/>
  <c r="B205" i="25"/>
  <c r="G204" i="25"/>
  <c r="M204" i="25"/>
  <c r="Q204" i="25"/>
  <c r="N204" i="25"/>
  <c r="P204" i="25"/>
  <c r="R204" i="25"/>
  <c r="I204" i="25"/>
  <c r="C204" i="25"/>
  <c r="F204" i="25"/>
  <c r="N205" i="25" l="1"/>
  <c r="L205" i="25"/>
  <c r="E205" i="25"/>
  <c r="J205" i="25"/>
  <c r="F205" i="25"/>
  <c r="R205" i="25"/>
  <c r="B206" i="25"/>
  <c r="C205" i="25"/>
  <c r="H205" i="25"/>
  <c r="Q205" i="25"/>
  <c r="D205" i="25"/>
  <c r="O205" i="25"/>
  <c r="K205" i="25"/>
  <c r="M205" i="25"/>
  <c r="G205" i="25"/>
  <c r="I205" i="25"/>
  <c r="P205" i="25"/>
  <c r="P206" i="25" l="1"/>
  <c r="D206" i="25"/>
  <c r="C206" i="25"/>
  <c r="E206" i="25"/>
  <c r="H206" i="25"/>
  <c r="O206" i="25"/>
  <c r="N206" i="25"/>
  <c r="B207" i="25"/>
  <c r="F206" i="25"/>
  <c r="G206" i="25"/>
  <c r="K206" i="25"/>
  <c r="I206" i="25"/>
  <c r="M206" i="25"/>
  <c r="Q206" i="25"/>
  <c r="J206" i="25"/>
  <c r="R206" i="25"/>
  <c r="L206" i="25"/>
  <c r="J207" i="25" l="1"/>
  <c r="R207" i="25"/>
  <c r="P207" i="25"/>
  <c r="Q207" i="25"/>
  <c r="K207" i="25"/>
  <c r="E207" i="25"/>
  <c r="L207" i="25"/>
  <c r="I207" i="25"/>
  <c r="H207" i="25"/>
  <c r="G207" i="25"/>
  <c r="N207" i="25"/>
  <c r="O207" i="25"/>
  <c r="C207" i="25"/>
  <c r="F207" i="25"/>
  <c r="B208" i="25"/>
  <c r="M207" i="25"/>
  <c r="D207" i="25"/>
  <c r="I208" i="25" l="1"/>
  <c r="N208" i="25"/>
  <c r="O208" i="25"/>
  <c r="J208" i="25"/>
  <c r="F208" i="25"/>
  <c r="Q208" i="25"/>
  <c r="R208" i="25"/>
  <c r="K208" i="25"/>
  <c r="L208" i="25"/>
  <c r="M208" i="25"/>
  <c r="D208" i="25"/>
  <c r="C208" i="25"/>
  <c r="H208" i="25"/>
  <c r="P208" i="25"/>
  <c r="E208" i="25"/>
  <c r="G208" i="25"/>
</calcChain>
</file>

<file path=xl/sharedStrings.xml><?xml version="1.0" encoding="utf-8"?>
<sst xmlns="http://schemas.openxmlformats.org/spreadsheetml/2006/main" count="4524" uniqueCount="1849">
  <si>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</si>
  <si>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</si>
  <si>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</si>
  <si>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</si>
  <si>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</si>
  <si>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</si>
  <si>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</si>
  <si>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</si>
  <si>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</si>
  <si>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</si>
  <si>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</si>
  <si>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</si>
  <si>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</si>
  <si>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</si>
  <si>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</si>
  <si>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</si>
  <si>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</si>
  <si>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</si>
  <si>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</si>
  <si>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</si>
  <si>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</si>
  <si>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</si>
  <si>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</si>
  <si>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</si>
  <si>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</si>
  <si>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</si>
  <si>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</si>
  <si>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</si>
  <si>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</si>
  <si>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</si>
  <si>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</si>
  <si>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</si>
  <si>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</si>
  <si>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</si>
  <si>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</si>
  <si>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</si>
  <si>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</si>
  <si>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</si>
  <si>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</si>
  <si>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</si>
  <si>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</si>
  <si>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</si>
  <si>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</si>
  <si>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</si>
  <si>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</si>
  <si>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</si>
  <si>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</si>
  <si>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</si>
  <si>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</si>
  <si>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</si>
  <si>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</si>
  <si>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</si>
  <si>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</si>
  <si>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</si>
  <si>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</si>
  <si>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</si>
  <si>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</si>
  <si>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</si>
  <si>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</si>
  <si>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</si>
  <si>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</si>
  <si>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</si>
  <si>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</si>
  <si>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</si>
  <si>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</si>
  <si>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</si>
  <si>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</si>
  <si>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</si>
  <si>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</si>
  <si>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</si>
  <si>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</si>
  <si>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</si>
  <si>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</si>
  <si>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</si>
  <si>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</si>
  <si>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</si>
  <si>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</si>
  <si>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</si>
  <si>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</si>
  <si>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</si>
  <si>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</si>
  <si>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</si>
  <si>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</si>
  <si>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</si>
  <si>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</si>
  <si>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</si>
  <si>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</si>
  <si>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</si>
  <si>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</si>
  <si>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</si>
  <si>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</si>
  <si>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</si>
  <si>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</si>
  <si>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</si>
  <si>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</si>
  <si>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</si>
  <si>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</si>
  <si>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</si>
  <si>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</si>
  <si>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</si>
  <si>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</si>
  <si>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</si>
  <si>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</si>
  <si>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</si>
  <si>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</si>
  <si>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</si>
  <si>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</si>
  <si>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</si>
  <si>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</si>
  <si>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</si>
  <si>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</si>
  <si>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</si>
  <si>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</si>
  <si>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</si>
  <si>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</si>
  <si>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</si>
  <si>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</si>
  <si>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</si>
  <si>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</si>
  <si>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</si>
  <si>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</si>
  <si>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</si>
  <si>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</si>
  <si>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</si>
  <si>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</si>
  <si>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</si>
  <si>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</si>
  <si>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</si>
  <si>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</si>
  <si>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</si>
  <si>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</si>
  <si>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</si>
  <si>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</si>
  <si>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</si>
  <si>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</si>
  <si>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</si>
  <si>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</si>
  <si>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</si>
  <si>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</si>
  <si>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</si>
  <si>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</si>
  <si>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</si>
  <si>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</si>
  <si>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</si>
  <si>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</si>
  <si>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</si>
  <si>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</si>
  <si>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</si>
  <si>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</si>
  <si>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</si>
  <si>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</si>
  <si>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</si>
  <si>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</si>
  <si>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</si>
  <si>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</si>
  <si>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</si>
  <si>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</si>
  <si>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</si>
  <si>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</si>
  <si>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</si>
  <si>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</si>
  <si>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</si>
  <si>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</si>
  <si>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</si>
  <si>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</si>
  <si>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</si>
  <si>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</si>
  <si>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</si>
  <si>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</si>
  <si>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</si>
  <si>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</si>
  <si>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</si>
  <si>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</si>
  <si>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</si>
  <si>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</si>
  <si>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</si>
  <si>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</si>
  <si>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</si>
  <si>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</si>
  <si>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</si>
  <si>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</si>
  <si>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</si>
  <si>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</si>
  <si>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</si>
  <si>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</si>
  <si>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</si>
  <si>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</si>
  <si>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</si>
  <si>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</si>
  <si>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</si>
  <si>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</si>
  <si>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</si>
  <si>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</si>
  <si>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</si>
  <si>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</si>
  <si>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</si>
  <si>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</si>
  <si>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</si>
  <si>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</si>
  <si>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</si>
  <si>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</si>
  <si>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</si>
  <si>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</si>
  <si>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</si>
  <si>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</si>
  <si>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</si>
  <si>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</si>
  <si>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</si>
  <si>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</si>
  <si>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</si>
  <si>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</si>
  <si>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</si>
  <si>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</si>
  <si>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</si>
  <si>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</si>
  <si>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</si>
  <si>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</si>
  <si>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</si>
  <si>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</si>
  <si>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</si>
  <si>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</si>
  <si>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</si>
  <si>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</si>
  <si>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</si>
  <si>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</si>
  <si>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</si>
  <si>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</si>
  <si>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</si>
  <si>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</si>
  <si>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</si>
  <si>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</si>
  <si>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</si>
  <si>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</si>
  <si>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</si>
  <si>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</si>
  <si>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</si>
  <si>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</si>
  <si>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</si>
  <si>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</si>
  <si>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</si>
  <si>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</si>
  <si>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</si>
  <si>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</si>
  <si>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</si>
  <si>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</si>
  <si>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</si>
  <si>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</si>
  <si>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</si>
  <si>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</si>
  <si>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</si>
  <si>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</si>
  <si>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</si>
  <si>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</si>
  <si>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</si>
  <si>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</si>
  <si>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</si>
  <si>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</si>
  <si>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</si>
  <si>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</si>
  <si>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</si>
  <si>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</si>
  <si>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</si>
  <si>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</si>
  <si>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</si>
  <si>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</si>
  <si>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</si>
  <si>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</si>
  <si>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</si>
  <si>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</si>
  <si>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</si>
  <si>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</si>
  <si>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</si>
  <si>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</si>
  <si>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</si>
  <si>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</si>
  <si>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</si>
  <si>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</si>
  <si>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</si>
  <si>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</si>
  <si>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</si>
  <si>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</si>
  <si>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</si>
  <si>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</si>
  <si>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</si>
  <si>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</si>
  <si>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</si>
  <si>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</si>
  <si>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</si>
  <si>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</si>
  <si>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</si>
  <si>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</si>
  <si>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</si>
  <si>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</si>
  <si>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</si>
  <si>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</si>
  <si>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</si>
  <si>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</si>
  <si>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</si>
  <si>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</si>
  <si>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</si>
  <si>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</si>
  <si>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</si>
  <si>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</si>
  <si>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</si>
  <si>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</si>
  <si>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</si>
  <si>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</si>
  <si>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</si>
  <si>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</si>
  <si>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</si>
  <si>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</si>
  <si>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</si>
  <si>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</si>
  <si>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</si>
  <si>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</si>
  <si>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</si>
  <si>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</si>
  <si>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</si>
  <si>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</si>
  <si>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</si>
  <si>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</si>
  <si>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</si>
  <si>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</si>
  <si>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</si>
  <si>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</si>
  <si>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</si>
  <si>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</si>
  <si>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</si>
  <si>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</si>
  <si>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</si>
  <si>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</si>
  <si>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</si>
  <si>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</si>
  <si>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</si>
  <si>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</si>
  <si>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</si>
  <si>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</si>
  <si>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</si>
  <si>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</si>
  <si>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</si>
  <si>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</si>
  <si>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</si>
  <si>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</si>
  <si>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</si>
  <si>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</si>
  <si>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</si>
  <si>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</si>
  <si>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</si>
  <si>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</si>
  <si>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</si>
  <si>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</si>
  <si>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</si>
  <si>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</si>
  <si>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</si>
  <si>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</si>
  <si>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</si>
  <si>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</si>
  <si>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</si>
  <si>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</si>
  <si>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</si>
  <si>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</si>
  <si>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</si>
  <si>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</si>
  <si>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</si>
  <si>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</si>
  <si>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</si>
  <si>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</si>
  <si>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</si>
  <si>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</si>
  <si>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</si>
  <si>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</si>
  <si>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</si>
  <si>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</si>
  <si>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</si>
  <si>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</si>
  <si>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</si>
  <si>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</si>
  <si>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</si>
  <si>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</si>
  <si>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</si>
  <si>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</si>
  <si>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</si>
  <si>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</si>
  <si>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</si>
  <si>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</si>
  <si>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</si>
  <si>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</si>
  <si>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</si>
  <si>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</si>
  <si>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</si>
  <si>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</si>
  <si>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</si>
  <si>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</si>
  <si>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</si>
  <si>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</si>
  <si>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</si>
  <si>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</si>
  <si>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</si>
  <si>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</si>
  <si>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</si>
  <si>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</si>
  <si>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</si>
  <si>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</si>
  <si>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</si>
  <si>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</si>
  <si>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</si>
  <si>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</si>
  <si>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</si>
  <si>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</si>
  <si>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</si>
  <si>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</si>
  <si>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</si>
  <si>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</si>
  <si>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</si>
  <si>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</si>
  <si>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</si>
  <si>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</si>
  <si>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</si>
  <si>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</si>
  <si>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</si>
  <si>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</si>
  <si>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</si>
  <si>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</si>
  <si>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</si>
  <si>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</si>
  <si>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</si>
  <si>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</si>
  <si>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</si>
  <si>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</si>
  <si>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</si>
  <si>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</si>
  <si>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</si>
  <si>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</si>
  <si>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</si>
  <si>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</si>
  <si>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</si>
  <si>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</si>
  <si>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</si>
  <si>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</si>
  <si>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</si>
  <si>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</si>
  <si>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</si>
  <si>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</si>
  <si>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</si>
  <si>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</si>
  <si>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</si>
  <si>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</si>
  <si>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</si>
  <si>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</si>
  <si>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</si>
  <si>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</si>
  <si>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</si>
  <si>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</si>
  <si>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</si>
  <si>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</si>
  <si>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</si>
  <si>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</si>
  <si>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</si>
  <si>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</si>
  <si>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</si>
  <si>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</si>
  <si>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</si>
  <si>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</si>
  <si>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</si>
  <si>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</si>
  <si>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</si>
  <si>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</si>
  <si>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</si>
  <si>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</si>
  <si>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</si>
  <si>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</si>
  <si>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</si>
  <si>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</si>
  <si>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</si>
  <si>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</si>
  <si>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</si>
  <si>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</si>
  <si>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</si>
  <si>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</si>
  <si>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</si>
  <si>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</si>
  <si>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</si>
  <si>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</si>
  <si>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</si>
  <si>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</si>
  <si>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</si>
  <si>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</si>
  <si>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</si>
  <si>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</si>
  <si>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</si>
  <si>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</si>
  <si>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</si>
  <si>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</si>
  <si>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</si>
  <si>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</si>
  <si>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</si>
  <si>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</si>
  <si>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</si>
  <si>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</si>
  <si>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</si>
  <si>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</si>
  <si>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</si>
  <si>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</si>
  <si>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</si>
  <si>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</si>
  <si>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</si>
  <si>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</si>
  <si>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</si>
  <si>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</si>
  <si>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</si>
  <si>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</si>
  <si>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</si>
  <si>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</si>
  <si>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</si>
  <si>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</si>
  <si>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</si>
  <si>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</si>
  <si>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</si>
  <si>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</si>
  <si>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</si>
  <si>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</si>
  <si>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</si>
  <si>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</si>
  <si>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</si>
  <si>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</si>
  <si>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</si>
  <si>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</si>
  <si>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</si>
  <si>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</si>
  <si>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</si>
  <si>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</si>
  <si>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</si>
  <si>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</si>
  <si>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</si>
  <si>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</si>
  <si>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</si>
  <si>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</si>
  <si>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</si>
  <si>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</si>
  <si>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</si>
  <si>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</si>
  <si>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</si>
  <si>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</si>
  <si>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</si>
  <si>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</si>
  <si>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</si>
  <si>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</si>
  <si>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</si>
  <si>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</si>
  <si>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</si>
  <si>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</si>
  <si>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</si>
  <si>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</si>
  <si>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</si>
  <si>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</si>
  <si>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</si>
  <si>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</si>
  <si>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</si>
  <si>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</si>
  <si>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</si>
  <si>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</si>
  <si>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</si>
  <si>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</si>
  <si>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</si>
  <si>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</si>
  <si>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</si>
  <si>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</si>
  <si>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</si>
  <si>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</si>
  <si>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</si>
  <si>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</si>
  <si>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</si>
  <si>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</si>
  <si>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</si>
  <si>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</si>
  <si>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</si>
  <si>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</si>
  <si>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</si>
  <si>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</si>
  <si>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</si>
  <si>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</si>
  <si>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</si>
  <si>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</si>
  <si>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</si>
  <si>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</si>
  <si>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</si>
  <si>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</si>
  <si>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</si>
  <si>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</si>
  <si>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</si>
  <si>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</si>
  <si>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</si>
  <si>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</si>
  <si>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</si>
  <si>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</si>
  <si>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</si>
  <si>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</si>
  <si>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</si>
  <si>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</si>
  <si>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</si>
  <si>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</si>
  <si>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</si>
  <si>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</si>
  <si>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</si>
  <si>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</si>
  <si>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</si>
  <si>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</si>
  <si>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</si>
  <si>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</si>
  <si>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</si>
  <si>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</si>
  <si>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</si>
  <si>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</si>
  <si>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</si>
  <si>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</si>
  <si>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</si>
  <si>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</si>
  <si>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</si>
  <si>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</si>
  <si>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</si>
  <si>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</si>
  <si>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</si>
  <si>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</si>
  <si>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</si>
  <si>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</si>
  <si>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</si>
  <si>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</si>
  <si>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</si>
  <si>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</si>
  <si>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</si>
  <si>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</si>
  <si>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</si>
  <si>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</si>
  <si>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</si>
  <si>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</si>
  <si>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</si>
  <si>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</si>
  <si>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</si>
  <si>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</si>
  <si>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</si>
  <si>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</si>
  <si>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</si>
  <si>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</si>
  <si>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</si>
  <si>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</si>
  <si>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</si>
  <si>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</si>
  <si>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</si>
  <si>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</si>
  <si>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</si>
  <si>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</si>
  <si>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</si>
  <si>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</si>
  <si>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</si>
  <si>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</si>
  <si>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</si>
  <si>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</si>
  <si>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</si>
  <si>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</si>
  <si>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</si>
  <si>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</si>
  <si>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</si>
  <si>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</si>
  <si>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</si>
  <si>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</si>
  <si>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</si>
  <si>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</si>
  <si>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</si>
  <si>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</si>
  <si>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</si>
  <si>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</si>
  <si>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</si>
  <si>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</si>
  <si>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</si>
  <si>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</si>
  <si>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</si>
  <si>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</si>
  <si>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</si>
  <si>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</si>
  <si>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</si>
  <si>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</si>
  <si>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</si>
  <si>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</si>
  <si>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</si>
  <si>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</si>
  <si>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</si>
  <si>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</si>
  <si>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</si>
  <si>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</si>
  <si>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</si>
  <si>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</si>
  <si>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</si>
  <si>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</si>
  <si>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</si>
  <si>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</si>
  <si>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</si>
  <si>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</si>
  <si>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</si>
  <si>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</si>
  <si>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</si>
  <si>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</si>
  <si>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</si>
  <si>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</si>
  <si>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</si>
  <si>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</si>
  <si>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</si>
  <si>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</si>
  <si>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</si>
  <si>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</si>
  <si>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</si>
  <si>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</si>
  <si>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</si>
  <si>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</si>
  <si>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</si>
  <si>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</si>
  <si>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</si>
  <si>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</si>
  <si>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</si>
  <si>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</si>
  <si>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</si>
  <si>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</si>
  <si>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</si>
  <si>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</si>
  <si>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</si>
  <si>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</si>
  <si>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</si>
  <si>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</si>
  <si>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</si>
  <si>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</si>
  <si>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</si>
  <si>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</si>
  <si>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</si>
  <si>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</si>
  <si>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</si>
  <si>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</si>
  <si>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</si>
  <si>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</si>
  <si>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</si>
  <si>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</si>
  <si>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</si>
  <si>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</si>
  <si>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</si>
  <si>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</si>
  <si>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</si>
  <si>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</si>
  <si>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</si>
  <si>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</si>
  <si>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</si>
  <si>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</si>
  <si>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</si>
  <si>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</si>
  <si>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</si>
  <si>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</si>
  <si>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</si>
  <si>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</si>
  <si>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</si>
  <si>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</si>
  <si>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</si>
  <si>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</si>
  <si>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</si>
  <si>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</si>
  <si>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</si>
  <si>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</si>
  <si>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</si>
  <si>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</si>
  <si>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</si>
  <si>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</si>
  <si>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</si>
  <si>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</si>
  <si>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</si>
  <si>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</si>
  <si>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</si>
  <si>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</si>
  <si>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</si>
  <si>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</si>
  <si>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</si>
  <si>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</si>
  <si>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</si>
  <si>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</si>
  <si>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</si>
  <si>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</si>
  <si>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</si>
  <si>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</si>
  <si>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</si>
  <si>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</si>
  <si>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</si>
  <si>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</si>
  <si>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</si>
  <si>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</si>
  <si>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</si>
  <si>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</si>
  <si>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</si>
  <si>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</si>
  <si>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</si>
  <si>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</si>
  <si>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</si>
  <si>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</si>
  <si>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</si>
  <si>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</si>
  <si>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</si>
  <si>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</si>
  <si>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</si>
  <si>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</si>
  <si>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</si>
  <si>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</si>
  <si>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</si>
  <si>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</si>
  <si>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</si>
  <si>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</si>
  <si>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</si>
  <si>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</si>
  <si>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</si>
  <si>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</si>
  <si>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</si>
  <si>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</si>
  <si>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</si>
  <si>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</si>
  <si>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</si>
  <si>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</si>
  <si>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</si>
  <si>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</si>
  <si>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</si>
  <si>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</si>
  <si>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</si>
  <si>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</si>
  <si>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</si>
  <si>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</si>
  <si>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</si>
  <si>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</si>
  <si>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</si>
  <si>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</si>
  <si>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</si>
  <si>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</si>
  <si>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</si>
  <si>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</si>
  <si>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</si>
  <si>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</si>
  <si>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</si>
  <si>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</si>
  <si>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</si>
  <si>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</si>
  <si>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</si>
  <si>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</si>
  <si>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</si>
  <si>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</si>
  <si>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</si>
  <si>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</si>
  <si>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</si>
  <si>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</si>
  <si>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</si>
  <si>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</si>
  <si>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</si>
  <si>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</si>
  <si>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</si>
  <si>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</si>
  <si>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</si>
  <si>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</si>
  <si>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</si>
  <si>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</si>
  <si>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</si>
  <si>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</si>
  <si>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</si>
  <si>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</si>
  <si>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</si>
  <si>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</si>
  <si>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</si>
  <si>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</si>
  <si>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</si>
  <si>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</si>
  <si>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</si>
  <si>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</si>
  <si>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</si>
  <si>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</si>
  <si>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</si>
  <si>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</si>
  <si>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</si>
  <si>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</si>
  <si>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</si>
  <si>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</si>
  <si>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</si>
  <si>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</si>
  <si>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</si>
  <si>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</si>
  <si>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</si>
  <si>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</si>
  <si>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</si>
  <si>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</si>
  <si>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</si>
  <si>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</si>
  <si>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</si>
  <si>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</si>
  <si>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</si>
  <si>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</si>
  <si>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</si>
  <si>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</si>
  <si>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</si>
  <si>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</si>
  <si>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</si>
  <si>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</si>
  <si>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</si>
  <si>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</si>
  <si>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</si>
  <si>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</si>
  <si>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</si>
  <si>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</si>
  <si>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</si>
  <si>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</si>
  <si>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</si>
  <si>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</si>
  <si>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</si>
  <si>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</si>
  <si>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</si>
  <si>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</si>
  <si>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</si>
  <si>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</si>
  <si>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</si>
  <si>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</si>
  <si>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</si>
  <si>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</si>
  <si>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</si>
  <si>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</si>
  <si>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</si>
  <si>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</si>
  <si>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</si>
  <si>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</si>
  <si>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</si>
  <si>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</si>
  <si>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</si>
  <si>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</si>
  <si>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</si>
  <si>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</si>
  <si>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</si>
  <si>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</si>
  <si>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</si>
  <si>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</si>
  <si>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</si>
  <si>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</si>
  <si>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</si>
  <si>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</si>
  <si>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</si>
  <si>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</si>
  <si>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</si>
  <si>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</si>
  <si>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</si>
  <si>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</si>
  <si>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</si>
  <si>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</si>
  <si>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</si>
  <si>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</si>
  <si>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</si>
  <si>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</si>
  <si>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</si>
  <si>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</si>
  <si>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</si>
  <si>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</si>
  <si>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</si>
  <si>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</si>
  <si>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</si>
  <si>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</si>
  <si>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</si>
  <si>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</si>
  <si>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</si>
  <si>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</si>
  <si>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</si>
  <si>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</si>
  <si>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</si>
  <si>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</si>
  <si>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</si>
  <si>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</si>
  <si>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</si>
  <si>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</si>
  <si>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</si>
  <si>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</si>
  <si>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</si>
  <si>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</si>
  <si>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</si>
  <si>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</si>
  <si>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</si>
  <si>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</si>
  <si>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</si>
  <si>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</si>
  <si>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</si>
  <si>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</si>
  <si>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</si>
  <si>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</si>
  <si>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</si>
  <si>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</si>
  <si>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</si>
  <si>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</si>
  <si>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</si>
  <si>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</si>
  <si>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</si>
  <si>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</si>
  <si>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</si>
  <si>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</si>
  <si>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</si>
  <si>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</si>
  <si>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</si>
  <si>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</si>
  <si>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</si>
  <si>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</si>
  <si>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</si>
  <si>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</si>
  <si>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</si>
  <si>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</si>
  <si>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</si>
  <si>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</si>
  <si>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</si>
  <si>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</si>
  <si>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</si>
  <si>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</si>
  <si>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</si>
  <si>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</si>
  <si>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</si>
  <si>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</si>
  <si>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</si>
  <si>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</si>
  <si>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</si>
  <si>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</si>
  <si>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</si>
  <si>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</si>
  <si>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</si>
  <si>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</si>
  <si>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</si>
  <si>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</si>
  <si>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</si>
  <si>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</si>
  <si>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</si>
  <si>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</si>
  <si>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</si>
  <si>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</si>
  <si>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</si>
  <si>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</si>
  <si>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</si>
  <si>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</si>
  <si>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</si>
  <si>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</si>
  <si>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</si>
  <si>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</si>
  <si>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</si>
  <si>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</si>
  <si>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</si>
  <si>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</si>
  <si>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</si>
  <si>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</si>
  <si>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</si>
  <si>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</si>
  <si>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</si>
  <si>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</si>
  <si>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</si>
  <si>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</si>
  <si>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</si>
  <si>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</si>
  <si>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</si>
  <si>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</si>
  <si>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</si>
  <si>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</si>
  <si>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</si>
  <si>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</si>
  <si>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</si>
  <si>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</si>
  <si>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</si>
  <si>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</si>
  <si>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</si>
  <si>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</si>
  <si>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</si>
  <si>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</si>
  <si>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</si>
  <si>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</si>
  <si>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</si>
  <si>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</si>
  <si>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</si>
  <si>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</si>
  <si>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</si>
  <si>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</si>
  <si>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</si>
  <si>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</si>
  <si>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</si>
  <si>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</si>
  <si>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</si>
  <si>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</si>
  <si>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</si>
  <si>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</si>
  <si>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</si>
  <si>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</si>
  <si>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</si>
  <si>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</si>
  <si>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</si>
  <si>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</si>
  <si>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</si>
  <si>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</si>
  <si>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</si>
  <si>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</si>
  <si>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</si>
  <si>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</si>
  <si>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</si>
  <si>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</si>
  <si>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</si>
  <si>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</si>
  <si>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</si>
  <si>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</si>
  <si>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</si>
  <si>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</si>
  <si>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</si>
  <si>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</si>
  <si>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</si>
  <si>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</si>
  <si>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</si>
  <si>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</si>
  <si>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</si>
  <si>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</si>
  <si>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</si>
  <si>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</si>
  <si>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</si>
  <si>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</si>
  <si>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</si>
  <si>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</si>
  <si>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</si>
  <si>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</si>
  <si>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</si>
  <si>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</si>
  <si>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</si>
  <si>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</si>
  <si>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</si>
  <si>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</si>
  <si>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</si>
  <si>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</si>
  <si>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</si>
  <si>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</si>
  <si>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</si>
  <si>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</si>
  <si>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</si>
  <si>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</si>
  <si>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</si>
  <si>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</si>
  <si>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</si>
  <si>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</si>
  <si>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</si>
  <si>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</si>
  <si>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</si>
  <si>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</si>
  <si>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</si>
  <si>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</si>
  <si>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</si>
  <si>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</si>
  <si>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</si>
  <si>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</si>
  <si>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</si>
  <si>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</si>
  <si>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</si>
  <si>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</si>
  <si>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</si>
  <si>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</si>
  <si>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</si>
  <si>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</si>
  <si>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</si>
  <si>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</si>
  <si>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</si>
  <si>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</si>
  <si>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</si>
  <si>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</si>
  <si>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</si>
  <si>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</si>
  <si>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</si>
  <si>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</si>
  <si>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</si>
  <si>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</si>
  <si>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</si>
  <si>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</si>
  <si>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</si>
  <si>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</si>
  <si>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</si>
  <si>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</si>
  <si>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</si>
  <si>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</si>
  <si>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</si>
  <si>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</si>
  <si>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</si>
  <si>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</si>
  <si>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</si>
  <si>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</si>
  <si>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</si>
  <si>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</si>
  <si>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</si>
  <si>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</si>
  <si>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</si>
  <si>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</si>
  <si>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</si>
  <si>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</si>
  <si>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</si>
  <si>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</si>
  <si>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</si>
  <si>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</si>
  <si>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</si>
  <si>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</si>
  <si>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</si>
  <si>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</si>
  <si>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</si>
  <si>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</si>
  <si>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</si>
  <si>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</si>
  <si>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</si>
  <si>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</si>
  <si>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</si>
  <si>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</si>
  <si>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</si>
  <si>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</si>
  <si>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</si>
  <si>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</si>
  <si>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</si>
  <si>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</si>
  <si>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</si>
  <si>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</si>
  <si>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</si>
  <si>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</si>
  <si>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</si>
  <si>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</si>
  <si>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</si>
  <si>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</si>
  <si>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</si>
  <si>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</si>
  <si>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</si>
  <si>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</si>
  <si>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</si>
  <si>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</si>
  <si>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</si>
  <si>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</si>
  <si>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</si>
  <si>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</si>
  <si>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</si>
  <si>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</si>
  <si>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</si>
  <si>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</si>
  <si>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</si>
  <si>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</si>
  <si>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</si>
  <si>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</si>
  <si>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</si>
  <si>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</si>
  <si>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</si>
  <si>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</si>
  <si>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</si>
  <si>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</si>
  <si>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</si>
  <si>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</si>
  <si>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</si>
  <si>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</si>
  <si>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</si>
  <si>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</si>
  <si>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</si>
  <si>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</si>
  <si>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</si>
  <si>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</si>
  <si>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</si>
  <si>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</si>
  <si>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</si>
  <si>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</si>
  <si>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</si>
  <si>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</si>
  <si>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</si>
  <si>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</si>
  <si>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</si>
  <si>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</si>
  <si>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</si>
  <si>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</si>
  <si>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</si>
  <si>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</si>
  <si>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</si>
  <si>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</si>
  <si>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</si>
  <si>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</si>
  <si>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</si>
  <si>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</si>
  <si>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</si>
  <si>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</si>
  <si>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</si>
  <si>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</si>
  <si>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</si>
  <si>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</si>
  <si>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</si>
  <si>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</si>
  <si>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</si>
  <si>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</si>
  <si>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</si>
  <si>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</si>
  <si>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</si>
  <si>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</si>
  <si>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</si>
  <si>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</si>
  <si>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</si>
  <si>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</si>
  <si>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</si>
  <si>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Fiscalyearmaster</t>
  </si>
  <si>
    <t>Functiondetail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</si>
  <si>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</si>
  <si>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</si>
  <si>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</si>
  <si>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</si>
  <si>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</si>
  <si>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</si>
  <si>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</si>
  <si>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</si>
  <si>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</si>
  <si>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</si>
  <si>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</si>
  <si>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</si>
  <si>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</si>
  <si>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</si>
  <si>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DData</t>
  </si>
  <si>
    <t>SalesOrder</t>
  </si>
  <si>
    <t>SalesOrderItem</t>
  </si>
  <si>
    <t>StockTransfer</t>
  </si>
  <si>
    <t>WBin</t>
  </si>
  <si>
    <t>Settings</t>
  </si>
  <si>
    <t>Fiscal Year</t>
  </si>
  <si>
    <t>ePlus Functions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</si>
  <si>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</si>
  <si>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</si>
  <si>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</si>
  <si>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</si>
  <si>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</si>
  <si>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</si>
  <si>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</si>
  <si>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</si>
  <si>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</si>
  <si>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</si>
  <si>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</si>
  <si>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</si>
  <si>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</si>
  <si>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</si>
  <si>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ePlus DData</t>
  </si>
  <si>
    <t>Sales Orders</t>
  </si>
  <si>
    <t>Sales Order Items</t>
  </si>
  <si>
    <t>Stock Transfers</t>
  </si>
  <si>
    <t>Waste Bin</t>
  </si>
  <si>
    <t>Settings available in web and mob interface</t>
  </si>
  <si>
    <t>Financial Years</t>
  </si>
  <si>
    <t>ePlus functions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</si>
  <si>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</si>
  <si>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</si>
  <si>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</si>
  <si>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</si>
  <si>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</si>
  <si>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</si>
  <si>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</si>
  <si>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</si>
  <si>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</si>
  <si>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</si>
  <si>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</si>
  <si>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</si>
  <si>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</si>
  <si>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</si>
  <si>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</si>
  <si>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</si>
  <si>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</si>
  <si>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hasMany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</si>
  <si>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</si>
  <si>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</si>
  <si>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</si>
  <si>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</si>
  <si>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</si>
  <si>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</si>
  <si>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</si>
  <si>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</si>
  <si>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</si>
  <si>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</si>
  <si>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</si>
  <si>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</si>
  <si>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</si>
  <si>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</si>
  <si>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</si>
  <si>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</si>
  <si>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</si>
  <si>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</si>
  <si>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</si>
  <si>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</si>
  <si>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</si>
  <si>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</si>
  <si>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</si>
  <si>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</si>
  <si>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</si>
  <si>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</si>
  <si>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</si>
  <si>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</si>
  <si>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</si>
  <si>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</si>
  <si>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</si>
  <si>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</si>
  <si>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</si>
  <si>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</si>
  <si>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</si>
  <si>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</si>
  <si>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</si>
  <si>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</si>
  <si>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</si>
  <si>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</si>
  <si>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</si>
  <si>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</si>
  <si>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</si>
  <si>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</si>
  <si>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</si>
  <si>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</si>
  <si>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</si>
  <si>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</si>
  <si>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</si>
  <si>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</si>
  <si>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</si>
  <si>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</si>
  <si>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</si>
  <si>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</si>
  <si>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</si>
  <si>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</si>
  <si>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</si>
  <si>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</si>
  <si>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</si>
  <si>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</si>
  <si>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</si>
  <si>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</si>
  <si>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</si>
  <si>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</si>
  <si>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</si>
  <si>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</si>
  <si>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</si>
  <si>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</si>
  <si>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</si>
  <si>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</si>
  <si>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</si>
  <si>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</si>
  <si>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</si>
  <si>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</si>
  <si>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</si>
  <si>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</si>
  <si>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</si>
  <si>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</si>
  <si>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</si>
  <si>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</si>
  <si>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</si>
  <si>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</si>
  <si>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</si>
  <si>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</si>
  <si>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</si>
  <si>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</si>
  <si>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</si>
  <si>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</si>
  <si>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</si>
  <si>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</si>
  <si>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</si>
  <si>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</si>
  <si>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</si>
  <si>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</si>
  <si>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</si>
  <si>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</si>
  <si>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</si>
  <si>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</si>
  <si>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</si>
  <si>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</si>
  <si>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</si>
  <si>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</si>
  <si>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</si>
  <si>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</si>
  <si>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</si>
  <si>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</si>
  <si>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</si>
  <si>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</si>
  <si>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</si>
  <si>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</si>
  <si>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</si>
  <si>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</si>
  <si>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</si>
  <si>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</si>
  <si>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</si>
  <si>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</si>
  <si>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</si>
  <si>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</si>
  <si>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</si>
  <si>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</si>
  <si>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</si>
  <si>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</si>
  <si>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</si>
  <si>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</si>
  <si>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</si>
  <si>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</si>
  <si>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</si>
  <si>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</si>
  <si>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</si>
  <si>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</si>
  <si>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</si>
  <si>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</si>
  <si>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</si>
  <si>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2019_03_28_000051_create_functiondetails_table.php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</si>
  <si>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</si>
  <si>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</si>
  <si>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</si>
  <si>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</si>
  <si>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</si>
  <si>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</si>
  <si>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</si>
  <si>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</si>
  <si>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</si>
  <si>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</si>
  <si>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</si>
  <si>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</si>
  <si>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</si>
  <si>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</si>
  <si>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</si>
  <si>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</si>
  <si>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</si>
  <si>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</si>
  <si>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</si>
  <si>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</si>
  <si>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</si>
  <si>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</si>
  <si>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</si>
  <si>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</si>
  <si>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</si>
  <si>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</si>
  <si>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</si>
  <si>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</si>
  <si>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</si>
  <si>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</si>
  <si>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</si>
  <si>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</si>
  <si>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SL1</t>
  </si>
  <si>
    <t>SL2</t>
  </si>
  <si>
    <t>SO1</t>
  </si>
  <si>
    <t>CR1</t>
  </si>
  <si>
    <t>BR1</t>
  </si>
  <si>
    <t>MT2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</si>
  <si>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</si>
  <si>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</si>
  <si>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</si>
  <si>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</si>
  <si>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</si>
  <si>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</si>
  <si>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</si>
  <si>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</si>
  <si>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</si>
  <si>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</si>
  <si>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</si>
  <si>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</si>
  <si>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</si>
  <si>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</si>
  <si>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</si>
  <si>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</si>
  <si>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</si>
  <si>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</si>
  <si>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</si>
  <si>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</si>
  <si>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</si>
  <si>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</si>
  <si>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</si>
  <si>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</si>
  <si>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</si>
  <si>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</si>
  <si>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</si>
  <si>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</si>
  <si>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</si>
  <si>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</si>
  <si>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</si>
  <si>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</si>
  <si>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</si>
  <si>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</si>
  <si>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</si>
  <si>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</si>
  <si>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</si>
  <si>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</si>
  <si>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</si>
  <si>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</si>
  <si>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</si>
  <si>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</si>
  <si>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</si>
  <si>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</si>
  <si>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</si>
  <si>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</si>
  <si>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</si>
  <si>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</si>
  <si>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</si>
  <si>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</si>
  <si>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</si>
  <si>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</si>
  <si>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</si>
  <si>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</si>
  <si>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</si>
  <si>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</si>
  <si>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</si>
  <si>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</si>
  <si>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</si>
  <si>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</si>
  <si>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</si>
  <si>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</si>
  <si>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</si>
  <si>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</si>
  <si>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</si>
  <si>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</si>
  <si>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</si>
  <si>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</si>
  <si>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</si>
  <si>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</si>
  <si>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</si>
  <si>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</si>
  <si>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</si>
  <si>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</si>
  <si>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</si>
  <si>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</si>
  <si>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</si>
  <si>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</si>
  <si>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</si>
  <si>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</si>
  <si>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</si>
  <si>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</si>
  <si>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</si>
  <si>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</si>
  <si>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</si>
  <si>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</si>
  <si>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</si>
  <si>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</si>
  <si>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</si>
  <si>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</si>
  <si>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</si>
  <si>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</si>
  <si>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</si>
  <si>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</si>
  <si>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</si>
  <si>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</si>
  <si>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</si>
  <si>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</si>
  <si>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</si>
  <si>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</si>
  <si>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</si>
  <si>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</si>
  <si>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</si>
  <si>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</si>
  <si>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</si>
  <si>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</si>
  <si>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</si>
  <si>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</si>
  <si>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</si>
  <si>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</si>
  <si>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</si>
  <si>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</si>
  <si>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</si>
  <si>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</si>
  <si>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</si>
  <si>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</si>
  <si>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</si>
  <si>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</si>
  <si>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</si>
  <si>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</si>
  <si>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</si>
  <si>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</si>
  <si>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</si>
  <si>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</si>
  <si>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</si>
  <si>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</si>
  <si>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</si>
  <si>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</si>
  <si>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</si>
  <si>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</si>
  <si>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</si>
  <si>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</si>
  <si>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</si>
  <si>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</si>
  <si>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</si>
  <si>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</si>
  <si>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</si>
  <si>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</si>
  <si>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</si>
  <si>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</si>
  <si>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</si>
  <si>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</si>
  <si>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</si>
  <si>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</si>
  <si>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</si>
  <si>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</si>
  <si>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</si>
  <si>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</si>
  <si>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</si>
  <si>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</si>
  <si>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</si>
  <si>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</si>
  <si>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</si>
  <si>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</si>
  <si>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Function code used in sales form B2C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</si>
  <si>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</si>
  <si>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</si>
  <si>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</si>
  <si>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</si>
  <si>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</si>
  <si>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</si>
  <si>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</si>
  <si>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</si>
  <si>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</si>
  <si>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</si>
  <si>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</si>
  <si>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</si>
  <si>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</si>
  <si>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</si>
  <si>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</si>
  <si>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</si>
  <si>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</si>
  <si>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</si>
  <si>
    <t>_ref</t>
  </si>
  <si>
    <t>Customer</t>
  </si>
  <si>
    <t>The customer to which this sales order belongs</t>
  </si>
  <si>
    <t>Assigned</t>
  </si>
  <si>
    <t>The store and area whih is assigned to the requesting user</t>
  </si>
  <si>
    <t>assigned</t>
  </si>
  <si>
    <t>AssignedAreas</t>
  </si>
  <si>
    <t>The user_areas which assigned to this record</t>
  </si>
  <si>
    <t>The executives assigned to a area_user</t>
  </si>
  <si>
    <t>The records where area is assigned to the requester</t>
  </si>
  <si>
    <t>Details of customer</t>
  </si>
  <si>
    <t>Customers</t>
  </si>
  <si>
    <t>Customers who are in selected records area</t>
  </si>
  <si>
    <t>AreaCustomers</t>
  </si>
  <si>
    <t>hasManyThrough</t>
  </si>
  <si>
    <t>List of customers belongs to the area which are assigned to a user</t>
  </si>
  <si>
    <t>AssignedAreaCustomer</t>
  </si>
  <si>
    <t>assignedAreaCustomer</t>
  </si>
  <si>
    <t>Sales orders of customers belongs to a area which assigned to a executive</t>
  </si>
  <si>
    <t>Sales order details for a so item</t>
  </si>
  <si>
    <t>Purchase</t>
  </si>
  <si>
    <t>AssignedCustomerTransactions</t>
  </si>
  <si>
    <t>Transactions related to customers who are assigned to the requesting executive</t>
  </si>
  <si>
    <t>assignedCustomerTransactions</t>
  </si>
  <si>
    <t>Detail of transaction header</t>
  </si>
  <si>
    <t>SALESB2BFNCODE</t>
  </si>
  <si>
    <t>SALESB2CFNCODE</t>
  </si>
  <si>
    <t>SALESRETURNFNCODE</t>
  </si>
  <si>
    <t>SALESORDERFNCODE</t>
  </si>
  <si>
    <t>CASHRECEIPTFNCODE</t>
  </si>
  <si>
    <t>CHEQUERECEIPTFNCODE</t>
  </si>
  <si>
    <t>STOCKTRANSFERINFNCODE</t>
  </si>
  <si>
    <t>STOCKTRANSFEROUTFNCODE</t>
  </si>
  <si>
    <t>_ref_trans</t>
  </si>
  <si>
    <t>_ref_spt</t>
  </si>
  <si>
    <t>receipts</t>
  </si>
  <si>
    <t>mode</t>
  </si>
  <si>
    <t>payment_mode</t>
  </si>
  <si>
    <t>['Cash','Cheque']</t>
  </si>
  <si>
    <t>default('Cash')</t>
  </si>
  <si>
    <t>bank</t>
  </si>
  <si>
    <t>cheque</t>
  </si>
  <si>
    <t>cheque_date</t>
  </si>
  <si>
    <t>2019_03_28_000046_create_setup_table.php</t>
  </si>
  <si>
    <t>2019_03_28_000047_create_settings_table.php</t>
  </si>
  <si>
    <t>2019_03_28_000048_create_tax_table.php</t>
  </si>
  <si>
    <t>2019_03_28_000049_create_tax_details_table.php</t>
  </si>
  <si>
    <t>2019_03_28_000050_create_fiscalyearmaster_table.php</t>
  </si>
  <si>
    <t>2019_03_28_000052_create_productgroups_table.php</t>
  </si>
  <si>
    <t>2019_03_28_000053_create_products_table.php</t>
  </si>
  <si>
    <t>2019_03_28_000054_create_pricelist_table.php</t>
  </si>
  <si>
    <t>2019_03_28_000055_create_pricelist_products_table.php</t>
  </si>
  <si>
    <t>2019_03_28_000056_create_stores_table.php</t>
  </si>
  <si>
    <t>2019_03_28_000057_create_areas_table.php</t>
  </si>
  <si>
    <t>2019_03_28_000058_create_area_users_table.php</t>
  </si>
  <si>
    <t>2019_03_28_000059_create_user_settings_table.php</t>
  </si>
  <si>
    <t>2019_03_28_000060_create_user_store_area_table.php</t>
  </si>
  <si>
    <t>2019_03_28_000061_create_store_products_table.php</t>
  </si>
  <si>
    <t>2019_03_28_000062_create_product_transaction_natures_table.php</t>
  </si>
  <si>
    <t>2019_03_28_000063_create_product_transaction_types_table.php</t>
  </si>
  <si>
    <t>2019_03_28_000064_create_store_product_transactions_table.php</t>
  </si>
  <si>
    <t>2019_03_28_000065_create_transactions_table.php</t>
  </si>
  <si>
    <t>2019_03_28_000066_create_transaction_details_table.php</t>
  </si>
  <si>
    <t>2019_03_28_000067_create_bill_data_table.php</t>
  </si>
  <si>
    <t>2019_03_28_000068_create_d_data_table.php</t>
  </si>
  <si>
    <t>2019_03_28_000069_create_cheque_details_table.php</t>
  </si>
  <si>
    <t>2019_03_28_000070_create_sales_order_table.php</t>
  </si>
  <si>
    <t>2019_03_28_000071_create_sales_order_items_table.php</t>
  </si>
  <si>
    <t>2019_03_28_000072_create_stock_transfer_table.php</t>
  </si>
  <si>
    <t>Receipt</t>
  </si>
  <si>
    <t>fn_reserves</t>
  </si>
  <si>
    <t>start_num</t>
  </si>
  <si>
    <t>end_num</t>
  </si>
  <si>
    <t>unsignedInteger</t>
  </si>
  <si>
    <t>reserve_progress</t>
  </si>
  <si>
    <t>['Awaiting','Processing','Completed']</t>
  </si>
  <si>
    <t>default('Awaiting')</t>
  </si>
  <si>
    <t>2019_03_28_000073_create_receipts_table.php</t>
  </si>
  <si>
    <t>abr</t>
  </si>
  <si>
    <t>co_abr</t>
  </si>
  <si>
    <t>br_abr</t>
  </si>
  <si>
    <t>payment_type</t>
  </si>
  <si>
    <t>['Cash','Credit','Card','Cheque','DemandDraft','Digital Wallet','Multi']</t>
  </si>
  <si>
    <t>Receipts</t>
  </si>
  <si>
    <t>FnReserve</t>
  </si>
  <si>
    <t>Function Reserves</t>
  </si>
  <si>
    <t>AssignedCustomerReceipts</t>
  </si>
  <si>
    <t>Receipts related to customers who are assigned to the requesting executive</t>
  </si>
  <si>
    <t>assignedCustomerReceipts</t>
  </si>
  <si>
    <t>reserve_current</t>
  </si>
  <si>
    <t>current</t>
  </si>
  <si>
    <t>SR1</t>
  </si>
  <si>
    <t>sales_order_sales</t>
  </si>
  <si>
    <t>foreign_transaction_null</t>
  </si>
  <si>
    <t>sos_sale_quantity</t>
  </si>
  <si>
    <t>sale_quantity</t>
  </si>
  <si>
    <t>2019_03_28_000074_create_fn_reserves_table.php</t>
  </si>
  <si>
    <t>SalesOrderSale</t>
  </si>
  <si>
    <t>Sales which done on Sales Order</t>
  </si>
  <si>
    <t>Sales Order Sales</t>
  </si>
  <si>
    <t>Sales order details</t>
  </si>
  <si>
    <t>Detail of transaction</t>
  </si>
  <si>
    <t>AssignedCustomerSalesOrder</t>
  </si>
  <si>
    <t>The records of sales order in which sales order belongs to any assigned customer</t>
  </si>
  <si>
    <t>assignedCustomerSalesOrder</t>
  </si>
  <si>
    <t>default ('Item Serial')</t>
  </si>
  <si>
    <t>default('Storage Bin')</t>
  </si>
  <si>
    <t>category</t>
  </si>
  <si>
    <t>function_category</t>
  </si>
  <si>
    <t>function_wtype</t>
  </si>
  <si>
    <t>wtype</t>
  </si>
  <si>
    <t>_ITEMCODE</t>
  </si>
  <si>
    <t>ITEMCODE</t>
  </si>
  <si>
    <t>_UNITCODE</t>
  </si>
  <si>
    <t>UNITCODE</t>
  </si>
  <si>
    <t>_QTY</t>
  </si>
  <si>
    <t>QTY</t>
  </si>
  <si>
    <t>default('1')</t>
  </si>
  <si>
    <t>_PARTCODE2</t>
  </si>
  <si>
    <t>_RATE</t>
  </si>
  <si>
    <t>RATE</t>
  </si>
  <si>
    <t>_DISCOUNT</t>
  </si>
  <si>
    <t>DISCOUNT</t>
  </si>
  <si>
    <t>2019_03_28_000075_create_sales_order_sales_table.php</t>
  </si>
  <si>
    <t>2019_03_28_000076_create_w_bin_table.php</t>
  </si>
  <si>
    <t>2019_07_18_121504_create_importsales_table.php</t>
  </si>
  <si>
    <t>StockOutTransactions</t>
  </si>
  <si>
    <t>STOut</t>
  </si>
  <si>
    <t>StockInTransactions</t>
  </si>
  <si>
    <t>TransferIn transactions</t>
  </si>
  <si>
    <t>TransferOut transactions</t>
  </si>
  <si>
    <t>STIn</t>
  </si>
  <si>
    <t>hasOne</t>
  </si>
  <si>
    <t>Detail of Transaction of a Stock product transaction</t>
  </si>
  <si>
    <t>The transactions which are all pending stock transafer</t>
  </si>
  <si>
    <t>sTPending</t>
  </si>
  <si>
    <t>PendingStockTransfer</t>
  </si>
  <si>
    <t>Stock transafers which are pending</t>
  </si>
  <si>
    <t>pending</t>
  </si>
  <si>
    <t>PendingStockTransferOut</t>
  </si>
  <si>
    <t>The store product transaction of a pending stock transfer out</t>
  </si>
  <si>
    <t>pendingSTOut</t>
  </si>
  <si>
    <t>StockTransferPending</t>
  </si>
  <si>
    <t>currency</t>
  </si>
  <si>
    <t>taxfactor</t>
  </si>
  <si>
    <t>taxfactor02</t>
  </si>
  <si>
    <t>subtaxfactor</t>
  </si>
  <si>
    <t>subtaxfactor02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</si>
</sst>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2" totalsRowShown="0" dataDxfId="475">
  <autoFilter ref="A1:J72"/>
  <tableColumns count="10">
    <tableColumn id="2" name="Name" dataDxfId="474"/>
    <tableColumn id="10" name="Table" dataDxfId="473">
      <calculatedColumnFormula>Tables[Name]</calculatedColumnFormula>
    </tableColumn>
    <tableColumn id="5" name="Singular Name" dataDxfId="472">
      <calculatedColumnFormula>IF(RIGHT(Tables[Name],3)="ies",MID(Tables[Name],1,LEN(Tables[Name])-3)&amp;"y",IF(RIGHT(Tables[Name],1)="s",MID(Tables[Name],1,LEN(Tables[Name])-1),Tables[Name]))</calculatedColumnFormula>
    </tableColumn>
    <tableColumn id="8" name="Model NS" dataDxfId="471">
      <calculatedColumnFormula>"Milestone\SS\Model"</calculatedColumnFormula>
    </tableColumn>
    <tableColumn id="4" name="Class Name" dataDxfId="470">
      <calculatedColumnFormula>SUBSTITUTE(PROPER(Tables[Singular Name]),"_","")</calculatedColumnFormula>
    </tableColumn>
    <tableColumn id="1" name="Migration Artisan" dataDxfId="469">
      <calculatedColumnFormula>"php artisan make:migration create_"&amp;Tables[Table]&amp;"_table --create="&amp;Tables[Table]</calculatedColumnFormula>
    </tableColumn>
    <tableColumn id="6" name="Model Artisan" dataDxfId="468">
      <calculatedColumnFormula>"php artisan make:model "&amp;Tables[Class Name]</calculatedColumnFormula>
    </tableColumn>
    <tableColumn id="3" name="Model Statement" dataDxfId="467">
      <calculatedColumnFormula>"protected $table = '"&amp;Tables[Table]&amp;"';"</calculatedColumnFormula>
    </tableColumn>
    <tableColumn id="7" name="Seeder Artisan" dataDxfId="466">
      <calculatedColumnFormula>"php artisan make:seed "&amp;Tables[Class Name]&amp;"TableSeeder"</calculatedColumnFormula>
    </tableColumn>
    <tableColumn id="9" name="Seeder Class" dataDxfId="465">
      <calculatedColumnFormula>Tables[Class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58" dataDxfId="357">
  <autoFilter ref="A1:Y33"/>
  <tableColumns count="25">
    <tableColumn id="10" name="Primary" dataDxfId="356">
      <calculatedColumnFormula>'Table Seed Map'!$A$34&amp;"-"&amp;(COUNTA($E$1:ResourceAction[[#This Row],[Resource]])-2)</calculatedColumnFormula>
    </tableColumn>
    <tableColumn id="13" name="Display" dataDxfId="355">
      <calculatedColumnFormula>ResourceAction[[#This Row],[Resource Name]]&amp;"/"&amp;ResourceAction[[#This Row],[Name]]</calculatedColumnFormula>
    </tableColumn>
    <tableColumn id="2" name="Resource Name" dataDxfId="354"/>
    <tableColumn id="11" name="No" dataDxfId="35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52">
      <calculatedColumnFormula>IFERROR(VLOOKUP(ResourceAction[[#This Row],[Resource Name]],ResourceTable[[RName]:[No]],3,0),"resource")</calculatedColumnFormula>
    </tableColumn>
    <tableColumn id="4" name="Name" dataDxfId="351"/>
    <tableColumn id="6" name="Description" dataDxfId="350"/>
    <tableColumn id="7" name="Title" dataDxfId="349"/>
    <tableColumn id="8" name="Type" dataDxfId="348"/>
    <tableColumn id="9" name="Menu" dataDxfId="347"/>
    <tableColumn id="20" name="Primary Method" dataDxfId="346">
      <calculatedColumnFormula>'Table Seed Map'!$A$35&amp;"-"&amp;(COUNTA($E$1:ResourceAction[[#This Row],[Resource]])-2)</calculatedColumnFormula>
    </tableColumn>
    <tableColumn id="12" name="Method ID" dataDxfId="34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44">
      <calculatedColumnFormula>IF(ResourceAction[[#This Row],[No]]="id","resource_action",ResourceAction[[#This Row],[No]])</calculatedColumnFormula>
    </tableColumn>
    <tableColumn id="15" name="Method Type" dataDxfId="343"/>
    <tableColumn id="16" name="IDN 1" dataDxfId="34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4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4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3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3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37"/>
    <tableColumn id="22" name="IDN2" dataDxfId="336"/>
    <tableColumn id="24" name="IDN3" dataDxfId="335"/>
    <tableColumn id="25" name="IDN4" dataDxfId="334"/>
    <tableColumn id="23" name="IDN5" dataDxfId="333"/>
    <tableColumn id="1" name="AID" dataDxfId="332">
      <calculatedColumnFormula>ResourceAction[No]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31" dataDxfId="330">
  <autoFilter ref="AA1:AL19"/>
  <tableColumns count="12">
    <tableColumn id="1" name="Action Name" dataDxfId="329"/>
    <tableColumn id="3" name="Action" dataDxfId="328">
      <calculatedColumnFormula>VLOOKUP(ActionListNData[[#This Row],[Action Name]],ResourceAction[[Display]:[No]],3,0)</calculatedColumnFormula>
    </tableColumn>
    <tableColumn id="5" name="Resource List" dataDxfId="327"/>
    <tableColumn id="6" name="Resource Data" dataDxfId="326"/>
    <tableColumn id="9" name="Primary List" dataDxfId="325">
      <calculatedColumnFormula>'Table Seed Map'!$A$37&amp;"-"&amp;-1+COUNTA($AC$1:ActionListNData[[#This Row],[Resource List]])</calculatedColumnFormula>
    </tableColumn>
    <tableColumn id="10" name="List ID" dataDxfId="32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23">
      <calculatedColumnFormula>ActionListNData[[#This Row],[Action]]</calculatedColumnFormula>
    </tableColumn>
    <tableColumn id="4" name="List" dataDxfId="32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21">
      <calculatedColumnFormula>'Table Seed Map'!$A$38&amp;"-"&amp;-1+COUNTA($AD$1:ActionListNData[[#This Row],[Resource Data]])</calculatedColumnFormula>
    </tableColumn>
    <tableColumn id="12" name="Data ID" dataDxfId="32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19">
      <calculatedColumnFormula>ActionListNData[[#This Row],[Action]]</calculatedColumnFormula>
    </tableColumn>
    <tableColumn id="2" name="Data" dataDxfId="31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17" dataDxfId="316">
  <autoFilter ref="AN1:AS2"/>
  <tableColumns count="6">
    <tableColumn id="1" name="Action Name for Attr" dataDxfId="315"/>
    <tableColumn id="5" name="Primary" dataDxfId="314">
      <calculatedColumnFormula>'Table Seed Map'!$A$36&amp;"-"&amp;(COUNTA($AN$2:ActionAttr[[#This Row],[Action Name for Attr]]))</calculatedColumnFormula>
    </tableColumn>
    <tableColumn id="6" name="No" dataDxfId="31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1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11"/>
    <tableColumn id="3" name="Value" dataDxfId="31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309" dataDxfId="308">
  <autoFilter ref="A1:K8"/>
  <tableColumns count="11">
    <tableColumn id="1" name="Primary" dataDxfId="307">
      <calculatedColumnFormula>'Table Seed Map'!$A$11&amp;"-"&amp;(COUNTA($F$1:ResourceForms[[#This Row],[Resource]])-2)</calculatedColumnFormula>
    </tableColumn>
    <tableColumn id="11" name="FormName" dataDxfId="306">
      <calculatedColumnFormula>ResourceForms[[#This Row],[Resource Name]]&amp;"/"&amp;ResourceForms[[#This Row],[Name]]</calculatedColumnFormula>
    </tableColumn>
    <tableColumn id="10" name="No" dataDxfId="305">
      <calculatedColumnFormula>COUNTA($A$1:ResourceForms[[#This Row],[Primary]])-2</calculatedColumnFormula>
    </tableColumn>
    <tableColumn id="2" name="Resource Name" dataDxfId="304"/>
    <tableColumn id="12" name="ID" dataDxfId="30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302">
      <calculatedColumnFormula>IFERROR(VLOOKUP(ResourceForms[[#This Row],[Resource Name]],ResourceTable[[RName]:[No]],3,0),"resource")</calculatedColumnFormula>
    </tableColumn>
    <tableColumn id="4" name="Name" dataDxfId="301"/>
    <tableColumn id="5" name="Description" dataDxfId="300"/>
    <tableColumn id="6" name="Title" dataDxfId="299"/>
    <tableColumn id="7" name="Action Text" dataDxfId="298"/>
    <tableColumn id="8" name="Form ID" dataDxfId="297">
      <calculatedColumnFormula>ResourceForms[ID]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96" dataDxfId="295">
  <autoFilter ref="M1:BA18"/>
  <tableColumns count="41">
    <tableColumn id="23" name="Primary" dataDxfId="294">
      <calculatedColumnFormula>'Table Seed Map'!$A$12&amp;"-"&amp;FormFields[[#This Row],[No]]</calculatedColumnFormula>
    </tableColumn>
    <tableColumn id="1" name="Form Name" totalsRowLabel="Total" dataDxfId="293"/>
    <tableColumn id="44" name="No" dataDxfId="292">
      <calculatedColumnFormula>COUNTA($N$1:FormFields[[#This Row],[Form Name]])-1</calculatedColumnFormula>
    </tableColumn>
    <tableColumn id="24" name="Field Name" dataDxfId="291">
      <calculatedColumnFormula>FormFields[[#This Row],[Form Name]]&amp;"/"&amp;FormFields[[#This Row],[Name]]</calculatedColumnFormula>
    </tableColumn>
    <tableColumn id="11" name="ID" dataDxfId="29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89">
      <calculatedColumnFormula>IFERROR(VLOOKUP(FormFields[[#This Row],[Form Name]],ResourceForms[[FormName]:[ID]],4,0),"resource_form")</calculatedColumnFormula>
    </tableColumn>
    <tableColumn id="3" name="Name" dataDxfId="288"/>
    <tableColumn id="4" name="Type" dataDxfId="287"/>
    <tableColumn id="5" name="Label" dataDxfId="286"/>
    <tableColumn id="6" name="Rel" dataDxfId="285"/>
    <tableColumn id="7" name="Rel1" dataDxfId="284"/>
    <tableColumn id="8" name="Rel2" dataDxfId="283"/>
    <tableColumn id="9" name="Rel3" dataDxfId="282"/>
    <tableColumn id="45" name="Primary FD" dataDxfId="281">
      <calculatedColumnFormula>'Table Seed Map'!$A$13&amp;"-"&amp;FormFields[[#This Row],[NO2]]</calculatedColumnFormula>
    </tableColumn>
    <tableColumn id="46" name="NO2" dataDxfId="280">
      <calculatedColumnFormula>COUNTIFS($AB$1:FormFields[[#This Row],[Exists]],1)-1</calculatedColumnFormula>
    </tableColumn>
    <tableColumn id="49" name="Exists" dataDxfId="279">
      <calculatedColumnFormula>IF(AND(FormFields[[#This Row],[Attribute]]="",FormFields[[#This Row],[Rel]]=""),0,1)</calculatedColumnFormula>
    </tableColumn>
    <tableColumn id="47" name="NO3" dataDxfId="27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77">
      <calculatedColumnFormula>IF(FormFields[[#This Row],[ID]]="id","form_field",FormFields[[#This Row],[ID]])</calculatedColumnFormula>
    </tableColumn>
    <tableColumn id="40" name="Attribute" dataDxfId="276">
      <calculatedColumnFormula>IF(FormFields[[#This Row],[No]]=0,"attribute",FormFields[[#This Row],[Name]])</calculatedColumnFormula>
    </tableColumn>
    <tableColumn id="12" name="Relation" dataDxfId="27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7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7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7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71">
      <calculatedColumnFormula>IF(OR(FormFields[[#This Row],[Option Type]]="",FormFields[[#This Row],[Option Type]]="type"),0,1)</calculatedColumnFormula>
    </tableColumn>
    <tableColumn id="50" name="Primary FO" dataDxfId="270">
      <calculatedColumnFormula>'Table Seed Map'!$A$14&amp;"-"&amp;FormFields[[#This Row],[NO4]]</calculatedColumnFormula>
    </tableColumn>
    <tableColumn id="51" name="NO4" dataDxfId="269">
      <calculatedColumnFormula>COUNTIF($AJ$2:FormFields[[#This Row],[Exists FO]],1)</calculatedColumnFormula>
    </tableColumn>
    <tableColumn id="53" name="NO5" dataDxfId="26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67">
      <calculatedColumnFormula>IF(FormFields[[#This Row],[ID]]="id","form_field",FormFields[[#This Row],[ID]])</calculatedColumnFormula>
    </tableColumn>
    <tableColumn id="18" name="Option Type" dataDxfId="266"/>
    <tableColumn id="19" name="Detail" dataDxfId="265"/>
    <tableColumn id="20" name="Value Attr" dataDxfId="264"/>
    <tableColumn id="21" name="Label Attr" dataDxfId="263"/>
    <tableColumn id="22" name="Preload" dataDxfId="262"/>
    <tableColumn id="67" name="Exists FL" dataDxfId="261">
      <calculatedColumnFormula>IF(OR(FormFields[[#This Row],[Colspan]]="",FormFields[[#This Row],[Colspan]]="colspan"),0,1)</calculatedColumnFormula>
    </tableColumn>
    <tableColumn id="68" name="Primary FL" dataDxfId="260">
      <calculatedColumnFormula>'Table Seed Map'!$A$19&amp;"-"&amp;FormFields[[#This Row],[NO8]]</calculatedColumnFormula>
    </tableColumn>
    <tableColumn id="69" name="NO8" dataDxfId="259">
      <calculatedColumnFormula>COUNTIF($AT$1:FormFields[[#This Row],[Exists FL]],1)</calculatedColumnFormula>
    </tableColumn>
    <tableColumn id="70" name="FL ID" dataDxfId="25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57">
      <calculatedColumnFormula>FormFields[Form]</calculatedColumnFormula>
    </tableColumn>
    <tableColumn id="42" name="Layout Field ID" dataDxfId="256">
      <calculatedColumnFormula>IF(FormFields[[#This Row],[ID]]="id","form_field",FormFields[[#This Row],[ID]])</calculatedColumnFormula>
    </tableColumn>
    <tableColumn id="43" name="Colspan" dataDxfId="255"/>
    <tableColumn id="16" name="Field ID" dataDxfId="25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53" dataDxfId="252">
  <autoFilter ref="BC1:BH6"/>
  <tableColumns count="6">
    <tableColumn id="1" name="ATTR Field" dataDxfId="251"/>
    <tableColumn id="5" name="Primary" dataDxfId="250">
      <calculatedColumnFormula>'Table Seed Map'!$A$15&amp;"-"&amp;(-1+COUNTA($BC$1:FieldAttrs[[#This Row],[ATTR Field]]))</calculatedColumnFormula>
    </tableColumn>
    <tableColumn id="6" name="No" dataDxfId="249">
      <calculatedColumnFormula>IF(FieldAttrs[[#This Row],[ATTR Field]]="","id",-1+COUNTA($BC$1:FieldAttrs[[#This Row],[ATTR Field]])+VLOOKUP('Table Seed Map'!$A$15,SeedMap[],9,0))</calculatedColumnFormula>
    </tableColumn>
    <tableColumn id="4" name="Field" dataDxfId="248">
      <calculatedColumnFormula>IFERROR(VLOOKUP(FieldAttrs[ATTR Field],FormFields[[Field Name]:[ID]],2,0),"form_field")</calculatedColumnFormula>
    </tableColumn>
    <tableColumn id="2" name="Name" dataDxfId="247"/>
    <tableColumn id="3" name="Value" dataDxfId="24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45" dataDxfId="244">
  <autoFilter ref="BJ1:BS5"/>
  <tableColumns count="10">
    <tableColumn id="1" name="Validation Field" dataDxfId="243"/>
    <tableColumn id="10" name="ID No" dataDxfId="242">
      <calculatedColumnFormula>COUNTA($BJ$2:FieldValidations[[#This Row],[Validation Field]])</calculatedColumnFormula>
    </tableColumn>
    <tableColumn id="8" name="Primary" dataDxfId="241">
      <calculatedColumnFormula>'Table Seed Map'!$A$17&amp;"-"&amp;FieldValidations[[#This Row],[ID No]]</calculatedColumnFormula>
    </tableColumn>
    <tableColumn id="9" name="No" dataDxfId="240">
      <calculatedColumnFormula>IF(FieldValidations[[#This Row],[ID No]]=0,"id",FieldValidations[[#This Row],[ID No]]+VLOOKUP('Table Seed Map'!$A$17,SeedMap[],9,0))</calculatedColumnFormula>
    </tableColumn>
    <tableColumn id="7" name="Field" dataDxfId="239">
      <calculatedColumnFormula>VLOOKUP(FieldValidations[Validation Field],FormFields[[Field Name]:[ID]],2,0)</calculatedColumnFormula>
    </tableColumn>
    <tableColumn id="2" name="Rule" dataDxfId="238"/>
    <tableColumn id="3" name="Message" dataDxfId="237"/>
    <tableColumn id="4" name="Arg 1" dataDxfId="236"/>
    <tableColumn id="5" name="Arg 2" dataDxfId="235"/>
    <tableColumn id="6" name="Arg 3" dataDxfId="23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33">
  <autoFilter ref="CF1:CZ2"/>
  <tableColumns count="21">
    <tableColumn id="41" name="No" dataDxfId="232">
      <calculatedColumnFormula>COUNTA($CH$1:FormDefault[[#This Row],[Form for Default]])-1</calculatedColumnFormula>
    </tableColumn>
    <tableColumn id="1" name="Primary" dataDxfId="231">
      <calculatedColumnFormula>'Table Seed Map'!$A$21&amp;"-"&amp;FormDefault[[#This Row],[No]]</calculatedColumnFormula>
    </tableColumn>
    <tableColumn id="2" name="Form for Default" dataDxfId="230"/>
    <tableColumn id="3" name="ID" dataDxfId="229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8">
      <calculatedColumnFormula>IFERROR(VLOOKUP(FormDefault[[#This Row],[Form for Default]],ResourceForms[[FormName]:[ID]],4,0),"resource_form")</calculatedColumnFormula>
    </tableColumn>
    <tableColumn id="4" name="Name" dataDxfId="227"/>
    <tableColumn id="5" name="Value" dataDxfId="226"/>
    <tableColumn id="6" name="Relation" dataDxfId="225">
      <calculatedColumnFormula>IFERROR(VLOOKUP(FormDefault[[#This Row],[R]],RelationTable[[Display]:[RELID]],2,0),"")</calculatedColumnFormula>
    </tableColumn>
    <tableColumn id="7" name="Attribute" dataDxfId="224"/>
    <tableColumn id="20" name="REL1" dataDxfId="223">
      <calculatedColumnFormula>IFERROR(VLOOKUP(FormDefault[[#This Row],[R1]],RelationTable[[Display]:[RELID]],2,0),"")</calculatedColumnFormula>
    </tableColumn>
    <tableColumn id="19" name="REL2" dataDxfId="222">
      <calculatedColumnFormula>IFERROR(VLOOKUP(FormDefault[[#This Row],[R2]],RelationTable[[Display]:[RELID]],2,0),"")</calculatedColumnFormula>
    </tableColumn>
    <tableColumn id="18" name="REL3" dataDxfId="221">
      <calculatedColumnFormula>IFERROR(VLOOKUP(FormDefault[[#This Row],[R3]],RelationTable[[Display]:[RELID]],2,0),"")</calculatedColumnFormula>
    </tableColumn>
    <tableColumn id="13" name="Method" dataDxfId="220"/>
    <tableColumn id="17" name="R" dataDxfId="219"/>
    <tableColumn id="14" name="R1" dataDxfId="218"/>
    <tableColumn id="15" name="R2" dataDxfId="217"/>
    <tableColumn id="16" name="R3" dataDxfId="216"/>
    <tableColumn id="8" name="R12" dataDxfId="215"/>
    <tableColumn id="9" name="R22" dataDxfId="214"/>
    <tableColumn id="10" name="R32" dataDxfId="213"/>
    <tableColumn id="11" name="Method2" dataDxfId="212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11" dataDxfId="210">
  <autoFilter ref="BU1:CD2"/>
  <tableColumns count="10">
    <tableColumn id="1" name="Primary" dataDxfId="209">
      <calculatedColumnFormula>'Table Seed Map'!$A$22&amp;"-"&amp;COUNTA($BV$1:FormCollection[[#This Row],[Main Form for Collection]])-1</calculatedColumnFormula>
    </tableColumn>
    <tableColumn id="2" name="Main Form for Collection" dataDxfId="208"/>
    <tableColumn id="3" name="Collection Form" dataDxfId="207"/>
    <tableColumn id="4" name="Relation" dataDxfId="206"/>
    <tableColumn id="5" name="Foreign Field" dataDxfId="205"/>
    <tableColumn id="6" name="No" dataDxfId="204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203">
      <calculatedColumnFormula>IFERROR(VLOOKUP(FormCollection[Main Form for Collection],ResourceForms[[FormName]:[ID]],4,0),"resource_form")</calculatedColumnFormula>
    </tableColumn>
    <tableColumn id="8" name="Collection Form2" dataDxfId="202">
      <calculatedColumnFormula>IFERROR(VLOOKUP(FormCollection[Collection Form],ResourceForms[[FormName]:[ID]],4,0),"collection_form")</calculatedColumnFormula>
    </tableColumn>
    <tableColumn id="9" name="Relation3" dataDxfId="201">
      <calculatedColumnFormula>IFERROR(VLOOKUP(FormCollection[Relation],RelationTable[[Display]:[RELID]],2,0),"")</calculatedColumnFormula>
    </tableColumn>
    <tableColumn id="10" name="Foreign" dataDxfId="200">
      <calculatedColumnFormula>IFERROR(VLOOKUP(FormCollection[Foreign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9" dataDxfId="198">
  <autoFilter ref="DB1:DL2"/>
  <tableColumns count="11">
    <tableColumn id="1" name="Field for Depend" dataDxfId="197"/>
    <tableColumn id="9" name="Primary" dataDxfId="196">
      <calculatedColumnFormula>'Table Seed Map'!$A$18&amp;"-"&amp;COUNTA($DB$2:FieldDepends[[#This Row],[Field for Depend]])</calculatedColumnFormula>
    </tableColumn>
    <tableColumn id="10" name="ID" dataDxfId="195">
      <calculatedColumnFormula>IF(FieldDepends[[#This Row],[Field for Depend]]="","id",-1+COUNTA($DB$1:FieldDepends[[#This Row],[Field for Depend]])+VLOOKUP('Table Seed Map'!$A$18,SeedMap[],9,0))</calculatedColumnFormula>
    </tableColumn>
    <tableColumn id="8" name="Field ID" dataDxfId="194">
      <calculatedColumnFormula>IFERROR(VLOOKUP(FieldDepends[[#This Row],[Field for Depend]],FormFields[[Field Name]:[ID]],2,0),"form_field")</calculatedColumnFormula>
    </tableColumn>
    <tableColumn id="2" name="Field name - depends on" dataDxfId="193"/>
    <tableColumn id="3" name="Database Field" dataDxfId="192"/>
    <tableColumn id="4" name="Operator" dataDxfId="191"/>
    <tableColumn id="5" name="Compare Method" dataDxfId="190"/>
    <tableColumn id="11" name="Method" dataDxfId="189"/>
    <tableColumn id="6" name="Value DB Field" dataDxfId="188"/>
    <tableColumn id="7" name="Ignore Null" dataDxfId="187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72" totalsRowShown="0" dataDxfId="464">
  <autoFilter ref="A1:J272"/>
  <tableColumns count="10">
    <tableColumn id="1" name="Column" dataDxfId="463"/>
    <tableColumn id="2" name="Type" dataDxfId="462"/>
    <tableColumn id="3" name="Name" dataDxfId="461"/>
    <tableColumn id="4" name="Length/Enum" dataDxfId="460"/>
    <tableColumn id="5" name="Method1" dataDxfId="459"/>
    <tableColumn id="6" name="Method2" dataDxfId="458"/>
    <tableColumn id="7" name="Method3" dataDxfId="457"/>
    <tableColumn id="8" name="Method4" dataDxfId="456"/>
    <tableColumn id="9" name="Method5" dataDxfId="455"/>
    <tableColumn id="10" name="Usage" dataDxfId="454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86" dataDxfId="185">
  <autoFilter ref="DN1:DW2"/>
  <tableColumns count="10">
    <tableColumn id="1" name="Field for Dynamic" dataDxfId="184"/>
    <tableColumn id="9" name="Primary" dataDxfId="183">
      <calculatedColumnFormula>'Table Seed Map'!$A$16&amp;"-"&amp;COUNTA($DN$2:FieldDynamic[[#This Row],[Field for Dynamic]])</calculatedColumnFormula>
    </tableColumn>
    <tableColumn id="10" name="ID" dataDxfId="182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81">
      <calculatedColumnFormula>IFERROR(VLOOKUP(FieldDynamic[[#This Row],[Field for Dynamic]],FormFields[[Field Name]:[ID]],2,0),"form_field")</calculatedColumnFormula>
    </tableColumn>
    <tableColumn id="2" name="Type" dataDxfId="180"/>
    <tableColumn id="3" name="Depend Field" dataDxfId="179"/>
    <tableColumn id="4" name="Alter On" dataDxfId="178"/>
    <tableColumn id="5" name="Value" dataDxfId="177"/>
    <tableColumn id="11" name="Values" dataDxfId="176"/>
    <tableColumn id="6" name="Operator" dataDxfId="175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74" dataDxfId="173">
  <autoFilter ref="DY1:ES2"/>
  <tableColumns count="21">
    <tableColumn id="1" name="Form for Data Mapping" dataDxfId="172"/>
    <tableColumn id="2" name="Resource Data" dataDxfId="171"/>
    <tableColumn id="3" name="Form Field" dataDxfId="170"/>
    <tableColumn id="4" name="Primary" dataDxfId="169">
      <calculatedColumnFormula>'Table Seed Map'!$A$20&amp;"-"&amp;-1+COUNTA($DY$1:FormDataMapping[[#This Row],[Form for Data Mapping]])</calculatedColumnFormula>
    </tableColumn>
    <tableColumn id="5" name="ID" dataDxfId="168">
      <calculatedColumnFormula>IF(FormDataMapping[[#This Row],[Form for Data Mapping]]="","id",-1+COUNTA($DY$1:FormDataMapping[[#This Row],[Form for Data Mapping]])+VLOOKUP('Table Seed Map'!$A$20,SeedMap[],9,0))</calculatedColumnFormula>
    </tableColumn>
    <tableColumn id="6" name="Form" dataDxfId="167">
      <calculatedColumnFormula>IF(FormDataMapping[[#This Row],[Form for Data Mapping]]="","resource_form",VLOOKUP(FormDataMapping[Form for Data Mapping],ResourceForms[[FormName]:[ID]],4,0))</calculatedColumnFormula>
    </tableColumn>
    <tableColumn id="7" name="Data" dataDxfId="166">
      <calculatedColumnFormula>IF(FormDataMapping[[#This Row],[Form for Data Mapping]]="","resource_data",VLOOKUP(FormDataMapping[Resource Data],ResourceData[[DataDisplayName]:[ID]],8,0))</calculatedColumnFormula>
    </tableColumn>
    <tableColumn id="8" name="Field" dataDxfId="165">
      <calculatedColumnFormula>IF(FormDataMapping[[#This Row],[Form for Data Mapping]]="","form_field",VLOOKUP(FormDataMapping[Form Field],FormFields[[Field Name]:[ID]],2,0))</calculatedColumnFormula>
    </tableColumn>
    <tableColumn id="9" name="Attribute" dataDxfId="164"/>
    <tableColumn id="10" name="R0" dataDxfId="163">
      <calculatedColumnFormula>IF(FormDataMapping[[#This Row],[Form for Data Mapping]]="","relation",IFERROR(VLOOKUP(FormDataMapping[Relation],RelationTable[[Display]:[RELID]],2,0),""))</calculatedColumnFormula>
    </tableColumn>
    <tableColumn id="11" name="R1" dataDxfId="162">
      <calculatedColumnFormula>IF(FormDataMapping[[#This Row],[Form for Data Mapping]]="","nest_relation1",IFERROR(VLOOKUP(FormDataMapping[Rel1],RelationTable[[Display]:[RELID]],2,0),""))</calculatedColumnFormula>
    </tableColumn>
    <tableColumn id="12" name="R2" dataDxfId="161">
      <calculatedColumnFormula>IF(FormDataMapping[[#This Row],[Form for Data Mapping]]="","nest_relation2",IFERROR(VLOOKUP(FormDataMapping[Rel2],RelationTable[[Display]:[RELID]],2,0),""))</calculatedColumnFormula>
    </tableColumn>
    <tableColumn id="13" name="R3" dataDxfId="160">
      <calculatedColumnFormula>IF(FormDataMapping[[#This Row],[Form for Data Mapping]]="","nest_relation3",IFERROR(VLOOKUP(FormDataMapping[Rel3],RelationTable[[Display]:[RELID]],2,0),""))</calculatedColumnFormula>
    </tableColumn>
    <tableColumn id="14" name="R4" dataDxfId="159">
      <calculatedColumnFormula>IF(FormDataMapping[[#This Row],[Form for Data Mapping]]="","nest_relation4",IFERROR(VLOOKUP(FormDataMapping[Rel4],RelationTable[[Display]:[RELID]],2,0),""))</calculatedColumnFormula>
    </tableColumn>
    <tableColumn id="15" name="R5" dataDxfId="158">
      <calculatedColumnFormula>IF(FormDataMapping[[#This Row],[Form for Data Mapping]]="","nest_relation5",IFERROR(VLOOKUP(FormDataMapping[Rel5],RelationTable[[Display]:[RELID]],2,0),""))</calculatedColumnFormula>
    </tableColumn>
    <tableColumn id="16" name="Relation" dataDxfId="157"/>
    <tableColumn id="17" name="Rel1" dataDxfId="156"/>
    <tableColumn id="18" name="Rel2" dataDxfId="155"/>
    <tableColumn id="19" name="Rel3" dataDxfId="154"/>
    <tableColumn id="20" name="Rel4" dataDxfId="153"/>
    <tableColumn id="21" name="Rel5" dataDxfId="152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3" totalsRowShown="0" dataDxfId="151">
  <autoFilter ref="A1:H33"/>
  <tableColumns count="8">
    <tableColumn id="1" name="No" dataDxfId="150">
      <calculatedColumnFormula>IFERROR($A1+1,1)</calculatedColumnFormula>
    </tableColumn>
    <tableColumn id="2" name="Filename" dataDxfId="149"/>
    <tableColumn id="9" name="Table" dataDxfId="148">
      <calculatedColumnFormula>MID(MigrationRenamer[Filename],26,LEN(MigrationRenamer[Filename])-35)</calculatedColumnFormula>
    </tableColumn>
    <tableColumn id="3" name="Date Part" dataDxfId="147">
      <calculatedColumnFormula>"2019_03_28_"</calculatedColumnFormula>
    </tableColumn>
    <tableColumn id="4" name="Sequence" dataDxfId="146">
      <calculatedColumnFormula>TEXT(MATCH(MigrationRenamer[[#This Row],[Table]],Tables[Table],0),"000000")</calculatedColumnFormula>
    </tableColumn>
    <tableColumn id="5" name="Name Part" dataDxfId="145">
      <calculatedColumnFormula>RIGHT(MigrationRenamer[Filename],LEN(MigrationRenamer[Filename])-LEN(MigrationRenamer[Date Part])-LEN(MigrationRenamer[Sequence]))</calculatedColumnFormula>
    </tableColumn>
    <tableColumn id="6" name="New Name" dataDxfId="144">
      <calculatedColumnFormula>MigrationRenamer[Date Part]&amp;MigrationRenamer[Sequence]&amp;MigrationRenamer[Name Part]</calculatedColumnFormula>
    </tableColumn>
    <tableColumn id="7" name="CMD" dataDxfId="143">
      <calculatedColumnFormula>IFERROR("ren "&amp;MigrationRenamer[Filename]&amp;" "&amp;MigrationRenamer[New Name],"del "&amp;MigrationRenamer[Filename])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42">
  <autoFilter ref="A1:K11"/>
  <tableColumns count="11">
    <tableColumn id="1" name="Primary" dataDxfId="141">
      <calculatedColumnFormula>'Table Seed Map'!$A$24&amp;"-"&amp;COUNTA($B$1:ResourceList[[#This Row],[Resource Name]])-1</calculatedColumnFormula>
    </tableColumn>
    <tableColumn id="2" name="Resource Name" dataDxfId="140"/>
    <tableColumn id="8" name="ListDisplayName" dataDxfId="139">
      <calculatedColumnFormula>ResourceList[[#This Row],[Resource Name]]&amp;"/"&amp;ResourceList[[#This Row],[Name]]</calculatedColumnFormula>
    </tableColumn>
    <tableColumn id="3" name="No" dataDxfId="138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7">
      <calculatedColumnFormula>IFERROR(VLOOKUP(ResourceList[[#This Row],[Resource Name]],ResourceTable[[RName]:[No]],3,0),"resource")</calculatedColumnFormula>
    </tableColumn>
    <tableColumn id="4" name="Name" dataDxfId="136"/>
    <tableColumn id="5" name="Description" dataDxfId="135"/>
    <tableColumn id="6" name="Title" dataDxfId="134"/>
    <tableColumn id="11" name="Identity" dataDxfId="133"/>
    <tableColumn id="10" name="Page" dataDxfId="132"/>
    <tableColumn id="9" name="ID" dataDxfId="131">
      <calculatedColumnFormula>ResourceList[No]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30" dataDxfId="129">
  <autoFilter ref="M1:AD8"/>
  <tableColumns count="18">
    <tableColumn id="1" name="List Name" dataDxfId="128"/>
    <tableColumn id="2" name="LID" dataDxfId="127">
      <calculatedColumnFormula>VLOOKUP(ListExtras[[#This Row],[List Name]],ResourceList[[ListDisplayName]:[No]],2,0)</calculatedColumnFormula>
    </tableColumn>
    <tableColumn id="3" name="Scope Name" dataDxfId="126"/>
    <tableColumn id="4" name="Relation Name" dataDxfId="125"/>
    <tableColumn id="5" name="R1 Name" dataDxfId="124"/>
    <tableColumn id="6" name="R2 Name" dataDxfId="123"/>
    <tableColumn id="7" name="R3 Name" dataDxfId="122"/>
    <tableColumn id="8" name="Scope Primary" dataDxfId="121">
      <calculatedColumnFormula>'Table Seed Map'!$A$25&amp;"-"&amp;COUNT($W$1:ListExtras[[#This Row],[Scope ID]])</calculatedColumnFormula>
    </tableColumn>
    <tableColumn id="9" name="Scope Table ID" dataDxfId="120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9">
      <calculatedColumnFormula>IF(ListExtras[[#This Row],[LID]]=0,"resource_list",ListExtras[[#This Row],[LID]])</calculatedColumnFormula>
    </tableColumn>
    <tableColumn id="11" name="Scope ID" dataDxfId="118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7">
      <calculatedColumnFormula>'Table Seed Map'!$A$26&amp;"-"&amp;COUNT($AA$1:ListExtras[[#This Row],[Relation]])</calculatedColumnFormula>
    </tableColumn>
    <tableColumn id="13" name="Relation Table ID" dataDxfId="116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15">
      <calculatedColumnFormula>IF(ListExtras[[#This Row],[LID]]=0,"resource_list",ListExtras[[#This Row],[LID]])</calculatedColumnFormula>
    </tableColumn>
    <tableColumn id="15" name="Relation" dataDxfId="114">
      <calculatedColumnFormula>IFERROR(VLOOKUP(ListExtras[[#This Row],[Relation Name]],RelationTable[[Display]:[RELID]],2,0),IF(ListExtras[[#This Row],[LID]]=0,"relation",""))</calculatedColumnFormula>
    </tableColumn>
    <tableColumn id="16" name="R1" dataDxfId="113">
      <calculatedColumnFormula>IFERROR(VLOOKUP(ListExtras[[#This Row],[R1 Name]],RelationTable[[Display]:[RELID]],2,0),IF(ListExtras[[#This Row],[LID]]=0,"nest_relation1",""))</calculatedColumnFormula>
    </tableColumn>
    <tableColumn id="17" name="R2" dataDxfId="112">
      <calculatedColumnFormula>IFERROR(VLOOKUP(ListExtras[[#This Row],[R2 Name]],RelationTable[[Display]:[RELID]],2,0),IF(ListExtras[[#This Row],[LID]]=0,"nest_relation2",""))</calculatedColumnFormula>
    </tableColumn>
    <tableColumn id="18" name="R3" dataDxfId="111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10" dataDxfId="109">
  <autoFilter ref="AF1:AR17"/>
  <tableColumns count="13">
    <tableColumn id="13" name="Primary" dataDxfId="108">
      <calculatedColumnFormula>'Table Seed Map'!$A$28&amp;"-"&amp;COUNTA($AH$1:ListSearch[[#This Row],[No]])-2</calculatedColumnFormula>
    </tableColumn>
    <tableColumn id="1" name="List Name for Search" dataDxfId="107"/>
    <tableColumn id="2" name="No" dataDxfId="106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105">
      <calculatedColumnFormula>IFERROR(VLOOKUP(ListSearch[[#This Row],[List Name for Search]],ResourceList[[ListDisplayName]:[No]],2,0),"resource_list")</calculatedColumnFormula>
    </tableColumn>
    <tableColumn id="4" name="Field" dataDxfId="104"/>
    <tableColumn id="5" name="REL" dataDxfId="103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102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101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100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9"/>
    <tableColumn id="10" name="Relation 1" dataDxfId="98"/>
    <tableColumn id="11" name="Relation 2" dataDxfId="97"/>
    <tableColumn id="12" name="Relation 3" dataDxfId="96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95" dataDxfId="94">
  <autoFilter ref="AT1:BE31"/>
  <tableColumns count="12">
    <tableColumn id="13" name="Primary" dataDxfId="93">
      <calculatedColumnFormula>'Table Seed Map'!$A$27&amp;"-"&amp;COUNTA($AV$1:ListLayout[[#This Row],[No]])-2</calculatedColumnFormula>
    </tableColumn>
    <tableColumn id="1" name="List Name for Layout" dataDxfId="92"/>
    <tableColumn id="2" name="No" dataDxfId="91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90">
      <calculatedColumnFormula>IFERROR(VLOOKUP(ListLayout[[#This Row],[List Name for Layout]],ResourceList[[ListDisplayName]:[No]],2,0),"resource_list")</calculatedColumnFormula>
    </tableColumn>
    <tableColumn id="14" name="Label" dataDxfId="89"/>
    <tableColumn id="4" name="Field" dataDxfId="88"/>
    <tableColumn id="5" name="REL" dataDxfId="87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86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85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84"/>
    <tableColumn id="10" name="Relation 1" dataDxfId="83"/>
    <tableColumn id="11" name="Relation 2" dataDxfId="82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81">
  <autoFilter ref="A1:J7"/>
  <tableColumns count="10">
    <tableColumn id="1" name="Primary" dataDxfId="80">
      <calculatedColumnFormula>'Table Seed Map'!$A$29&amp;"-"&amp;COUNTA($E$1:ResourceData[[#This Row],[Resource]])-2</calculatedColumnFormula>
    </tableColumn>
    <tableColumn id="2" name="Resource Name" dataDxfId="79"/>
    <tableColumn id="8" name="DataDisplayName" dataDxfId="78">
      <calculatedColumnFormula>ResourceData[[#This Row],[Resource Name]]&amp;"/"&amp;ResourceData[[#This Row],[Name]]</calculatedColumnFormula>
    </tableColumn>
    <tableColumn id="3" name="No" dataDxfId="77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76">
      <calculatedColumnFormula>IFERROR(VLOOKUP(ResourceData[[#This Row],[Resource Name]],ResourceTable[[RName]:[No]],3,0),"resource")</calculatedColumnFormula>
    </tableColumn>
    <tableColumn id="4" name="Name" dataDxfId="75"/>
    <tableColumn id="5" name="Description" dataDxfId="74"/>
    <tableColumn id="6" name="Title Field" dataDxfId="73"/>
    <tableColumn id="9" name="Method" dataDxfId="72"/>
    <tableColumn id="10" name="ID" dataDxfId="71">
      <calculatedColumnFormula>ResourceData[No]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70" dataDxfId="69">
  <autoFilter ref="L1:AC7"/>
  <tableColumns count="18">
    <tableColumn id="1" name="Data Name" dataDxfId="68"/>
    <tableColumn id="2" name="DID" dataDxfId="67">
      <calculatedColumnFormula>VLOOKUP(DataExtra[[#This Row],[Data Name]],ResourceData[[DataDisplayName]:[No]],2,0)</calculatedColumnFormula>
    </tableColumn>
    <tableColumn id="3" name="Scope Name" dataDxfId="66"/>
    <tableColumn id="4" name="Relation Name" dataDxfId="65"/>
    <tableColumn id="5" name="R1 Name" dataDxfId="64"/>
    <tableColumn id="6" name="R2 Name" dataDxfId="63"/>
    <tableColumn id="7" name="R3 Name" dataDxfId="62"/>
    <tableColumn id="8" name="Scope Primary" dataDxfId="61">
      <calculatedColumnFormula>'Table Seed Map'!$A$30&amp;"-"&amp;COUNT($V$1:DataExtra[[#This Row],[Scope ID]])</calculatedColumnFormula>
    </tableColumn>
    <tableColumn id="9" name="Scope Table ID" dataDxfId="60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9">
      <calculatedColumnFormula>IF(DataExtra[[#This Row],[DID]]=0,"resource_data",DataExtra[[#This Row],[DID]])</calculatedColumnFormula>
    </tableColumn>
    <tableColumn id="11" name="Scope ID" dataDxfId="58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7">
      <calculatedColumnFormula>'Table Seed Map'!$A$31&amp;"-"&amp;COUNT($Z$1:DataExtra[[#This Row],[Relation]])</calculatedColumnFormula>
    </tableColumn>
    <tableColumn id="13" name="Relation Table ID" dataDxfId="56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55">
      <calculatedColumnFormula>IF(DataExtra[[#This Row],[DID]]=0,"resource_data",DataExtra[[#This Row],[DID]])</calculatedColumnFormula>
    </tableColumn>
    <tableColumn id="15" name="Relation" dataDxfId="54">
      <calculatedColumnFormula>IFERROR(VLOOKUP(DataExtra[[#This Row],[Relation Name]],RelationTable[[Display]:[RELID]],2,0),IF(DataExtra[[#This Row],[DID]]=0,"relation",""))</calculatedColumnFormula>
    </tableColumn>
    <tableColumn id="16" name="R1" dataDxfId="53">
      <calculatedColumnFormula>IFERROR(VLOOKUP(DataExtra[[#This Row],[R1 Name]],RelationTable[[Display]:[RELID]],2,0),IF(DataExtra[[#This Row],[DID]]=0,"nest_relation1",""))</calculatedColumnFormula>
    </tableColumn>
    <tableColumn id="17" name="R2" dataDxfId="52">
      <calculatedColumnFormula>IFERROR(VLOOKUP(DataExtra[[#This Row],[R2 Name]],RelationTable[[Display]:[RELID]],2,0),IF(DataExtra[[#This Row],[DID]]=0,"nest_relation2",""))</calculatedColumnFormula>
    </tableColumn>
    <tableColumn id="18" name="R3" dataDxfId="51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50" dataDxfId="49">
  <autoFilter ref="AE1:AN8"/>
  <tableColumns count="10">
    <tableColumn id="13" name="Primary" dataDxfId="48">
      <calculatedColumnFormula>'Table Seed Map'!$A$32&amp;"-"&amp;COUNTA($AF$1:DataViewSection[[#This Row],[Data Name for Layout]])-1</calculatedColumnFormula>
    </tableColumn>
    <tableColumn id="1" name="Data Name for Layout" dataDxfId="47"/>
    <tableColumn id="17" name="DataSectionDisplayName" dataDxfId="46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45">
      <calculatedColumnFormula>IF(DataViewSection[[#This Row],[Data Name for Layout]]="","id",-1+COUNTA($AF$1:DataViewSection[[#This Row],[Data Name for Layout]])+VLOOKUP('Table Seed Map'!$A$32,SeedMap[],9,0))</calculatedColumnFormula>
    </tableColumn>
    <tableColumn id="3" name="Data ID" dataDxfId="44">
      <calculatedColumnFormula>IFERROR(VLOOKUP(DataViewSection[[#This Row],[Data Name for Layout]],ResourceData[[DataDisplayName]:[No]],2,0),"resource_data")</calculatedColumnFormula>
    </tableColumn>
    <tableColumn id="14" name="Title" dataDxfId="43"/>
    <tableColumn id="15" name="Title Field" dataDxfId="42"/>
    <tableColumn id="16" name="Rel" dataDxfId="41">
      <calculatedColumnFormula>IFERROR(VLOOKUP(DataViewSection[[#This Row],[Relation]],RelationTable[[Display]:[RELID]],2,0),"")</calculatedColumnFormula>
    </tableColumn>
    <tableColumn id="4" name="Colspan" dataDxfId="40"/>
    <tableColumn id="9" name="Relation" dataDxfId="3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16" totalsRowShown="0" dataDxfId="453">
  <autoFilter ref="A1:K316"/>
  <tableColumns count="11">
    <tableColumn id="2" name="Table" dataDxfId="452"/>
    <tableColumn id="3" name="Field" dataDxfId="451"/>
    <tableColumn id="5" name="Type" dataDxfId="450">
      <calculatedColumnFormula>VLOOKUP(TableFields[Field],Columns[],2,0)&amp;"("</calculatedColumnFormula>
    </tableColumn>
    <tableColumn id="4" name="Name" dataDxfId="449">
      <calculatedColumnFormula>IF(VLOOKUP(TableFields[Field],Columns[],3,0)&lt;&gt;"","'"&amp;VLOOKUP(TableFields[Field],Columns[],3,0)&amp;"'","")</calculatedColumnFormula>
    </tableColumn>
    <tableColumn id="6" name="Arg2" dataDxfId="448">
      <calculatedColumnFormula>IF(VLOOKUP(TableFields[Field],Columns[],4,0)&lt;&gt;0,", "&amp;IF(ISERR(SEARCH(",",VLOOKUP(TableFields[Field],Columns[],4,0))),"'"&amp;VLOOKUP(TableFields[Field],Columns[],4,0)&amp;"'",VLOOKUP(TableFields[Field],Columns[],4,0))&amp;")",")")</calculatedColumnFormula>
    </tableColumn>
    <tableColumn id="7" name="Method1" dataDxfId="447">
      <calculatedColumnFormula>IF(VLOOKUP(TableFields[Field],Columns[],5,0)=0,"","-&gt;"&amp;VLOOKUP(TableFields[Field],Columns[],5,0))</calculatedColumnFormula>
    </tableColumn>
    <tableColumn id="8" name="Method2" dataDxfId="446">
      <calculatedColumnFormula>IF(VLOOKUP(TableFields[Field],Columns[],6,0)=0,"","-&gt;"&amp;VLOOKUP(TableFields[Field],Columns[],6,0))</calculatedColumnFormula>
    </tableColumn>
    <tableColumn id="9" name="Method3" dataDxfId="445">
      <calculatedColumnFormula>IF(VLOOKUP(TableFields[Field],Columns[],7,0)=0,"","-&gt;"&amp;VLOOKUP(TableFields[Field],Columns[],7,0))</calculatedColumnFormula>
    </tableColumn>
    <tableColumn id="10" name="Method4" dataDxfId="444">
      <calculatedColumnFormula>IF(VLOOKUP(TableFields[Field],Columns[],8,0)=0,"","-&gt;"&amp;VLOOKUP(TableFields[Field],Columns[],8,0))</calculatedColumnFormula>
    </tableColumn>
    <tableColumn id="11" name="Method5" dataDxfId="443">
      <calculatedColumnFormula>IF(VLOOKUP(TableFields[Field],Columns[],9,0)=0,"","-&gt;"&amp;VLOOKUP(TableFields[Field],Columns[],9,0))</calculatedColumnFormula>
    </tableColumn>
    <tableColumn id="12" name="Statement" dataDxfId="442">
      <calculatedColumnFormula>"$table-&gt;"&amp;TableFields[Type]&amp;TableFields[Name]&amp;TableFields[Arg2]&amp;TableFields[Method1]&amp;TableFields[Method2]&amp;TableFields[Method3]&amp;TableFields[Method4]&amp;TableFields[Method5]&amp;";"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8" dataDxfId="37">
  <autoFilter ref="AP1:AW18"/>
  <tableColumns count="8">
    <tableColumn id="13" name="Primary" dataDxfId="36">
      <calculatedColumnFormula>'Table Seed Map'!$A$33&amp;"-"&amp;-1+COUNTA($AQ$1:DataViewSectionItem[[#This Row],[Data Section for Items]])</calculatedColumnFormula>
    </tableColumn>
    <tableColumn id="1" name="Data Section for Items" dataDxfId="35"/>
    <tableColumn id="2" name="No" dataDxfId="34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33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32"/>
    <tableColumn id="4" name="Attribute" dataDxfId="31"/>
    <tableColumn id="5" name="REL" dataDxfId="30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9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8" dataDxfId="27">
  <autoFilter ref="A1:H6"/>
  <tableColumns count="8">
    <tableColumn id="1" name="Type" dataDxfId="26"/>
    <tableColumn id="2" name="Table Name" dataDxfId="25"/>
    <tableColumn id="3" name="Count Field" dataDxfId="24"/>
    <tableColumn id="4" name="Count Reduce" dataDxfId="23"/>
    <tableColumn id="5" name="Records" dataDxfId="22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21"/>
    <tableColumn id="8" name="Name Field Position" dataDxfId="20"/>
    <tableColumn id="9" name="ID Field Position" dataDxfId="19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8" dataDxfId="17">
  <autoFilter ref="J1:P501"/>
  <tableColumns count="7">
    <tableColumn id="1" name="No" dataDxfId="16">
      <calculatedColumnFormula>IFERROR($J1+1,1)</calculatedColumnFormula>
    </tableColumn>
    <tableColumn id="2" name="Type" dataDxfId="15">
      <calculatedColumnFormula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14">
      <calculatedColumnFormula>IF(IDNMaps[[#This Row],[Type]]="","",COUNTIF($K$1:IDNMaps[[#This Row],[Type]],IDNMaps[[#This Row],[Type]]))</calculatedColumnFormula>
    </tableColumn>
    <tableColumn id="4" name="Primary" dataDxfId="13">
      <calculatedColumnFormula>IFERROR(VLOOKUP(IDNMaps[[#This Row],[Type]],RecordCount[],6,0)&amp;"-"&amp;IDNMaps[[#This Row],[Type Count]],"")</calculatedColumnFormula>
    </tableColumn>
    <tableColumn id="5" name="Name" dataDxfId="12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11">
      <calculatedColumnFormula>IF(IDNMaps[[#This Row],[Name]]="","","("&amp;IDNMaps[[#This Row],[Type]]&amp;") "&amp;IDNMaps[[#This Row],[Name]])</calculatedColumnFormula>
    </tableColumn>
    <tableColumn id="7" name="ID" dataDxfId="10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64" totalsRowShown="0" headerRowDxfId="441" dataDxfId="440">
  <autoFilter ref="A1:R64"/>
  <tableColumns count="18">
    <tableColumn id="19" name="TRCode" dataDxfId="439">
      <calculatedColumnFormula>TableData[Table Name]&amp;"-"&amp;(COUNTIF($B$1:TableData[[#This Row],[Table Name]],TableData[[#This Row],[Table Name]])-1)</calculatedColumnFormula>
    </tableColumn>
    <tableColumn id="1" name="Table Name" dataDxfId="438"/>
    <tableColumn id="2" name="Record No" dataDxfId="437">
      <calculatedColumnFormula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calculatedColumnFormula>
    </tableColumn>
    <tableColumn id="3" name="1" dataDxfId="436"/>
    <tableColumn id="4" name="2" dataDxfId="435"/>
    <tableColumn id="5" name="3" dataDxfId="434"/>
    <tableColumn id="6" name="4" dataDxfId="433"/>
    <tableColumn id="7" name="5" dataDxfId="432"/>
    <tableColumn id="8" name="6" dataDxfId="431"/>
    <tableColumn id="9" name="7" dataDxfId="430"/>
    <tableColumn id="10" name="8" dataDxfId="429"/>
    <tableColumn id="11" name="9" dataDxfId="428"/>
    <tableColumn id="12" name="10" dataDxfId="427"/>
    <tableColumn id="13" name="11" dataDxfId="426"/>
    <tableColumn id="14" name="12" dataDxfId="425"/>
    <tableColumn id="15" name="13" dataDxfId="424"/>
    <tableColumn id="16" name="14" dataDxfId="423"/>
    <tableColumn id="17" name="15" dataDxfId="42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66" totalsRowShown="0" dataDxfId="421">
  <autoFilter ref="A1:K66"/>
  <tableColumns count="11">
    <tableColumn id="1" name="Name" dataDxfId="420"/>
    <tableColumn id="3" name="Table Name" dataDxfId="419"/>
    <tableColumn id="20" name="NS" dataDxfId="418">
      <calculatedColumnFormula>VLOOKUP(SeedMap[Table Name],Tables[],4,0)</calculatedColumnFormula>
    </tableColumn>
    <tableColumn id="21" name="Model" dataDxfId="417">
      <calculatedColumnFormula>VLOOKUP(SeedMap[Table Name],Tables[],5,0)</calculatedColumnFormula>
    </tableColumn>
    <tableColumn id="6" name="Data Table" dataDxfId="416"/>
    <tableColumn id="7" name="Data Range" dataDxfId="415"/>
    <tableColumn id="8" name="Skip Columns" dataDxfId="414"/>
    <tableColumn id="4" name="Query Method" dataDxfId="413"/>
    <tableColumn id="2" name="Last ID" dataDxfId="412"/>
    <tableColumn id="5" name="AI Change Query" dataDxfId="411">
      <calculatedColumnFormula>IF(ISNUMBER(SeedMap[Last ID]),"\DB::statement('ALTER TABLE `" &amp;VLOOKUP(SeedMap[[#This Row],[Table Name]],Tables[[Name]:[Table]],2,0) &amp; "`  AUTO_INCREMENT=" &amp; SeedMap[Last ID]+1&amp;"');","")</calculatedColumnFormula>
    </tableColumn>
    <tableColumn id="9" name="Reset" dataDxfId="41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29" totalsRowShown="0" dataDxfId="409">
  <autoFilter ref="A1:M29"/>
  <tableColumns count="13">
    <tableColumn id="11" name="Primary" dataDxfId="408">
      <calculatedColumnFormula>Page&amp;"-"&amp;(COUNTA($E$1:ResourceTable[[#This Row],[Name]])-2)</calculatedColumnFormula>
    </tableColumn>
    <tableColumn id="12" name="RName" dataDxfId="407">
      <calculatedColumnFormula>ResourceTable[[#This Row],[Name]]</calculatedColumnFormula>
    </tableColumn>
    <tableColumn id="13" name="RID" dataDxfId="406">
      <calculatedColumnFormula>COUNTA($A$1:ResourceTable[[#This Row],[Primary]])-2</calculatedColumnFormula>
    </tableColumn>
    <tableColumn id="1" name="No" dataDxfId="405">
      <calculatedColumnFormula>IF(ResourceTable[[#This Row],[RID]]=0,"id",ResourceTable[[#This Row],[RID]]+IF(ISNUMBER(VLOOKUP(Page,SeedMap[],9,0)),VLOOKUP(Page,SeedMap[],9,0),0))</calculatedColumnFormula>
    </tableColumn>
    <tableColumn id="2" name="Name" dataDxfId="404"/>
    <tableColumn id="3" name="Description" dataDxfId="403"/>
    <tableColumn id="4" name="Title" dataDxfId="402"/>
    <tableColumn id="5" name="NS" dataDxfId="401">
      <calculatedColumnFormula>"Milestone\SS\Model"</calculatedColumnFormula>
    </tableColumn>
    <tableColumn id="6" name="Table" dataDxfId="400"/>
    <tableColumn id="8" name="Controller" dataDxfId="399"/>
    <tableColumn id="9" name="Controller NS" dataDxfId="398"/>
    <tableColumn id="7" name="Development" dataDxfId="397"/>
    <tableColumn id="10" name="RID2" dataDxfId="396">
      <calculatedColumnFormula>ResourceTable[No]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95">
  <autoFilter ref="O1:Z7"/>
  <tableColumns count="12">
    <tableColumn id="1" name="Select Resource for Default" dataDxfId="394"/>
    <tableColumn id="2" name="List" dataDxfId="393"/>
    <tableColumn id="3" name="Form" dataDxfId="392"/>
    <tableColumn id="4" name="Data" dataDxfId="391"/>
    <tableColumn id="5" name="FormWithData" dataDxfId="390"/>
    <tableColumn id="6" name="Primary" dataDxfId="389">
      <calculatedColumnFormula>'Table Seed Map'!$A$39&amp;"-"&amp;COUNTA($O$2:ResourceDefaultsTable[[#This Row],[Select Resource for Default]])</calculatedColumnFormula>
    </tableColumn>
    <tableColumn id="12" name="ID" dataDxfId="38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8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8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8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8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8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82">
  <autoFilter ref="A1:N44"/>
  <tableColumns count="14">
    <tableColumn id="11" name="Primary" dataDxfId="381">
      <calculatedColumnFormula>Page&amp;"-"&amp;(COUNTA($E$1:RelationTable[[#This Row],[Resource]])-1)</calculatedColumnFormula>
    </tableColumn>
    <tableColumn id="1" name="No" dataDxfId="38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79">
      <calculatedColumnFormula>RelationTable[[#This Row],[Resource]]&amp;"/"&amp;RelationTable[[#This Row],[Method]]</calculatedColumnFormula>
    </tableColumn>
    <tableColumn id="14" name="RELID" dataDxfId="378">
      <calculatedColumnFormula>RelationTable[[#This Row],[No]]</calculatedColumnFormula>
    </tableColumn>
    <tableColumn id="3" name="Resource" dataDxfId="377"/>
    <tableColumn id="4" name="Relate Resource" dataDxfId="376"/>
    <tableColumn id="12" name="ID" dataDxfId="375">
      <calculatedColumnFormula>RelationTable[[#This Row],[No]]</calculatedColumnFormula>
    </tableColumn>
    <tableColumn id="2" name="Resource Id" dataDxfId="374">
      <calculatedColumnFormula>IF(RelationTable[[#This Row],[No]]="id","resource",VLOOKUP(RelationTable[Resource],CHOOSE({1,2},ResourceTable[Name],ResourceTable[No]),2,0))</calculatedColumnFormula>
    </tableColumn>
    <tableColumn id="5" name="Name" dataDxfId="373"/>
    <tableColumn id="6" name="Description" dataDxfId="372"/>
    <tableColumn id="7" name="Method" dataDxfId="371"/>
    <tableColumn id="8" name="Type" dataDxfId="370"/>
    <tableColumn id="10" name="Relate Id" dataDxfId="369">
      <calculatedColumnFormula>VLOOKUP(RelationTable[Relate Resource],CHOOSE({1,2},ResourceTable[Name],ResourceTable[No]),2,0)</calculatedColumnFormula>
    </tableColumn>
    <tableColumn id="9" name="RID" dataDxfId="368">
      <calculatedColumnFormula>RelationTable[RELID]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12" totalsRowShown="0" dataDxfId="367">
  <autoFilter ref="P1:W12"/>
  <tableColumns count="8">
    <tableColumn id="1" name="Primary" dataDxfId="366">
      <calculatedColumnFormula>'Table Seed Map'!$A$9&amp;"-"&amp;COUNTA($Q$1:ResourceScopes[[#This Row],[Resource for Scope]])-1</calculatedColumnFormula>
    </tableColumn>
    <tableColumn id="2" name="Resource for Scope" dataDxfId="365"/>
    <tableColumn id="8" name="ScopesDisplayNames" dataDxfId="364">
      <calculatedColumnFormula>ResourceScopes[[#This Row],[Resource for Scope]]&amp;"/"&amp;ResourceScopes[[#This Row],[Name]]</calculatedColumnFormula>
    </tableColumn>
    <tableColumn id="3" name="No" dataDxfId="36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62">
      <calculatedColumnFormula>IFERROR(VLOOKUP(ResourceScopes[[#This Row],[Resource for Scope]],CHOOSE({1,2},ResourceTable[Name],ResourceTable[No]),2,0),"resource")</calculatedColumnFormula>
    </tableColumn>
    <tableColumn id="4" name="Name" dataDxfId="361"/>
    <tableColumn id="5" name="Description" dataDxfId="360"/>
    <tableColumn id="6" name="Method" dataDxfId="35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topLeftCell="A40" workbookViewId="0">
      <selection activeCell="A46" sqref="A46"/>
    </sheetView>
  </sheetViews>
  <sheetFormatPr defaultRowHeight="15" x14ac:dyDescent="0.2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 x14ac:dyDescent="0.25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 x14ac:dyDescent="0.25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 x14ac:dyDescent="0.25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 x14ac:dyDescent="0.25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 x14ac:dyDescent="0.25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 x14ac:dyDescent="0.25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 x14ac:dyDescent="0.25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 x14ac:dyDescent="0.25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 x14ac:dyDescent="0.25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 x14ac:dyDescent="0.25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 x14ac:dyDescent="0.25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 x14ac:dyDescent="0.25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 x14ac:dyDescent="0.25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 x14ac:dyDescent="0.25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 x14ac:dyDescent="0.25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 x14ac:dyDescent="0.25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 x14ac:dyDescent="0.25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 x14ac:dyDescent="0.25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 x14ac:dyDescent="0.25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 x14ac:dyDescent="0.25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 x14ac:dyDescent="0.25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 x14ac:dyDescent="0.25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 x14ac:dyDescent="0.25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 x14ac:dyDescent="0.25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 x14ac:dyDescent="0.25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 x14ac:dyDescent="0.25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 x14ac:dyDescent="0.25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 x14ac:dyDescent="0.25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 x14ac:dyDescent="0.25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 x14ac:dyDescent="0.25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 x14ac:dyDescent="0.25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 x14ac:dyDescent="0.25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 x14ac:dyDescent="0.25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 x14ac:dyDescent="0.25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 x14ac:dyDescent="0.25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 x14ac:dyDescent="0.25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 x14ac:dyDescent="0.25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 x14ac:dyDescent="0.25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 x14ac:dyDescent="0.25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 x14ac:dyDescent="0.25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 x14ac:dyDescent="0.25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 x14ac:dyDescent="0.25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 x14ac:dyDescent="0.25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 x14ac:dyDescent="0.25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 x14ac:dyDescent="0.25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 x14ac:dyDescent="0.25">
      <c r="A46" s="4" t="s">
        <v>64</v>
      </c>
      <c r="B46" s="7" t="str">
        <f>Tables[Name]</f>
        <v>user</v>
      </c>
      <c r="C46" s="7" t="str">
        <f>IF(RIGHT(Tables[Name],3)="ies",MID(Tables[Name],1,LEN(Tables[Name])-3)&amp;"y",IF(RIGHT(Tables[Name],1)="s",MID(Tables[Name],1,LEN(Tables[Name])-1),Tables[Name]))</f>
        <v>user</v>
      </c>
      <c r="D46" s="8" t="str">
        <f>"Milestone\SS\Model"</f>
        <v>Milestone\SS\Model</v>
      </c>
      <c r="E46" s="7" t="str">
        <f>SUBSTITUTE(PROPER(Tables[Singular Name]),"_","")</f>
        <v>User</v>
      </c>
      <c r="F46" s="7" t="str">
        <f>"php artisan make:migration create_"&amp;Tables[Table]&amp;"_table --create="&amp;Tables[Table]</f>
        <v>php artisan make:migration create_user_table --create=user</v>
      </c>
      <c r="G46" s="7" t="str">
        <f>"php artisan make:model "&amp;Tables[Class Name]</f>
        <v>php artisan make:model User</v>
      </c>
      <c r="H46" s="7" t="str">
        <f>"protected $table = '"&amp;Tables[Table]&amp;"';"</f>
        <v>protected $table = 'user';</v>
      </c>
      <c r="I46" s="7" t="str">
        <f>"php artisan make:seed "&amp;Tables[Class Name]&amp;"TableSeeder"</f>
        <v>php artisan make:seed UserTableSeeder</v>
      </c>
      <c r="J46" s="7" t="str">
        <f>Tables[Class Name]&amp;"TableSeeder"&amp;"::class,"</f>
        <v>UserTableSeeder::class,</v>
      </c>
    </row>
    <row r="47" spans="1:10" x14ac:dyDescent="0.25">
      <c r="A47" s="4" t="s">
        <v>1085</v>
      </c>
      <c r="B47" s="7" t="str">
        <f>Tables[Name]</f>
        <v>setup</v>
      </c>
      <c r="C47" s="7" t="str">
        <f>IF(RIGHT(Tables[Name],3)="ies",MID(Tables[Name],1,LEN(Tables[Name])-3)&amp;"y",IF(RIGHT(Tables[Name],1)="s",MID(Tables[Name],1,LEN(Tables[Name])-1),Tables[Name]))</f>
        <v>setup</v>
      </c>
      <c r="D47" s="8" t="str">
        <f t="shared" ref="D47:D62" si="0">"Milestone\SS\Model"</f>
        <v>Milestone\SS\Model</v>
      </c>
      <c r="E47" s="7" t="str">
        <f>SUBSTITUTE(PROPER(Tables[Singular Name]),"_","")</f>
        <v>Setup</v>
      </c>
      <c r="F47" s="7" t="str">
        <f>"php artisan make:migration create_"&amp;Tables[Table]&amp;"_table --create="&amp;Tables[Table]</f>
        <v>php artisan make:migration create_setup_table --create=setup</v>
      </c>
      <c r="G47" s="7" t="str">
        <f>"php artisan make:model "&amp;Tables[Class Name]</f>
        <v>php artisan make:model Setup</v>
      </c>
      <c r="H47" s="7" t="str">
        <f>"protected $table = '"&amp;Tables[Table]&amp;"';"</f>
        <v>protected $table = 'setup';</v>
      </c>
      <c r="I47" s="7" t="str">
        <f>"php artisan make:seed "&amp;Tables[Class Name]&amp;"TableSeeder"</f>
        <v>php artisan make:seed SetupTableSeeder</v>
      </c>
      <c r="J47" s="7" t="str">
        <f>Tables[Class Name]&amp;"TableSeeder"&amp;"::class,"</f>
        <v>SetupTableSeeder::class,</v>
      </c>
    </row>
    <row r="48" spans="1:10" x14ac:dyDescent="0.25">
      <c r="A48" s="4" t="s">
        <v>1284</v>
      </c>
      <c r="B48" s="7" t="str">
        <f>Tables[Name]</f>
        <v>settings</v>
      </c>
      <c r="C48" s="7" t="str">
        <f>IF(RIGHT(Tables[Name],3)="ies",MID(Tables[Name],1,LEN(Tables[Name])-3)&amp;"y",IF(RIGHT(Tables[Name],1)="s",MID(Tables[Name],1,LEN(Tables[Name])-1),Tables[Name]))</f>
        <v>setting</v>
      </c>
      <c r="D48" s="8" t="str">
        <f t="shared" si="0"/>
        <v>Milestone\SS\Model</v>
      </c>
      <c r="E48" s="7" t="str">
        <f>SUBSTITUTE(PROPER(Tables[Singular Name]),"_","")</f>
        <v>Setting</v>
      </c>
      <c r="F48" s="7" t="str">
        <f>"php artisan make:migration create_"&amp;Tables[Table]&amp;"_table --create="&amp;Tables[Table]</f>
        <v>php artisan make:migration create_settings_table --create=settings</v>
      </c>
      <c r="G48" s="7" t="str">
        <f>"php artisan make:model "&amp;Tables[Class Name]</f>
        <v>php artisan make:model Setting</v>
      </c>
      <c r="H48" s="7" t="str">
        <f>"protected $table = '"&amp;Tables[Table]&amp;"';"</f>
        <v>protected $table = 'settings';</v>
      </c>
      <c r="I48" s="7" t="str">
        <f>"php artisan make:seed "&amp;Tables[Class Name]&amp;"TableSeeder"</f>
        <v>php artisan make:seed SettingTableSeeder</v>
      </c>
      <c r="J48" s="7" t="str">
        <f>Tables[Class Name]&amp;"TableSeeder"&amp;"::class,"</f>
        <v>SettingTableSeeder::class,</v>
      </c>
    </row>
    <row r="49" spans="1:10" x14ac:dyDescent="0.25">
      <c r="A49" s="4" t="s">
        <v>901</v>
      </c>
      <c r="B49" s="7" t="str">
        <f>Tables[Name]</f>
        <v>fiscalyearmaster</v>
      </c>
      <c r="C49" s="7" t="str">
        <f>IF(RIGHT(Tables[Name],3)="ies",MID(Tables[Name],1,LEN(Tables[Name])-3)&amp;"y",IF(RIGHT(Tables[Name],1)="s",MID(Tables[Name],1,LEN(Tables[Name])-1),Tables[Name]))</f>
        <v>fiscalyearmaster</v>
      </c>
      <c r="D49" s="8" t="str">
        <f t="shared" si="0"/>
        <v>Milestone\SS\Model</v>
      </c>
      <c r="E49" s="7" t="str">
        <f>SUBSTITUTE(PROPER(Tables[Singular Name]),"_","")</f>
        <v>Fiscalyearmaster</v>
      </c>
      <c r="F49" s="7" t="str">
        <f>"php artisan make:migration create_"&amp;Tables[Table]&amp;"_table --create="&amp;Tables[Table]</f>
        <v>php artisan make:migration create_fiscalyearmaster_table --create=fiscalyearmaster</v>
      </c>
      <c r="G49" s="7" t="str">
        <f>"php artisan make:model "&amp;Tables[Class Name]</f>
        <v>php artisan make:model Fiscalyearmaster</v>
      </c>
      <c r="H49" s="7" t="str">
        <f>"protected $table = '"&amp;Tables[Table]&amp;"';"</f>
        <v>protected $table = 'fiscalyearmaster';</v>
      </c>
      <c r="I49" s="7" t="str">
        <f>"php artisan make:seed "&amp;Tables[Class Name]&amp;"TableSeeder"</f>
        <v>php artisan make:seed FiscalyearmasterTableSeeder</v>
      </c>
      <c r="J49" s="7" t="str">
        <f>Tables[Class Name]&amp;"TableSeeder"&amp;"::class,"</f>
        <v>FiscalyearmasterTableSeeder::class,</v>
      </c>
    </row>
    <row r="50" spans="1:10" x14ac:dyDescent="0.25">
      <c r="A50" s="4" t="s">
        <v>861</v>
      </c>
      <c r="B50" s="7" t="str">
        <f>Tables[Name]</f>
        <v>functiondetails</v>
      </c>
      <c r="C50" s="7" t="str">
        <f>IF(RIGHT(Tables[Name],3)="ies",MID(Tables[Name],1,LEN(Tables[Name])-3)&amp;"y",IF(RIGHT(Tables[Name],1)="s",MID(Tables[Name],1,LEN(Tables[Name])-1),Tables[Name]))</f>
        <v>functiondetail</v>
      </c>
      <c r="D50" s="8" t="str">
        <f t="shared" si="0"/>
        <v>Milestone\SS\Model</v>
      </c>
      <c r="E50" s="7" t="str">
        <f>SUBSTITUTE(PROPER(Tables[Singular Name]),"_","")</f>
        <v>Functiondetail</v>
      </c>
      <c r="F50" s="7" t="str">
        <f>"php artisan make:migration create_"&amp;Tables[Table]&amp;"_table --create="&amp;Tables[Table]</f>
        <v>php artisan make:migration create_functiondetails_table --create=functiondetails</v>
      </c>
      <c r="G50" s="7" t="str">
        <f>"php artisan make:model "&amp;Tables[Class Name]</f>
        <v>php artisan make:model Functiondetail</v>
      </c>
      <c r="H50" s="7" t="str">
        <f>"protected $table = '"&amp;Tables[Table]&amp;"';"</f>
        <v>protected $table = 'functiondetails';</v>
      </c>
      <c r="I50" s="7" t="str">
        <f>"php artisan make:seed "&amp;Tables[Class Name]&amp;"TableSeeder"</f>
        <v>php artisan make:seed FunctiondetailTableSeeder</v>
      </c>
      <c r="J50" s="7" t="str">
        <f>Tables[Class Name]&amp;"TableSeeder"&amp;"::class,"</f>
        <v>FunctiondetailTableSeeder::class,</v>
      </c>
    </row>
    <row r="51" spans="1:10" x14ac:dyDescent="0.25">
      <c r="A51" s="4" t="s">
        <v>760</v>
      </c>
      <c r="B51" s="7" t="str">
        <f>Tables[Name]</f>
        <v>products</v>
      </c>
      <c r="C51" s="7" t="str">
        <f>IF(RIGHT(Tables[Name],3)="ies",MID(Tables[Name],1,LEN(Tables[Name])-3)&amp;"y",IF(RIGHT(Tables[Name],1)="s",MID(Tables[Name],1,LEN(Tables[Name])-1),Tables[Name]))</f>
        <v>product</v>
      </c>
      <c r="D51" s="8" t="str">
        <f t="shared" si="0"/>
        <v>Milestone\SS\Model</v>
      </c>
      <c r="E51" s="7" t="str">
        <f>SUBSTITUTE(PROPER(Tables[Singular Name]),"_","")</f>
        <v>Product</v>
      </c>
      <c r="F51" s="7" t="str">
        <f>"php artisan make:migration create_"&amp;Tables[Table]&amp;"_table --create="&amp;Tables[Table]</f>
        <v>php artisan make:migration create_products_table --create=products</v>
      </c>
      <c r="G51" s="7" t="str">
        <f>"php artisan make:model "&amp;Tables[Class Name]</f>
        <v>php artisan make:model Product</v>
      </c>
      <c r="H51" s="7" t="str">
        <f>"protected $table = '"&amp;Tables[Table]&amp;"';"</f>
        <v>protected $table = 'products';</v>
      </c>
      <c r="I51" s="7" t="str">
        <f>"php artisan make:seed "&amp;Tables[Class Name]&amp;"TableSeeder"</f>
        <v>php artisan make:seed ProductTableSeeder</v>
      </c>
      <c r="J51" s="7" t="str">
        <f>Tables[Class Name]&amp;"TableSeeder"&amp;"::class,"</f>
        <v>ProductTableSeeder::class,</v>
      </c>
    </row>
    <row r="52" spans="1:10" x14ac:dyDescent="0.25">
      <c r="A52" s="4" t="s">
        <v>763</v>
      </c>
      <c r="B52" s="7" t="str">
        <f>Tables[Name]</f>
        <v>pricelist</v>
      </c>
      <c r="C52" s="7" t="str">
        <f>IF(RIGHT(Tables[Name],3)="ies",MID(Tables[Name],1,LEN(Tables[Name])-3)&amp;"y",IF(RIGHT(Tables[Name],1)="s",MID(Tables[Name],1,LEN(Tables[Name])-1),Tables[Name]))</f>
        <v>pricelist</v>
      </c>
      <c r="D52" s="8" t="str">
        <f t="shared" si="0"/>
        <v>Milestone\SS\Model</v>
      </c>
      <c r="E52" s="7" t="str">
        <f>SUBSTITUTE(PROPER(Tables[Singular Name]),"_","")</f>
        <v>Pricelist</v>
      </c>
      <c r="F52" s="7" t="str">
        <f>"php artisan make:migration create_"&amp;Tables[Table]&amp;"_table --create="&amp;Tables[Table]</f>
        <v>php artisan make:migration create_pricelist_table --create=pricelist</v>
      </c>
      <c r="G52" s="7" t="str">
        <f>"php artisan make:model "&amp;Tables[Class Name]</f>
        <v>php artisan make:model Pricelist</v>
      </c>
      <c r="H52" s="7" t="str">
        <f>"protected $table = '"&amp;Tables[Table]&amp;"';"</f>
        <v>protected $table = 'pricelist';</v>
      </c>
      <c r="I52" s="7" t="str">
        <f>"php artisan make:seed "&amp;Tables[Class Name]&amp;"TableSeeder"</f>
        <v>php artisan make:seed PricelistTableSeeder</v>
      </c>
      <c r="J52" s="7" t="str">
        <f>Tables[Class Name]&amp;"TableSeeder"&amp;"::class,"</f>
        <v>PricelistTableSeeder::class,</v>
      </c>
    </row>
    <row r="53" spans="1:10" x14ac:dyDescent="0.25">
      <c r="A53" s="4" t="s">
        <v>764</v>
      </c>
      <c r="B53" s="7" t="str">
        <f>Tables[Name]</f>
        <v>pricelist_products</v>
      </c>
      <c r="C53" s="7" t="str">
        <f>IF(RIGHT(Tables[Name],3)="ies",MID(Tables[Name],1,LEN(Tables[Name])-3)&amp;"y",IF(RIGHT(Tables[Name],1)="s",MID(Tables[Name],1,LEN(Tables[Name])-1),Tables[Name]))</f>
        <v>pricelist_product</v>
      </c>
      <c r="D53" s="8" t="str">
        <f t="shared" si="0"/>
        <v>Milestone\SS\Model</v>
      </c>
      <c r="E53" s="7" t="str">
        <f>SUBSTITUTE(PROPER(Tables[Singular Name]),"_","")</f>
        <v>PricelistProduct</v>
      </c>
      <c r="F53" s="7" t="str">
        <f>"php artisan make:migration create_"&amp;Tables[Table]&amp;"_table --create="&amp;Tables[Table]</f>
        <v>php artisan make:migration create_pricelist_products_table --create=pricelist_products</v>
      </c>
      <c r="G53" s="7" t="str">
        <f>"php artisan make:model "&amp;Tables[Class Name]</f>
        <v>php artisan make:model PricelistProduct</v>
      </c>
      <c r="H53" s="7" t="str">
        <f>"protected $table = '"&amp;Tables[Table]&amp;"';"</f>
        <v>protected $table = 'pricelist_products';</v>
      </c>
      <c r="I53" s="7" t="str">
        <f>"php artisan make:seed "&amp;Tables[Class Name]&amp;"TableSeeder"</f>
        <v>php artisan make:seed PricelistProductTableSeeder</v>
      </c>
      <c r="J53" s="7" t="str">
        <f>Tables[Class Name]&amp;"TableSeeder"&amp;"::class,"</f>
        <v>PricelistProductTableSeeder::class,</v>
      </c>
    </row>
    <row r="54" spans="1:10" x14ac:dyDescent="0.25">
      <c r="A54" s="4" t="s">
        <v>757</v>
      </c>
      <c r="B54" s="7" t="str">
        <f>Tables[Name]</f>
        <v>stores</v>
      </c>
      <c r="C54" s="7" t="str">
        <f>IF(RIGHT(Tables[Name],3)="ies",MID(Tables[Name],1,LEN(Tables[Name])-3)&amp;"y",IF(RIGHT(Tables[Name],1)="s",MID(Tables[Name],1,LEN(Tables[Name])-1),Tables[Name]))</f>
        <v>store</v>
      </c>
      <c r="D54" s="8" t="str">
        <f t="shared" si="0"/>
        <v>Milestone\SS\Model</v>
      </c>
      <c r="E54" s="7" t="str">
        <f>SUBSTITUTE(PROPER(Tables[Singular Name]),"_","")</f>
        <v>Store</v>
      </c>
      <c r="F54" s="7" t="str">
        <f>"php artisan make:migration create_"&amp;Tables[Table]&amp;"_table --create="&amp;Tables[Table]</f>
        <v>php artisan make:migration create_stores_table --create=stores</v>
      </c>
      <c r="G54" s="7" t="str">
        <f>"php artisan make:model "&amp;Tables[Class Name]</f>
        <v>php artisan make:model Store</v>
      </c>
      <c r="H54" s="7" t="str">
        <f>"protected $table = '"&amp;Tables[Table]&amp;"';"</f>
        <v>protected $table = 'stores';</v>
      </c>
      <c r="I54" s="7" t="str">
        <f>"php artisan make:seed "&amp;Tables[Class Name]&amp;"TableSeeder"</f>
        <v>php artisan make:seed StoreTableSeeder</v>
      </c>
      <c r="J54" s="7" t="str">
        <f>Tables[Class Name]&amp;"TableSeeder"&amp;"::class,"</f>
        <v>StoreTableSeeder::class,</v>
      </c>
    </row>
    <row r="55" spans="1:10" x14ac:dyDescent="0.25">
      <c r="A55" s="4" t="s">
        <v>758</v>
      </c>
      <c r="B55" s="7" t="str">
        <f>Tables[Name]</f>
        <v>areas</v>
      </c>
      <c r="C55" s="7" t="str">
        <f>IF(RIGHT(Tables[Name],3)="ies",MID(Tables[Name],1,LEN(Tables[Name])-3)&amp;"y",IF(RIGHT(Tables[Name],1)="s",MID(Tables[Name],1,LEN(Tables[Name])-1),Tables[Name]))</f>
        <v>area</v>
      </c>
      <c r="D55" s="8" t="str">
        <f t="shared" si="0"/>
        <v>Milestone\SS\Model</v>
      </c>
      <c r="E55" s="7" t="str">
        <f>SUBSTITUTE(PROPER(Tables[Singular Name]),"_","")</f>
        <v>Area</v>
      </c>
      <c r="F55" s="7" t="str">
        <f>"php artisan make:migration create_"&amp;Tables[Table]&amp;"_table --create="&amp;Tables[Table]</f>
        <v>php artisan make:migration create_areas_table --create=areas</v>
      </c>
      <c r="G55" s="7" t="str">
        <f>"php artisan make:model "&amp;Tables[Class Name]</f>
        <v>php artisan make:model Area</v>
      </c>
      <c r="H55" s="7" t="str">
        <f>"protected $table = '"&amp;Tables[Table]&amp;"';"</f>
        <v>protected $table = 'areas';</v>
      </c>
      <c r="I55" s="7" t="str">
        <f>"php artisan make:seed "&amp;Tables[Class Name]&amp;"TableSeeder"</f>
        <v>php artisan make:seed AreaTableSeeder</v>
      </c>
      <c r="J55" s="7" t="str">
        <f>Tables[Class Name]&amp;"TableSeeder"&amp;"::class,"</f>
        <v>AreaTableSeeder::class,</v>
      </c>
    </row>
    <row r="56" spans="1:10" x14ac:dyDescent="0.25">
      <c r="A56" s="4" t="s">
        <v>755</v>
      </c>
      <c r="B56" s="7" t="str">
        <f>Tables[Name]</f>
        <v>area_users</v>
      </c>
      <c r="C56" s="7" t="str">
        <f>IF(RIGHT(Tables[Name],3)="ies",MID(Tables[Name],1,LEN(Tables[Name])-3)&amp;"y",IF(RIGHT(Tables[Name],1)="s",MID(Tables[Name],1,LEN(Tables[Name])-1),Tables[Name]))</f>
        <v>area_user</v>
      </c>
      <c r="D56" s="8" t="str">
        <f t="shared" si="0"/>
        <v>Milestone\SS\Model</v>
      </c>
      <c r="E56" s="7" t="str">
        <f>SUBSTITUTE(PROPER(Tables[Singular Name]),"_","")</f>
        <v>AreaUser</v>
      </c>
      <c r="F56" s="7" t="str">
        <f>"php artisan make:migration create_"&amp;Tables[Table]&amp;"_table --create="&amp;Tables[Table]</f>
        <v>php artisan make:migration create_area_users_table --create=area_users</v>
      </c>
      <c r="G56" s="7" t="str">
        <f>"php artisan make:model "&amp;Tables[Class Name]</f>
        <v>php artisan make:model AreaUser</v>
      </c>
      <c r="H56" s="7" t="str">
        <f>"protected $table = '"&amp;Tables[Table]&amp;"';"</f>
        <v>protected $table = 'area_users';</v>
      </c>
      <c r="I56" s="7" t="str">
        <f>"php artisan make:seed "&amp;Tables[Class Name]&amp;"TableSeeder"</f>
        <v>php artisan make:seed AreaUserTableSeeder</v>
      </c>
      <c r="J56" s="7" t="str">
        <f>Tables[Class Name]&amp;"TableSeeder"&amp;"::class,"</f>
        <v>AreaUserTableSeeder::class,</v>
      </c>
    </row>
    <row r="57" spans="1:10" x14ac:dyDescent="0.25">
      <c r="A57" s="4" t="s">
        <v>1285</v>
      </c>
      <c r="B57" s="7" t="str">
        <f>Tables[Name]</f>
        <v>user_settings</v>
      </c>
      <c r="C57" s="7" t="str">
        <f>IF(RIGHT(Tables[Name],3)="ies",MID(Tables[Name],1,LEN(Tables[Name])-3)&amp;"y",IF(RIGHT(Tables[Name],1)="s",MID(Tables[Name],1,LEN(Tables[Name])-1),Tables[Name]))</f>
        <v>user_setting</v>
      </c>
      <c r="D57" s="8" t="str">
        <f t="shared" si="0"/>
        <v>Milestone\SS\Model</v>
      </c>
      <c r="E57" s="7" t="str">
        <f>SUBSTITUTE(PROPER(Tables[Singular Name]),"_","")</f>
        <v>UserSetting</v>
      </c>
      <c r="F57" s="7" t="str">
        <f>"php artisan make:migration create_"&amp;Tables[Table]&amp;"_table --create="&amp;Tables[Table]</f>
        <v>php artisan make:migration create_user_settings_table --create=user_settings</v>
      </c>
      <c r="G57" s="7" t="str">
        <f>"php artisan make:model "&amp;Tables[Class Name]</f>
        <v>php artisan make:model UserSetting</v>
      </c>
      <c r="H57" s="7" t="str">
        <f>"protected $table = '"&amp;Tables[Table]&amp;"';"</f>
        <v>protected $table = 'user_settings';</v>
      </c>
      <c r="I57" s="7" t="str">
        <f>"php artisan make:seed "&amp;Tables[Class Name]&amp;"TableSeeder"</f>
        <v>php artisan make:seed UserSettingTableSeeder</v>
      </c>
      <c r="J57" s="7" t="str">
        <f>Tables[Class Name]&amp;"TableSeeder"&amp;"::class,"</f>
        <v>UserSettingTableSeeder::class,</v>
      </c>
    </row>
    <row r="58" spans="1:10" x14ac:dyDescent="0.25">
      <c r="A58" s="4" t="s">
        <v>759</v>
      </c>
      <c r="B58" s="7" t="str">
        <f>Tables[Name]</f>
        <v>user_store_area</v>
      </c>
      <c r="C58" s="7" t="str">
        <f>IF(RIGHT(Tables[Name],3)="ies",MID(Tables[Name],1,LEN(Tables[Name])-3)&amp;"y",IF(RIGHT(Tables[Name],1)="s",MID(Tables[Name],1,LEN(Tables[Name])-1),Tables[Name]))</f>
        <v>user_store_area</v>
      </c>
      <c r="D58" s="8" t="str">
        <f t="shared" si="0"/>
        <v>Milestone\SS\Model</v>
      </c>
      <c r="E58" s="7" t="str">
        <f>SUBSTITUTE(PROPER(Tables[Singular Name]),"_","")</f>
        <v>UserStoreArea</v>
      </c>
      <c r="F58" s="7" t="str">
        <f>"php artisan make:migration create_"&amp;Tables[Table]&amp;"_table --create="&amp;Tables[Table]</f>
        <v>php artisan make:migration create_user_store_area_table --create=user_store_area</v>
      </c>
      <c r="G58" s="7" t="str">
        <f>"php artisan make:model "&amp;Tables[Class Name]</f>
        <v>php artisan make:model UserStoreArea</v>
      </c>
      <c r="H58" s="7" t="str">
        <f>"protected $table = '"&amp;Tables[Table]&amp;"';"</f>
        <v>protected $table = 'user_store_area';</v>
      </c>
      <c r="I58" s="7" t="str">
        <f>"php artisan make:seed "&amp;Tables[Class Name]&amp;"TableSeeder"</f>
        <v>php artisan make:seed UserStoreAreaTableSeeder</v>
      </c>
      <c r="J58" s="7" t="str">
        <f>Tables[Class Name]&amp;"TableSeeder"&amp;"::class,"</f>
        <v>UserStoreAreaTableSeeder::class,</v>
      </c>
    </row>
    <row r="59" spans="1:10" x14ac:dyDescent="0.25">
      <c r="A59" s="4" t="s">
        <v>762</v>
      </c>
      <c r="B59" s="7" t="str">
        <f>Tables[Name]</f>
        <v>store_products</v>
      </c>
      <c r="C59" s="7" t="str">
        <f>IF(RIGHT(Tables[Name],3)="ies",MID(Tables[Name],1,LEN(Tables[Name])-3)&amp;"y",IF(RIGHT(Tables[Name],1)="s",MID(Tables[Name],1,LEN(Tables[Name])-1),Tables[Name]))</f>
        <v>store_product</v>
      </c>
      <c r="D59" s="8" t="str">
        <f t="shared" si="0"/>
        <v>Milestone\SS\Model</v>
      </c>
      <c r="E59" s="7" t="str">
        <f>SUBSTITUTE(PROPER(Tables[Singular Name]),"_","")</f>
        <v>StoreProduct</v>
      </c>
      <c r="F59" s="7" t="str">
        <f>"php artisan make:migration create_"&amp;Tables[Table]&amp;"_table --create="&amp;Tables[Table]</f>
        <v>php artisan make:migration create_store_products_table --create=store_products</v>
      </c>
      <c r="G59" s="7" t="str">
        <f>"php artisan make:model "&amp;Tables[Class Name]</f>
        <v>php artisan make:model StoreProduct</v>
      </c>
      <c r="H59" s="7" t="str">
        <f>"protected $table = '"&amp;Tables[Table]&amp;"';"</f>
        <v>protected $table = 'store_products';</v>
      </c>
      <c r="I59" s="7" t="str">
        <f>"php artisan make:seed "&amp;Tables[Class Name]&amp;"TableSeeder"</f>
        <v>php artisan make:seed StoreProductTableSeeder</v>
      </c>
      <c r="J59" s="7" t="str">
        <f>Tables[Class Name]&amp;"TableSeeder"&amp;"::class,"</f>
        <v>StoreProductTableSeeder::class,</v>
      </c>
    </row>
    <row r="60" spans="1:10" x14ac:dyDescent="0.25">
      <c r="A60" s="4" t="s">
        <v>839</v>
      </c>
      <c r="B60" s="7" t="str">
        <f>Tables[Name]</f>
        <v>product_transaction_natures</v>
      </c>
      <c r="C60" s="7" t="str">
        <f>IF(RIGHT(Tables[Name],3)="ies",MID(Tables[Name],1,LEN(Tables[Name])-3)&amp;"y",IF(RIGHT(Tables[Name],1)="s",MID(Tables[Name],1,LEN(Tables[Name])-1),Tables[Name]))</f>
        <v>product_transaction_nature</v>
      </c>
      <c r="D60" s="8" t="str">
        <f t="shared" si="0"/>
        <v>Milestone\SS\Model</v>
      </c>
      <c r="E60" s="7" t="str">
        <f>SUBSTITUTE(PROPER(Tables[Singular Name]),"_","")</f>
        <v>ProductTransactionNature</v>
      </c>
      <c r="F60" s="7" t="str">
        <f>"php artisan make:migration create_"&amp;Tables[Table]&amp;"_table --create="&amp;Tables[Table]</f>
        <v>php artisan make:migration create_product_transaction_natures_table --create=product_transaction_natures</v>
      </c>
      <c r="G60" s="7" t="str">
        <f>"php artisan make:model "&amp;Tables[Class Name]</f>
        <v>php artisan make:model ProductTransactionNature</v>
      </c>
      <c r="H60" s="7" t="str">
        <f>"protected $table = '"&amp;Tables[Table]&amp;"';"</f>
        <v>protected $table = 'product_transaction_natures';</v>
      </c>
      <c r="I60" s="7" t="str">
        <f>"php artisan make:seed "&amp;Tables[Class Name]&amp;"TableSeeder"</f>
        <v>php artisan make:seed ProductTransactionNatureTableSeeder</v>
      </c>
      <c r="J60" s="7" t="str">
        <f>Tables[Class Name]&amp;"TableSeeder"&amp;"::class,"</f>
        <v>ProductTransactionNatureTableSeeder::class,</v>
      </c>
    </row>
    <row r="61" spans="1:10" x14ac:dyDescent="0.25">
      <c r="A61" s="4" t="s">
        <v>846</v>
      </c>
      <c r="B61" s="7" t="str">
        <f>Tables[Name]</f>
        <v>product_transaction_types</v>
      </c>
      <c r="C61" s="7" t="str">
        <f>IF(RIGHT(Tables[Name],3)="ies",MID(Tables[Name],1,LEN(Tables[Name])-3)&amp;"y",IF(RIGHT(Tables[Name],1)="s",MID(Tables[Name],1,LEN(Tables[Name])-1),Tables[Name]))</f>
        <v>product_transaction_type</v>
      </c>
      <c r="D61" s="8" t="str">
        <f t="shared" si="0"/>
        <v>Milestone\SS\Model</v>
      </c>
      <c r="E61" s="7" t="str">
        <f>SUBSTITUTE(PROPER(Tables[Singular Name]),"_","")</f>
        <v>ProductTransactionType</v>
      </c>
      <c r="F61" s="7" t="str">
        <f>"php artisan make:migration create_"&amp;Tables[Table]&amp;"_table --create="&amp;Tables[Table]</f>
        <v>php artisan make:migration create_product_transaction_types_table --create=product_transaction_types</v>
      </c>
      <c r="G61" s="7" t="str">
        <f>"php artisan make:model "&amp;Tables[Class Name]</f>
        <v>php artisan make:model ProductTransactionType</v>
      </c>
      <c r="H61" s="7" t="str">
        <f>"protected $table = '"&amp;Tables[Table]&amp;"';"</f>
        <v>protected $table = 'product_transaction_types';</v>
      </c>
      <c r="I61" s="7" t="str">
        <f>"php artisan make:seed "&amp;Tables[Class Name]&amp;"TableSeeder"</f>
        <v>php artisan make:seed ProductTransactionTypeTableSeeder</v>
      </c>
      <c r="J61" s="7" t="str">
        <f>Tables[Class Name]&amp;"TableSeeder"&amp;"::class,"</f>
        <v>ProductTransactionTypeTableSeeder::class,</v>
      </c>
    </row>
    <row r="62" spans="1:10" x14ac:dyDescent="0.25">
      <c r="A62" s="4" t="s">
        <v>765</v>
      </c>
      <c r="B62" s="7" t="str">
        <f>Tables[Name]</f>
        <v>store_product_transactions</v>
      </c>
      <c r="C62" s="7" t="str">
        <f>IF(RIGHT(Tables[Name],3)="ies",MID(Tables[Name],1,LEN(Tables[Name])-3)&amp;"y",IF(RIGHT(Tables[Name],1)="s",MID(Tables[Name],1,LEN(Tables[Name])-1),Tables[Name]))</f>
        <v>store_product_transaction</v>
      </c>
      <c r="D62" s="8" t="str">
        <f t="shared" si="0"/>
        <v>Milestone\SS\Model</v>
      </c>
      <c r="E62" s="7" t="str">
        <f>SUBSTITUTE(PROPER(Tables[Singular Name]),"_","")</f>
        <v>StoreProductTransaction</v>
      </c>
      <c r="F62" s="7" t="str">
        <f>"php artisan make:migration create_"&amp;Tables[Table]&amp;"_table --create="&amp;Tables[Table]</f>
        <v>php artisan make:migration create_store_product_transactions_table --create=store_product_transactions</v>
      </c>
      <c r="G62" s="7" t="str">
        <f>"php artisan make:model "&amp;Tables[Class Name]</f>
        <v>php artisan make:model StoreProductTransaction</v>
      </c>
      <c r="H62" s="7" t="str">
        <f>"protected $table = '"&amp;Tables[Table]&amp;"';"</f>
        <v>protected $table = 'store_product_transactions';</v>
      </c>
      <c r="I62" s="7" t="str">
        <f>"php artisan make:seed "&amp;Tables[Class Name]&amp;"TableSeeder"</f>
        <v>php artisan make:seed StoreProductTransactionTableSeeder</v>
      </c>
      <c r="J62" s="7" t="str">
        <f>Tables[Class Name]&amp;"TableSeeder"&amp;"::class,"</f>
        <v>StoreProductTransactionTableSeeder::class,</v>
      </c>
    </row>
    <row r="63" spans="1:10" x14ac:dyDescent="0.25">
      <c r="A63" s="4" t="s">
        <v>909</v>
      </c>
      <c r="B63" s="7" t="str">
        <f>Tables[Name]</f>
        <v>transactions</v>
      </c>
      <c r="C63" s="7" t="str">
        <f>IF(RIGHT(Tables[Name],3)="ies",MID(Tables[Name],1,LEN(Tables[Name])-3)&amp;"y",IF(RIGHT(Tables[Name],1)="s",MID(Tables[Name],1,LEN(Tables[Name])-1),Tables[Name]))</f>
        <v>transaction</v>
      </c>
      <c r="D63" s="7" t="str">
        <f t="shared" ref="D63:D72" si="1">"Milestone\SS\Model"</f>
        <v>Milestone\SS\Model</v>
      </c>
      <c r="E63" s="7" t="str">
        <f>SUBSTITUTE(PROPER(Tables[Singular Name]),"_","")</f>
        <v>Transaction</v>
      </c>
      <c r="F63" s="7" t="str">
        <f>"php artisan make:migration create_"&amp;Tables[Table]&amp;"_table --create="&amp;Tables[Table]</f>
        <v>php artisan make:migration create_transactions_table --create=transactions</v>
      </c>
      <c r="G63" s="7" t="str">
        <f>"php artisan make:model "&amp;Tables[Class Name]</f>
        <v>php artisan make:model Transaction</v>
      </c>
      <c r="H63" s="7" t="str">
        <f>"protected $table = '"&amp;Tables[Table]&amp;"';"</f>
        <v>protected $table = 'transactions';</v>
      </c>
      <c r="I63" s="7" t="str">
        <f>"php artisan make:seed "&amp;Tables[Class Name]&amp;"TableSeeder"</f>
        <v>php artisan make:seed TransactionTableSeeder</v>
      </c>
      <c r="J63" s="7" t="str">
        <f>Tables[Class Name]&amp;"TableSeeder"&amp;"::class,"</f>
        <v>TransactionTableSeeder::class,</v>
      </c>
    </row>
    <row r="64" spans="1:10" x14ac:dyDescent="0.25">
      <c r="A64" s="4" t="s">
        <v>910</v>
      </c>
      <c r="B64" s="7" t="str">
        <f>Tables[Name]</f>
        <v>transaction_details</v>
      </c>
      <c r="C64" s="7" t="str">
        <f>IF(RIGHT(Tables[Name],3)="ies",MID(Tables[Name],1,LEN(Tables[Name])-3)&amp;"y",IF(RIGHT(Tables[Name],1)="s",MID(Tables[Name],1,LEN(Tables[Name])-1),Tables[Name]))</f>
        <v>transaction_detail</v>
      </c>
      <c r="D64" s="7" t="str">
        <f t="shared" si="1"/>
        <v>Milestone\SS\Model</v>
      </c>
      <c r="E64" s="7" t="str">
        <f>SUBSTITUTE(PROPER(Tables[Singular Name]),"_","")</f>
        <v>TransactionDetail</v>
      </c>
      <c r="F64" s="7" t="str">
        <f>"php artisan make:migration create_"&amp;Tables[Table]&amp;"_table --create="&amp;Tables[Table]</f>
        <v>php artisan make:migration create_transaction_details_table --create=transaction_details</v>
      </c>
      <c r="G64" s="7" t="str">
        <f>"php artisan make:model "&amp;Tables[Class Name]</f>
        <v>php artisan make:model TransactionDetail</v>
      </c>
      <c r="H64" s="7" t="str">
        <f>"protected $table = '"&amp;Tables[Table]&amp;"';"</f>
        <v>protected $table = 'transaction_details';</v>
      </c>
      <c r="I64" s="7" t="str">
        <f>"php artisan make:seed "&amp;Tables[Class Name]&amp;"TableSeeder"</f>
        <v>php artisan make:seed TransactionDetailTableSeeder</v>
      </c>
      <c r="J64" s="7" t="str">
        <f>Tables[Class Name]&amp;"TableSeeder"&amp;"::class,"</f>
        <v>TransactionDetailTableSeeder::class,</v>
      </c>
    </row>
    <row r="65" spans="1:10" x14ac:dyDescent="0.25">
      <c r="A65" s="4" t="s">
        <v>1066</v>
      </c>
      <c r="B65" s="7" t="str">
        <f>Tables[Name]</f>
        <v>d_data</v>
      </c>
      <c r="C65" s="7" t="str">
        <f>IF(RIGHT(Tables[Name],3)="ies",MID(Tables[Name],1,LEN(Tables[Name])-3)&amp;"y",IF(RIGHT(Tables[Name],1)="s",MID(Tables[Name],1,LEN(Tables[Name])-1),Tables[Name]))</f>
        <v>d_data</v>
      </c>
      <c r="D65" s="7" t="str">
        <f>"Milestone\SS\Model"</f>
        <v>Milestone\SS\Model</v>
      </c>
      <c r="E65" s="7" t="str">
        <f>SUBSTITUTE(PROPER(Tables[Singular Name]),"_","")</f>
        <v>DData</v>
      </c>
      <c r="F65" s="7" t="str">
        <f>"php artisan make:migration create_"&amp;Tables[Table]&amp;"_table --create="&amp;Tables[Table]</f>
        <v>php artisan make:migration create_d_data_table --create=d_data</v>
      </c>
      <c r="G65" s="7" t="str">
        <f>"php artisan make:model "&amp;Tables[Class Name]</f>
        <v>php artisan make:model DData</v>
      </c>
      <c r="H65" s="7" t="str">
        <f>"protected $table = '"&amp;Tables[Table]&amp;"';"</f>
        <v>protected $table = 'd_data';</v>
      </c>
      <c r="I65" s="7" t="str">
        <f>"php artisan make:seed "&amp;Tables[Class Name]&amp;"TableSeeder"</f>
        <v>php artisan make:seed DDataTableSeeder</v>
      </c>
      <c r="J65" s="7" t="str">
        <f>Tables[Class Name]&amp;"TableSeeder"&amp;"::class,"</f>
        <v>DDataTableSeeder::class,</v>
      </c>
    </row>
    <row r="66" spans="1:10" x14ac:dyDescent="0.25">
      <c r="A66" s="4" t="s">
        <v>961</v>
      </c>
      <c r="B66" s="7" t="str">
        <f>Tables[Name]</f>
        <v>sales_order</v>
      </c>
      <c r="C66" s="7" t="str">
        <f>IF(RIGHT(Tables[Name],3)="ies",MID(Tables[Name],1,LEN(Tables[Name])-3)&amp;"y",IF(RIGHT(Tables[Name],1)="s",MID(Tables[Name],1,LEN(Tables[Name])-1),Tables[Name]))</f>
        <v>sales_order</v>
      </c>
      <c r="D66" s="7" t="str">
        <f t="shared" si="1"/>
        <v>Milestone\SS\Model</v>
      </c>
      <c r="E66" s="7" t="str">
        <f>SUBSTITUTE(PROPER(Tables[Singular Name]),"_","")</f>
        <v>SalesOrder</v>
      </c>
      <c r="F66" s="7" t="str">
        <f>"php artisan make:migration create_"&amp;Tables[Table]&amp;"_table --create="&amp;Tables[Table]</f>
        <v>php artisan make:migration create_sales_order_table --create=sales_order</v>
      </c>
      <c r="G66" s="7" t="str">
        <f>"php artisan make:model "&amp;Tables[Class Name]</f>
        <v>php artisan make:model SalesOrder</v>
      </c>
      <c r="H66" s="7" t="str">
        <f>"protected $table = '"&amp;Tables[Table]&amp;"';"</f>
        <v>protected $table = 'sales_order';</v>
      </c>
      <c r="I66" s="7" t="str">
        <f>"php artisan make:seed "&amp;Tables[Class Name]&amp;"TableSeeder"</f>
        <v>php artisan make:seed SalesOrderTableSeeder</v>
      </c>
      <c r="J66" s="7" t="str">
        <f>Tables[Class Name]&amp;"TableSeeder"&amp;"::class,"</f>
        <v>SalesOrderTableSeeder::class,</v>
      </c>
    </row>
    <row r="67" spans="1:10" x14ac:dyDescent="0.25">
      <c r="A67" s="4" t="s">
        <v>962</v>
      </c>
      <c r="B67" s="7" t="str">
        <f>Tables[Name]</f>
        <v>sales_order_items</v>
      </c>
      <c r="C67" s="7" t="str">
        <f>IF(RIGHT(Tables[Name],3)="ies",MID(Tables[Name],1,LEN(Tables[Name])-3)&amp;"y",IF(RIGHT(Tables[Name],1)="s",MID(Tables[Name],1,LEN(Tables[Name])-1),Tables[Name]))</f>
        <v>sales_order_item</v>
      </c>
      <c r="D67" s="7" t="str">
        <f t="shared" si="1"/>
        <v>Milestone\SS\Model</v>
      </c>
      <c r="E67" s="7" t="str">
        <f>SUBSTITUTE(PROPER(Tables[Singular Name]),"_","")</f>
        <v>SalesOrderItem</v>
      </c>
      <c r="F67" s="7" t="str">
        <f>"php artisan make:migration create_"&amp;Tables[Table]&amp;"_table --create="&amp;Tables[Table]</f>
        <v>php artisan make:migration create_sales_order_items_table --create=sales_order_items</v>
      </c>
      <c r="G67" s="7" t="str">
        <f>"php artisan make:model "&amp;Tables[Class Name]</f>
        <v>php artisan make:model SalesOrderItem</v>
      </c>
      <c r="H67" s="7" t="str">
        <f>"protected $table = '"&amp;Tables[Table]&amp;"';"</f>
        <v>protected $table = 'sales_order_items';</v>
      </c>
      <c r="I67" s="7" t="str">
        <f>"php artisan make:seed "&amp;Tables[Class Name]&amp;"TableSeeder"</f>
        <v>php artisan make:seed SalesOrderItemTableSeeder</v>
      </c>
      <c r="J67" s="7" t="str">
        <f>Tables[Class Name]&amp;"TableSeeder"&amp;"::class,"</f>
        <v>SalesOrderItemTableSeeder::class,</v>
      </c>
    </row>
    <row r="68" spans="1:10" x14ac:dyDescent="0.25">
      <c r="A68" s="4" t="s">
        <v>917</v>
      </c>
      <c r="B68" s="7" t="str">
        <f>Tables[Name]</f>
        <v>stock_transfer</v>
      </c>
      <c r="C68" s="7" t="str">
        <f>IF(RIGHT(Tables[Name],3)="ies",MID(Tables[Name],1,LEN(Tables[Name])-3)&amp;"y",IF(RIGHT(Tables[Name],1)="s",MID(Tables[Name],1,LEN(Tables[Name])-1),Tables[Name]))</f>
        <v>stock_transfer</v>
      </c>
      <c r="D68" s="7" t="str">
        <f t="shared" si="1"/>
        <v>Milestone\SS\Model</v>
      </c>
      <c r="E68" s="7" t="str">
        <f>SUBSTITUTE(PROPER(Tables[Singular Name]),"_","")</f>
        <v>StockTransfer</v>
      </c>
      <c r="F68" s="7" t="str">
        <f>"php artisan make:migration create_"&amp;Tables[Table]&amp;"_table --create="&amp;Tables[Table]</f>
        <v>php artisan make:migration create_stock_transfer_table --create=stock_transfer</v>
      </c>
      <c r="G68" s="7" t="str">
        <f>"php artisan make:model "&amp;Tables[Class Name]</f>
        <v>php artisan make:model StockTransfer</v>
      </c>
      <c r="H68" s="7" t="str">
        <f>"protected $table = '"&amp;Tables[Table]&amp;"';"</f>
        <v>protected $table = 'stock_transfer';</v>
      </c>
      <c r="I68" s="7" t="str">
        <f>"php artisan make:seed "&amp;Tables[Class Name]&amp;"TableSeeder"</f>
        <v>php artisan make:seed StockTransferTableSeeder</v>
      </c>
      <c r="J68" s="7" t="str">
        <f>Tables[Class Name]&amp;"TableSeeder"&amp;"::class,"</f>
        <v>StockTransferTableSeeder::class,</v>
      </c>
    </row>
    <row r="69" spans="1:10" x14ac:dyDescent="0.25">
      <c r="A69" s="4" t="s">
        <v>1736</v>
      </c>
      <c r="B69" s="7" t="str">
        <f>Tables[Name]</f>
        <v>receipts</v>
      </c>
      <c r="C69" s="7" t="str">
        <f>IF(RIGHT(Tables[Name],3)="ies",MID(Tables[Name],1,LEN(Tables[Name])-3)&amp;"y",IF(RIGHT(Tables[Name],1)="s",MID(Tables[Name],1,LEN(Tables[Name])-1),Tables[Name]))</f>
        <v>receipt</v>
      </c>
      <c r="D69" s="7" t="str">
        <f>"Milestone\SS\Model"</f>
        <v>Milestone\SS\Model</v>
      </c>
      <c r="E69" s="7" t="str">
        <f>SUBSTITUTE(PROPER(Tables[Singular Name]),"_","")</f>
        <v>Receipt</v>
      </c>
      <c r="F69" s="7" t="str">
        <f>"php artisan make:migration create_"&amp;Tables[Table]&amp;"_table --create="&amp;Tables[Table]</f>
        <v>php artisan make:migration create_receipts_table --create=receipts</v>
      </c>
      <c r="G69" s="7" t="str">
        <f>"php artisan make:model "&amp;Tables[Class Name]</f>
        <v>php artisan make:model Receipt</v>
      </c>
      <c r="H69" s="7" t="str">
        <f>"protected $table = '"&amp;Tables[Table]&amp;"';"</f>
        <v>protected $table = 'receipts';</v>
      </c>
      <c r="I69" s="7" t="str">
        <f>"php artisan make:seed "&amp;Tables[Class Name]&amp;"TableSeeder"</f>
        <v>php artisan make:seed ReceiptTableSeeder</v>
      </c>
      <c r="J69" s="7" t="str">
        <f>Tables[Class Name]&amp;"TableSeeder"&amp;"::class,"</f>
        <v>ReceiptTableSeeder::class,</v>
      </c>
    </row>
    <row r="70" spans="1:10" x14ac:dyDescent="0.25">
      <c r="A70" s="4" t="s">
        <v>1771</v>
      </c>
      <c r="B70" s="7" t="str">
        <f>Tables[Name]</f>
        <v>fn_reserves</v>
      </c>
      <c r="C70" s="7" t="str">
        <f>IF(RIGHT(Tables[Name],3)="ies",MID(Tables[Name],1,LEN(Tables[Name])-3)&amp;"y",IF(RIGHT(Tables[Name],1)="s",MID(Tables[Name],1,LEN(Tables[Name])-1),Tables[Name]))</f>
        <v>fn_reserve</v>
      </c>
      <c r="D70" s="7" t="str">
        <f>"Milestone\SS\Model"</f>
        <v>Milestone\SS\Model</v>
      </c>
      <c r="E70" s="7" t="str">
        <f>SUBSTITUTE(PROPER(Tables[Singular Name]),"_","")</f>
        <v>FnReserve</v>
      </c>
      <c r="F70" s="7" t="str">
        <f>"php artisan make:migration create_"&amp;Tables[Table]&amp;"_table --create="&amp;Tables[Table]</f>
        <v>php artisan make:migration create_fn_reserves_table --create=fn_reserves</v>
      </c>
      <c r="G70" s="7" t="str">
        <f>"php artisan make:model "&amp;Tables[Class Name]</f>
        <v>php artisan make:model FnReserve</v>
      </c>
      <c r="H70" s="7" t="str">
        <f>"protected $table = '"&amp;Tables[Table]&amp;"';"</f>
        <v>protected $table = 'fn_reserves';</v>
      </c>
      <c r="I70" s="7" t="str">
        <f>"php artisan make:seed "&amp;Tables[Class Name]&amp;"TableSeeder"</f>
        <v>php artisan make:seed FnReserveTableSeeder</v>
      </c>
      <c r="J70" s="7" t="str">
        <f>Tables[Class Name]&amp;"TableSeeder"&amp;"::class,"</f>
        <v>FnReserveTableSeeder::class,</v>
      </c>
    </row>
    <row r="71" spans="1:10" x14ac:dyDescent="0.25">
      <c r="A71" s="4" t="s">
        <v>1793</v>
      </c>
      <c r="B71" s="7" t="str">
        <f>Tables[Name]</f>
        <v>sales_order_sales</v>
      </c>
      <c r="C71" s="7" t="str">
        <f>IF(RIGHT(Tables[Name],3)="ies",MID(Tables[Name],1,LEN(Tables[Name])-3)&amp;"y",IF(RIGHT(Tables[Name],1)="s",MID(Tables[Name],1,LEN(Tables[Name])-1),Tables[Name]))</f>
        <v>sales_order_sale</v>
      </c>
      <c r="D71" s="7" t="str">
        <f>"Milestone\SS\Model"</f>
        <v>Milestone\SS\Model</v>
      </c>
      <c r="E71" s="7" t="str">
        <f>SUBSTITUTE(PROPER(Tables[Singular Name]),"_","")</f>
        <v>SalesOrderSale</v>
      </c>
      <c r="F71" s="7" t="str">
        <f>"php artisan make:migration create_"&amp;Tables[Table]&amp;"_table --create="&amp;Tables[Table]</f>
        <v>php artisan make:migration create_sales_order_sales_table --create=sales_order_sales</v>
      </c>
      <c r="G71" s="7" t="str">
        <f>"php artisan make:model "&amp;Tables[Class Name]</f>
        <v>php artisan make:model SalesOrderSale</v>
      </c>
      <c r="H71" s="7" t="str">
        <f>"protected $table = '"&amp;Tables[Table]&amp;"';"</f>
        <v>protected $table = 'sales_order_sales';</v>
      </c>
      <c r="I71" s="7" t="str">
        <f>"php artisan make:seed "&amp;Tables[Class Name]&amp;"TableSeeder"</f>
        <v>php artisan make:seed SalesOrderSaleTableSeeder</v>
      </c>
      <c r="J71" s="7" t="str">
        <f>Tables[Class Name]&amp;"TableSeeder"&amp;"::class,"</f>
        <v>SalesOrderSaleTableSeeder::class,</v>
      </c>
    </row>
    <row r="72" spans="1:10" x14ac:dyDescent="0.25">
      <c r="A72" s="4" t="s">
        <v>893</v>
      </c>
      <c r="B72" s="7" t="str">
        <f>Tables[Name]</f>
        <v>w_bin</v>
      </c>
      <c r="C72" s="7" t="str">
        <f>IF(RIGHT(Tables[Name],3)="ies",MID(Tables[Name],1,LEN(Tables[Name])-3)&amp;"y",IF(RIGHT(Tables[Name],1)="s",MID(Tables[Name],1,LEN(Tables[Name])-1),Tables[Name]))</f>
        <v>w_bin</v>
      </c>
      <c r="D72" s="7" t="str">
        <f t="shared" si="1"/>
        <v>Milestone\SS\Model</v>
      </c>
      <c r="E72" s="7" t="str">
        <f>SUBSTITUTE(PROPER(Tables[Singular Name]),"_","")</f>
        <v>WBin</v>
      </c>
      <c r="F72" s="7" t="str">
        <f>"php artisan make:migration create_"&amp;Tables[Table]&amp;"_table --create="&amp;Tables[Table]</f>
        <v>php artisan make:migration create_w_bin_table --create=w_bin</v>
      </c>
      <c r="G72" s="7" t="str">
        <f>"php artisan make:model "&amp;Tables[Class Name]</f>
        <v>php artisan make:model WBin</v>
      </c>
      <c r="H72" s="7" t="str">
        <f>"protected $table = '"&amp;Tables[Table]&amp;"';"</f>
        <v>protected $table = 'w_bin';</v>
      </c>
      <c r="I72" s="7" t="str">
        <f>"php artisan make:seed "&amp;Tables[Class Name]&amp;"TableSeeder"</f>
        <v>php artisan make:seed WBinTableSeeder</v>
      </c>
      <c r="J72" s="7" t="str">
        <f>Tables[Class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8"/>
  <sheetViews>
    <sheetView topLeftCell="CR1" workbookViewId="0">
      <selection activeCell="DE2" sqref="DE2"/>
    </sheetView>
  </sheetViews>
  <sheetFormatPr defaultRowHeight="15" x14ac:dyDescent="0.2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0" width="18" customWidth="1"/>
    <col min="131" max="131" width="18.140625" customWidth="1"/>
    <col min="132" max="134" width="13.28515625" hidden="1" customWidth="1"/>
    <col min="135" max="135" width="20.42578125" hidden="1" customWidth="1"/>
    <col min="136" max="136" width="6.7109375" hidden="1" customWidth="1"/>
    <col min="137" max="137" width="17.7109375" customWidth="1"/>
    <col min="138" max="141" width="6.7109375" hidden="1" customWidth="1"/>
    <col min="142" max="143" width="15.42578125" hidden="1" customWidth="1"/>
    <col min="144" max="144" width="19.5703125" customWidth="1"/>
    <col min="145" max="145" width="22.85546875" customWidth="1"/>
    <col min="146" max="147" width="15.42578125" hidden="1" customWidth="1"/>
    <col min="148" max="149" width="0" hidden="1" customWidth="1"/>
  </cols>
  <sheetData>
    <row r="1" spans="1:149" x14ac:dyDescent="0.25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1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1700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 x14ac:dyDescent="0.25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ResourceForms[ID]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67" t="str">
        <f>FormFields[Form]</f>
        <v>resource_form</v>
      </c>
      <c r="AY2" s="67" t="str">
        <f>IF(FormFields[[#This Row],[ID]]="id","form_field",FormFields[[#This Row],[ID]])</f>
        <v>form_field</v>
      </c>
      <c r="AZ2" s="46" t="s">
        <v>212</v>
      </c>
      <c r="BA2" s="79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IFERROR(VLOOKUP(FieldAttrs[ATTR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IFERROR(VLOOKUP(FormCollection[Main Form for Collection],ResourceForms[[FormName]:[ID]],4,0),"resource_form")</f>
        <v>resource_form</v>
      </c>
      <c r="CB2" s="13" t="str">
        <f>IFERROR(VLOOKUP(FormCollection[Collection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Depend]]="","id",-1+COUNTA($DB$1:FieldDepends[[#This Row],[Field for Depend]])+VLOOKUP('Table Seed Map'!$A$18,SeedMap[],9,0))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Map'!$A$20&amp;"-"&amp;-1+COUNTA($DY$1:FormDataMapping[[#This Row],[Form for Data Mapping]])</f>
        <v>Form Data Map-0</v>
      </c>
      <c r="EC2" s="6" t="str">
        <f>IF(FormDataMapping[[#This Row],[Form for Data Mapping]]="","id",-1+COUNTA($DY$1:FormDataMapping[[#This Row],[Form for Data Mapping]])+VLOOKUP('Table Seed Map'!$A$20,SeedMap[],9,0))</f>
        <v>id</v>
      </c>
      <c r="ED2" s="1" t="str">
        <f>IF(FormDataMapping[[#This Row],[Form for Data Mapping]]="","resource_form",VLOOKUP(FormDataMapping[Form for Data Mapping],ResourceForms[[FormName]:[ID]],4,0))</f>
        <v>resource_form</v>
      </c>
      <c r="EE2" s="6" t="str">
        <f>IF(FormDataMapping[[#This Row],[Form for Data Mapping]]="","resource_data",VLOOKUP(FormDataMapping[Resource Data],ResourceData[[DataDisplayName]:[ID]],8,0))</f>
        <v>resource_data</v>
      </c>
      <c r="EF2" s="6" t="str">
        <f>IF(FormDataMapping[[#This Row],[Form for Data Mapping]]="","form_field",VLOOKUP(FormDataMapping[Form Field],FormFields[[Field Name]:[ID]],2,0))</f>
        <v>form_field</v>
      </c>
      <c r="EG2" s="1" t="s">
        <v>54</v>
      </c>
      <c r="EH2" s="6" t="str">
        <f>IF(FormDataMapping[[#This Row],[Form for Data Mapping]]="","relation",IFERROR(VLOOKUP(FormDataMapping[Relation],RelationTable[[Display]:[RELID]],2,0),""))</f>
        <v>relation</v>
      </c>
      <c r="EI2" s="6" t="str">
        <f>IF(FormDataMapping[[#This Row],[Form for Data Mapping]]="","nest_relation1",IFERROR(VLOOKUP(FormDataMapping[Rel1],RelationTable[[Display]:[RELID]],2,0),""))</f>
        <v>nest_relation1</v>
      </c>
      <c r="EJ2" s="6" t="str">
        <f>IF(FormDataMapping[[#This Row],[Form for Data Mapping]]="","nest_relation2",IFERROR(VLOOKUP(FormDataMapping[Rel2],RelationTable[[Display]:[RELID]],2,0),""))</f>
        <v>nest_relation2</v>
      </c>
      <c r="EK2" s="6" t="str">
        <f>IF(FormDataMapping[[#This Row],[Form for Data Mapping]]="","nest_relation3",IFERROR(VLOOKUP(FormDataMapping[Rel3],RelationTable[[Display]:[RELID]],2,0),""))</f>
        <v>nest_relation3</v>
      </c>
      <c r="EL2" s="6" t="str">
        <f>IF(FormDataMapping[[#This Row],[Form for Data Mapping]]="","nest_relation4",IFERROR(VLOOKUP(FormDataMapping[Rel4],RelationTable[[Display]:[RELID]],2,0),""))</f>
        <v>nest_relation4</v>
      </c>
      <c r="EM2" s="6" t="str">
        <f>IF(FormDataMapping[[#This Row],[Form for Data Mapping]]="","nest_relation5",IFERROR(VLOOKUP(FormDataMapping[Rel5],RelationTable[[Display]:[RELID]],2,0),""))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 x14ac:dyDescent="0.25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4" t="s">
        <v>1303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305115</v>
      </c>
      <c r="G3" s="7" t="s">
        <v>1401</v>
      </c>
      <c r="H3" s="60" t="s">
        <v>1402</v>
      </c>
      <c r="I3" s="7" t="s">
        <v>1403</v>
      </c>
      <c r="J3" s="7" t="s">
        <v>1404</v>
      </c>
      <c r="K3" s="58">
        <f>ResourceForms[ID]</f>
        <v>309101</v>
      </c>
      <c r="M3" s="65" t="str">
        <f>'Table Seed Map'!$A$12&amp;"-"&amp;FormFields[[#This Row],[No]]</f>
        <v>Form Fields-1</v>
      </c>
      <c r="N3" s="66" t="s">
        <v>1410</v>
      </c>
      <c r="O3" s="67">
        <f>COUNTA($N$1:FormFields[[#This Row],[Form Name]])-1</f>
        <v>1</v>
      </c>
      <c r="P3" s="65" t="str">
        <f>FormFields[[#This Row],[Form Name]]&amp;"/"&amp;FormFields[[#This Row],[Name]]</f>
        <v>ProductTransactionNature/NewTransactionProductNature/name</v>
      </c>
      <c r="Q3" s="67">
        <f>IF(FormFields[[#This Row],[No]]=0,"id",FormFields[[#This Row],[No]]+IF(ISNUMBER(VLOOKUP('Table Seed Map'!$A$12,SeedMap[],9,0)),VLOOKUP('Table Seed Map'!$A$12,SeedMap[],9,0),0))</f>
        <v>310101</v>
      </c>
      <c r="R3" s="68">
        <f>IFERROR(VLOOKUP(FormFields[[#This Row],[Form Name]],ResourceForms[[FormName]:[ID]],4,0),"resource_form")</f>
        <v>309101</v>
      </c>
      <c r="S3" s="69" t="s">
        <v>23</v>
      </c>
      <c r="T3" s="69" t="s">
        <v>1453</v>
      </c>
      <c r="U3" s="69" t="s">
        <v>1408</v>
      </c>
      <c r="V3" s="70"/>
      <c r="W3" s="70"/>
      <c r="X3" s="70"/>
      <c r="Y3" s="70"/>
      <c r="Z3" s="71" t="str">
        <f>'Table Seed Map'!$A$13&amp;"-"&amp;FormFields[[#This Row],[NO2]]</f>
        <v>Field Data-1</v>
      </c>
      <c r="AA3" s="72">
        <f>COUNTIFS($AB$1:FormFields[[#This Row],[Exists]],1)-1</f>
        <v>1</v>
      </c>
      <c r="AB3" s="72">
        <f>IF(AND(FormFields[[#This Row],[Attribute]]="",FormFields[[#This Row],[Rel]]=""),0,1)</f>
        <v>1</v>
      </c>
      <c r="AC3" s="72">
        <f>IF(FormFields[[#This Row],[NO2]]=0,"id",FormFields[[#This Row],[NO2]]+IF(ISNUMBER(VLOOKUP('Table Seed Map'!$A$13,SeedMap[],9,0)),VLOOKUP('Table Seed Map'!$A$13,SeedMap[],9,0),0))</f>
        <v>311101</v>
      </c>
      <c r="AD3" s="77">
        <f>IF(FormFields[[#This Row],[ID]]="id","form_field",FormFields[[#This Row],[ID]])</f>
        <v>310101</v>
      </c>
      <c r="AE3" s="72" t="str">
        <f>IF(FormFields[[#This Row],[No]]=0,"attribute",FormFields[[#This Row],[Name]])</f>
        <v>name</v>
      </c>
      <c r="AF3" s="73" t="str">
        <f>IF(FormFields[[#This Row],[NO2]]=0,"relation",IF(FormFields[[#This Row],[Rel]]="","",VLOOKUP(FormFields[[#This Row],[Rel]],RelationTable[[Display]:[RELID]],2,0)))</f>
        <v/>
      </c>
      <c r="AG3" s="73" t="str">
        <f>IF(FormFields[[#This Row],[NO2]]=0,"nest_relation1",IF(FormFields[[#This Row],[Rel1]]="","",VLOOKUP(FormFields[[#This Row],[Rel1]],RelationTable[[Display]:[RELID]],2,0)))</f>
        <v/>
      </c>
      <c r="AH3" s="73" t="str">
        <f>IF(FormFields[[#This Row],[NO2]]=0,"nest_relation2",IF(FormFields[[#This Row],[Rel2]]="","",VLOOKUP(FormFields[[#This Row],[Rel2]],RelationTable[[Display]:[RELID]],2,0)))</f>
        <v/>
      </c>
      <c r="AI3" s="73" t="str">
        <f>IF(FormFields[[#This Row],[NO2]]=0,"nest_relation2",IF(FormFields[[#This Row],[Rel2]]="","",VLOOKUP(FormFields[[#This Row],[Rel2]],RelationTable[[Display]:[RELID]],2,0)))</f>
        <v/>
      </c>
      <c r="AJ3" s="67">
        <f>IF(OR(FormFields[[#This Row],[Option Type]]="",FormFields[[#This Row],[Option Type]]="type"),0,1)</f>
        <v>0</v>
      </c>
      <c r="AK3" s="67" t="str">
        <f>'Table Seed Map'!$A$14&amp;"-"&amp;FormFields[[#This Row],[NO4]]</f>
        <v>Field Options-0</v>
      </c>
      <c r="AL3" s="67">
        <f>COUNTIF($AJ$2:FormFields[[#This Row],[Exists FO]],1)</f>
        <v>0</v>
      </c>
      <c r="AM3" s="67" t="str">
        <f>IF(FormFields[[#This Row],[NO4]]=0,"id",FormFields[[#This Row],[NO4]]+IF(ISNUMBER(VLOOKUP('Table Seed Map'!$A$14,SeedMap[],9,0)),VLOOKUP('Table Seed Map'!$A$14,SeedMap[],9,0),0))</f>
        <v>id</v>
      </c>
      <c r="AN3" s="67">
        <f>IF(FormFields[[#This Row],[ID]]="id","form_field",FormFields[[#This Row],[ID]])</f>
        <v>310101</v>
      </c>
      <c r="AO3" s="75"/>
      <c r="AP3" s="75"/>
      <c r="AQ3" s="75"/>
      <c r="AR3" s="75"/>
      <c r="AS3" s="75"/>
      <c r="AT3" s="67">
        <f>IF(OR(FormFields[[#This Row],[Colspan]]="",FormFields[[#This Row],[Colspan]]="colspan"),0,1)</f>
        <v>0</v>
      </c>
      <c r="AU3" s="67" t="str">
        <f>'Table Seed Map'!$A$19&amp;"-"&amp;FormFields[[#This Row],[NO8]]</f>
        <v>Form Layout-0</v>
      </c>
      <c r="AV3" s="67">
        <f>COUNTIF($AT$1:FormFields[[#This Row],[Exists FL]],1)</f>
        <v>0</v>
      </c>
      <c r="AW3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67">
        <f>FormFields[Form]</f>
        <v>309101</v>
      </c>
      <c r="AY3" s="67">
        <f>IF(FormFields[[#This Row],[ID]]="id","form_field",FormFields[[#This Row],[ID]])</f>
        <v>310101</v>
      </c>
      <c r="AZ3" s="76"/>
      <c r="BA3" s="67">
        <f>FormFields[[#This Row],[ID]]</f>
        <v>310101</v>
      </c>
      <c r="BC3" s="4" t="s">
        <v>1623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67">
        <f>IFERROR(VLOOKUP(FieldAttrs[ATTR Field],FormFields[[Field Name]:[ID]],2,0),"form_field")</f>
        <v>310113</v>
      </c>
      <c r="BG3" s="74" t="s">
        <v>1624</v>
      </c>
      <c r="BH3" s="74">
        <v>4</v>
      </c>
      <c r="BJ3" s="4" t="s">
        <v>1412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VLOOKUP(FieldValidations[Validation Field],FormFields[[Field Name]:[ID]],2,0)</f>
        <v>310101</v>
      </c>
      <c r="BO3" s="64" t="s">
        <v>1413</v>
      </c>
      <c r="BP3" s="64" t="s">
        <v>1414</v>
      </c>
      <c r="BQ3" s="64"/>
      <c r="BR3" s="64"/>
      <c r="BS3" s="64"/>
      <c r="CE3" s="20"/>
      <c r="CH3"/>
      <c r="CI3" s="20"/>
      <c r="CM3"/>
      <c r="CU3" s="20"/>
      <c r="DA3"/>
      <c r="DC3" s="20"/>
    </row>
    <row r="4" spans="1:149" x14ac:dyDescent="0.25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4" t="s">
        <v>1304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305116</v>
      </c>
      <c r="G4" s="7" t="s">
        <v>1405</v>
      </c>
      <c r="H4" s="60" t="s">
        <v>1406</v>
      </c>
      <c r="I4" s="7" t="s">
        <v>1407</v>
      </c>
      <c r="J4" s="7" t="s">
        <v>1404</v>
      </c>
      <c r="K4" s="58">
        <f>ResourceForms[ID]</f>
        <v>309102</v>
      </c>
      <c r="M4" s="65" t="str">
        <f>'Table Seed Map'!$A$12&amp;"-"&amp;FormFields[[#This Row],[No]]</f>
        <v>Form Fields-2</v>
      </c>
      <c r="N4" s="66" t="s">
        <v>1410</v>
      </c>
      <c r="O4" s="67">
        <f>COUNTA($N$1:FormFields[[#This Row],[Form Name]])-1</f>
        <v>2</v>
      </c>
      <c r="P4" s="65" t="str">
        <f>FormFields[[#This Row],[Form Name]]&amp;"/"&amp;FormFields[[#This Row],[Name]]</f>
        <v>ProductTransactionNature/NewTransactionProductNature/status</v>
      </c>
      <c r="Q4" s="67">
        <f>IF(FormFields[[#This Row],[No]]=0,"id",FormFields[[#This Row],[No]]+IF(ISNUMBER(VLOOKUP('Table Seed Map'!$A$12,SeedMap[],9,0)),VLOOKUP('Table Seed Map'!$A$12,SeedMap[],9,0),0))</f>
        <v>310102</v>
      </c>
      <c r="R4" s="68">
        <f>IFERROR(VLOOKUP(FormFields[[#This Row],[Form Name]],ResourceForms[[FormName]:[ID]],4,0),"resource_form")</f>
        <v>309101</v>
      </c>
      <c r="S4" s="69" t="s">
        <v>777</v>
      </c>
      <c r="T4" s="69" t="s">
        <v>1454</v>
      </c>
      <c r="U4" s="69" t="s">
        <v>1399</v>
      </c>
      <c r="V4" s="70"/>
      <c r="W4" s="70"/>
      <c r="X4" s="70"/>
      <c r="Y4" s="70"/>
      <c r="Z4" s="71" t="str">
        <f>'Table Seed Map'!$A$13&amp;"-"&amp;FormFields[[#This Row],[NO2]]</f>
        <v>Field Data-2</v>
      </c>
      <c r="AA4" s="72">
        <f>COUNTIFS($AB$1:FormFields[[#This Row],[Exists]],1)-1</f>
        <v>2</v>
      </c>
      <c r="AB4" s="72">
        <f>IF(AND(FormFields[[#This Row],[Attribute]]="",FormFields[[#This Row],[Rel]]=""),0,1)</f>
        <v>1</v>
      </c>
      <c r="AC4" s="72">
        <f>IF(FormFields[[#This Row],[NO2]]=0,"id",FormFields[[#This Row],[NO2]]+IF(ISNUMBER(VLOOKUP('Table Seed Map'!$A$13,SeedMap[],9,0)),VLOOKUP('Table Seed Map'!$A$13,SeedMap[],9,0),0))</f>
        <v>311102</v>
      </c>
      <c r="AD4" s="77">
        <f>IF(FormFields[[#This Row],[ID]]="id","form_field",FormFields[[#This Row],[ID]])</f>
        <v>310102</v>
      </c>
      <c r="AE4" s="72" t="str">
        <f>IF(FormFields[[#This Row],[No]]=0,"attribute",FormFields[[#This Row],[Name]])</f>
        <v>status</v>
      </c>
      <c r="AF4" s="73" t="str">
        <f>IF(FormFields[[#This Row],[NO2]]=0,"relation",IF(FormFields[[#This Row],[Rel]]="","",VLOOKUP(FormFields[[#This Row],[Rel]],RelationTable[[Display]:[RELID]],2,0)))</f>
        <v/>
      </c>
      <c r="AG4" s="73" t="str">
        <f>IF(FormFields[[#This Row],[NO2]]=0,"nest_relation1",IF(FormFields[[#This Row],[Rel1]]="","",VLOOKUP(FormFields[[#This Row],[Rel1]],RelationTable[[Display]:[RELID]],2,0)))</f>
        <v/>
      </c>
      <c r="AH4" s="73" t="str">
        <f>IF(FormFields[[#This Row],[NO2]]=0,"nest_relation2",IF(FormFields[[#This Row],[Rel2]]="","",VLOOKUP(FormFields[[#This Row],[Rel2]],RelationTable[[Display]:[RELID]],2,0)))</f>
        <v/>
      </c>
      <c r="AI4" s="73" t="str">
        <f>IF(FormFields[[#This Row],[NO2]]=0,"nest_relation2",IF(FormFields[[#This Row],[Rel2]]="","",VLOOKUP(FormFields[[#This Row],[Rel2]],RelationTable[[Display]:[RELID]],2,0)))</f>
        <v/>
      </c>
      <c r="AJ4" s="67">
        <f>IF(OR(FormFields[[#This Row],[Option Type]]="",FormFields[[#This Row],[Option Type]]="type"),0,1)</f>
        <v>1</v>
      </c>
      <c r="AK4" s="67" t="str">
        <f>'Table Seed Map'!$A$14&amp;"-"&amp;FormFields[[#This Row],[NO4]]</f>
        <v>Field Options-1</v>
      </c>
      <c r="AL4" s="67">
        <f>COUNTIF($AJ$2:FormFields[[#This Row],[Exists FO]],1)</f>
        <v>1</v>
      </c>
      <c r="AM4" s="67">
        <f>IF(FormFields[[#This Row],[NO4]]=0,"id",FormFields[[#This Row],[NO4]]+IF(ISNUMBER(VLOOKUP('Table Seed Map'!$A$14,SeedMap[],9,0)),VLOOKUP('Table Seed Map'!$A$14,SeedMap[],9,0),0))</f>
        <v>312101</v>
      </c>
      <c r="AN4" s="67">
        <f>IF(FormFields[[#This Row],[ID]]="id","form_field",FormFields[[#This Row],[ID]])</f>
        <v>310102</v>
      </c>
      <c r="AO4" s="75" t="s">
        <v>1556</v>
      </c>
      <c r="AP4" s="75"/>
      <c r="AQ4" s="75"/>
      <c r="AR4" s="75"/>
      <c r="AS4" s="75"/>
      <c r="AT4" s="67">
        <f>IF(OR(FormFields[[#This Row],[Colspan]]="",FormFields[[#This Row],[Colspan]]="colspan"),0,1)</f>
        <v>0</v>
      </c>
      <c r="AU4" s="67" t="str">
        <f>'Table Seed Map'!$A$19&amp;"-"&amp;FormFields[[#This Row],[NO8]]</f>
        <v>Form Layout-0</v>
      </c>
      <c r="AV4" s="67">
        <f>COUNTIF($AT$1:FormFields[[#This Row],[Exists FL]],1)</f>
        <v>0</v>
      </c>
      <c r="AW4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67">
        <f>FormFields[Form]</f>
        <v>309101</v>
      </c>
      <c r="AY4" s="67">
        <f>IF(FormFields[[#This Row],[ID]]="id","form_field",FormFields[[#This Row],[ID]])</f>
        <v>310102</v>
      </c>
      <c r="AZ4" s="76"/>
      <c r="BA4" s="67">
        <f>FormFields[[#This Row],[ID]]</f>
        <v>310102</v>
      </c>
      <c r="BC4" s="4" t="s">
        <v>1625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67">
        <f>IFERROR(VLOOKUP(FieldAttrs[ATTR Field],FormFields[[Field Name]:[ID]],2,0),"form_field")</f>
        <v>310114</v>
      </c>
      <c r="BG4" s="74" t="s">
        <v>1624</v>
      </c>
      <c r="BH4" s="74">
        <v>4</v>
      </c>
      <c r="BJ4" s="4" t="s">
        <v>1415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VLOOKUP(FieldValidations[Validation Field],FormFields[[Field Name]:[ID]],2,0)</f>
        <v>310103</v>
      </c>
      <c r="BO4" s="64" t="s">
        <v>1413</v>
      </c>
      <c r="BP4" s="64" t="s">
        <v>1414</v>
      </c>
      <c r="BQ4" s="64"/>
      <c r="BR4" s="64"/>
      <c r="BS4" s="64"/>
      <c r="CE4" s="20"/>
      <c r="CH4"/>
      <c r="CI4" s="20"/>
      <c r="CM4"/>
      <c r="CU4" s="20"/>
      <c r="DA4"/>
      <c r="DC4" s="20"/>
    </row>
    <row r="5" spans="1:149" x14ac:dyDescent="0.25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4" t="s">
        <v>1291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1450</v>
      </c>
      <c r="H5" s="60" t="s">
        <v>1451</v>
      </c>
      <c r="I5" s="7" t="s">
        <v>1313</v>
      </c>
      <c r="J5" s="7" t="s">
        <v>1404</v>
      </c>
      <c r="K5" s="58">
        <f>ResourceForms[ID]</f>
        <v>309103</v>
      </c>
      <c r="M5" s="65" t="str">
        <f>'Table Seed Map'!$A$12&amp;"-"&amp;FormFields[[#This Row],[No]]</f>
        <v>Form Fields-3</v>
      </c>
      <c r="N5" s="66" t="s">
        <v>1411</v>
      </c>
      <c r="O5" s="67">
        <f>COUNTA($N$1:FormFields[[#This Row],[Form Name]])-1</f>
        <v>3</v>
      </c>
      <c r="P5" s="65" t="str">
        <f>FormFields[[#This Row],[Form Name]]&amp;"/"&amp;FormFields[[#This Row],[Name]]</f>
        <v>ProductTransactionType/NewProductTransactionType/name</v>
      </c>
      <c r="Q5" s="67">
        <f>IF(FormFields[[#This Row],[No]]=0,"id",FormFields[[#This Row],[No]]+IF(ISNUMBER(VLOOKUP('Table Seed Map'!$A$12,SeedMap[],9,0)),VLOOKUP('Table Seed Map'!$A$12,SeedMap[],9,0),0))</f>
        <v>310103</v>
      </c>
      <c r="R5" s="68">
        <f>IFERROR(VLOOKUP(FormFields[[#This Row],[Form Name]],ResourceForms[[FormName]:[ID]],4,0),"resource_form")</f>
        <v>309102</v>
      </c>
      <c r="S5" s="69" t="s">
        <v>23</v>
      </c>
      <c r="T5" s="69" t="s">
        <v>1453</v>
      </c>
      <c r="U5" s="69" t="s">
        <v>1409</v>
      </c>
      <c r="V5" s="70"/>
      <c r="W5" s="70"/>
      <c r="X5" s="70"/>
      <c r="Y5" s="70"/>
      <c r="Z5" s="71" t="str">
        <f>'Table Seed Map'!$A$13&amp;"-"&amp;FormFields[[#This Row],[NO2]]</f>
        <v>Field Data-3</v>
      </c>
      <c r="AA5" s="72">
        <f>COUNTIFS($AB$1:FormFields[[#This Row],[Exists]],1)-1</f>
        <v>3</v>
      </c>
      <c r="AB5" s="72">
        <f>IF(AND(FormFields[[#This Row],[Attribute]]="",FormFields[[#This Row],[Rel]]=""),0,1)</f>
        <v>1</v>
      </c>
      <c r="AC5" s="72">
        <f>IF(FormFields[[#This Row],[NO2]]=0,"id",FormFields[[#This Row],[NO2]]+IF(ISNUMBER(VLOOKUP('Table Seed Map'!$A$13,SeedMap[],9,0)),VLOOKUP('Table Seed Map'!$A$13,SeedMap[],9,0),0))</f>
        <v>311103</v>
      </c>
      <c r="AD5" s="77">
        <f>IF(FormFields[[#This Row],[ID]]="id","form_field",FormFields[[#This Row],[ID]])</f>
        <v>310103</v>
      </c>
      <c r="AE5" s="72" t="str">
        <f>IF(FormFields[[#This Row],[No]]=0,"attribute",FormFields[[#This Row],[Name]])</f>
        <v>name</v>
      </c>
      <c r="AF5" s="73" t="str">
        <f>IF(FormFields[[#This Row],[NO2]]=0,"relation",IF(FormFields[[#This Row],[Rel]]="","",VLOOKUP(FormFields[[#This Row],[Rel]],RelationTable[[Display]:[RELID]],2,0)))</f>
        <v/>
      </c>
      <c r="AG5" s="73" t="str">
        <f>IF(FormFields[[#This Row],[NO2]]=0,"nest_relation1",IF(FormFields[[#This Row],[Rel1]]="","",VLOOKUP(FormFields[[#This Row],[Rel1]],RelationTable[[Display]:[RELID]],2,0)))</f>
        <v/>
      </c>
      <c r="AH5" s="73" t="str">
        <f>IF(FormFields[[#This Row],[NO2]]=0,"nest_relation2",IF(FormFields[[#This Row],[Rel2]]="","",VLOOKUP(FormFields[[#This Row],[Rel2]],RelationTable[[Display]:[RELID]],2,0)))</f>
        <v/>
      </c>
      <c r="AI5" s="73" t="str">
        <f>IF(FormFields[[#This Row],[NO2]]=0,"nest_relation2",IF(FormFields[[#This Row],[Rel2]]="","",VLOOKUP(FormFields[[#This Row],[Rel2]],RelationTable[[Display]:[RELID]],2,0)))</f>
        <v/>
      </c>
      <c r="AJ5" s="67">
        <f>IF(OR(FormFields[[#This Row],[Option Type]]="",FormFields[[#This Row],[Option Type]]="type"),0,1)</f>
        <v>0</v>
      </c>
      <c r="AK5" s="67" t="str">
        <f>'Table Seed Map'!$A$14&amp;"-"&amp;FormFields[[#This Row],[NO4]]</f>
        <v>Field Options-1</v>
      </c>
      <c r="AL5" s="67">
        <f>COUNTIF($AJ$2:FormFields[[#This Row],[Exists FO]],1)</f>
        <v>1</v>
      </c>
      <c r="AM5" s="67">
        <f>IF(FormFields[[#This Row],[NO4]]=0,"id",FormFields[[#This Row],[NO4]]+IF(ISNUMBER(VLOOKUP('Table Seed Map'!$A$14,SeedMap[],9,0)),VLOOKUP('Table Seed Map'!$A$14,SeedMap[],9,0),0))</f>
        <v>312101</v>
      </c>
      <c r="AN5" s="67">
        <f>IF(FormFields[[#This Row],[ID]]="id","form_field",FormFields[[#This Row],[ID]])</f>
        <v>310103</v>
      </c>
      <c r="AO5" s="75"/>
      <c r="AP5" s="75"/>
      <c r="AQ5" s="75"/>
      <c r="AR5" s="75"/>
      <c r="AS5" s="75"/>
      <c r="AT5" s="67">
        <f>IF(OR(FormFields[[#This Row],[Colspan]]="",FormFields[[#This Row],[Colspan]]="colspan"),0,1)</f>
        <v>0</v>
      </c>
      <c r="AU5" s="67" t="str">
        <f>'Table Seed Map'!$A$19&amp;"-"&amp;FormFields[[#This Row],[NO8]]</f>
        <v>Form Layout-0</v>
      </c>
      <c r="AV5" s="67">
        <f>COUNTIF($AT$1:FormFields[[#This Row],[Exists FL]],1)</f>
        <v>0</v>
      </c>
      <c r="AW5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67">
        <f>FormFields[Form]</f>
        <v>309102</v>
      </c>
      <c r="AY5" s="67">
        <f>IF(FormFields[[#This Row],[ID]]="id","form_field",FormFields[[#This Row],[ID]])</f>
        <v>310103</v>
      </c>
      <c r="AZ5" s="76"/>
      <c r="BA5" s="67">
        <f>FormFields[[#This Row],[ID]]</f>
        <v>310103</v>
      </c>
      <c r="BC5" s="4" t="s">
        <v>1626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67">
        <f>IFERROR(VLOOKUP(FieldAttrs[ATTR Field],FormFields[[Field Name]:[ID]],2,0),"form_field")</f>
        <v>310115</v>
      </c>
      <c r="BG5" s="74" t="s">
        <v>1624</v>
      </c>
      <c r="BH5" s="74">
        <v>4</v>
      </c>
      <c r="BJ5" s="4" t="s">
        <v>1458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VLOOKUP(FieldValidations[Validation Field],FormFields[[Field Name]:[ID]],2,0)</f>
        <v>310105</v>
      </c>
      <c r="BO5" s="64" t="s">
        <v>1413</v>
      </c>
      <c r="BP5" s="64" t="s">
        <v>1414</v>
      </c>
      <c r="BQ5" s="64"/>
      <c r="BR5" s="64"/>
      <c r="BS5" s="64"/>
      <c r="CE5" s="20"/>
      <c r="CH5"/>
      <c r="CI5" s="20"/>
      <c r="CM5"/>
      <c r="CU5" s="20"/>
      <c r="DA5"/>
      <c r="DC5" s="20"/>
    </row>
    <row r="6" spans="1:149" x14ac:dyDescent="0.25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4" t="s">
        <v>1300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305112</v>
      </c>
      <c r="G6" s="7" t="s">
        <v>1540</v>
      </c>
      <c r="H6" s="60" t="s">
        <v>1541</v>
      </c>
      <c r="I6" s="7" t="s">
        <v>1542</v>
      </c>
      <c r="J6" s="7" t="s">
        <v>1404</v>
      </c>
      <c r="K6" s="58">
        <f>ResourceForms[ID]</f>
        <v>309104</v>
      </c>
      <c r="M6" s="65" t="str">
        <f>'Table Seed Map'!$A$12&amp;"-"&amp;FormFields[[#This Row],[No]]</f>
        <v>Form Fields-4</v>
      </c>
      <c r="N6" s="66" t="s">
        <v>1411</v>
      </c>
      <c r="O6" s="67">
        <f>COUNTA($N$1:FormFields[[#This Row],[Form Name]])-1</f>
        <v>4</v>
      </c>
      <c r="P6" s="65" t="str">
        <f>FormFields[[#This Row],[Form Name]]&amp;"/"&amp;FormFields[[#This Row],[Name]]</f>
        <v>ProductTransactionType/NewProductTransactionType/status</v>
      </c>
      <c r="Q6" s="67">
        <f>IF(FormFields[[#This Row],[No]]=0,"id",FormFields[[#This Row],[No]]+IF(ISNUMBER(VLOOKUP('Table Seed Map'!$A$12,SeedMap[],9,0)),VLOOKUP('Table Seed Map'!$A$12,SeedMap[],9,0),0))</f>
        <v>310104</v>
      </c>
      <c r="R6" s="68">
        <f>IFERROR(VLOOKUP(FormFields[[#This Row],[Form Name]],ResourceForms[[FormName]:[ID]],4,0),"resource_form")</f>
        <v>309102</v>
      </c>
      <c r="S6" s="69" t="s">
        <v>777</v>
      </c>
      <c r="T6" s="69" t="s">
        <v>1454</v>
      </c>
      <c r="U6" s="69" t="s">
        <v>1399</v>
      </c>
      <c r="V6" s="70"/>
      <c r="W6" s="70"/>
      <c r="X6" s="70"/>
      <c r="Y6" s="70"/>
      <c r="Z6" s="71" t="str">
        <f>'Table Seed Map'!$A$13&amp;"-"&amp;FormFields[[#This Row],[NO2]]</f>
        <v>Field Data-4</v>
      </c>
      <c r="AA6" s="72">
        <f>COUNTIFS($AB$1:FormFields[[#This Row],[Exists]],1)-1</f>
        <v>4</v>
      </c>
      <c r="AB6" s="72">
        <f>IF(AND(FormFields[[#This Row],[Attribute]]="",FormFields[[#This Row],[Rel]]=""),0,1)</f>
        <v>1</v>
      </c>
      <c r="AC6" s="72">
        <f>IF(FormFields[[#This Row],[NO2]]=0,"id",FormFields[[#This Row],[NO2]]+IF(ISNUMBER(VLOOKUP('Table Seed Map'!$A$13,SeedMap[],9,0)),VLOOKUP('Table Seed Map'!$A$13,SeedMap[],9,0),0))</f>
        <v>311104</v>
      </c>
      <c r="AD6" s="77">
        <f>IF(FormFields[[#This Row],[ID]]="id","form_field",FormFields[[#This Row],[ID]])</f>
        <v>310104</v>
      </c>
      <c r="AE6" s="72" t="str">
        <f>IF(FormFields[[#This Row],[No]]=0,"attribute",FormFields[[#This Row],[Name]])</f>
        <v>status</v>
      </c>
      <c r="AF6" s="73" t="str">
        <f>IF(FormFields[[#This Row],[NO2]]=0,"relation",IF(FormFields[[#This Row],[Rel]]="","",VLOOKUP(FormFields[[#This Row],[Rel]],RelationTable[[Display]:[RELID]],2,0)))</f>
        <v/>
      </c>
      <c r="AG6" s="73" t="str">
        <f>IF(FormFields[[#This Row],[NO2]]=0,"nest_relation1",IF(FormFields[[#This Row],[Rel1]]="","",VLOOKUP(FormFields[[#This Row],[Rel1]],RelationTable[[Display]:[RELID]],2,0)))</f>
        <v/>
      </c>
      <c r="AH6" s="73" t="str">
        <f>IF(FormFields[[#This Row],[NO2]]=0,"nest_relation2",IF(FormFields[[#This Row],[Rel2]]="","",VLOOKUP(FormFields[[#This Row],[Rel2]],RelationTable[[Display]:[RELID]],2,0)))</f>
        <v/>
      </c>
      <c r="AI6" s="73" t="str">
        <f>IF(FormFields[[#This Row],[NO2]]=0,"nest_relation2",IF(FormFields[[#This Row],[Rel2]]="","",VLOOKUP(FormFields[[#This Row],[Rel2]],RelationTable[[Display]:[RELID]],2,0)))</f>
        <v/>
      </c>
      <c r="AJ6" s="67">
        <f>IF(OR(FormFields[[#This Row],[Option Type]]="",FormFields[[#This Row],[Option Type]]="type"),0,1)</f>
        <v>1</v>
      </c>
      <c r="AK6" s="67" t="str">
        <f>'Table Seed Map'!$A$14&amp;"-"&amp;FormFields[[#This Row],[NO4]]</f>
        <v>Field Options-2</v>
      </c>
      <c r="AL6" s="67">
        <f>COUNTIF($AJ$2:FormFields[[#This Row],[Exists FO]],1)</f>
        <v>2</v>
      </c>
      <c r="AM6" s="67">
        <f>IF(FormFields[[#This Row],[NO4]]=0,"id",FormFields[[#This Row],[NO4]]+IF(ISNUMBER(VLOOKUP('Table Seed Map'!$A$14,SeedMap[],9,0)),VLOOKUP('Table Seed Map'!$A$14,SeedMap[],9,0),0))</f>
        <v>312102</v>
      </c>
      <c r="AN6" s="67">
        <f>IF(FormFields[[#This Row],[ID]]="id","form_field",FormFields[[#This Row],[ID]])</f>
        <v>310104</v>
      </c>
      <c r="AO6" s="75" t="s">
        <v>1556</v>
      </c>
      <c r="AP6" s="75"/>
      <c r="AQ6" s="75"/>
      <c r="AR6" s="75"/>
      <c r="AS6" s="75"/>
      <c r="AT6" s="67">
        <f>IF(OR(FormFields[[#This Row],[Colspan]]="",FormFields[[#This Row],[Colspan]]="colspan"),0,1)</f>
        <v>0</v>
      </c>
      <c r="AU6" s="67" t="str">
        <f>'Table Seed Map'!$A$19&amp;"-"&amp;FormFields[[#This Row],[NO8]]</f>
        <v>Form Layout-0</v>
      </c>
      <c r="AV6" s="67">
        <f>COUNTIF($AT$1:FormFields[[#This Row],[Exists FL]],1)</f>
        <v>0</v>
      </c>
      <c r="AW6" s="6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67">
        <f>FormFields[Form]</f>
        <v>309102</v>
      </c>
      <c r="AY6" s="67">
        <f>IF(FormFields[[#This Row],[ID]]="id","form_field",FormFields[[#This Row],[ID]])</f>
        <v>310104</v>
      </c>
      <c r="AZ6" s="76"/>
      <c r="BA6" s="67">
        <f>FormFields[[#This Row],[ID]]</f>
        <v>310104</v>
      </c>
      <c r="BC6" s="4" t="s">
        <v>1627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67">
        <f>IFERROR(VLOOKUP(FieldAttrs[ATTR Field],FormFields[[Field Name]:[ID]],2,0),"form_field")</f>
        <v>310116</v>
      </c>
      <c r="BG6" s="74" t="s">
        <v>1624</v>
      </c>
      <c r="BH6" s="74">
        <v>4</v>
      </c>
    </row>
    <row r="7" spans="1:149" x14ac:dyDescent="0.25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4" t="s">
        <v>1300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305112</v>
      </c>
      <c r="G7" s="9" t="s">
        <v>1583</v>
      </c>
      <c r="H7" s="16" t="s">
        <v>1584</v>
      </c>
      <c r="I7" s="9" t="s">
        <v>1585</v>
      </c>
      <c r="J7" s="9" t="s">
        <v>1404</v>
      </c>
      <c r="K7" s="59">
        <f>ResourceForms[ID]</f>
        <v>309105</v>
      </c>
      <c r="M7" s="65" t="str">
        <f>'Table Seed Map'!$A$12&amp;"-"&amp;FormFields[[#This Row],[No]]</f>
        <v>Form Fields-5</v>
      </c>
      <c r="N7" s="66" t="s">
        <v>1452</v>
      </c>
      <c r="O7" s="67">
        <f>COUNTA($N$1:FormFields[[#This Row],[Form Name]])-1</f>
        <v>5</v>
      </c>
      <c r="P7" s="65" t="str">
        <f>FormFields[[#This Row],[Form Name]]&amp;"/"&amp;FormFields[[#This Row],[Name]]</f>
        <v>Setting/AddNewSetting/name</v>
      </c>
      <c r="Q7" s="67">
        <f>IF(FormFields[[#This Row],[No]]=0,"id",FormFields[[#This Row],[No]]+IF(ISNUMBER(VLOOKUP('Table Seed Map'!$A$12,SeedMap[],9,0)),VLOOKUP('Table Seed Map'!$A$12,SeedMap[],9,0),0))</f>
        <v>310105</v>
      </c>
      <c r="R7" s="68">
        <f>IFERROR(VLOOKUP(FormFields[[#This Row],[Form Name]],ResourceForms[[FormName]:[ID]],4,0),"resource_form")</f>
        <v>309103</v>
      </c>
      <c r="S7" s="69" t="s">
        <v>23</v>
      </c>
      <c r="T7" s="69" t="s">
        <v>1453</v>
      </c>
      <c r="U7" s="69" t="s">
        <v>1456</v>
      </c>
      <c r="V7" s="70"/>
      <c r="W7" s="70"/>
      <c r="X7" s="70"/>
      <c r="Y7" s="70"/>
      <c r="Z7" s="71" t="str">
        <f>'Table Seed Map'!$A$13&amp;"-"&amp;FormFields[[#This Row],[NO2]]</f>
        <v>Field Data-5</v>
      </c>
      <c r="AA7" s="72">
        <f>COUNTIFS($AB$1:FormFields[[#This Row],[Exists]],1)-1</f>
        <v>5</v>
      </c>
      <c r="AB7" s="72">
        <f>IF(AND(FormFields[[#This Row],[Attribute]]="",FormFields[[#This Row],[Rel]]=""),0,1)</f>
        <v>1</v>
      </c>
      <c r="AC7" s="72">
        <f>IF(FormFields[[#This Row],[NO2]]=0,"id",FormFields[[#This Row],[NO2]]+IF(ISNUMBER(VLOOKUP('Table Seed Map'!$A$13,SeedMap[],9,0)),VLOOKUP('Table Seed Map'!$A$13,SeedMap[],9,0),0))</f>
        <v>311105</v>
      </c>
      <c r="AD7" s="77">
        <f>IF(FormFields[[#This Row],[ID]]="id","form_field",FormFields[[#This Row],[ID]])</f>
        <v>310105</v>
      </c>
      <c r="AE7" s="72" t="str">
        <f>IF(FormFields[[#This Row],[No]]=0,"attribute",FormFields[[#This Row],[Name]])</f>
        <v>name</v>
      </c>
      <c r="AF7" s="73" t="str">
        <f>IF(FormFields[[#This Row],[NO2]]=0,"relation",IF(FormFields[[#This Row],[Rel]]="","",VLOOKUP(FormFields[[#This Row],[Rel]],RelationTable[[Display]:[RELID]],2,0)))</f>
        <v/>
      </c>
      <c r="AG7" s="73" t="str">
        <f>IF(FormFields[[#This Row],[NO2]]=0,"nest_relation1",IF(FormFields[[#This Row],[Rel1]]="","",VLOOKUP(FormFields[[#This Row],[Rel1]],RelationTable[[Display]:[RELID]],2,0)))</f>
        <v/>
      </c>
      <c r="AH7" s="73" t="str">
        <f>IF(FormFields[[#This Row],[NO2]]=0,"nest_relation2",IF(FormFields[[#This Row],[Rel2]]="","",VLOOKUP(FormFields[[#This Row],[Rel2]],RelationTable[[Display]:[RELID]],2,0)))</f>
        <v/>
      </c>
      <c r="AI7" s="73" t="str">
        <f>IF(FormFields[[#This Row],[NO2]]=0,"nest_relation2",IF(FormFields[[#This Row],[Rel2]]="","",VLOOKUP(FormFields[[#This Row],[Rel2]],RelationTable[[Display]:[RELID]],2,0)))</f>
        <v/>
      </c>
      <c r="AJ7" s="67">
        <f>IF(OR(FormFields[[#This Row],[Option Type]]="",FormFields[[#This Row],[Option Type]]="type"),0,1)</f>
        <v>0</v>
      </c>
      <c r="AK7" s="67" t="str">
        <f>'Table Seed Map'!$A$14&amp;"-"&amp;FormFields[[#This Row],[NO4]]</f>
        <v>Field Options-2</v>
      </c>
      <c r="AL7" s="67">
        <f>COUNTIF($AJ$2:FormFields[[#This Row],[Exists FO]],1)</f>
        <v>2</v>
      </c>
      <c r="AM7" s="67">
        <f>IF(FormFields[[#This Row],[NO4]]=0,"id",FormFields[[#This Row],[NO4]]+IF(ISNUMBER(VLOOKUP('Table Seed Map'!$A$14,SeedMap[],9,0)),VLOOKUP('Table Seed Map'!$A$14,SeedMap[],9,0),0))</f>
        <v>312102</v>
      </c>
      <c r="AN7" s="67">
        <f>IF(FormFields[[#This Row],[ID]]="id","form_field",FormFields[[#This Row],[ID]])</f>
        <v>310105</v>
      </c>
      <c r="AO7" s="75"/>
      <c r="AP7" s="75"/>
      <c r="AQ7" s="75"/>
      <c r="AR7" s="75"/>
      <c r="AS7" s="75"/>
      <c r="AT7" s="67">
        <f>IF(OR(FormFields[[#This Row],[Colspan]]="",FormFields[[#This Row],[Colspan]]="colspan"),0,1)</f>
        <v>1</v>
      </c>
      <c r="AU7" s="67" t="str">
        <f>'Table Seed Map'!$A$19&amp;"-"&amp;FormFields[[#This Row],[NO8]]</f>
        <v>Form Layout-1</v>
      </c>
      <c r="AV7" s="67">
        <f>COUNTIF($AT$1:FormFields[[#This Row],[Exists FL]],1)</f>
        <v>1</v>
      </c>
      <c r="AW7" s="67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67">
        <f>FormFields[Form]</f>
        <v>309103</v>
      </c>
      <c r="AY7" s="67">
        <f>IF(FormFields[[#This Row],[ID]]="id","form_field",FormFields[[#This Row],[ID]])</f>
        <v>310105</v>
      </c>
      <c r="AZ7" s="76">
        <v>4</v>
      </c>
      <c r="BA7" s="67">
        <f>FormFields[[#This Row],[ID]]</f>
        <v>310105</v>
      </c>
    </row>
    <row r="8" spans="1:149" x14ac:dyDescent="0.25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4" t="s">
        <v>1301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305113</v>
      </c>
      <c r="G8" s="7" t="s">
        <v>1605</v>
      </c>
      <c r="H8" s="60" t="s">
        <v>1606</v>
      </c>
      <c r="I8" s="7" t="s">
        <v>1607</v>
      </c>
      <c r="J8" s="7" t="s">
        <v>1404</v>
      </c>
      <c r="K8" s="58">
        <f>ResourceForms[ID]</f>
        <v>309106</v>
      </c>
      <c r="M8" s="65" t="str">
        <f>'Table Seed Map'!$A$12&amp;"-"&amp;FormFields[[#This Row],[No]]</f>
        <v>Form Fields-6</v>
      </c>
      <c r="N8" s="66" t="s">
        <v>1452</v>
      </c>
      <c r="O8" s="67">
        <f>COUNTA($N$1:FormFields[[#This Row],[Form Name]])-1</f>
        <v>6</v>
      </c>
      <c r="P8" s="65" t="str">
        <f>FormFields[[#This Row],[Form Name]]&amp;"/"&amp;FormFields[[#This Row],[Name]]</f>
        <v>Setting/AddNewSetting/value</v>
      </c>
      <c r="Q8" s="67">
        <f>IF(FormFields[[#This Row],[No]]=0,"id",FormFields[[#This Row],[No]]+IF(ISNUMBER(VLOOKUP('Table Seed Map'!$A$12,SeedMap[],9,0)),VLOOKUP('Table Seed Map'!$A$12,SeedMap[],9,0),0))</f>
        <v>310106</v>
      </c>
      <c r="R8" s="68">
        <f>IFERROR(VLOOKUP(FormFields[[#This Row],[Form Name]],ResourceForms[[FormName]:[ID]],4,0),"resource_form")</f>
        <v>309103</v>
      </c>
      <c r="S8" s="69" t="s">
        <v>44</v>
      </c>
      <c r="T8" s="69" t="s">
        <v>1453</v>
      </c>
      <c r="U8" s="69" t="s">
        <v>1457</v>
      </c>
      <c r="V8" s="70"/>
      <c r="W8" s="70"/>
      <c r="X8" s="70"/>
      <c r="Y8" s="70"/>
      <c r="Z8" s="71" t="str">
        <f>'Table Seed Map'!$A$13&amp;"-"&amp;FormFields[[#This Row],[NO2]]</f>
        <v>Field Data-6</v>
      </c>
      <c r="AA8" s="72">
        <f>COUNTIFS($AB$1:FormFields[[#This Row],[Exists]],1)-1</f>
        <v>6</v>
      </c>
      <c r="AB8" s="72">
        <f>IF(AND(FormFields[[#This Row],[Attribute]]="",FormFields[[#This Row],[Rel]]=""),0,1)</f>
        <v>1</v>
      </c>
      <c r="AC8" s="72">
        <f>IF(FormFields[[#This Row],[NO2]]=0,"id",FormFields[[#This Row],[NO2]]+IF(ISNUMBER(VLOOKUP('Table Seed Map'!$A$13,SeedMap[],9,0)),VLOOKUP('Table Seed Map'!$A$13,SeedMap[],9,0),0))</f>
        <v>311106</v>
      </c>
      <c r="AD8" s="77">
        <f>IF(FormFields[[#This Row],[ID]]="id","form_field",FormFields[[#This Row],[ID]])</f>
        <v>310106</v>
      </c>
      <c r="AE8" s="72" t="str">
        <f>IF(FormFields[[#This Row],[No]]=0,"attribute",FormFields[[#This Row],[Name]])</f>
        <v>value</v>
      </c>
      <c r="AF8" s="73" t="str">
        <f>IF(FormFields[[#This Row],[NO2]]=0,"relation",IF(FormFields[[#This Row],[Rel]]="","",VLOOKUP(FormFields[[#This Row],[Rel]],RelationTable[[Display]:[RELID]],2,0)))</f>
        <v/>
      </c>
      <c r="AG8" s="73" t="str">
        <f>IF(FormFields[[#This Row],[NO2]]=0,"nest_relation1",IF(FormFields[[#This Row],[Rel1]]="","",VLOOKUP(FormFields[[#This Row],[Rel1]],RelationTable[[Display]:[RELID]],2,0)))</f>
        <v/>
      </c>
      <c r="AH8" s="73" t="str">
        <f>IF(FormFields[[#This Row],[NO2]]=0,"nest_relation2",IF(FormFields[[#This Row],[Rel2]]="","",VLOOKUP(FormFields[[#This Row],[Rel2]],RelationTable[[Display]:[RELID]],2,0)))</f>
        <v/>
      </c>
      <c r="AI8" s="73" t="str">
        <f>IF(FormFields[[#This Row],[NO2]]=0,"nest_relation2",IF(FormFields[[#This Row],[Rel2]]="","",VLOOKUP(FormFields[[#This Row],[Rel2]],RelationTable[[Display]:[RELID]],2,0)))</f>
        <v/>
      </c>
      <c r="AJ8" s="67">
        <f>IF(OR(FormFields[[#This Row],[Option Type]]="",FormFields[[#This Row],[Option Type]]="type"),0,1)</f>
        <v>0</v>
      </c>
      <c r="AK8" s="67" t="str">
        <f>'Table Seed Map'!$A$14&amp;"-"&amp;FormFields[[#This Row],[NO4]]</f>
        <v>Field Options-2</v>
      </c>
      <c r="AL8" s="67">
        <f>COUNTIF($AJ$2:FormFields[[#This Row],[Exists FO]],1)</f>
        <v>2</v>
      </c>
      <c r="AM8" s="67">
        <f>IF(FormFields[[#This Row],[NO4]]=0,"id",FormFields[[#This Row],[NO4]]+IF(ISNUMBER(VLOOKUP('Table Seed Map'!$A$14,SeedMap[],9,0)),VLOOKUP('Table Seed Map'!$A$14,SeedMap[],9,0),0))</f>
        <v>312102</v>
      </c>
      <c r="AN8" s="67">
        <f>IF(FormFields[[#This Row],[ID]]="id","form_field",FormFields[[#This Row],[ID]])</f>
        <v>310106</v>
      </c>
      <c r="AO8" s="75"/>
      <c r="AP8" s="75"/>
      <c r="AQ8" s="75"/>
      <c r="AR8" s="75"/>
      <c r="AS8" s="75"/>
      <c r="AT8" s="67">
        <f>IF(OR(FormFields[[#This Row],[Colspan]]="",FormFields[[#This Row],[Colspan]]="colspan"),0,1)</f>
        <v>1</v>
      </c>
      <c r="AU8" s="67" t="str">
        <f>'Table Seed Map'!$A$19&amp;"-"&amp;FormFields[[#This Row],[NO8]]</f>
        <v>Form Layout-2</v>
      </c>
      <c r="AV8" s="67">
        <f>COUNTIF($AT$1:FormFields[[#This Row],[Exists FL]],1)</f>
        <v>2</v>
      </c>
      <c r="AW8" s="67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67">
        <f>FormFields[Form]</f>
        <v>309103</v>
      </c>
      <c r="AY8" s="67">
        <f>IF(FormFields[[#This Row],[ID]]="id","form_field",FormFields[[#This Row],[ID]])</f>
        <v>310106</v>
      </c>
      <c r="AZ8" s="76">
        <v>4</v>
      </c>
      <c r="BA8" s="67">
        <f>FormFields[[#This Row],[ID]]</f>
        <v>310106</v>
      </c>
    </row>
    <row r="9" spans="1:149" x14ac:dyDescent="0.25">
      <c r="M9" s="65" t="str">
        <f>'Table Seed Map'!$A$12&amp;"-"&amp;FormFields[[#This Row],[No]]</f>
        <v>Form Fields-7</v>
      </c>
      <c r="N9" s="66" t="s">
        <v>1452</v>
      </c>
      <c r="O9" s="67">
        <f>COUNTA($N$1:FormFields[[#This Row],[Form Name]])-1</f>
        <v>7</v>
      </c>
      <c r="P9" s="65" t="str">
        <f>FormFields[[#This Row],[Form Name]]&amp;"/"&amp;FormFields[[#This Row],[Name]]</f>
        <v>Setting/AddNewSetting/status</v>
      </c>
      <c r="Q9" s="67">
        <f>IF(FormFields[[#This Row],[No]]=0,"id",FormFields[[#This Row],[No]]+IF(ISNUMBER(VLOOKUP('Table Seed Map'!$A$12,SeedMap[],9,0)),VLOOKUP('Table Seed Map'!$A$12,SeedMap[],9,0),0))</f>
        <v>310107</v>
      </c>
      <c r="R9" s="68">
        <f>IFERROR(VLOOKUP(FormFields[[#This Row],[Form Name]],ResourceForms[[FormName]:[ID]],4,0),"resource_form")</f>
        <v>309103</v>
      </c>
      <c r="S9" s="69" t="s">
        <v>777</v>
      </c>
      <c r="T9" s="69" t="s">
        <v>1454</v>
      </c>
      <c r="U9" s="69" t="s">
        <v>1399</v>
      </c>
      <c r="V9" s="70"/>
      <c r="W9" s="70"/>
      <c r="X9" s="70"/>
      <c r="Y9" s="70"/>
      <c r="Z9" s="71" t="str">
        <f>'Table Seed Map'!$A$13&amp;"-"&amp;FormFields[[#This Row],[NO2]]</f>
        <v>Field Data-7</v>
      </c>
      <c r="AA9" s="72">
        <f>COUNTIFS($AB$1:FormFields[[#This Row],[Exists]],1)-1</f>
        <v>7</v>
      </c>
      <c r="AB9" s="72">
        <f>IF(AND(FormFields[[#This Row],[Attribute]]="",FormFields[[#This Row],[Rel]]=""),0,1)</f>
        <v>1</v>
      </c>
      <c r="AC9" s="72">
        <f>IF(FormFields[[#This Row],[NO2]]=0,"id",FormFields[[#This Row],[NO2]]+IF(ISNUMBER(VLOOKUP('Table Seed Map'!$A$13,SeedMap[],9,0)),VLOOKUP('Table Seed Map'!$A$13,SeedMap[],9,0),0))</f>
        <v>311107</v>
      </c>
      <c r="AD9" s="77">
        <f>IF(FormFields[[#This Row],[ID]]="id","form_field",FormFields[[#This Row],[ID]])</f>
        <v>310107</v>
      </c>
      <c r="AE9" s="72" t="str">
        <f>IF(FormFields[[#This Row],[No]]=0,"attribute",FormFields[[#This Row],[Name]])</f>
        <v>status</v>
      </c>
      <c r="AF9" s="73" t="str">
        <f>IF(FormFields[[#This Row],[NO2]]=0,"relation",IF(FormFields[[#This Row],[Rel]]="","",VLOOKUP(FormFields[[#This Row],[Rel]],RelationTable[[Display]:[RELID]],2,0)))</f>
        <v/>
      </c>
      <c r="AG9" s="73" t="str">
        <f>IF(FormFields[[#This Row],[NO2]]=0,"nest_relation1",IF(FormFields[[#This Row],[Rel1]]="","",VLOOKUP(FormFields[[#This Row],[Rel1]],RelationTable[[Display]:[RELID]],2,0)))</f>
        <v/>
      </c>
      <c r="AH9" s="73" t="str">
        <f>IF(FormFields[[#This Row],[NO2]]=0,"nest_relation2",IF(FormFields[[#This Row],[Rel2]]="","",VLOOKUP(FormFields[[#This Row],[Rel2]],RelationTable[[Display]:[RELID]],2,0)))</f>
        <v/>
      </c>
      <c r="AI9" s="73" t="str">
        <f>IF(FormFields[[#This Row],[NO2]]=0,"nest_relation2",IF(FormFields[[#This Row],[Rel2]]="","",VLOOKUP(FormFields[[#This Row],[Rel2]],RelationTable[[Display]:[RELID]],2,0)))</f>
        <v/>
      </c>
      <c r="AJ9" s="67">
        <f>IF(OR(FormFields[[#This Row],[Option Type]]="",FormFields[[#This Row],[Option Type]]="type"),0,1)</f>
        <v>1</v>
      </c>
      <c r="AK9" s="67" t="str">
        <f>'Table Seed Map'!$A$14&amp;"-"&amp;FormFields[[#This Row],[NO4]]</f>
        <v>Field Options-3</v>
      </c>
      <c r="AL9" s="67">
        <f>COUNTIF($AJ$2:FormFields[[#This Row],[Exists FO]],1)</f>
        <v>3</v>
      </c>
      <c r="AM9" s="67">
        <f>IF(FormFields[[#This Row],[NO4]]=0,"id",FormFields[[#This Row],[NO4]]+IF(ISNUMBER(VLOOKUP('Table Seed Map'!$A$14,SeedMap[],9,0)),VLOOKUP('Table Seed Map'!$A$14,SeedMap[],9,0),0))</f>
        <v>312103</v>
      </c>
      <c r="AN9" s="67">
        <f>IF(FormFields[[#This Row],[ID]]="id","form_field",FormFields[[#This Row],[ID]])</f>
        <v>310107</v>
      </c>
      <c r="AO9" s="75" t="s">
        <v>1556</v>
      </c>
      <c r="AP9" s="75"/>
      <c r="AQ9" s="75"/>
      <c r="AR9" s="75"/>
      <c r="AS9" s="75"/>
      <c r="AT9" s="67">
        <f>IF(OR(FormFields[[#This Row],[Colspan]]="",FormFields[[#This Row],[Colspan]]="colspan"),0,1)</f>
        <v>1</v>
      </c>
      <c r="AU9" s="67" t="str">
        <f>'Table Seed Map'!$A$19&amp;"-"&amp;FormFields[[#This Row],[NO8]]</f>
        <v>Form Layout-3</v>
      </c>
      <c r="AV9" s="67">
        <f>COUNTIF($AT$1:FormFields[[#This Row],[Exists FL]],1)</f>
        <v>3</v>
      </c>
      <c r="AW9" s="67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67">
        <f>FormFields[Form]</f>
        <v>309103</v>
      </c>
      <c r="AY9" s="67">
        <f>IF(FormFields[[#This Row],[ID]]="id","form_field",FormFields[[#This Row],[ID]])</f>
        <v>310107</v>
      </c>
      <c r="AZ9" s="76">
        <v>4</v>
      </c>
      <c r="BA9" s="67">
        <f>FormFields[[#This Row],[ID]]</f>
        <v>310107</v>
      </c>
    </row>
    <row r="10" spans="1:149" x14ac:dyDescent="0.25">
      <c r="M10" s="65" t="str">
        <f>'Table Seed Map'!$A$12&amp;"-"&amp;FormFields[[#This Row],[No]]</f>
        <v>Form Fields-8</v>
      </c>
      <c r="N10" s="66" t="s">
        <v>1452</v>
      </c>
      <c r="O10" s="67">
        <f>COUNTA($N$1:FormFields[[#This Row],[Form Name]])-1</f>
        <v>8</v>
      </c>
      <c r="P10" s="65" t="str">
        <f>FormFields[[#This Row],[Form Name]]&amp;"/"&amp;FormFields[[#This Row],[Name]]</f>
        <v>Setting/AddNewSetting/description</v>
      </c>
      <c r="Q10" s="67">
        <f>IF(FormFields[[#This Row],[No]]=0,"id",FormFields[[#This Row],[No]]+IF(ISNUMBER(VLOOKUP('Table Seed Map'!$A$12,SeedMap[],9,0)),VLOOKUP('Table Seed Map'!$A$12,SeedMap[],9,0),0))</f>
        <v>310108</v>
      </c>
      <c r="R10" s="68">
        <f>IFERROR(VLOOKUP(FormFields[[#This Row],[Form Name]],ResourceForms[[FormName]:[ID]],4,0),"resource_form")</f>
        <v>309103</v>
      </c>
      <c r="S10" s="89" t="s">
        <v>24</v>
      </c>
      <c r="T10" s="89" t="s">
        <v>1455</v>
      </c>
      <c r="U10" s="89" t="s">
        <v>102</v>
      </c>
      <c r="V10" s="70"/>
      <c r="W10" s="70"/>
      <c r="X10" s="70"/>
      <c r="Y10" s="70"/>
      <c r="Z10" s="71" t="str">
        <f>'Table Seed Map'!$A$13&amp;"-"&amp;FormFields[[#This Row],[NO2]]</f>
        <v>Field Data-8</v>
      </c>
      <c r="AA10" s="72">
        <f>COUNTIFS($AB$1:FormFields[[#This Row],[Exists]],1)-1</f>
        <v>8</v>
      </c>
      <c r="AB10" s="72">
        <f>IF(AND(FormFields[[#This Row],[Attribute]]="",FormFields[[#This Row],[Rel]]=""),0,1)</f>
        <v>1</v>
      </c>
      <c r="AC10" s="72">
        <f>IF(FormFields[[#This Row],[NO2]]=0,"id",FormFields[[#This Row],[NO2]]+IF(ISNUMBER(VLOOKUP('Table Seed Map'!$A$13,SeedMap[],9,0)),VLOOKUP('Table Seed Map'!$A$13,SeedMap[],9,0),0))</f>
        <v>311108</v>
      </c>
      <c r="AD10" s="77">
        <f>IF(FormFields[[#This Row],[ID]]="id","form_field",FormFields[[#This Row],[ID]])</f>
        <v>310108</v>
      </c>
      <c r="AE10" s="72" t="str">
        <f>IF(FormFields[[#This Row],[No]]=0,"attribute",FormFields[[#This Row],[Name]])</f>
        <v>description</v>
      </c>
      <c r="AF10" s="73" t="str">
        <f>IF(FormFields[[#This Row],[NO2]]=0,"relation",IF(FormFields[[#This Row],[Rel]]="","",VLOOKUP(FormFields[[#This Row],[Rel]],RelationTable[[Display]:[RELID]],2,0)))</f>
        <v/>
      </c>
      <c r="AG10" s="73" t="str">
        <f>IF(FormFields[[#This Row],[NO2]]=0,"nest_relation1",IF(FormFields[[#This Row],[Rel1]]="","",VLOOKUP(FormFields[[#This Row],[Rel1]],RelationTable[[Display]:[RELID]],2,0)))</f>
        <v/>
      </c>
      <c r="AH10" s="73" t="str">
        <f>IF(FormFields[[#This Row],[NO2]]=0,"nest_relation2",IF(FormFields[[#This Row],[Rel2]]="","",VLOOKUP(FormFields[[#This Row],[Rel2]],RelationTable[[Display]:[RELID]],2,0)))</f>
        <v/>
      </c>
      <c r="AI10" s="73" t="str">
        <f>IF(FormFields[[#This Row],[NO2]]=0,"nest_relation2",IF(FormFields[[#This Row],[Rel2]]="","",VLOOKUP(FormFields[[#This Row],[Rel2]],RelationTable[[Display]:[RELID]],2,0)))</f>
        <v/>
      </c>
      <c r="AJ10" s="67">
        <f>IF(OR(FormFields[[#This Row],[Option Type]]="",FormFields[[#This Row],[Option Type]]="type"),0,1)</f>
        <v>0</v>
      </c>
      <c r="AK10" s="67" t="str">
        <f>'Table Seed Map'!$A$14&amp;"-"&amp;FormFields[[#This Row],[NO4]]</f>
        <v>Field Options-3</v>
      </c>
      <c r="AL10" s="67">
        <f>COUNTIF($AJ$2:FormFields[[#This Row],[Exists FO]],1)</f>
        <v>3</v>
      </c>
      <c r="AM10" s="67">
        <f>IF(FormFields[[#This Row],[NO4]]=0,"id",FormFields[[#This Row],[NO4]]+IF(ISNUMBER(VLOOKUP('Table Seed Map'!$A$14,SeedMap[],9,0)),VLOOKUP('Table Seed Map'!$A$14,SeedMap[],9,0),0))</f>
        <v>312103</v>
      </c>
      <c r="AN10" s="67">
        <f>IF(FormFields[[#This Row],[ID]]="id","form_field",FormFields[[#This Row],[ID]])</f>
        <v>310108</v>
      </c>
      <c r="AO10" s="75"/>
      <c r="AP10" s="75"/>
      <c r="AQ10" s="75"/>
      <c r="AR10" s="75"/>
      <c r="AS10" s="75"/>
      <c r="AT10" s="67">
        <f>IF(OR(FormFields[[#This Row],[Colspan]]="",FormFields[[#This Row],[Colspan]]="colspan"),0,1)</f>
        <v>1</v>
      </c>
      <c r="AU10" s="67" t="str">
        <f>'Table Seed Map'!$A$19&amp;"-"&amp;FormFields[[#This Row],[NO8]]</f>
        <v>Form Layout-4</v>
      </c>
      <c r="AV10" s="67">
        <f>COUNTIF($AT$1:FormFields[[#This Row],[Exists FL]],1)</f>
        <v>4</v>
      </c>
      <c r="AW10" s="67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67">
        <f>FormFields[Form]</f>
        <v>309103</v>
      </c>
      <c r="AY10" s="67">
        <f>IF(FormFields[[#This Row],[ID]]="id","form_field",FormFields[[#This Row],[ID]])</f>
        <v>310108</v>
      </c>
      <c r="AZ10" s="76">
        <v>12</v>
      </c>
      <c r="BA10" s="67">
        <f>FormFields[[#This Row],[ID]]</f>
        <v>310108</v>
      </c>
    </row>
    <row r="11" spans="1:149" x14ac:dyDescent="0.25">
      <c r="M11" s="65" t="str">
        <f>'Table Seed Map'!$A$12&amp;"-"&amp;FormFields[[#This Row],[No]]</f>
        <v>Form Fields-9</v>
      </c>
      <c r="N11" s="66" t="s">
        <v>1543</v>
      </c>
      <c r="O11" s="67">
        <f>COUNTA($N$1:FormFields[[#This Row],[Form Name]])-1</f>
        <v>9</v>
      </c>
      <c r="P11" s="65" t="str">
        <f>FormFields[[#This Row],[Form Name]]&amp;"/"&amp;FormFields[[#This Row],[Name]]</f>
        <v>UserSetting/AddNewUserSetting/user</v>
      </c>
      <c r="Q11" s="67">
        <f>IF(FormFields[[#This Row],[No]]=0,"id",FormFields[[#This Row],[No]]+IF(ISNUMBER(VLOOKUP('Table Seed Map'!$A$12,SeedMap[],9,0)),VLOOKUP('Table Seed Map'!$A$12,SeedMap[],9,0),0))</f>
        <v>310109</v>
      </c>
      <c r="R11" s="68">
        <f>IFERROR(VLOOKUP(FormFields[[#This Row],[Form Name]],ResourceForms[[FormName]:[ID]],4,0),"resource_form")</f>
        <v>309104</v>
      </c>
      <c r="S11" s="69" t="s">
        <v>64</v>
      </c>
      <c r="T11" s="69" t="s">
        <v>1454</v>
      </c>
      <c r="U11" s="69" t="s">
        <v>74</v>
      </c>
      <c r="V11" s="70"/>
      <c r="W11" s="70"/>
      <c r="X11" s="70"/>
      <c r="Y11" s="70"/>
      <c r="Z11" s="71" t="str">
        <f>'Table Seed Map'!$A$13&amp;"-"&amp;FormFields[[#This Row],[NO2]]</f>
        <v>Field Data-9</v>
      </c>
      <c r="AA11" s="72">
        <f>COUNTIFS($AB$1:FormFields[[#This Row],[Exists]],1)-1</f>
        <v>9</v>
      </c>
      <c r="AB11" s="72">
        <f>IF(AND(FormFields[[#This Row],[Attribute]]="",FormFields[[#This Row],[Rel]]=""),0,1)</f>
        <v>1</v>
      </c>
      <c r="AC11" s="72">
        <f>IF(FormFields[[#This Row],[NO2]]=0,"id",FormFields[[#This Row],[NO2]]+IF(ISNUMBER(VLOOKUP('Table Seed Map'!$A$13,SeedMap[],9,0)),VLOOKUP('Table Seed Map'!$A$13,SeedMap[],9,0),0))</f>
        <v>311109</v>
      </c>
      <c r="AD11" s="77">
        <f>IF(FormFields[[#This Row],[ID]]="id","form_field",FormFields[[#This Row],[ID]])</f>
        <v>310109</v>
      </c>
      <c r="AE11" s="72" t="str">
        <f>IF(FormFields[[#This Row],[No]]=0,"attribute",FormFields[[#This Row],[Name]])</f>
        <v>user</v>
      </c>
      <c r="AF11" s="73" t="str">
        <f>IF(FormFields[[#This Row],[NO2]]=0,"relation",IF(FormFields[[#This Row],[Rel]]="","",VLOOKUP(FormFields[[#This Row],[Rel]],RelationTable[[Display]:[RELID]],2,0)))</f>
        <v/>
      </c>
      <c r="AG11" s="73" t="str">
        <f>IF(FormFields[[#This Row],[NO2]]=0,"nest_relation1",IF(FormFields[[#This Row],[Rel1]]="","",VLOOKUP(FormFields[[#This Row],[Rel1]],RelationTable[[Display]:[RELID]],2,0)))</f>
        <v/>
      </c>
      <c r="AH11" s="73" t="str">
        <f>IF(FormFields[[#This Row],[NO2]]=0,"nest_relation2",IF(FormFields[[#This Row],[Rel2]]="","",VLOOKUP(FormFields[[#This Row],[Rel2]],RelationTable[[Display]:[RELID]],2,0)))</f>
        <v/>
      </c>
      <c r="AI11" s="73" t="str">
        <f>IF(FormFields[[#This Row],[NO2]]=0,"nest_relation2",IF(FormFields[[#This Row],[Rel2]]="","",VLOOKUP(FormFields[[#This Row],[Rel2]],RelationTable[[Display]:[RELID]],2,0)))</f>
        <v/>
      </c>
      <c r="AJ11" s="67">
        <f>IF(OR(FormFields[[#This Row],[Option Type]]="",FormFields[[#This Row],[Option Type]]="type"),0,1)</f>
        <v>1</v>
      </c>
      <c r="AK11" s="67" t="str">
        <f>'Table Seed Map'!$A$14&amp;"-"&amp;FormFields[[#This Row],[NO4]]</f>
        <v>Field Options-4</v>
      </c>
      <c r="AL11" s="67">
        <f>COUNTIF($AJ$2:FormFields[[#This Row],[Exists FO]],1)</f>
        <v>4</v>
      </c>
      <c r="AM11" s="67">
        <f>IF(FormFields[[#This Row],[NO4]]=0,"id",FormFields[[#This Row],[NO4]]+IF(ISNUMBER(VLOOKUP('Table Seed Map'!$A$14,SeedMap[],9,0)),VLOOKUP('Table Seed Map'!$A$14,SeedMap[],9,0),0))</f>
        <v>312104</v>
      </c>
      <c r="AN11" s="67">
        <f>IF(FormFields[[#This Row],[ID]]="id","form_field",FormFields[[#This Row],[ID]])</f>
        <v>310109</v>
      </c>
      <c r="AO11" s="75" t="s">
        <v>122</v>
      </c>
      <c r="AP11" s="75">
        <v>322106</v>
      </c>
      <c r="AQ11" s="75" t="s">
        <v>21</v>
      </c>
      <c r="AR11" s="75" t="s">
        <v>23</v>
      </c>
      <c r="AS11" s="75" t="s">
        <v>1555</v>
      </c>
      <c r="AT11" s="67">
        <f>IF(OR(FormFields[[#This Row],[Colspan]]="",FormFields[[#This Row],[Colspan]]="colspan"),0,1)</f>
        <v>1</v>
      </c>
      <c r="AU11" s="67" t="str">
        <f>'Table Seed Map'!$A$19&amp;"-"&amp;FormFields[[#This Row],[NO8]]</f>
        <v>Form Layout-5</v>
      </c>
      <c r="AV11" s="67">
        <f>COUNTIF($AT$1:FormFields[[#This Row],[Exists FL]],1)</f>
        <v>5</v>
      </c>
      <c r="AW11" s="67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67">
        <f>FormFields[Form]</f>
        <v>309104</v>
      </c>
      <c r="AY11" s="67">
        <f>IF(FormFields[[#This Row],[ID]]="id","form_field",FormFields[[#This Row],[ID]])</f>
        <v>310109</v>
      </c>
      <c r="AZ11" s="76">
        <v>6</v>
      </c>
      <c r="BA11" s="67">
        <f>FormFields[[#This Row],[ID]]</f>
        <v>310109</v>
      </c>
    </row>
    <row r="12" spans="1:149" x14ac:dyDescent="0.25">
      <c r="M12" s="65" t="str">
        <f>'Table Seed Map'!$A$12&amp;"-"&amp;FormFields[[#This Row],[No]]</f>
        <v>Form Fields-10</v>
      </c>
      <c r="N12" s="66" t="s">
        <v>1543</v>
      </c>
      <c r="O12" s="67">
        <f>COUNTA($N$1:FormFields[[#This Row],[Form Name]])-1</f>
        <v>10</v>
      </c>
      <c r="P12" s="65" t="str">
        <f>FormFields[[#This Row],[Form Name]]&amp;"/"&amp;FormFields[[#This Row],[Name]]</f>
        <v>UserSetting/AddNewUserSetting/setting</v>
      </c>
      <c r="Q12" s="67">
        <f>IF(FormFields[[#This Row],[No]]=0,"id",FormFields[[#This Row],[No]]+IF(ISNUMBER(VLOOKUP('Table Seed Map'!$A$12,SeedMap[],9,0)),VLOOKUP('Table Seed Map'!$A$12,SeedMap[],9,0),0))</f>
        <v>310110</v>
      </c>
      <c r="R12" s="68">
        <f>IFERROR(VLOOKUP(FormFields[[#This Row],[Form Name]],ResourceForms[[FormName]:[ID]],4,0),"resource_form")</f>
        <v>309104</v>
      </c>
      <c r="S12" s="69" t="s">
        <v>1287</v>
      </c>
      <c r="T12" s="69" t="s">
        <v>1454</v>
      </c>
      <c r="U12" s="69" t="s">
        <v>1291</v>
      </c>
      <c r="V12" s="70"/>
      <c r="W12" s="70"/>
      <c r="X12" s="70"/>
      <c r="Y12" s="70"/>
      <c r="Z12" s="71" t="str">
        <f>'Table Seed Map'!$A$13&amp;"-"&amp;FormFields[[#This Row],[NO2]]</f>
        <v>Field Data-10</v>
      </c>
      <c r="AA12" s="72">
        <f>COUNTIFS($AB$1:FormFields[[#This Row],[Exists]],1)-1</f>
        <v>10</v>
      </c>
      <c r="AB12" s="72">
        <f>IF(AND(FormFields[[#This Row],[Attribute]]="",FormFields[[#This Row],[Rel]]=""),0,1)</f>
        <v>1</v>
      </c>
      <c r="AC12" s="72">
        <f>IF(FormFields[[#This Row],[NO2]]=0,"id",FormFields[[#This Row],[NO2]]+IF(ISNUMBER(VLOOKUP('Table Seed Map'!$A$13,SeedMap[],9,0)),VLOOKUP('Table Seed Map'!$A$13,SeedMap[],9,0),0))</f>
        <v>311110</v>
      </c>
      <c r="AD12" s="77">
        <f>IF(FormFields[[#This Row],[ID]]="id","form_field",FormFields[[#This Row],[ID]])</f>
        <v>310110</v>
      </c>
      <c r="AE12" s="72" t="str">
        <f>IF(FormFields[[#This Row],[No]]=0,"attribute",FormFields[[#This Row],[Name]])</f>
        <v>setting</v>
      </c>
      <c r="AF12" s="73" t="str">
        <f>IF(FormFields[[#This Row],[NO2]]=0,"relation",IF(FormFields[[#This Row],[Rel]]="","",VLOOKUP(FormFields[[#This Row],[Rel]],RelationTable[[Display]:[RELID]],2,0)))</f>
        <v/>
      </c>
      <c r="AG12" s="73" t="str">
        <f>IF(FormFields[[#This Row],[NO2]]=0,"nest_relation1",IF(FormFields[[#This Row],[Rel1]]="","",VLOOKUP(FormFields[[#This Row],[Rel1]],RelationTable[[Display]:[RELID]],2,0)))</f>
        <v/>
      </c>
      <c r="AH12" s="73" t="str">
        <f>IF(FormFields[[#This Row],[NO2]]=0,"nest_relation2",IF(FormFields[[#This Row],[Rel2]]="","",VLOOKUP(FormFields[[#This Row],[Rel2]],RelationTable[[Display]:[RELID]],2,0)))</f>
        <v/>
      </c>
      <c r="AI12" s="73" t="str">
        <f>IF(FormFields[[#This Row],[NO2]]=0,"nest_relation2",IF(FormFields[[#This Row],[Rel2]]="","",VLOOKUP(FormFields[[#This Row],[Rel2]],RelationTable[[Display]:[RELID]],2,0)))</f>
        <v/>
      </c>
      <c r="AJ12" s="67">
        <f>IF(OR(FormFields[[#This Row],[Option Type]]="",FormFields[[#This Row],[Option Type]]="type"),0,1)</f>
        <v>1</v>
      </c>
      <c r="AK12" s="67" t="str">
        <f>'Table Seed Map'!$A$14&amp;"-"&amp;FormFields[[#This Row],[NO4]]</f>
        <v>Field Options-5</v>
      </c>
      <c r="AL12" s="67">
        <f>COUNTIF($AJ$2:FormFields[[#This Row],[Exists FO]],1)</f>
        <v>5</v>
      </c>
      <c r="AM12" s="67">
        <f>IF(FormFields[[#This Row],[NO4]]=0,"id",FormFields[[#This Row],[NO4]]+IF(ISNUMBER(VLOOKUP('Table Seed Map'!$A$14,SeedMap[],9,0)),VLOOKUP('Table Seed Map'!$A$14,SeedMap[],9,0),0))</f>
        <v>312105</v>
      </c>
      <c r="AN12" s="67">
        <f>IF(FormFields[[#This Row],[ID]]="id","form_field",FormFields[[#This Row],[ID]])</f>
        <v>310110</v>
      </c>
      <c r="AO12" s="75" t="s">
        <v>278</v>
      </c>
      <c r="AP12" s="75"/>
      <c r="AQ12" s="75" t="s">
        <v>21</v>
      </c>
      <c r="AR12" s="75" t="s">
        <v>23</v>
      </c>
      <c r="AS12" s="75" t="s">
        <v>1555</v>
      </c>
      <c r="AT12" s="67">
        <f>IF(OR(FormFields[[#This Row],[Colspan]]="",FormFields[[#This Row],[Colspan]]="colspan"),0,1)</f>
        <v>1</v>
      </c>
      <c r="AU12" s="67" t="str">
        <f>'Table Seed Map'!$A$19&amp;"-"&amp;FormFields[[#This Row],[NO8]]</f>
        <v>Form Layout-6</v>
      </c>
      <c r="AV12" s="67">
        <f>COUNTIF($AT$1:FormFields[[#This Row],[Exists FL]],1)</f>
        <v>6</v>
      </c>
      <c r="AW12" s="67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67">
        <f>FormFields[Form]</f>
        <v>309104</v>
      </c>
      <c r="AY12" s="67">
        <f>IF(FormFields[[#This Row],[ID]]="id","form_field",FormFields[[#This Row],[ID]])</f>
        <v>310110</v>
      </c>
      <c r="AZ12" s="76">
        <v>6</v>
      </c>
      <c r="BA12" s="67">
        <f>FormFields[[#This Row],[ID]]</f>
        <v>310110</v>
      </c>
    </row>
    <row r="13" spans="1:149" x14ac:dyDescent="0.25">
      <c r="M13" s="65" t="str">
        <f>'Table Seed Map'!$A$12&amp;"-"&amp;FormFields[[#This Row],[No]]</f>
        <v>Form Fields-11</v>
      </c>
      <c r="N13" s="66" t="s">
        <v>1543</v>
      </c>
      <c r="O13" s="67">
        <f>COUNTA($N$1:FormFields[[#This Row],[Form Name]])-1</f>
        <v>11</v>
      </c>
      <c r="P13" s="65" t="str">
        <f>FormFields[[#This Row],[Form Name]]&amp;"/"&amp;FormFields[[#This Row],[Name]]</f>
        <v>UserSetting/AddNewUserSetting/value</v>
      </c>
      <c r="Q13" s="67">
        <f>IF(FormFields[[#This Row],[No]]=0,"id",FormFields[[#This Row],[No]]+IF(ISNUMBER(VLOOKUP('Table Seed Map'!$A$12,SeedMap[],9,0)),VLOOKUP('Table Seed Map'!$A$12,SeedMap[],9,0),0))</f>
        <v>310111</v>
      </c>
      <c r="R13" s="68">
        <f>IFERROR(VLOOKUP(FormFields[[#This Row],[Form Name]],ResourceForms[[FormName]:[ID]],4,0),"resource_form")</f>
        <v>309104</v>
      </c>
      <c r="S13" s="69" t="s">
        <v>44</v>
      </c>
      <c r="T13" s="69" t="s">
        <v>1453</v>
      </c>
      <c r="U13" s="69" t="s">
        <v>276</v>
      </c>
      <c r="V13" s="70"/>
      <c r="W13" s="70"/>
      <c r="X13" s="70"/>
      <c r="Y13" s="70"/>
      <c r="Z13" s="71" t="str">
        <f>'Table Seed Map'!$A$13&amp;"-"&amp;FormFields[[#This Row],[NO2]]</f>
        <v>Field Data-11</v>
      </c>
      <c r="AA13" s="72">
        <f>COUNTIFS($AB$1:FormFields[[#This Row],[Exists]],1)-1</f>
        <v>11</v>
      </c>
      <c r="AB13" s="72">
        <f>IF(AND(FormFields[[#This Row],[Attribute]]="",FormFields[[#This Row],[Rel]]=""),0,1)</f>
        <v>1</v>
      </c>
      <c r="AC13" s="72">
        <f>IF(FormFields[[#This Row],[NO2]]=0,"id",FormFields[[#This Row],[NO2]]+IF(ISNUMBER(VLOOKUP('Table Seed Map'!$A$13,SeedMap[],9,0)),VLOOKUP('Table Seed Map'!$A$13,SeedMap[],9,0),0))</f>
        <v>311111</v>
      </c>
      <c r="AD13" s="77">
        <f>IF(FormFields[[#This Row],[ID]]="id","form_field",FormFields[[#This Row],[ID]])</f>
        <v>310111</v>
      </c>
      <c r="AE13" s="72" t="str">
        <f>IF(FormFields[[#This Row],[No]]=0,"attribute",FormFields[[#This Row],[Name]])</f>
        <v>value</v>
      </c>
      <c r="AF13" s="73" t="str">
        <f>IF(FormFields[[#This Row],[NO2]]=0,"relation",IF(FormFields[[#This Row],[Rel]]="","",VLOOKUP(FormFields[[#This Row],[Rel]],RelationTable[[Display]:[RELID]],2,0)))</f>
        <v/>
      </c>
      <c r="AG13" s="73" t="str">
        <f>IF(FormFields[[#This Row],[NO2]]=0,"nest_relation1",IF(FormFields[[#This Row],[Rel1]]="","",VLOOKUP(FormFields[[#This Row],[Rel1]],RelationTable[[Display]:[RELID]],2,0)))</f>
        <v/>
      </c>
      <c r="AH13" s="73" t="str">
        <f>IF(FormFields[[#This Row],[NO2]]=0,"nest_relation2",IF(FormFields[[#This Row],[Rel2]]="","",VLOOKUP(FormFields[[#This Row],[Rel2]],RelationTable[[Display]:[RELID]],2,0)))</f>
        <v/>
      </c>
      <c r="AI13" s="73" t="str">
        <f>IF(FormFields[[#This Row],[NO2]]=0,"nest_relation2",IF(FormFields[[#This Row],[Rel2]]="","",VLOOKUP(FormFields[[#This Row],[Rel2]],RelationTable[[Display]:[RELID]],2,0)))</f>
        <v/>
      </c>
      <c r="AJ13" s="67">
        <f>IF(OR(FormFields[[#This Row],[Option Type]]="",FormFields[[#This Row],[Option Type]]="type"),0,1)</f>
        <v>0</v>
      </c>
      <c r="AK13" s="67" t="str">
        <f>'Table Seed Map'!$A$14&amp;"-"&amp;FormFields[[#This Row],[NO4]]</f>
        <v>Field Options-5</v>
      </c>
      <c r="AL13" s="67">
        <f>COUNTIF($AJ$2:FormFields[[#This Row],[Exists FO]],1)</f>
        <v>5</v>
      </c>
      <c r="AM13" s="67">
        <f>IF(FormFields[[#This Row],[NO4]]=0,"id",FormFields[[#This Row],[NO4]]+IF(ISNUMBER(VLOOKUP('Table Seed Map'!$A$14,SeedMap[],9,0)),VLOOKUP('Table Seed Map'!$A$14,SeedMap[],9,0),0))</f>
        <v>312105</v>
      </c>
      <c r="AN13" s="67">
        <f>IF(FormFields[[#This Row],[ID]]="id","form_field",FormFields[[#This Row],[ID]])</f>
        <v>310111</v>
      </c>
      <c r="AO13" s="75"/>
      <c r="AP13" s="75"/>
      <c r="AQ13" s="75"/>
      <c r="AR13" s="75"/>
      <c r="AS13" s="75"/>
      <c r="AT13" s="67">
        <f>IF(OR(FormFields[[#This Row],[Colspan]]="",FormFields[[#This Row],[Colspan]]="colspan"),0,1)</f>
        <v>1</v>
      </c>
      <c r="AU13" s="67" t="str">
        <f>'Table Seed Map'!$A$19&amp;"-"&amp;FormFields[[#This Row],[NO8]]</f>
        <v>Form Layout-7</v>
      </c>
      <c r="AV13" s="67">
        <f>COUNTIF($AT$1:FormFields[[#This Row],[Exists FL]],1)</f>
        <v>7</v>
      </c>
      <c r="AW13" s="67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67">
        <f>FormFields[Form]</f>
        <v>309104</v>
      </c>
      <c r="AY13" s="67">
        <f>IF(FormFields[[#This Row],[ID]]="id","form_field",FormFields[[#This Row],[ID]])</f>
        <v>310111</v>
      </c>
      <c r="AZ13" s="76">
        <v>12</v>
      </c>
      <c r="BA13" s="67">
        <f>FormFields[[#This Row],[ID]]</f>
        <v>310111</v>
      </c>
    </row>
    <row r="14" spans="1:149" x14ac:dyDescent="0.25">
      <c r="M14" s="93" t="str">
        <f>'Table Seed Map'!$A$12&amp;"-"&amp;FormFields[[#This Row],[No]]</f>
        <v>Form Fields-12</v>
      </c>
      <c r="N14" s="66" t="s">
        <v>1586</v>
      </c>
      <c r="O14" s="38">
        <f>COUNTA($N$1:FormFields[[#This Row],[Form Name]])-1</f>
        <v>12</v>
      </c>
      <c r="P14" s="93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97">
        <f>IFERROR(VLOOKUP(FormFields[[#This Row],[Form Name]],ResourceForms[[FormName]:[ID]],4,0),"resource_form")</f>
        <v>309105</v>
      </c>
      <c r="S14" s="98" t="s">
        <v>777</v>
      </c>
      <c r="T14" s="98" t="s">
        <v>1454</v>
      </c>
      <c r="U14" s="98" t="s">
        <v>1587</v>
      </c>
      <c r="V14" s="99"/>
      <c r="W14" s="99"/>
      <c r="X14" s="99"/>
      <c r="Y14" s="99"/>
      <c r="Z14" s="100" t="str">
        <f>'Table Seed Map'!$A$13&amp;"-"&amp;FormFields[[#This Row],[NO2]]</f>
        <v>Field Data-12</v>
      </c>
      <c r="AA14" s="101">
        <f>COUNTIFS($AB$1:FormFields[[#This Row],[Exists]],1)-1</f>
        <v>12</v>
      </c>
      <c r="AB14" s="101">
        <f>IF(AND(FormFields[[#This Row],[Attribute]]="",FormFields[[#This Row],[Rel]]=""),0,1)</f>
        <v>1</v>
      </c>
      <c r="AC14" s="101">
        <f>IF(FormFields[[#This Row],[NO2]]=0,"id",FormFields[[#This Row],[NO2]]+IF(ISNUMBER(VLOOKUP('Table Seed Map'!$A$13,SeedMap[],9,0)),VLOOKUP('Table Seed Map'!$A$13,SeedMap[],9,0),0))</f>
        <v>311112</v>
      </c>
      <c r="AD14" s="102">
        <f>IF(FormFields[[#This Row],[ID]]="id","form_field",FormFields[[#This Row],[ID]])</f>
        <v>310112</v>
      </c>
      <c r="AE14" s="101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3" t="s">
        <v>1556</v>
      </c>
      <c r="AP14" s="103"/>
      <c r="AQ14" s="103"/>
      <c r="AR14" s="103"/>
      <c r="AS14" s="103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FormFields[Form]</f>
        <v>309105</v>
      </c>
      <c r="AY14" s="38">
        <f>IF(FormFields[[#This Row],[ID]]="id","form_field",FormFields[[#This Row],[ID]])</f>
        <v>310112</v>
      </c>
      <c r="AZ14" s="104"/>
      <c r="BA14" s="38">
        <f>FormFields[[#This Row],[ID]]</f>
        <v>310112</v>
      </c>
    </row>
    <row r="15" spans="1:149" x14ac:dyDescent="0.25">
      <c r="M15" s="65" t="str">
        <f>'Table Seed Map'!$A$12&amp;"-"&amp;FormFields[[#This Row],[No]]</f>
        <v>Form Fields-13</v>
      </c>
      <c r="N15" s="66" t="s">
        <v>1608</v>
      </c>
      <c r="O15" s="67">
        <f>COUNTA($N$1:FormFields[[#This Row],[Form Name]])-1</f>
        <v>13</v>
      </c>
      <c r="P15" s="65" t="str">
        <f>FormFields[[#This Row],[Form Name]]&amp;"/"&amp;FormFields[[#This Row],[Name]]</f>
        <v>UserStoreArea/AddUserStoreAreaForm/user</v>
      </c>
      <c r="Q15" s="67">
        <f>IF(FormFields[[#This Row],[No]]=0,"id",FormFields[[#This Row],[No]]+IF(ISNUMBER(VLOOKUP('Table Seed Map'!$A$12,SeedMap[],9,0)),VLOOKUP('Table Seed Map'!$A$12,SeedMap[],9,0),0))</f>
        <v>310113</v>
      </c>
      <c r="R15" s="68">
        <f>IFERROR(VLOOKUP(FormFields[[#This Row],[Form Name]],ResourceForms[[FormName]:[ID]],4,0),"resource_form")</f>
        <v>309106</v>
      </c>
      <c r="S15" s="69" t="s">
        <v>64</v>
      </c>
      <c r="T15" s="69" t="s">
        <v>1454</v>
      </c>
      <c r="U15" s="69" t="s">
        <v>1609</v>
      </c>
      <c r="V15" s="70"/>
      <c r="W15" s="70"/>
      <c r="X15" s="70"/>
      <c r="Y15" s="70"/>
      <c r="Z15" s="71" t="str">
        <f>'Table Seed Map'!$A$13&amp;"-"&amp;FormFields[[#This Row],[NO2]]</f>
        <v>Field Data-13</v>
      </c>
      <c r="AA15" s="72">
        <f>COUNTIFS($AB$1:FormFields[[#This Row],[Exists]],1)-1</f>
        <v>13</v>
      </c>
      <c r="AB15" s="72">
        <f>IF(AND(FormFields[[#This Row],[Attribute]]="",FormFields[[#This Row],[Rel]]=""),0,1)</f>
        <v>1</v>
      </c>
      <c r="AC15" s="72">
        <f>IF(FormFields[[#This Row],[NO2]]=0,"id",FormFields[[#This Row],[NO2]]+IF(ISNUMBER(VLOOKUP('Table Seed Map'!$A$13,SeedMap[],9,0)),VLOOKUP('Table Seed Map'!$A$13,SeedMap[],9,0),0))</f>
        <v>311113</v>
      </c>
      <c r="AD15" s="77">
        <f>IF(FormFields[[#This Row],[ID]]="id","form_field",FormFields[[#This Row],[ID]])</f>
        <v>310113</v>
      </c>
      <c r="AE15" s="72" t="str">
        <f>IF(FormFields[[#This Row],[No]]=0,"attribute",FormFields[[#This Row],[Name]])</f>
        <v>user</v>
      </c>
      <c r="AF15" s="73" t="str">
        <f>IF(FormFields[[#This Row],[NO2]]=0,"relation",IF(FormFields[[#This Row],[Rel]]="","",VLOOKUP(FormFields[[#This Row],[Rel]],RelationTable[[Display]:[RELID]],2,0)))</f>
        <v/>
      </c>
      <c r="AG15" s="73" t="str">
        <f>IF(FormFields[[#This Row],[NO2]]=0,"nest_relation1",IF(FormFields[[#This Row],[Rel1]]="","",VLOOKUP(FormFields[[#This Row],[Rel1]],RelationTable[[Display]:[RELID]],2,0)))</f>
        <v/>
      </c>
      <c r="AH15" s="73" t="str">
        <f>IF(FormFields[[#This Row],[NO2]]=0,"nest_relation2",IF(FormFields[[#This Row],[Rel2]]="","",VLOOKUP(FormFields[[#This Row],[Rel2]],RelationTable[[Display]:[RELID]],2,0)))</f>
        <v/>
      </c>
      <c r="AI15" s="73" t="str">
        <f>IF(FormFields[[#This Row],[NO2]]=0,"nest_relation2",IF(FormFields[[#This Row],[Rel2]]="","",VLOOKUP(FormFields[[#This Row],[Rel2]],RelationTable[[Display]:[RELID]],2,0)))</f>
        <v/>
      </c>
      <c r="AJ15" s="67">
        <f>IF(OR(FormFields[[#This Row],[Option Type]]="",FormFields[[#This Row],[Option Type]]="type"),0,1)</f>
        <v>1</v>
      </c>
      <c r="AK15" s="67" t="str">
        <f>'Table Seed Map'!$A$14&amp;"-"&amp;FormFields[[#This Row],[NO4]]</f>
        <v>Field Options-7</v>
      </c>
      <c r="AL15" s="67">
        <f>COUNTIF($AJ$2:FormFields[[#This Row],[Exists FO]],1)</f>
        <v>7</v>
      </c>
      <c r="AM15" s="67">
        <f>IF(FormFields[[#This Row],[NO4]]=0,"id",FormFields[[#This Row],[NO4]]+IF(ISNUMBER(VLOOKUP('Table Seed Map'!$A$14,SeedMap[],9,0)),VLOOKUP('Table Seed Map'!$A$14,SeedMap[],9,0),0))</f>
        <v>312107</v>
      </c>
      <c r="AN15" s="67">
        <f>IF(FormFields[[#This Row],[ID]]="id","form_field",FormFields[[#This Row],[ID]])</f>
        <v>310113</v>
      </c>
      <c r="AO15" s="75" t="s">
        <v>122</v>
      </c>
      <c r="AP15" s="75">
        <v>322106</v>
      </c>
      <c r="AQ15" s="75" t="s">
        <v>21</v>
      </c>
      <c r="AR15" s="75" t="s">
        <v>23</v>
      </c>
      <c r="AS15" s="75" t="s">
        <v>1555</v>
      </c>
      <c r="AT15" s="67">
        <f>IF(OR(FormFields[[#This Row],[Colspan]]="",FormFields[[#This Row],[Colspan]]="colspan"),0,1)</f>
        <v>0</v>
      </c>
      <c r="AU15" s="67" t="str">
        <f>'Table Seed Map'!$A$19&amp;"-"&amp;FormFields[[#This Row],[NO8]]</f>
        <v>Form Layout-7</v>
      </c>
      <c r="AV15" s="67">
        <f>COUNTIF($AT$1:FormFields[[#This Row],[Exists FL]],1)</f>
        <v>7</v>
      </c>
      <c r="AW15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67">
        <f>FormFields[Form]</f>
        <v>309106</v>
      </c>
      <c r="AY15" s="67">
        <f>IF(FormFields[[#This Row],[ID]]="id","form_field",FormFields[[#This Row],[ID]])</f>
        <v>310113</v>
      </c>
      <c r="AZ15" s="76"/>
      <c r="BA15" s="67">
        <f>FormFields[[#This Row],[ID]]</f>
        <v>310113</v>
      </c>
    </row>
    <row r="16" spans="1:149" x14ac:dyDescent="0.25">
      <c r="M16" s="65" t="str">
        <f>'Table Seed Map'!$A$12&amp;"-"&amp;FormFields[[#This Row],[No]]</f>
        <v>Form Fields-14</v>
      </c>
      <c r="N16" s="66" t="s">
        <v>1608</v>
      </c>
      <c r="O16" s="67">
        <f>COUNTA($N$1:FormFields[[#This Row],[Form Name]])-1</f>
        <v>14</v>
      </c>
      <c r="P16" s="65" t="str">
        <f>FormFields[[#This Row],[Form Name]]&amp;"/"&amp;FormFields[[#This Row],[Name]]</f>
        <v>UserStoreArea/AddUserStoreAreaForm/store</v>
      </c>
      <c r="Q16" s="67">
        <f>IF(FormFields[[#This Row],[No]]=0,"id",FormFields[[#This Row],[No]]+IF(ISNUMBER(VLOOKUP('Table Seed Map'!$A$12,SeedMap[],9,0)),VLOOKUP('Table Seed Map'!$A$12,SeedMap[],9,0),0))</f>
        <v>310114</v>
      </c>
      <c r="R16" s="68">
        <f>IFERROR(VLOOKUP(FormFields[[#This Row],[Form Name]],ResourceForms[[FormName]:[ID]],4,0),"resource_form")</f>
        <v>309106</v>
      </c>
      <c r="S16" s="69" t="s">
        <v>756</v>
      </c>
      <c r="T16" s="69" t="s">
        <v>1454</v>
      </c>
      <c r="U16" s="69" t="s">
        <v>1297</v>
      </c>
      <c r="V16" s="70"/>
      <c r="W16" s="70"/>
      <c r="X16" s="70"/>
      <c r="Y16" s="70"/>
      <c r="Z16" s="71" t="str">
        <f>'Table Seed Map'!$A$13&amp;"-"&amp;FormFields[[#This Row],[NO2]]</f>
        <v>Field Data-14</v>
      </c>
      <c r="AA16" s="72">
        <f>COUNTIFS($AB$1:FormFields[[#This Row],[Exists]],1)-1</f>
        <v>14</v>
      </c>
      <c r="AB16" s="72">
        <f>IF(AND(FormFields[[#This Row],[Attribute]]="",FormFields[[#This Row],[Rel]]=""),0,1)</f>
        <v>1</v>
      </c>
      <c r="AC16" s="72">
        <f>IF(FormFields[[#This Row],[NO2]]=0,"id",FormFields[[#This Row],[NO2]]+IF(ISNUMBER(VLOOKUP('Table Seed Map'!$A$13,SeedMap[],9,0)),VLOOKUP('Table Seed Map'!$A$13,SeedMap[],9,0),0))</f>
        <v>311114</v>
      </c>
      <c r="AD16" s="77">
        <f>IF(FormFields[[#This Row],[ID]]="id","form_field",FormFields[[#This Row],[ID]])</f>
        <v>310114</v>
      </c>
      <c r="AE16" s="72" t="str">
        <f>IF(FormFields[[#This Row],[No]]=0,"attribute",FormFields[[#This Row],[Name]])</f>
        <v>store</v>
      </c>
      <c r="AF16" s="73" t="str">
        <f>IF(FormFields[[#This Row],[NO2]]=0,"relation",IF(FormFields[[#This Row],[Rel]]="","",VLOOKUP(FormFields[[#This Row],[Rel]],RelationTable[[Display]:[RELID]],2,0)))</f>
        <v/>
      </c>
      <c r="AG16" s="73" t="str">
        <f>IF(FormFields[[#This Row],[NO2]]=0,"nest_relation1",IF(FormFields[[#This Row],[Rel1]]="","",VLOOKUP(FormFields[[#This Row],[Rel1]],RelationTable[[Display]:[RELID]],2,0)))</f>
        <v/>
      </c>
      <c r="AH16" s="73" t="str">
        <f>IF(FormFields[[#This Row],[NO2]]=0,"nest_relation2",IF(FormFields[[#This Row],[Rel2]]="","",VLOOKUP(FormFields[[#This Row],[Rel2]],RelationTable[[Display]:[RELID]],2,0)))</f>
        <v/>
      </c>
      <c r="AI16" s="73" t="str">
        <f>IF(FormFields[[#This Row],[NO2]]=0,"nest_relation2",IF(FormFields[[#This Row],[Rel2]]="","",VLOOKUP(FormFields[[#This Row],[Rel2]],RelationTable[[Display]:[RELID]],2,0)))</f>
        <v/>
      </c>
      <c r="AJ16" s="67">
        <f>IF(OR(FormFields[[#This Row],[Option Type]]="",FormFields[[#This Row],[Option Type]]="type"),0,1)</f>
        <v>1</v>
      </c>
      <c r="AK16" s="67" t="str">
        <f>'Table Seed Map'!$A$14&amp;"-"&amp;FormFields[[#This Row],[NO4]]</f>
        <v>Field Options-8</v>
      </c>
      <c r="AL16" s="67">
        <f>COUNTIF($AJ$2:FormFields[[#This Row],[Exists FO]],1)</f>
        <v>8</v>
      </c>
      <c r="AM16" s="67">
        <f>IF(FormFields[[#This Row],[NO4]]=0,"id",FormFields[[#This Row],[NO4]]+IF(ISNUMBER(VLOOKUP('Table Seed Map'!$A$14,SeedMap[],9,0)),VLOOKUP('Table Seed Map'!$A$14,SeedMap[],9,0),0))</f>
        <v>312108</v>
      </c>
      <c r="AN16" s="67">
        <f>IF(FormFields[[#This Row],[ID]]="id","form_field",FormFields[[#This Row],[ID]])</f>
        <v>310114</v>
      </c>
      <c r="AO16" s="75" t="s">
        <v>278</v>
      </c>
      <c r="AP16" s="75"/>
      <c r="AQ16" s="75" t="s">
        <v>21</v>
      </c>
      <c r="AR16" s="75" t="s">
        <v>23</v>
      </c>
      <c r="AS16" s="75" t="s">
        <v>1555</v>
      </c>
      <c r="AT16" s="67">
        <f>IF(OR(FormFields[[#This Row],[Colspan]]="",FormFields[[#This Row],[Colspan]]="colspan"),0,1)</f>
        <v>0</v>
      </c>
      <c r="AU16" s="67" t="str">
        <f>'Table Seed Map'!$A$19&amp;"-"&amp;FormFields[[#This Row],[NO8]]</f>
        <v>Form Layout-7</v>
      </c>
      <c r="AV16" s="67">
        <f>COUNTIF($AT$1:FormFields[[#This Row],[Exists FL]],1)</f>
        <v>7</v>
      </c>
      <c r="AW16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67">
        <f>FormFields[Form]</f>
        <v>309106</v>
      </c>
      <c r="AY16" s="67">
        <f>IF(FormFields[[#This Row],[ID]]="id","form_field",FormFields[[#This Row],[ID]])</f>
        <v>310114</v>
      </c>
      <c r="AZ16" s="76"/>
      <c r="BA16" s="67">
        <f>FormFields[[#This Row],[ID]]</f>
        <v>310114</v>
      </c>
    </row>
    <row r="17" spans="13:53" x14ac:dyDescent="0.25">
      <c r="M17" s="65" t="str">
        <f>'Table Seed Map'!$A$12&amp;"-"&amp;FormFields[[#This Row],[No]]</f>
        <v>Form Fields-15</v>
      </c>
      <c r="N17" s="66" t="s">
        <v>1608</v>
      </c>
      <c r="O17" s="67">
        <f>COUNTA($N$1:FormFields[[#This Row],[Form Name]])-1</f>
        <v>15</v>
      </c>
      <c r="P17" s="65" t="str">
        <f>FormFields[[#This Row],[Form Name]]&amp;"/"&amp;FormFields[[#This Row],[Name]]</f>
        <v>UserStoreArea/AddUserStoreAreaForm/area</v>
      </c>
      <c r="Q17" s="67">
        <f>IF(FormFields[[#This Row],[No]]=0,"id",FormFields[[#This Row],[No]]+IF(ISNUMBER(VLOOKUP('Table Seed Map'!$A$12,SeedMap[],9,0)),VLOOKUP('Table Seed Map'!$A$12,SeedMap[],9,0),0))</f>
        <v>310115</v>
      </c>
      <c r="R17" s="68">
        <f>IFERROR(VLOOKUP(FormFields[[#This Row],[Form Name]],ResourceForms[[FormName]:[ID]],4,0),"resource_form")</f>
        <v>309106</v>
      </c>
      <c r="S17" s="69" t="s">
        <v>754</v>
      </c>
      <c r="T17" s="69" t="s">
        <v>1454</v>
      </c>
      <c r="U17" s="69" t="s">
        <v>1298</v>
      </c>
      <c r="V17" s="70"/>
      <c r="W17" s="70"/>
      <c r="X17" s="70"/>
      <c r="Y17" s="70"/>
      <c r="Z17" s="71" t="str">
        <f>'Table Seed Map'!$A$13&amp;"-"&amp;FormFields[[#This Row],[NO2]]</f>
        <v>Field Data-15</v>
      </c>
      <c r="AA17" s="72">
        <f>COUNTIFS($AB$1:FormFields[[#This Row],[Exists]],1)-1</f>
        <v>15</v>
      </c>
      <c r="AB17" s="72">
        <f>IF(AND(FormFields[[#This Row],[Attribute]]="",FormFields[[#This Row],[Rel]]=""),0,1)</f>
        <v>1</v>
      </c>
      <c r="AC17" s="72">
        <f>IF(FormFields[[#This Row],[NO2]]=0,"id",FormFields[[#This Row],[NO2]]+IF(ISNUMBER(VLOOKUP('Table Seed Map'!$A$13,SeedMap[],9,0)),VLOOKUP('Table Seed Map'!$A$13,SeedMap[],9,0),0))</f>
        <v>311115</v>
      </c>
      <c r="AD17" s="77">
        <f>IF(FormFields[[#This Row],[ID]]="id","form_field",FormFields[[#This Row],[ID]])</f>
        <v>310115</v>
      </c>
      <c r="AE17" s="72" t="str">
        <f>IF(FormFields[[#This Row],[No]]=0,"attribute",FormFields[[#This Row],[Name]])</f>
        <v>area</v>
      </c>
      <c r="AF17" s="73" t="str">
        <f>IF(FormFields[[#This Row],[NO2]]=0,"relation",IF(FormFields[[#This Row],[Rel]]="","",VLOOKUP(FormFields[[#This Row],[Rel]],RelationTable[[Display]:[RELID]],2,0)))</f>
        <v/>
      </c>
      <c r="AG17" s="73" t="str">
        <f>IF(FormFields[[#This Row],[NO2]]=0,"nest_relation1",IF(FormFields[[#This Row],[Rel1]]="","",VLOOKUP(FormFields[[#This Row],[Rel1]],RelationTable[[Display]:[RELID]],2,0)))</f>
        <v/>
      </c>
      <c r="AH17" s="73" t="str">
        <f>IF(FormFields[[#This Row],[NO2]]=0,"nest_relation2",IF(FormFields[[#This Row],[Rel2]]="","",VLOOKUP(FormFields[[#This Row],[Rel2]],RelationTable[[Display]:[RELID]],2,0)))</f>
        <v/>
      </c>
      <c r="AI17" s="73" t="str">
        <f>IF(FormFields[[#This Row],[NO2]]=0,"nest_relation2",IF(FormFields[[#This Row],[Rel2]]="","",VLOOKUP(FormFields[[#This Row],[Rel2]],RelationTable[[Display]:[RELID]],2,0)))</f>
        <v/>
      </c>
      <c r="AJ17" s="67">
        <f>IF(OR(FormFields[[#This Row],[Option Type]]="",FormFields[[#This Row],[Option Type]]="type"),0,1)</f>
        <v>1</v>
      </c>
      <c r="AK17" s="67" t="str">
        <f>'Table Seed Map'!$A$14&amp;"-"&amp;FormFields[[#This Row],[NO4]]</f>
        <v>Field Options-9</v>
      </c>
      <c r="AL17" s="67">
        <f>COUNTIF($AJ$2:FormFields[[#This Row],[Exists FO]],1)</f>
        <v>9</v>
      </c>
      <c r="AM17" s="67">
        <f>IF(FormFields[[#This Row],[NO4]]=0,"id",FormFields[[#This Row],[NO4]]+IF(ISNUMBER(VLOOKUP('Table Seed Map'!$A$14,SeedMap[],9,0)),VLOOKUP('Table Seed Map'!$A$14,SeedMap[],9,0),0))</f>
        <v>312109</v>
      </c>
      <c r="AN17" s="67">
        <f>IF(FormFields[[#This Row],[ID]]="id","form_field",FormFields[[#This Row],[ID]])</f>
        <v>310115</v>
      </c>
      <c r="AO17" s="75" t="s">
        <v>278</v>
      </c>
      <c r="AP17" s="75"/>
      <c r="AQ17" s="75" t="s">
        <v>21</v>
      </c>
      <c r="AR17" s="75" t="s">
        <v>23</v>
      </c>
      <c r="AS17" s="75" t="s">
        <v>1555</v>
      </c>
      <c r="AT17" s="67">
        <f>IF(OR(FormFields[[#This Row],[Colspan]]="",FormFields[[#This Row],[Colspan]]="colspan"),0,1)</f>
        <v>0</v>
      </c>
      <c r="AU17" s="67" t="str">
        <f>'Table Seed Map'!$A$19&amp;"-"&amp;FormFields[[#This Row],[NO8]]</f>
        <v>Form Layout-7</v>
      </c>
      <c r="AV17" s="67">
        <f>COUNTIF($AT$1:FormFields[[#This Row],[Exists FL]],1)</f>
        <v>7</v>
      </c>
      <c r="AW17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67">
        <f>FormFields[Form]</f>
        <v>309106</v>
      </c>
      <c r="AY17" s="67">
        <f>IF(FormFields[[#This Row],[ID]]="id","form_field",FormFields[[#This Row],[ID]])</f>
        <v>310115</v>
      </c>
      <c r="AZ17" s="76"/>
      <c r="BA17" s="67">
        <f>FormFields[[#This Row],[ID]]</f>
        <v>310115</v>
      </c>
    </row>
    <row r="18" spans="13:53" x14ac:dyDescent="0.25">
      <c r="M18" s="65" t="str">
        <f>'Table Seed Map'!$A$12&amp;"-"&amp;FormFields[[#This Row],[No]]</f>
        <v>Form Fields-16</v>
      </c>
      <c r="N18" s="66" t="s">
        <v>1608</v>
      </c>
      <c r="O18" s="67">
        <f>COUNTA($N$1:FormFields[[#This Row],[Form Name]])-1</f>
        <v>16</v>
      </c>
      <c r="P18" s="65" t="str">
        <f>FormFields[[#This Row],[Form Name]]&amp;"/"&amp;FormFields[[#This Row],[Name]]</f>
        <v>UserStoreArea/AddUserStoreAreaForm/status</v>
      </c>
      <c r="Q18" s="67">
        <f>IF(FormFields[[#This Row],[No]]=0,"id",FormFields[[#This Row],[No]]+IF(ISNUMBER(VLOOKUP('Table Seed Map'!$A$12,SeedMap[],9,0)),VLOOKUP('Table Seed Map'!$A$12,SeedMap[],9,0),0))</f>
        <v>310116</v>
      </c>
      <c r="R18" s="68">
        <f>IFERROR(VLOOKUP(FormFields[[#This Row],[Form Name]],ResourceForms[[FormName]:[ID]],4,0),"resource_form")</f>
        <v>309106</v>
      </c>
      <c r="S18" s="69" t="s">
        <v>777</v>
      </c>
      <c r="T18" s="69" t="s">
        <v>1454</v>
      </c>
      <c r="U18" s="69" t="s">
        <v>1399</v>
      </c>
      <c r="V18" s="70"/>
      <c r="W18" s="70"/>
      <c r="X18" s="70"/>
      <c r="Y18" s="70"/>
      <c r="Z18" s="71" t="str">
        <f>'Table Seed Map'!$A$13&amp;"-"&amp;FormFields[[#This Row],[NO2]]</f>
        <v>Field Data-16</v>
      </c>
      <c r="AA18" s="72">
        <f>COUNTIFS($AB$1:FormFields[[#This Row],[Exists]],1)-1</f>
        <v>16</v>
      </c>
      <c r="AB18" s="72">
        <f>IF(AND(FormFields[[#This Row],[Attribute]]="",FormFields[[#This Row],[Rel]]=""),0,1)</f>
        <v>1</v>
      </c>
      <c r="AC18" s="72">
        <f>IF(FormFields[[#This Row],[NO2]]=0,"id",FormFields[[#This Row],[NO2]]+IF(ISNUMBER(VLOOKUP('Table Seed Map'!$A$13,SeedMap[],9,0)),VLOOKUP('Table Seed Map'!$A$13,SeedMap[],9,0),0))</f>
        <v>311116</v>
      </c>
      <c r="AD18" s="77">
        <f>IF(FormFields[[#This Row],[ID]]="id","form_field",FormFields[[#This Row],[ID]])</f>
        <v>310116</v>
      </c>
      <c r="AE18" s="72" t="str">
        <f>IF(FormFields[[#This Row],[No]]=0,"attribute",FormFields[[#This Row],[Name]])</f>
        <v>status</v>
      </c>
      <c r="AF18" s="73" t="str">
        <f>IF(FormFields[[#This Row],[NO2]]=0,"relation",IF(FormFields[[#This Row],[Rel]]="","",VLOOKUP(FormFields[[#This Row],[Rel]],RelationTable[[Display]:[RELID]],2,0)))</f>
        <v/>
      </c>
      <c r="AG18" s="73" t="str">
        <f>IF(FormFields[[#This Row],[NO2]]=0,"nest_relation1",IF(FormFields[[#This Row],[Rel1]]="","",VLOOKUP(FormFields[[#This Row],[Rel1]],RelationTable[[Display]:[RELID]],2,0)))</f>
        <v/>
      </c>
      <c r="AH18" s="73" t="str">
        <f>IF(FormFields[[#This Row],[NO2]]=0,"nest_relation2",IF(FormFields[[#This Row],[Rel2]]="","",VLOOKUP(FormFields[[#This Row],[Rel2]],RelationTable[[Display]:[RELID]],2,0)))</f>
        <v/>
      </c>
      <c r="AI18" s="73" t="str">
        <f>IF(FormFields[[#This Row],[NO2]]=0,"nest_relation2",IF(FormFields[[#This Row],[Rel2]]="","",VLOOKUP(FormFields[[#This Row],[Rel2]],RelationTable[[Display]:[RELID]],2,0)))</f>
        <v/>
      </c>
      <c r="AJ18" s="67">
        <f>IF(OR(FormFields[[#This Row],[Option Type]]="",FormFields[[#This Row],[Option Type]]="type"),0,1)</f>
        <v>1</v>
      </c>
      <c r="AK18" s="67" t="str">
        <f>'Table Seed Map'!$A$14&amp;"-"&amp;FormFields[[#This Row],[NO4]]</f>
        <v>Field Options-10</v>
      </c>
      <c r="AL18" s="67">
        <f>COUNTIF($AJ$2:FormFields[[#This Row],[Exists FO]],1)</f>
        <v>10</v>
      </c>
      <c r="AM18" s="67">
        <f>IF(FormFields[[#This Row],[NO4]]=0,"id",FormFields[[#This Row],[NO4]]+IF(ISNUMBER(VLOOKUP('Table Seed Map'!$A$14,SeedMap[],9,0)),VLOOKUP('Table Seed Map'!$A$14,SeedMap[],9,0),0))</f>
        <v>312110</v>
      </c>
      <c r="AN18" s="67">
        <f>IF(FormFields[[#This Row],[ID]]="id","form_field",FormFields[[#This Row],[ID]])</f>
        <v>310116</v>
      </c>
      <c r="AO18" s="75" t="s">
        <v>1556</v>
      </c>
      <c r="AP18" s="75"/>
      <c r="AQ18" s="75"/>
      <c r="AR18" s="75"/>
      <c r="AS18" s="75"/>
      <c r="AT18" s="67">
        <f>IF(OR(FormFields[[#This Row],[Colspan]]="",FormFields[[#This Row],[Colspan]]="colspan"),0,1)</f>
        <v>0</v>
      </c>
      <c r="AU18" s="67" t="str">
        <f>'Table Seed Map'!$A$19&amp;"-"&amp;FormFields[[#This Row],[NO8]]</f>
        <v>Form Layout-7</v>
      </c>
      <c r="AV18" s="67">
        <f>COUNTIF($AT$1:FormFields[[#This Row],[Exists FL]],1)</f>
        <v>7</v>
      </c>
      <c r="AW18" s="67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67">
        <f>FormFields[Form]</f>
        <v>309106</v>
      </c>
      <c r="AY18" s="67">
        <f>IF(FormFields[[#This Row],[ID]]="id","form_field",FormFields[[#This Row],[ID]])</f>
        <v>310116</v>
      </c>
      <c r="AZ18" s="76"/>
      <c r="BA18" s="67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9" workbookViewId="0">
      <selection activeCell="H2" sqref="H2:H33"/>
    </sheetView>
  </sheetViews>
  <sheetFormatPr defaultRowHeight="15" x14ac:dyDescent="0.2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 x14ac:dyDescent="0.25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 x14ac:dyDescent="0.25">
      <c r="A2" s="3">
        <f>IFERROR(#REF!+1,1)</f>
        <v>1</v>
      </c>
      <c r="B2" s="1" t="s">
        <v>1744</v>
      </c>
      <c r="C2" s="6" t="str">
        <f>MID(MigrationRenamer[Filename],26,LEN(MigrationRenamer[Filename])-35)</f>
        <v>setup</v>
      </c>
      <c r="D2" s="6" t="str">
        <f t="shared" ref="D2:D8" si="0">"2019_03_28_"</f>
        <v>2019_03_28_</v>
      </c>
      <c r="E2" s="6" t="str">
        <f>TEXT(MATCH(MigrationRenamer[[#This Row],[Table]],Tables[Table],0),"000000")</f>
        <v>000046</v>
      </c>
      <c r="F2" s="6" t="str">
        <f>RIGHT(MigrationRenamer[Filename],LEN(MigrationRenamer[Filename])-LEN(MigrationRenamer[Date Part])-LEN(MigrationRenamer[Sequence]))</f>
        <v>_create_setup_table.php</v>
      </c>
      <c r="G2" s="6" t="str">
        <f>MigrationRenamer[Date Part]&amp;MigrationRenamer[Sequence]&amp;MigrationRenamer[Name Part]</f>
        <v>2019_03_28_000046_create_setup_table.php</v>
      </c>
      <c r="H2" s="6" t="str">
        <f>IFERROR("ren "&amp;MigrationRenamer[Filename]&amp;" "&amp;MigrationRenamer[New Name],"del "&amp;MigrationRenamer[Filename])</f>
        <v>ren 2019_03_28_000046_create_setup_table.php 2019_03_28_000046_create_setup_table.php</v>
      </c>
    </row>
    <row r="3" spans="1:8" x14ac:dyDescent="0.25">
      <c r="A3" s="3">
        <f t="shared" ref="A3:A4" si="1">IFERROR($A2+1,1)</f>
        <v>2</v>
      </c>
      <c r="B3" s="1" t="s">
        <v>1745</v>
      </c>
      <c r="C3" s="6" t="str">
        <f>MID(MigrationRenamer[Filename],26,LEN(MigrationRenamer[Filename])-35)</f>
        <v>settings</v>
      </c>
      <c r="D3" s="6" t="str">
        <f t="shared" si="0"/>
        <v>2019_03_28_</v>
      </c>
      <c r="E3" s="6" t="str">
        <f>TEXT(MATCH(MigrationRenamer[[#This Row],[Table]],Tables[Table],0),"000000")</f>
        <v>000047</v>
      </c>
      <c r="F3" s="6" t="str">
        <f>RIGHT(MigrationRenamer[Filename],LEN(MigrationRenamer[Filename])-LEN(MigrationRenamer[Date Part])-LEN(MigrationRenamer[Sequence]))</f>
        <v>_create_settings_table.php</v>
      </c>
      <c r="G3" s="6" t="str">
        <f>MigrationRenamer[Date Part]&amp;MigrationRenamer[Sequence]&amp;MigrationRenamer[Name Part]</f>
        <v>2019_03_28_000047_create_settings_table.php</v>
      </c>
      <c r="H3" s="6" t="str">
        <f>IFERROR("ren "&amp;MigrationRenamer[Filename]&amp;" "&amp;MigrationRenamer[New Name],"del "&amp;MigrationRenamer[Filename])</f>
        <v>ren 2019_03_28_000047_create_settings_table.php 2019_03_28_000047_create_settings_table.php</v>
      </c>
    </row>
    <row r="4" spans="1:8" x14ac:dyDescent="0.25">
      <c r="A4" s="3">
        <f t="shared" si="1"/>
        <v>3</v>
      </c>
      <c r="B4" s="1" t="s">
        <v>1746</v>
      </c>
      <c r="C4" s="6" t="str">
        <f>MID(MigrationRenamer[Filename],26,LEN(MigrationRenamer[Filename])-35)</f>
        <v>tax</v>
      </c>
      <c r="D4" s="6" t="str">
        <f t="shared" si="0"/>
        <v>2019_03_28_</v>
      </c>
      <c r="E4" s="6" t="e">
        <f>TEXT(MATCH(MigrationRenamer[[#This Row],[Table]],Tables[Table],0),"000000")</f>
        <v>#N/A</v>
      </c>
      <c r="F4" s="6" t="e">
        <f>RIGHT(MigrationRenamer[Filename],LEN(MigrationRenamer[Filename])-LEN(MigrationRenamer[Date Part])-LEN(MigrationRenamer[Sequence]))</f>
        <v>#N/A</v>
      </c>
      <c r="G4" s="6" t="e">
        <f>MigrationRenamer[Date Part]&amp;MigrationRenamer[Sequence]&amp;MigrationRenamer[Name Part]</f>
        <v>#N/A</v>
      </c>
      <c r="H4" s="6" t="str">
        <f>IFERROR("ren "&amp;MigrationRenamer[Filename]&amp;" "&amp;MigrationRenamer[New Name],"del "&amp;MigrationRenamer[Filename])</f>
        <v>del 2019_03_28_000048_create_tax_table.php</v>
      </c>
    </row>
    <row r="5" spans="1:8" x14ac:dyDescent="0.25">
      <c r="A5" s="32">
        <f t="shared" ref="A5:A13" si="2">IFERROR($A4+1,1)</f>
        <v>4</v>
      </c>
      <c r="B5" s="5" t="s">
        <v>1747</v>
      </c>
      <c r="C5" s="8" t="str">
        <f>MID(MigrationRenamer[Filename],26,LEN(MigrationRenamer[Filename])-35)</f>
        <v>tax_details</v>
      </c>
      <c r="D5" s="8" t="str">
        <f t="shared" si="0"/>
        <v>2019_03_28_</v>
      </c>
      <c r="E5" s="8" t="e">
        <f>TEXT(MATCH(MigrationRenamer[[#This Row],[Table]],Tables[Table],0),"000000")</f>
        <v>#N/A</v>
      </c>
      <c r="F5" s="8" t="e">
        <f>RIGHT(MigrationRenamer[Filename],LEN(MigrationRenamer[Filename])-LEN(MigrationRenamer[Date Part])-LEN(MigrationRenamer[Sequence]))</f>
        <v>#N/A</v>
      </c>
      <c r="G5" s="8" t="e">
        <f>MigrationRenamer[Date Part]&amp;MigrationRenamer[Sequence]&amp;MigrationRenamer[Name Part]</f>
        <v>#N/A</v>
      </c>
      <c r="H5" s="8" t="str">
        <f>IFERROR("ren "&amp;MigrationRenamer[Filename]&amp;" "&amp;MigrationRenamer[New Name],"del "&amp;MigrationRenamer[Filename])</f>
        <v>del 2019_03_28_000049_create_tax_details_table.php</v>
      </c>
    </row>
    <row r="6" spans="1:8" x14ac:dyDescent="0.25">
      <c r="A6" s="32">
        <f t="shared" si="2"/>
        <v>5</v>
      </c>
      <c r="B6" s="5" t="s">
        <v>1748</v>
      </c>
      <c r="C6" s="8" t="str">
        <f>MID(MigrationRenamer[Filename],26,LEN(MigrationRenamer[Filename])-35)</f>
        <v>fiscalyearmaster</v>
      </c>
      <c r="D6" s="8" t="str">
        <f t="shared" si="0"/>
        <v>2019_03_28_</v>
      </c>
      <c r="E6" s="8" t="str">
        <f>TEXT(MATCH(MigrationRenamer[[#This Row],[Table]],Tables[Table],0),"000000")</f>
        <v>000048</v>
      </c>
      <c r="F6" s="8" t="str">
        <f>RIGHT(MigrationRenamer[Filename],LEN(MigrationRenamer[Filename])-LEN(MigrationRenamer[Date Part])-LEN(MigrationRenamer[Sequence]))</f>
        <v>_create_fiscalyearmaster_table.php</v>
      </c>
      <c r="G6" s="8" t="str">
        <f>MigrationRenamer[Date Part]&amp;MigrationRenamer[Sequence]&amp;MigrationRenamer[Name Part]</f>
        <v>2019_03_28_000048_create_fiscalyearmaster_table.php</v>
      </c>
      <c r="H6" s="8" t="str">
        <f>IFERROR("ren "&amp;MigrationRenamer[Filename]&amp;" "&amp;MigrationRenamer[New Name],"del "&amp;MigrationRenamer[Filename])</f>
        <v>ren 2019_03_28_000050_create_fiscalyearmaster_table.php 2019_03_28_000048_create_fiscalyearmaster_table.php</v>
      </c>
    </row>
    <row r="7" spans="1:8" x14ac:dyDescent="0.25">
      <c r="A7" s="32">
        <f t="shared" si="2"/>
        <v>6</v>
      </c>
      <c r="B7" s="5" t="s">
        <v>1489</v>
      </c>
      <c r="C7" s="8" t="str">
        <f>MID(MigrationRenamer[Filename],26,LEN(MigrationRenamer[Filename])-35)</f>
        <v>functiondetails</v>
      </c>
      <c r="D7" s="8" t="str">
        <f t="shared" si="0"/>
        <v>2019_03_28_</v>
      </c>
      <c r="E7" s="8" t="str">
        <f>TEXT(MATCH(MigrationRenamer[[#This Row],[Table]],Tables[Table],0),"000000")</f>
        <v>000049</v>
      </c>
      <c r="F7" s="8" t="str">
        <f>RIGHT(MigrationRenamer[Filename],LEN(MigrationRenamer[Filename])-LEN(MigrationRenamer[Date Part])-LEN(MigrationRenamer[Sequence]))</f>
        <v>_create_functiondetails_table.php</v>
      </c>
      <c r="G7" s="8" t="str">
        <f>MigrationRenamer[Date Part]&amp;MigrationRenamer[Sequence]&amp;MigrationRenamer[Name Part]</f>
        <v>2019_03_28_000049_create_functiondetails_table.php</v>
      </c>
      <c r="H7" s="8" t="str">
        <f>IFERROR("ren "&amp;MigrationRenamer[Filename]&amp;" "&amp;MigrationRenamer[New Name],"del "&amp;MigrationRenamer[Filename])</f>
        <v>ren 2019_03_28_000051_create_functiondetails_table.php 2019_03_28_000049_create_functiondetails_table.php</v>
      </c>
    </row>
    <row r="8" spans="1:8" x14ac:dyDescent="0.25">
      <c r="A8" s="32">
        <f t="shared" si="2"/>
        <v>7</v>
      </c>
      <c r="B8" s="5" t="s">
        <v>1749</v>
      </c>
      <c r="C8" s="8" t="str">
        <f>MID(MigrationRenamer[Filename],26,LEN(MigrationRenamer[Filename])-35)</f>
        <v>productgroups</v>
      </c>
      <c r="D8" s="8" t="str">
        <f t="shared" si="0"/>
        <v>2019_03_28_</v>
      </c>
      <c r="E8" s="8" t="e">
        <f>TEXT(MATCH(MigrationRenamer[[#This Row],[Table]],Tables[Table],0),"000000")</f>
        <v>#N/A</v>
      </c>
      <c r="F8" s="8" t="e">
        <f>RIGHT(MigrationRenamer[Filename],LEN(MigrationRenamer[Filename])-LEN(MigrationRenamer[Date Part])-LEN(MigrationRenamer[Sequence]))</f>
        <v>#N/A</v>
      </c>
      <c r="G8" s="8" t="e">
        <f>MigrationRenamer[Date Part]&amp;MigrationRenamer[Sequence]&amp;MigrationRenamer[Name Part]</f>
        <v>#N/A</v>
      </c>
      <c r="H8" s="8" t="str">
        <f>IFERROR("ren "&amp;MigrationRenamer[Filename]&amp;" "&amp;MigrationRenamer[New Name],"del "&amp;MigrationRenamer[Filename])</f>
        <v>del 2019_03_28_000052_create_productgroups_table.php</v>
      </c>
    </row>
    <row r="9" spans="1:8" x14ac:dyDescent="0.25">
      <c r="A9" s="32">
        <f t="shared" si="2"/>
        <v>8</v>
      </c>
      <c r="B9" s="5" t="s">
        <v>1750</v>
      </c>
      <c r="C9" s="8" t="str">
        <f>MID(MigrationRenamer[Filename],26,LEN(MigrationRenamer[Filename])-35)</f>
        <v>products</v>
      </c>
      <c r="D9" s="8" t="str">
        <f t="shared" ref="D9:D18" si="3">"2019_03_28_"</f>
        <v>2019_03_28_</v>
      </c>
      <c r="E9" s="8" t="str">
        <f>TEXT(MATCH(MigrationRenamer[[#This Row],[Table]],Tables[Table],0),"000000")</f>
        <v>000050</v>
      </c>
      <c r="F9" s="8" t="str">
        <f>RIGHT(MigrationRenamer[Filename],LEN(MigrationRenamer[Filename])-LEN(MigrationRenamer[Date Part])-LEN(MigrationRenamer[Sequence]))</f>
        <v>_create_products_table.php</v>
      </c>
      <c r="G9" s="8" t="str">
        <f>MigrationRenamer[Date Part]&amp;MigrationRenamer[Sequence]&amp;MigrationRenamer[Name Part]</f>
        <v>2019_03_28_000050_create_products_table.php</v>
      </c>
      <c r="H9" s="8" t="str">
        <f>IFERROR("ren "&amp;MigrationRenamer[Filename]&amp;" "&amp;MigrationRenamer[New Name],"del "&amp;MigrationRenamer[Filename])</f>
        <v>ren 2019_03_28_000053_create_products_table.php 2019_03_28_000050_create_products_table.php</v>
      </c>
    </row>
    <row r="10" spans="1:8" x14ac:dyDescent="0.25">
      <c r="A10" s="32">
        <f t="shared" si="2"/>
        <v>9</v>
      </c>
      <c r="B10" s="5" t="s">
        <v>1751</v>
      </c>
      <c r="C10" s="8" t="str">
        <f>MID(MigrationRenamer[Filename],26,LEN(MigrationRenamer[Filename])-35)</f>
        <v>pricelist</v>
      </c>
      <c r="D10" s="8" t="str">
        <f t="shared" si="3"/>
        <v>2019_03_28_</v>
      </c>
      <c r="E10" s="8" t="str">
        <f>TEXT(MATCH(MigrationRenamer[[#This Row],[Table]],Tables[Table],0),"000000")</f>
        <v>000051</v>
      </c>
      <c r="F10" s="8" t="str">
        <f>RIGHT(MigrationRenamer[Filename],LEN(MigrationRenamer[Filename])-LEN(MigrationRenamer[Date Part])-LEN(MigrationRenamer[Sequence]))</f>
        <v>_create_pricelist_table.php</v>
      </c>
      <c r="G10" s="8" t="str">
        <f>MigrationRenamer[Date Part]&amp;MigrationRenamer[Sequence]&amp;MigrationRenamer[Name Part]</f>
        <v>2019_03_28_000051_create_pricelist_table.php</v>
      </c>
      <c r="H10" s="8" t="str">
        <f>IFERROR("ren "&amp;MigrationRenamer[Filename]&amp;" "&amp;MigrationRenamer[New Name],"del "&amp;MigrationRenamer[Filename])</f>
        <v>ren 2019_03_28_000054_create_pricelist_table.php 2019_03_28_000051_create_pricelist_table.php</v>
      </c>
    </row>
    <row r="11" spans="1:8" x14ac:dyDescent="0.25">
      <c r="A11" s="32">
        <f t="shared" si="2"/>
        <v>10</v>
      </c>
      <c r="B11" s="5" t="s">
        <v>1752</v>
      </c>
      <c r="C11" s="8" t="str">
        <f>MID(MigrationRenamer[Filename],26,LEN(MigrationRenamer[Filename])-35)</f>
        <v>pricelist_products</v>
      </c>
      <c r="D11" s="8" t="str">
        <f t="shared" si="3"/>
        <v>2019_03_28_</v>
      </c>
      <c r="E11" s="8" t="str">
        <f>TEXT(MATCH(MigrationRenamer[[#This Row],[Table]],Tables[Table],0),"000000")</f>
        <v>000052</v>
      </c>
      <c r="F11" s="8" t="str">
        <f>RIGHT(MigrationRenamer[Filename],LEN(MigrationRenamer[Filename])-LEN(MigrationRenamer[Date Part])-LEN(MigrationRenamer[Sequence]))</f>
        <v>_create_pricelist_products_table.php</v>
      </c>
      <c r="G11" s="8" t="str">
        <f>MigrationRenamer[Date Part]&amp;MigrationRenamer[Sequence]&amp;MigrationRenamer[Name Part]</f>
        <v>2019_03_28_000052_create_pricelist_products_table.php</v>
      </c>
      <c r="H11" s="8" t="str">
        <f>IFERROR("ren "&amp;MigrationRenamer[Filename]&amp;" "&amp;MigrationRenamer[New Name],"del "&amp;MigrationRenamer[Filename])</f>
        <v>ren 2019_03_28_000055_create_pricelist_products_table.php 2019_03_28_000052_create_pricelist_products_table.php</v>
      </c>
    </row>
    <row r="12" spans="1:8" x14ac:dyDescent="0.25">
      <c r="A12" s="32">
        <f t="shared" si="2"/>
        <v>11</v>
      </c>
      <c r="B12" s="5" t="s">
        <v>1753</v>
      </c>
      <c r="C12" s="8" t="str">
        <f>MID(MigrationRenamer[Filename],26,LEN(MigrationRenamer[Filename])-35)</f>
        <v>stores</v>
      </c>
      <c r="D12" s="8" t="str">
        <f t="shared" si="3"/>
        <v>2019_03_28_</v>
      </c>
      <c r="E12" s="8" t="str">
        <f>TEXT(MATCH(MigrationRenamer[[#This Row],[Table]],Tables[Table],0),"000000")</f>
        <v>000053</v>
      </c>
      <c r="F12" s="8" t="str">
        <f>RIGHT(MigrationRenamer[Filename],LEN(MigrationRenamer[Filename])-LEN(MigrationRenamer[Date Part])-LEN(MigrationRenamer[Sequence]))</f>
        <v>_create_stores_table.php</v>
      </c>
      <c r="G12" s="8" t="str">
        <f>MigrationRenamer[Date Part]&amp;MigrationRenamer[Sequence]&amp;MigrationRenamer[Name Part]</f>
        <v>2019_03_28_000053_create_stores_table.php</v>
      </c>
      <c r="H12" s="8" t="str">
        <f>IFERROR("ren "&amp;MigrationRenamer[Filename]&amp;" "&amp;MigrationRenamer[New Name],"del "&amp;MigrationRenamer[Filename])</f>
        <v>ren 2019_03_28_000056_create_stores_table.php 2019_03_28_000053_create_stores_table.php</v>
      </c>
    </row>
    <row r="13" spans="1:8" x14ac:dyDescent="0.25">
      <c r="A13" s="32">
        <f t="shared" si="2"/>
        <v>12</v>
      </c>
      <c r="B13" s="5" t="s">
        <v>1754</v>
      </c>
      <c r="C13" s="8" t="str">
        <f>MID(MigrationRenamer[Filename],26,LEN(MigrationRenamer[Filename])-35)</f>
        <v>areas</v>
      </c>
      <c r="D13" s="8" t="str">
        <f t="shared" si="3"/>
        <v>2019_03_28_</v>
      </c>
      <c r="E13" s="8" t="str">
        <f>TEXT(MATCH(MigrationRenamer[[#This Row],[Table]],Tables[Table],0),"000000")</f>
        <v>000054</v>
      </c>
      <c r="F13" s="8" t="str">
        <f>RIGHT(MigrationRenamer[Filename],LEN(MigrationRenamer[Filename])-LEN(MigrationRenamer[Date Part])-LEN(MigrationRenamer[Sequence]))</f>
        <v>_create_areas_table.php</v>
      </c>
      <c r="G13" s="8" t="str">
        <f>MigrationRenamer[Date Part]&amp;MigrationRenamer[Sequence]&amp;MigrationRenamer[Name Part]</f>
        <v>2019_03_28_000054_create_areas_table.php</v>
      </c>
      <c r="H13" s="8" t="str">
        <f>IFERROR("ren "&amp;MigrationRenamer[Filename]&amp;" "&amp;MigrationRenamer[New Name],"del "&amp;MigrationRenamer[Filename])</f>
        <v>ren 2019_03_28_000057_create_areas_table.php 2019_03_28_000054_create_areas_table.php</v>
      </c>
    </row>
    <row r="14" spans="1:8" x14ac:dyDescent="0.25">
      <c r="A14" s="32">
        <f t="shared" ref="A14:A19" si="4">IFERROR($A13+1,1)</f>
        <v>13</v>
      </c>
      <c r="B14" s="5" t="s">
        <v>1755</v>
      </c>
      <c r="C14" s="8" t="str">
        <f>MID(MigrationRenamer[Filename],26,LEN(MigrationRenamer[Filename])-35)</f>
        <v>area_users</v>
      </c>
      <c r="D14" s="8" t="str">
        <f t="shared" si="3"/>
        <v>2019_03_28_</v>
      </c>
      <c r="E14" s="8" t="str">
        <f>TEXT(MATCH(MigrationRenamer[[#This Row],[Table]],Tables[Table],0),"000000")</f>
        <v>000055</v>
      </c>
      <c r="F14" s="8" t="str">
        <f>RIGHT(MigrationRenamer[Filename],LEN(MigrationRenamer[Filename])-LEN(MigrationRenamer[Date Part])-LEN(MigrationRenamer[Sequence]))</f>
        <v>_create_area_users_table.php</v>
      </c>
      <c r="G14" s="8" t="str">
        <f>MigrationRenamer[Date Part]&amp;MigrationRenamer[Sequence]&amp;MigrationRenamer[Name Part]</f>
        <v>2019_03_28_000055_create_area_users_table.php</v>
      </c>
      <c r="H14" s="8" t="str">
        <f>IFERROR("ren "&amp;MigrationRenamer[Filename]&amp;" "&amp;MigrationRenamer[New Name],"del "&amp;MigrationRenamer[Filename])</f>
        <v>ren 2019_03_28_000058_create_area_users_table.php 2019_03_28_000055_create_area_users_table.php</v>
      </c>
    </row>
    <row r="15" spans="1:8" x14ac:dyDescent="0.25">
      <c r="A15" s="32">
        <f t="shared" si="4"/>
        <v>14</v>
      </c>
      <c r="B15" s="5" t="s">
        <v>1756</v>
      </c>
      <c r="C15" s="8" t="str">
        <f>MID(MigrationRenamer[Filename],26,LEN(MigrationRenamer[Filename])-35)</f>
        <v>user_settings</v>
      </c>
      <c r="D15" s="8" t="str">
        <f t="shared" si="3"/>
        <v>2019_03_28_</v>
      </c>
      <c r="E15" s="8" t="str">
        <f>TEXT(MATCH(MigrationRenamer[[#This Row],[Table]],Tables[Table],0),"000000")</f>
        <v>000056</v>
      </c>
      <c r="F15" s="8" t="str">
        <f>RIGHT(MigrationRenamer[Filename],LEN(MigrationRenamer[Filename])-LEN(MigrationRenamer[Date Part])-LEN(MigrationRenamer[Sequence]))</f>
        <v>_create_user_settings_table.php</v>
      </c>
      <c r="G15" s="8" t="str">
        <f>MigrationRenamer[Date Part]&amp;MigrationRenamer[Sequence]&amp;MigrationRenamer[Name Part]</f>
        <v>2019_03_28_000056_create_user_settings_table.php</v>
      </c>
      <c r="H15" s="8" t="str">
        <f>IFERROR("ren "&amp;MigrationRenamer[Filename]&amp;" "&amp;MigrationRenamer[New Name],"del "&amp;MigrationRenamer[Filename])</f>
        <v>ren 2019_03_28_000059_create_user_settings_table.php 2019_03_28_000056_create_user_settings_table.php</v>
      </c>
    </row>
    <row r="16" spans="1:8" x14ac:dyDescent="0.25">
      <c r="A16" s="32">
        <f t="shared" si="4"/>
        <v>15</v>
      </c>
      <c r="B16" s="5" t="s">
        <v>1757</v>
      </c>
      <c r="C16" s="8" t="str">
        <f>MID(MigrationRenamer[Filename],26,LEN(MigrationRenamer[Filename])-35)</f>
        <v>user_store_area</v>
      </c>
      <c r="D16" s="8" t="str">
        <f t="shared" si="3"/>
        <v>2019_03_28_</v>
      </c>
      <c r="E16" s="8" t="str">
        <f>TEXT(MATCH(MigrationRenamer[[#This Row],[Table]],Tables[Table],0),"000000")</f>
        <v>000057</v>
      </c>
      <c r="F16" s="8" t="str">
        <f>RIGHT(MigrationRenamer[Filename],LEN(MigrationRenamer[Filename])-LEN(MigrationRenamer[Date Part])-LEN(MigrationRenamer[Sequence]))</f>
        <v>_create_user_store_area_table.php</v>
      </c>
      <c r="G16" s="8" t="str">
        <f>MigrationRenamer[Date Part]&amp;MigrationRenamer[Sequence]&amp;MigrationRenamer[Name Part]</f>
        <v>2019_03_28_000057_create_user_store_area_table.php</v>
      </c>
      <c r="H16" s="8" t="str">
        <f>IFERROR("ren "&amp;MigrationRenamer[Filename]&amp;" "&amp;MigrationRenamer[New Name],"del "&amp;MigrationRenamer[Filename])</f>
        <v>ren 2019_03_28_000060_create_user_store_area_table.php 2019_03_28_000057_create_user_store_area_table.php</v>
      </c>
    </row>
    <row r="17" spans="1:8" x14ac:dyDescent="0.25">
      <c r="A17" s="32">
        <f t="shared" si="4"/>
        <v>16</v>
      </c>
      <c r="B17" s="5" t="s">
        <v>1758</v>
      </c>
      <c r="C17" s="8" t="str">
        <f>MID(MigrationRenamer[Filename],26,LEN(MigrationRenamer[Filename])-35)</f>
        <v>store_products</v>
      </c>
      <c r="D17" s="8" t="str">
        <f t="shared" si="3"/>
        <v>2019_03_28_</v>
      </c>
      <c r="E17" s="8" t="str">
        <f>TEXT(MATCH(MigrationRenamer[[#This Row],[Table]],Tables[Table],0),"000000")</f>
        <v>000058</v>
      </c>
      <c r="F17" s="8" t="str">
        <f>RIGHT(MigrationRenamer[Filename],LEN(MigrationRenamer[Filename])-LEN(MigrationRenamer[Date Part])-LEN(MigrationRenamer[Sequence]))</f>
        <v>_create_store_products_table.php</v>
      </c>
      <c r="G17" s="8" t="str">
        <f>MigrationRenamer[Date Part]&amp;MigrationRenamer[Sequence]&amp;MigrationRenamer[Name Part]</f>
        <v>2019_03_28_000058_create_store_products_table.php</v>
      </c>
      <c r="H17" s="8" t="str">
        <f>IFERROR("ren "&amp;MigrationRenamer[Filename]&amp;" "&amp;MigrationRenamer[New Name],"del "&amp;MigrationRenamer[Filename])</f>
        <v>ren 2019_03_28_000061_create_store_products_table.php 2019_03_28_000058_create_store_products_table.php</v>
      </c>
    </row>
    <row r="18" spans="1:8" x14ac:dyDescent="0.25">
      <c r="A18" s="32">
        <f t="shared" si="4"/>
        <v>17</v>
      </c>
      <c r="B18" s="5" t="s">
        <v>1759</v>
      </c>
      <c r="C18" s="8" t="str">
        <f>MID(MigrationRenamer[Filename],26,LEN(MigrationRenamer[Filename])-35)</f>
        <v>product_transaction_natures</v>
      </c>
      <c r="D18" s="8" t="str">
        <f t="shared" si="3"/>
        <v>2019_03_28_</v>
      </c>
      <c r="E18" s="8" t="str">
        <f>TEXT(MATCH(MigrationRenamer[[#This Row],[Table]],Tables[Table],0),"000000")</f>
        <v>000059</v>
      </c>
      <c r="F18" s="8" t="str">
        <f>RIGHT(MigrationRenamer[Filename],LEN(MigrationRenamer[Filename])-LEN(MigrationRenamer[Date Part])-LEN(MigrationRenamer[Sequence]))</f>
        <v>_create_product_transaction_natures_table.php</v>
      </c>
      <c r="G18" s="8" t="str">
        <f>MigrationRenamer[Date Part]&amp;MigrationRenamer[Sequence]&amp;MigrationRenamer[Name Part]</f>
        <v>2019_03_28_000059_create_product_transaction_natures_table.php</v>
      </c>
      <c r="H18" s="8" t="str">
        <f>IFERROR("ren "&amp;MigrationRenamer[Filename]&amp;" "&amp;MigrationRenamer[New Name],"del "&amp;MigrationRenamer[Filename])</f>
        <v>ren 2019_03_28_000062_create_product_transaction_natures_table.php 2019_03_28_000059_create_product_transaction_natures_table.php</v>
      </c>
    </row>
    <row r="19" spans="1:8" x14ac:dyDescent="0.25">
      <c r="A19" s="3">
        <f t="shared" si="4"/>
        <v>18</v>
      </c>
      <c r="B19" s="1" t="s">
        <v>1760</v>
      </c>
      <c r="C19" s="6" t="str">
        <f>MID(MigrationRenamer[Filename],26,LEN(MigrationRenamer[Filename])-35)</f>
        <v>product_transaction_types</v>
      </c>
      <c r="D19" s="6" t="str">
        <f t="shared" ref="D19:D25" si="5">"2019_03_28_"</f>
        <v>2019_03_28_</v>
      </c>
      <c r="E19" s="6" t="str">
        <f>TEXT(MATCH(MigrationRenamer[[#This Row],[Table]],Tables[Table],0),"000000")</f>
        <v>000060</v>
      </c>
      <c r="F19" s="6" t="str">
        <f>RIGHT(MigrationRenamer[Filename],LEN(MigrationRenamer[Filename])-LEN(MigrationRenamer[Date Part])-LEN(MigrationRenamer[Sequence]))</f>
        <v>_create_product_transaction_types_table.php</v>
      </c>
      <c r="G19" s="6" t="str">
        <f>MigrationRenamer[Date Part]&amp;MigrationRenamer[Sequence]&amp;MigrationRenamer[Name Part]</f>
        <v>2019_03_28_000060_create_product_transaction_types_table.php</v>
      </c>
      <c r="H19" s="6" t="str">
        <f>IFERROR("ren "&amp;MigrationRenamer[Filename]&amp;" "&amp;MigrationRenamer[New Name],"del "&amp;MigrationRenamer[Filename])</f>
        <v>ren 2019_03_28_000063_create_product_transaction_types_table.php 2019_03_28_000060_create_product_transaction_types_table.php</v>
      </c>
    </row>
    <row r="20" spans="1:8" x14ac:dyDescent="0.25">
      <c r="A20" s="32">
        <f t="shared" ref="A20:A25" si="6">IFERROR($A19+1,1)</f>
        <v>19</v>
      </c>
      <c r="B20" s="5" t="s">
        <v>1761</v>
      </c>
      <c r="C20" s="8" t="str">
        <f>MID(MigrationRenamer[Filename],26,LEN(MigrationRenamer[Filename])-35)</f>
        <v>store_product_transactions</v>
      </c>
      <c r="D20" s="8" t="str">
        <f t="shared" si="5"/>
        <v>2019_03_28_</v>
      </c>
      <c r="E20" s="8" t="str">
        <f>TEXT(MATCH(MigrationRenamer[[#This Row],[Table]],Tables[Table],0),"000000")</f>
        <v>000061</v>
      </c>
      <c r="F20" s="8" t="str">
        <f>RIGHT(MigrationRenamer[Filename],LEN(MigrationRenamer[Filename])-LEN(MigrationRenamer[Date Part])-LEN(MigrationRenamer[Sequence]))</f>
        <v>_create_store_product_transactions_table.php</v>
      </c>
      <c r="G20" s="8" t="str">
        <f>MigrationRenamer[Date Part]&amp;MigrationRenamer[Sequence]&amp;MigrationRenamer[Name Part]</f>
        <v>2019_03_28_000061_create_store_product_transactions_table.php</v>
      </c>
      <c r="H20" s="8" t="str">
        <f>IFERROR("ren "&amp;MigrationRenamer[Filename]&amp;" "&amp;MigrationRenamer[New Name],"del "&amp;MigrationRenamer[Filename])</f>
        <v>ren 2019_03_28_000064_create_store_product_transactions_table.php 2019_03_28_000061_create_store_product_transactions_table.php</v>
      </c>
    </row>
    <row r="21" spans="1:8" x14ac:dyDescent="0.25">
      <c r="A21" s="32">
        <f t="shared" si="6"/>
        <v>20</v>
      </c>
      <c r="B21" s="5" t="s">
        <v>1762</v>
      </c>
      <c r="C21" s="8" t="str">
        <f>MID(MigrationRenamer[Filename],26,LEN(MigrationRenamer[Filename])-35)</f>
        <v>transactions</v>
      </c>
      <c r="D21" s="8" t="str">
        <f t="shared" si="5"/>
        <v>2019_03_28_</v>
      </c>
      <c r="E21" s="8" t="str">
        <f>TEXT(MATCH(MigrationRenamer[[#This Row],[Table]],Tables[Table],0),"000000")</f>
        <v>000062</v>
      </c>
      <c r="F21" s="8" t="str">
        <f>RIGHT(MigrationRenamer[Filename],LEN(MigrationRenamer[Filename])-LEN(MigrationRenamer[Date Part])-LEN(MigrationRenamer[Sequence]))</f>
        <v>_create_transactions_table.php</v>
      </c>
      <c r="G21" s="8" t="str">
        <f>MigrationRenamer[Date Part]&amp;MigrationRenamer[Sequence]&amp;MigrationRenamer[Name Part]</f>
        <v>2019_03_28_000062_create_transactions_table.php</v>
      </c>
      <c r="H21" s="8" t="str">
        <f>IFERROR("ren "&amp;MigrationRenamer[Filename]&amp;" "&amp;MigrationRenamer[New Name],"del "&amp;MigrationRenamer[Filename])</f>
        <v>ren 2019_03_28_000065_create_transactions_table.php 2019_03_28_000062_create_transactions_table.php</v>
      </c>
    </row>
    <row r="22" spans="1:8" x14ac:dyDescent="0.25">
      <c r="A22" s="32">
        <f t="shared" si="6"/>
        <v>21</v>
      </c>
      <c r="B22" s="5" t="s">
        <v>1763</v>
      </c>
      <c r="C22" s="8" t="str">
        <f>MID(MigrationRenamer[Filename],26,LEN(MigrationRenamer[Filename])-35)</f>
        <v>transaction_details</v>
      </c>
      <c r="D22" s="8" t="str">
        <f t="shared" si="5"/>
        <v>2019_03_28_</v>
      </c>
      <c r="E22" s="8" t="str">
        <f>TEXT(MATCH(MigrationRenamer[[#This Row],[Table]],Tables[Table],0),"000000")</f>
        <v>000063</v>
      </c>
      <c r="F22" s="8" t="str">
        <f>RIGHT(MigrationRenamer[Filename],LEN(MigrationRenamer[Filename])-LEN(MigrationRenamer[Date Part])-LEN(MigrationRenamer[Sequence]))</f>
        <v>_create_transaction_details_table.php</v>
      </c>
      <c r="G22" s="8" t="str">
        <f>MigrationRenamer[Date Part]&amp;MigrationRenamer[Sequence]&amp;MigrationRenamer[Name Part]</f>
        <v>2019_03_28_000063_create_transaction_details_table.php</v>
      </c>
      <c r="H22" s="8" t="str">
        <f>IFERROR("ren "&amp;MigrationRenamer[Filename]&amp;" "&amp;MigrationRenamer[New Name],"del "&amp;MigrationRenamer[Filename])</f>
        <v>ren 2019_03_28_000066_create_transaction_details_table.php 2019_03_28_000063_create_transaction_details_table.php</v>
      </c>
    </row>
    <row r="23" spans="1:8" x14ac:dyDescent="0.25">
      <c r="A23" s="32">
        <f t="shared" si="6"/>
        <v>22</v>
      </c>
      <c r="B23" s="5" t="s">
        <v>1764</v>
      </c>
      <c r="C23" s="8" t="str">
        <f>MID(MigrationRenamer[Filename],26,LEN(MigrationRenamer[Filename])-35)</f>
        <v>bill_data</v>
      </c>
      <c r="D23" s="8" t="str">
        <f t="shared" si="5"/>
        <v>2019_03_28_</v>
      </c>
      <c r="E23" s="8" t="e">
        <f>TEXT(MATCH(MigrationRenamer[[#This Row],[Table]],Tables[Table],0),"000000")</f>
        <v>#N/A</v>
      </c>
      <c r="F23" s="8" t="e">
        <f>RIGHT(MigrationRenamer[Filename],LEN(MigrationRenamer[Filename])-LEN(MigrationRenamer[Date Part])-LEN(MigrationRenamer[Sequence]))</f>
        <v>#N/A</v>
      </c>
      <c r="G23" s="8" t="e">
        <f>MigrationRenamer[Date Part]&amp;MigrationRenamer[Sequence]&amp;MigrationRenamer[Name Part]</f>
        <v>#N/A</v>
      </c>
      <c r="H23" s="8" t="str">
        <f>IFERROR("ren "&amp;MigrationRenamer[Filename]&amp;" "&amp;MigrationRenamer[New Name],"del "&amp;MigrationRenamer[Filename])</f>
        <v>del 2019_03_28_000067_create_bill_data_table.php</v>
      </c>
    </row>
    <row r="24" spans="1:8" x14ac:dyDescent="0.25">
      <c r="A24" s="32">
        <f t="shared" si="6"/>
        <v>23</v>
      </c>
      <c r="B24" s="5" t="s">
        <v>1765</v>
      </c>
      <c r="C24" s="8" t="str">
        <f>MID(MigrationRenamer[Filename],26,LEN(MigrationRenamer[Filename])-35)</f>
        <v>d_data</v>
      </c>
      <c r="D24" s="8" t="str">
        <f t="shared" si="5"/>
        <v>2019_03_28_</v>
      </c>
      <c r="E24" s="8" t="str">
        <f>TEXT(MATCH(MigrationRenamer[[#This Row],[Table]],Tables[Table],0),"000000")</f>
        <v>000064</v>
      </c>
      <c r="F24" s="8" t="str">
        <f>RIGHT(MigrationRenamer[Filename],LEN(MigrationRenamer[Filename])-LEN(MigrationRenamer[Date Part])-LEN(MigrationRenamer[Sequence]))</f>
        <v>_create_d_data_table.php</v>
      </c>
      <c r="G24" s="8" t="str">
        <f>MigrationRenamer[Date Part]&amp;MigrationRenamer[Sequence]&amp;MigrationRenamer[Name Part]</f>
        <v>2019_03_28_000064_create_d_data_table.php</v>
      </c>
      <c r="H24" s="8" t="str">
        <f>IFERROR("ren "&amp;MigrationRenamer[Filename]&amp;" "&amp;MigrationRenamer[New Name],"del "&amp;MigrationRenamer[Filename])</f>
        <v>ren 2019_03_28_000068_create_d_data_table.php 2019_03_28_000064_create_d_data_table.php</v>
      </c>
    </row>
    <row r="25" spans="1:8" x14ac:dyDescent="0.25">
      <c r="A25" s="32">
        <f t="shared" si="6"/>
        <v>24</v>
      </c>
      <c r="B25" s="5" t="s">
        <v>1766</v>
      </c>
      <c r="C25" s="8" t="str">
        <f>MID(MigrationRenamer[Filename],26,LEN(MigrationRenamer[Filename])-35)</f>
        <v>cheque_details</v>
      </c>
      <c r="D25" s="8" t="str">
        <f t="shared" si="5"/>
        <v>2019_03_28_</v>
      </c>
      <c r="E25" s="8" t="e">
        <f>TEXT(MATCH(MigrationRenamer[[#This Row],[Table]],Tables[Table],0),"000000")</f>
        <v>#N/A</v>
      </c>
      <c r="F25" s="8" t="e">
        <f>RIGHT(MigrationRenamer[Filename],LEN(MigrationRenamer[Filename])-LEN(MigrationRenamer[Date Part])-LEN(MigrationRenamer[Sequence]))</f>
        <v>#N/A</v>
      </c>
      <c r="G25" s="8" t="e">
        <f>MigrationRenamer[Date Part]&amp;MigrationRenamer[Sequence]&amp;MigrationRenamer[Name Part]</f>
        <v>#N/A</v>
      </c>
      <c r="H25" s="8" t="str">
        <f>IFERROR("ren "&amp;MigrationRenamer[Filename]&amp;" "&amp;MigrationRenamer[New Name],"del "&amp;MigrationRenamer[Filename])</f>
        <v>del 2019_03_28_000069_create_cheque_details_table.php</v>
      </c>
    </row>
    <row r="26" spans="1:8" x14ac:dyDescent="0.25">
      <c r="A26" s="32">
        <f>IFERROR($A25+1,1)</f>
        <v>25</v>
      </c>
      <c r="B26" s="5" t="s">
        <v>1767</v>
      </c>
      <c r="C26" s="8" t="str">
        <f>MID(MigrationRenamer[Filename],26,LEN(MigrationRenamer[Filename])-35)</f>
        <v>sales_order</v>
      </c>
      <c r="D26" s="8" t="str">
        <f>"2019_03_28_"</f>
        <v>2019_03_28_</v>
      </c>
      <c r="E26" s="8" t="str">
        <f>TEXT(MATCH(MigrationRenamer[[#This Row],[Table]],Tables[Table],0),"000000")</f>
        <v>000065</v>
      </c>
      <c r="F26" s="8" t="str">
        <f>RIGHT(MigrationRenamer[Filename],LEN(MigrationRenamer[Filename])-LEN(MigrationRenamer[Date Part])-LEN(MigrationRenamer[Sequence]))</f>
        <v>_create_sales_order_table.php</v>
      </c>
      <c r="G26" s="8" t="str">
        <f>MigrationRenamer[Date Part]&amp;MigrationRenamer[Sequence]&amp;MigrationRenamer[Name Part]</f>
        <v>2019_03_28_000065_create_sales_order_table.php</v>
      </c>
      <c r="H26" s="8" t="str">
        <f>IFERROR("ren "&amp;MigrationRenamer[Filename]&amp;" "&amp;MigrationRenamer[New Name],"del "&amp;MigrationRenamer[Filename])</f>
        <v>ren 2019_03_28_000070_create_sales_order_table.php 2019_03_28_000065_create_sales_order_table.php</v>
      </c>
    </row>
    <row r="27" spans="1:8" x14ac:dyDescent="0.25">
      <c r="A27" s="32">
        <f>IFERROR($A26+1,1)</f>
        <v>26</v>
      </c>
      <c r="B27" s="5" t="s">
        <v>1768</v>
      </c>
      <c r="C27" s="8" t="str">
        <f>MID(MigrationRenamer[Filename],26,LEN(MigrationRenamer[Filename])-35)</f>
        <v>sales_order_items</v>
      </c>
      <c r="D27" s="8" t="str">
        <f>"2019_03_28_"</f>
        <v>2019_03_28_</v>
      </c>
      <c r="E27" s="8" t="str">
        <f>TEXT(MATCH(MigrationRenamer[[#This Row],[Table]],Tables[Table],0),"000000")</f>
        <v>000066</v>
      </c>
      <c r="F27" s="8" t="str">
        <f>RIGHT(MigrationRenamer[Filename],LEN(MigrationRenamer[Filename])-LEN(MigrationRenamer[Date Part])-LEN(MigrationRenamer[Sequence]))</f>
        <v>_create_sales_order_items_table.php</v>
      </c>
      <c r="G27" s="8" t="str">
        <f>MigrationRenamer[Date Part]&amp;MigrationRenamer[Sequence]&amp;MigrationRenamer[Name Part]</f>
        <v>2019_03_28_000066_create_sales_order_items_table.php</v>
      </c>
      <c r="H27" s="8" t="str">
        <f>IFERROR("ren "&amp;MigrationRenamer[Filename]&amp;" "&amp;MigrationRenamer[New Name],"del "&amp;MigrationRenamer[Filename])</f>
        <v>ren 2019_03_28_000071_create_sales_order_items_table.php 2019_03_28_000066_create_sales_order_items_table.php</v>
      </c>
    </row>
    <row r="28" spans="1:8" x14ac:dyDescent="0.25">
      <c r="A28" s="32">
        <f t="shared" ref="A28:A33" si="7">IFERROR($A27+1,1)</f>
        <v>27</v>
      </c>
      <c r="B28" s="5" t="s">
        <v>1769</v>
      </c>
      <c r="C28" s="8" t="str">
        <f>MID(MigrationRenamer[Filename],26,LEN(MigrationRenamer[Filename])-35)</f>
        <v>stock_transfer</v>
      </c>
      <c r="D28" s="8" t="str">
        <f t="shared" ref="D28:D33" si="8">"2019_03_28_"</f>
        <v>2019_03_28_</v>
      </c>
      <c r="E28" s="8" t="str">
        <f>TEXT(MATCH(MigrationRenamer[[#This Row],[Table]],Tables[Table],0),"000000")</f>
        <v>000067</v>
      </c>
      <c r="F28" s="8" t="str">
        <f>RIGHT(MigrationRenamer[Filename],LEN(MigrationRenamer[Filename])-LEN(MigrationRenamer[Date Part])-LEN(MigrationRenamer[Sequence]))</f>
        <v>_create_stock_transfer_table.php</v>
      </c>
      <c r="G28" s="8" t="str">
        <f>MigrationRenamer[Date Part]&amp;MigrationRenamer[Sequence]&amp;MigrationRenamer[Name Part]</f>
        <v>2019_03_28_000067_create_stock_transfer_table.php</v>
      </c>
      <c r="H28" s="8" t="str">
        <f>IFERROR("ren "&amp;MigrationRenamer[Filename]&amp;" "&amp;MigrationRenamer[New Name],"del "&amp;MigrationRenamer[Filename])</f>
        <v>ren 2019_03_28_000072_create_stock_transfer_table.php 2019_03_28_000067_create_stock_transfer_table.php</v>
      </c>
    </row>
    <row r="29" spans="1:8" x14ac:dyDescent="0.25">
      <c r="A29" s="32">
        <f t="shared" si="7"/>
        <v>28</v>
      </c>
      <c r="B29" s="5" t="s">
        <v>1778</v>
      </c>
      <c r="C29" s="8" t="str">
        <f>MID(MigrationRenamer[Filename],26,LEN(MigrationRenamer[Filename])-35)</f>
        <v>receipts</v>
      </c>
      <c r="D29" s="8" t="str">
        <f t="shared" si="8"/>
        <v>2019_03_28_</v>
      </c>
      <c r="E29" s="8" t="str">
        <f>TEXT(MATCH(MigrationRenamer[[#This Row],[Table]],Tables[Table],0),"000000")</f>
        <v>000068</v>
      </c>
      <c r="F29" s="8" t="str">
        <f>RIGHT(MigrationRenamer[Filename],LEN(MigrationRenamer[Filename])-LEN(MigrationRenamer[Date Part])-LEN(MigrationRenamer[Sequence]))</f>
        <v>_create_receipts_table.php</v>
      </c>
      <c r="G29" s="8" t="str">
        <f>MigrationRenamer[Date Part]&amp;MigrationRenamer[Sequence]&amp;MigrationRenamer[Name Part]</f>
        <v>2019_03_28_000068_create_receipts_table.php</v>
      </c>
      <c r="H29" s="8" t="str">
        <f>IFERROR("ren "&amp;MigrationRenamer[Filename]&amp;" "&amp;MigrationRenamer[New Name],"del "&amp;MigrationRenamer[Filename])</f>
        <v>ren 2019_03_28_000073_create_receipts_table.php 2019_03_28_000068_create_receipts_table.php</v>
      </c>
    </row>
    <row r="30" spans="1:8" x14ac:dyDescent="0.25">
      <c r="A30" s="32">
        <f t="shared" si="7"/>
        <v>29</v>
      </c>
      <c r="B30" s="5" t="s">
        <v>1797</v>
      </c>
      <c r="C30" s="8" t="str">
        <f>MID(MigrationRenamer[Filename],26,LEN(MigrationRenamer[Filename])-35)</f>
        <v>fn_reserves</v>
      </c>
      <c r="D30" s="8" t="str">
        <f t="shared" si="8"/>
        <v>2019_03_28_</v>
      </c>
      <c r="E30" s="8" t="str">
        <f>TEXT(MATCH(MigrationRenamer[[#This Row],[Table]],Tables[Table],0),"000000")</f>
        <v>000069</v>
      </c>
      <c r="F30" s="8" t="str">
        <f>RIGHT(MigrationRenamer[Filename],LEN(MigrationRenamer[Filename])-LEN(MigrationRenamer[Date Part])-LEN(MigrationRenamer[Sequence]))</f>
        <v>_create_fn_reserves_table.php</v>
      </c>
      <c r="G30" s="8" t="str">
        <f>MigrationRenamer[Date Part]&amp;MigrationRenamer[Sequence]&amp;MigrationRenamer[Name Part]</f>
        <v>2019_03_28_000069_create_fn_reserves_table.php</v>
      </c>
      <c r="H30" s="8" t="str">
        <f>IFERROR("ren "&amp;MigrationRenamer[Filename]&amp;" "&amp;MigrationRenamer[New Name],"del "&amp;MigrationRenamer[Filename])</f>
        <v>ren 2019_03_28_000074_create_fn_reserves_table.php 2019_03_28_000069_create_fn_reserves_table.php</v>
      </c>
    </row>
    <row r="31" spans="1:8" x14ac:dyDescent="0.25">
      <c r="A31" s="32">
        <f t="shared" si="7"/>
        <v>30</v>
      </c>
      <c r="B31" s="5" t="s">
        <v>1824</v>
      </c>
      <c r="C31" s="8" t="str">
        <f>MID(MigrationRenamer[Filename],26,LEN(MigrationRenamer[Filename])-35)</f>
        <v>sales_order_sales</v>
      </c>
      <c r="D31" s="8" t="str">
        <f t="shared" si="8"/>
        <v>2019_03_28_</v>
      </c>
      <c r="E31" s="8" t="str">
        <f>TEXT(MATCH(MigrationRenamer[[#This Row],[Table]],Tables[Table],0),"000000")</f>
        <v>000070</v>
      </c>
      <c r="F31" s="8" t="str">
        <f>RIGHT(MigrationRenamer[Filename],LEN(MigrationRenamer[Filename])-LEN(MigrationRenamer[Date Part])-LEN(MigrationRenamer[Sequence]))</f>
        <v>_create_sales_order_sales_table.php</v>
      </c>
      <c r="G31" s="8" t="str">
        <f>MigrationRenamer[Date Part]&amp;MigrationRenamer[Sequence]&amp;MigrationRenamer[Name Part]</f>
        <v>2019_03_28_000070_create_sales_order_sales_table.php</v>
      </c>
      <c r="H31" s="8" t="str">
        <f>IFERROR("ren "&amp;MigrationRenamer[Filename]&amp;" "&amp;MigrationRenamer[New Name],"del "&amp;MigrationRenamer[Filename])</f>
        <v>ren 2019_03_28_000075_create_sales_order_sales_table.php 2019_03_28_000070_create_sales_order_sales_table.php</v>
      </c>
    </row>
    <row r="32" spans="1:8" x14ac:dyDescent="0.25">
      <c r="A32" s="32">
        <f t="shared" si="7"/>
        <v>31</v>
      </c>
      <c r="B32" s="5" t="s">
        <v>1825</v>
      </c>
      <c r="C32" s="8" t="str">
        <f>MID(MigrationRenamer[Filename],26,LEN(MigrationRenamer[Filename])-35)</f>
        <v>w_bin</v>
      </c>
      <c r="D32" s="8" t="str">
        <f t="shared" si="8"/>
        <v>2019_03_28_</v>
      </c>
      <c r="E32" s="8" t="str">
        <f>TEXT(MATCH(MigrationRenamer[[#This Row],[Table]],Tables[Table],0),"000000")</f>
        <v>000071</v>
      </c>
      <c r="F32" s="8" t="str">
        <f>RIGHT(MigrationRenamer[Filename],LEN(MigrationRenamer[Filename])-LEN(MigrationRenamer[Date Part])-LEN(MigrationRenamer[Sequence]))</f>
        <v>_create_w_bin_table.php</v>
      </c>
      <c r="G32" s="8" t="str">
        <f>MigrationRenamer[Date Part]&amp;MigrationRenamer[Sequence]&amp;MigrationRenamer[Name Part]</f>
        <v>2019_03_28_000071_create_w_bin_table.php</v>
      </c>
      <c r="H32" s="8" t="str">
        <f>IFERROR("ren "&amp;MigrationRenamer[Filename]&amp;" "&amp;MigrationRenamer[New Name],"del "&amp;MigrationRenamer[Filename])</f>
        <v>ren 2019_03_28_000076_create_w_bin_table.php 2019_03_28_000071_create_w_bin_table.php</v>
      </c>
    </row>
    <row r="33" spans="1:8" x14ac:dyDescent="0.25">
      <c r="A33" s="32">
        <f t="shared" si="7"/>
        <v>32</v>
      </c>
      <c r="B33" s="5" t="s">
        <v>1826</v>
      </c>
      <c r="C33" s="8" t="str">
        <f>MID(MigrationRenamer[Filename],26,LEN(MigrationRenamer[Filename])-35)</f>
        <v>importsales</v>
      </c>
      <c r="D33" s="8" t="str">
        <f t="shared" si="8"/>
        <v>2019_03_28_</v>
      </c>
      <c r="E33" s="8" t="e">
        <f>TEXT(MATCH(MigrationRenamer[[#This Row],[Table]],Tables[Table],0),"000000")</f>
        <v>#N/A</v>
      </c>
      <c r="F33" s="8" t="e">
        <f>RIGHT(MigrationRenamer[Filename],LEN(MigrationRenamer[Filename])-LEN(MigrationRenamer[Date Part])-LEN(MigrationRenamer[Sequence]))</f>
        <v>#N/A</v>
      </c>
      <c r="G33" s="8" t="e">
        <f>MigrationRenamer[Date Part]&amp;MigrationRenamer[Sequence]&amp;MigrationRenamer[Name Part]</f>
        <v>#N/A</v>
      </c>
      <c r="H33" s="8" t="str">
        <f>IFERROR("ren "&amp;MigrationRenamer[Filename]&amp;" "&amp;MigrationRenamer[New Name],"del "&amp;MigrationRenamer[Filename])</f>
        <v>del 2019_07_18_121504_create_importsales_table.php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1"/>
  <sheetViews>
    <sheetView topLeftCell="B1" workbookViewId="0">
      <selection activeCell="F6" sqref="F6"/>
    </sheetView>
  </sheetViews>
  <sheetFormatPr defaultRowHeight="15" x14ac:dyDescent="0.2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 x14ac:dyDescent="0.25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 x14ac:dyDescent="0.25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ResourceList[No]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 x14ac:dyDescent="0.25">
      <c r="A3" s="7" t="str">
        <f>'Table Seed Map'!$A$24&amp;"-"&amp;COUNTA($B$1:ResourceList[[#This Row],[Resource Name]])-1</f>
        <v>Resource Lists-1</v>
      </c>
      <c r="B3" s="4" t="s">
        <v>1303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305115</v>
      </c>
      <c r="F3" s="64" t="s">
        <v>1392</v>
      </c>
      <c r="G3" s="64" t="s">
        <v>1393</v>
      </c>
      <c r="H3" s="64" t="s">
        <v>1394</v>
      </c>
      <c r="I3" s="64" t="s">
        <v>23</v>
      </c>
      <c r="J3" s="64">
        <v>20</v>
      </c>
      <c r="K3" s="58">
        <f>ResourceList[No]</f>
        <v>322101</v>
      </c>
      <c r="M3" s="4" t="s">
        <v>1506</v>
      </c>
      <c r="N3" s="7">
        <f>VLOOKUP(ListExtras[[#This Row],[List Name]],ResourceList[[ListDisplayName]:[No]],2,0)</f>
        <v>322105</v>
      </c>
      <c r="O3" s="4"/>
      <c r="P3" s="4" t="s">
        <v>1492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308109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1398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4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4"/>
      <c r="AP3" s="64"/>
      <c r="AQ3" s="64"/>
      <c r="AR3" s="64"/>
      <c r="AT3" s="60" t="str">
        <f>'Table Seed Map'!$A$27&amp;"-"&amp;COUNTA($AV$1:ListLayout[[#This Row],[No]])-2</f>
        <v>List Layout-1</v>
      </c>
      <c r="AU3" s="4" t="s">
        <v>1398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4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4"/>
      <c r="BD3" s="64"/>
      <c r="BE3" s="64"/>
    </row>
    <row r="4" spans="1:57" x14ac:dyDescent="0.25">
      <c r="A4" s="7" t="str">
        <f>'Table Seed Map'!$A$24&amp;"-"&amp;COUNTA($B$1:ResourceList[[#This Row],[Resource Name]])-1</f>
        <v>Resource Lists-2</v>
      </c>
      <c r="B4" s="4" t="s">
        <v>1304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305116</v>
      </c>
      <c r="F4" s="64" t="s">
        <v>1395</v>
      </c>
      <c r="G4" s="64" t="s">
        <v>1396</v>
      </c>
      <c r="H4" s="64" t="s">
        <v>1397</v>
      </c>
      <c r="I4" s="64" t="s">
        <v>23</v>
      </c>
      <c r="J4" s="64">
        <v>20</v>
      </c>
      <c r="K4" s="58">
        <f>ResourceList[No]</f>
        <v>322102</v>
      </c>
      <c r="M4" s="4" t="s">
        <v>1506</v>
      </c>
      <c r="N4" s="7">
        <f>VLOOKUP(ListExtras[[#This Row],[List Name]],ResourceList[[ListDisplayName]:[No]],2,0)</f>
        <v>322105</v>
      </c>
      <c r="O4" s="4"/>
      <c r="P4" s="4" t="s">
        <v>1493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308111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1400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4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4"/>
      <c r="AP4" s="64"/>
      <c r="AQ4" s="64"/>
      <c r="AR4" s="64"/>
      <c r="AT4" s="60" t="str">
        <f>'Table Seed Map'!$A$27&amp;"-"&amp;COUNTA($AV$1:ListLayout[[#This Row],[No]])-2</f>
        <v>List Layout-2</v>
      </c>
      <c r="AU4" s="4" t="s">
        <v>1398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1399</v>
      </c>
      <c r="AY4" s="64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4"/>
      <c r="BD4" s="64"/>
      <c r="BE4" s="64"/>
    </row>
    <row r="5" spans="1:57" x14ac:dyDescent="0.25">
      <c r="A5" s="7" t="str">
        <f>'Table Seed Map'!$A$24&amp;"-"&amp;COUNTA($B$1:ResourceList[[#This Row],[Resource Name]])-1</f>
        <v>Resource Lists-3</v>
      </c>
      <c r="B5" s="4" t="s">
        <v>1291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4" t="s">
        <v>1313</v>
      </c>
      <c r="G5" s="64" t="s">
        <v>1459</v>
      </c>
      <c r="H5" s="64" t="s">
        <v>1313</v>
      </c>
      <c r="I5" s="64" t="s">
        <v>23</v>
      </c>
      <c r="J5" s="64">
        <v>20</v>
      </c>
      <c r="K5" s="58">
        <f>ResourceList[No]</f>
        <v>322103</v>
      </c>
      <c r="M5" s="4" t="s">
        <v>1550</v>
      </c>
      <c r="N5" s="7">
        <f>VLOOKUP(ListExtras[[#This Row],[List Name]],ResourceList[[ListDisplayName]:[No]],2,0)</f>
        <v>322106</v>
      </c>
      <c r="O5" s="4" t="s">
        <v>1551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1460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4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4"/>
      <c r="AP5" s="64"/>
      <c r="AQ5" s="64"/>
      <c r="AR5" s="64"/>
      <c r="AT5" s="60" t="str">
        <f>'Table Seed Map'!$A$27&amp;"-"&amp;COUNTA($AV$1:ListLayout[[#This Row],[No]])-2</f>
        <v>List Layout-3</v>
      </c>
      <c r="AU5" s="4" t="s">
        <v>1400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4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4"/>
      <c r="BD5" s="64"/>
      <c r="BE5" s="64"/>
    </row>
    <row r="6" spans="1:57" x14ac:dyDescent="0.25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4" t="s">
        <v>1495</v>
      </c>
      <c r="G6" s="64" t="s">
        <v>1496</v>
      </c>
      <c r="H6" s="64" t="s">
        <v>78</v>
      </c>
      <c r="I6" s="64" t="s">
        <v>23</v>
      </c>
      <c r="J6" s="64">
        <v>50</v>
      </c>
      <c r="K6" s="58">
        <f>ResourceList[No]</f>
        <v>322104</v>
      </c>
      <c r="M6" s="4" t="s">
        <v>1612</v>
      </c>
      <c r="N6" s="7">
        <f>VLOOKUP(ListExtras[[#This Row],[List Name]],ResourceList[[ListDisplayName]:[No]],2,0)</f>
        <v>322107</v>
      </c>
      <c r="O6" s="4"/>
      <c r="P6" s="4" t="s">
        <v>1613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308113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1460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4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4"/>
      <c r="AP6" s="64"/>
      <c r="AQ6" s="64"/>
      <c r="AR6" s="64"/>
      <c r="AT6" s="60" t="str">
        <f>'Table Seed Map'!$A$27&amp;"-"&amp;COUNTA($AV$1:ListLayout[[#This Row],[No]])-2</f>
        <v>List Layout-4</v>
      </c>
      <c r="AU6" s="4" t="s">
        <v>1400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1399</v>
      </c>
      <c r="AY6" s="64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4"/>
      <c r="BD6" s="64"/>
      <c r="BE6" s="64"/>
    </row>
    <row r="7" spans="1:57" x14ac:dyDescent="0.25">
      <c r="A7" s="7" t="str">
        <f>'Table Seed Map'!$A$24&amp;"-"&amp;COUNTA($B$1:ResourceList[[#This Row],[Resource Name]])-1</f>
        <v>Resource Lists-5</v>
      </c>
      <c r="B7" s="4" t="s">
        <v>1300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305112</v>
      </c>
      <c r="F7" s="64" t="s">
        <v>1504</v>
      </c>
      <c r="G7" s="64" t="s">
        <v>1505</v>
      </c>
      <c r="H7" s="64" t="s">
        <v>1322</v>
      </c>
      <c r="I7" s="64" t="s">
        <v>1561</v>
      </c>
      <c r="J7" s="64">
        <v>50</v>
      </c>
      <c r="K7" s="58">
        <f>ResourceList[No]</f>
        <v>322105</v>
      </c>
      <c r="M7" s="4" t="s">
        <v>1612</v>
      </c>
      <c r="N7" s="7">
        <f>VLOOKUP(ListExtras[[#This Row],[List Name]],ResourceList[[ListDisplayName]:[No]],2,0)</f>
        <v>322107</v>
      </c>
      <c r="O7" s="4"/>
      <c r="P7" s="4" t="s">
        <v>1614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308114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1497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4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4"/>
      <c r="AP7" s="64"/>
      <c r="AQ7" s="64"/>
      <c r="AR7" s="64"/>
      <c r="AT7" s="60" t="str">
        <f>'Table Seed Map'!$A$27&amp;"-"&amp;COUNTA($AV$1:ListLayout[[#This Row],[No]])-2</f>
        <v>List Layout-5</v>
      </c>
      <c r="AU7" s="4" t="s">
        <v>1460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4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4"/>
      <c r="BD7" s="64"/>
      <c r="BE7" s="64"/>
    </row>
    <row r="8" spans="1:57" x14ac:dyDescent="0.25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4" t="s">
        <v>1547</v>
      </c>
      <c r="G8" s="64" t="s">
        <v>1548</v>
      </c>
      <c r="H8" s="64" t="s">
        <v>1549</v>
      </c>
      <c r="I8" s="64" t="s">
        <v>23</v>
      </c>
      <c r="J8" s="64">
        <v>50</v>
      </c>
      <c r="K8" s="58">
        <f>ResourceList[No]</f>
        <v>322106</v>
      </c>
      <c r="M8" s="4" t="s">
        <v>1612</v>
      </c>
      <c r="N8" s="7">
        <f>VLOOKUP(ListExtras[[#This Row],[List Name]],ResourceList[[ListDisplayName]:[No]],2,0)</f>
        <v>322107</v>
      </c>
      <c r="O8" s="4"/>
      <c r="P8" s="4" t="s">
        <v>1615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308115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1497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4" t="s">
        <v>1498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4"/>
      <c r="AP8" s="64"/>
      <c r="AQ8" s="64"/>
      <c r="AR8" s="64"/>
      <c r="AT8" s="60" t="str">
        <f>'Table Seed Map'!$A$27&amp;"-"&amp;COUNTA($AV$1:ListLayout[[#This Row],[No]])-2</f>
        <v>List Layout-6</v>
      </c>
      <c r="AU8" s="4" t="s">
        <v>1460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1457</v>
      </c>
      <c r="AY8" s="64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4"/>
      <c r="BD8" s="64"/>
      <c r="BE8" s="64"/>
    </row>
    <row r="9" spans="1:57" x14ac:dyDescent="0.25">
      <c r="A9" s="7" t="str">
        <f>'Table Seed Map'!$A$24&amp;"-"&amp;COUNTA($B$1:ResourceList[[#This Row],[Resource Name]])-1</f>
        <v>Resource Lists-7</v>
      </c>
      <c r="B9" s="4" t="s">
        <v>1301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305113</v>
      </c>
      <c r="F9" s="64" t="s">
        <v>1610</v>
      </c>
      <c r="G9" s="64" t="s">
        <v>1611</v>
      </c>
      <c r="H9" s="64" t="s">
        <v>1607</v>
      </c>
      <c r="I9" s="64" t="s">
        <v>1561</v>
      </c>
      <c r="J9" s="64">
        <v>50</v>
      </c>
      <c r="K9" s="58">
        <f>ResourceList[No]</f>
        <v>322107</v>
      </c>
      <c r="AF9" s="60" t="str">
        <f>'Table Seed Map'!$A$28&amp;"-"&amp;COUNTA($AH$1:ListSearch[[#This Row],[No]])-2</f>
        <v>List Search-7</v>
      </c>
      <c r="AG9" s="4" t="s">
        <v>1497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4" t="s">
        <v>1501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4"/>
      <c r="AP9" s="64"/>
      <c r="AQ9" s="64"/>
      <c r="AR9" s="64"/>
      <c r="AT9" s="60" t="str">
        <f>'Table Seed Map'!$A$27&amp;"-"&amp;COUNTA($AV$1:ListLayout[[#This Row],[No]])-2</f>
        <v>List Layout-7</v>
      </c>
      <c r="AU9" s="4" t="s">
        <v>1460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1399</v>
      </c>
      <c r="AY9" s="64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4"/>
      <c r="BD9" s="64"/>
      <c r="BE9" s="64"/>
    </row>
    <row r="10" spans="1:57" x14ac:dyDescent="0.25">
      <c r="A10" s="7" t="str">
        <f>'Table Seed Map'!$A$24&amp;"-"&amp;COUNTA($B$1:ResourceList[[#This Row],[Resource Name]])-1</f>
        <v>Resource Lists-8</v>
      </c>
      <c r="B10" s="4" t="s">
        <v>1298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305110</v>
      </c>
      <c r="F10" s="64" t="s">
        <v>1641</v>
      </c>
      <c r="G10" s="64" t="s">
        <v>1642</v>
      </c>
      <c r="H10" s="64" t="s">
        <v>1298</v>
      </c>
      <c r="I10" s="64" t="s">
        <v>23</v>
      </c>
      <c r="J10" s="64">
        <v>50</v>
      </c>
      <c r="K10" s="58">
        <f>ResourceList[No]</f>
        <v>322108</v>
      </c>
      <c r="AF10" s="60" t="str">
        <f>'Table Seed Map'!$A$28&amp;"-"&amp;COUNTA($AH$1:ListSearch[[#This Row],[No]])-2</f>
        <v>List Search-8</v>
      </c>
      <c r="AG10" s="4" t="s">
        <v>1506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4" t="s">
        <v>23</v>
      </c>
      <c r="AK10" s="60">
        <f>IF(ListSearch[[#This Row],[List Name for Search]]="","relation",IFERROR(VLOOKUP(ListSearch[[#This Row],[Relation]],RelationTable[[Display]:[RELID]],2,0),""))</f>
        <v>308111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4" t="s">
        <v>1493</v>
      </c>
      <c r="AP10" s="64"/>
      <c r="AQ10" s="64"/>
      <c r="AR10" s="64"/>
      <c r="AT10" s="60" t="str">
        <f>'Table Seed Map'!$A$27&amp;"-"&amp;COUNTA($AV$1:ListLayout[[#This Row],[No]])-2</f>
        <v>List Layout-8</v>
      </c>
      <c r="AU10" s="4" t="s">
        <v>1497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4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4"/>
      <c r="BD10" s="64"/>
      <c r="BE10" s="64"/>
    </row>
    <row r="11" spans="1:57" x14ac:dyDescent="0.25">
      <c r="A11" s="7" t="str">
        <f>'Table Seed Map'!$A$24&amp;"-"&amp;COUNTA($B$1:ResourceList[[#This Row],[Resource Name]])-1</f>
        <v>Resource Lists-9</v>
      </c>
      <c r="B11" s="4" t="s">
        <v>1297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305109</v>
      </c>
      <c r="F11" s="64" t="s">
        <v>1645</v>
      </c>
      <c r="G11" s="64" t="s">
        <v>1646</v>
      </c>
      <c r="H11" s="64" t="s">
        <v>1319</v>
      </c>
      <c r="I11" s="64" t="s">
        <v>23</v>
      </c>
      <c r="J11" s="64">
        <v>50</v>
      </c>
      <c r="K11" s="58">
        <f>ResourceList[No]</f>
        <v>322109</v>
      </c>
      <c r="AF11" s="60" t="str">
        <f>'Table Seed Map'!$A$28&amp;"-"&amp;COUNTA($AH$1:ListSearch[[#This Row],[No]])-2</f>
        <v>List Search-9</v>
      </c>
      <c r="AG11" s="4" t="s">
        <v>1506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4" t="s">
        <v>23</v>
      </c>
      <c r="AK11" s="60">
        <f>IF(ListSearch[[#This Row],[List Name for Search]]="","relation",IFERROR(VLOOKUP(ListSearch[[#This Row],[Relation]],RelationTable[[Display]:[RELID]],2,0),""))</f>
        <v>308109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4" t="s">
        <v>1492</v>
      </c>
      <c r="AP11" s="64"/>
      <c r="AQ11" s="64"/>
      <c r="AR11" s="64"/>
      <c r="AT11" s="60" t="str">
        <f>'Table Seed Map'!$A$27&amp;"-"&amp;COUNTA($AV$1:ListLayout[[#This Row],[No]])-2</f>
        <v>List Layout-9</v>
      </c>
      <c r="AU11" s="4" t="s">
        <v>1497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1499</v>
      </c>
      <c r="AY11" s="64" t="s">
        <v>1498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4"/>
      <c r="BD11" s="64"/>
      <c r="BE11" s="64"/>
    </row>
    <row r="12" spans="1:57" x14ac:dyDescent="0.25">
      <c r="AF12" s="60" t="str">
        <f>'Table Seed Map'!$A$28&amp;"-"&amp;COUNTA($AH$1:ListSearch[[#This Row],[No]])-2</f>
        <v>List Search-10</v>
      </c>
      <c r="AG12" s="4" t="s">
        <v>1550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4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4"/>
      <c r="AP12" s="64"/>
      <c r="AQ12" s="64"/>
      <c r="AR12" s="64"/>
      <c r="AT12" s="60" t="str">
        <f>'Table Seed Map'!$A$27&amp;"-"&amp;COUNTA($AV$1:ListLayout[[#This Row],[No]])-2</f>
        <v>List Layout-10</v>
      </c>
      <c r="AU12" s="4" t="s">
        <v>1497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1500</v>
      </c>
      <c r="AY12" s="64" t="s">
        <v>1501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4"/>
      <c r="BD12" s="64"/>
      <c r="BE12" s="64"/>
    </row>
    <row r="13" spans="1:57" x14ac:dyDescent="0.25">
      <c r="AF13" s="60" t="str">
        <f>'Table Seed Map'!$A$28&amp;"-"&amp;COUNTA($AH$1:ListSearch[[#This Row],[No]])-2</f>
        <v>List Search-11</v>
      </c>
      <c r="AG13" s="4" t="s">
        <v>1612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4" t="s">
        <v>23</v>
      </c>
      <c r="AK13" s="60">
        <f>IF(ListSearch[[#This Row],[List Name for Search]]="","relation",IFERROR(VLOOKUP(ListSearch[[#This Row],[Relation]],RelationTable[[Display]:[RELID]],2,0),""))</f>
        <v>308113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4" t="s">
        <v>1613</v>
      </c>
      <c r="AP13" s="64"/>
      <c r="AQ13" s="64"/>
      <c r="AR13" s="64"/>
      <c r="AT13" s="60" t="str">
        <f>'Table Seed Map'!$A$27&amp;"-"&amp;COUNTA($AV$1:ListLayout[[#This Row],[No]])-2</f>
        <v>List Layout-11</v>
      </c>
      <c r="AU13" s="4" t="s">
        <v>1506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4" t="s">
        <v>23</v>
      </c>
      <c r="AZ13" s="60">
        <f>IF(ListLayout[[#This Row],[List Name for Layout]]="","relation",IFERROR(VLOOKUP(ListLayout[[#This Row],[Relation]],RelationTable[[Display]:[RELID]],2,0),""))</f>
        <v>308111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4" t="s">
        <v>1493</v>
      </c>
      <c r="BD13" s="64"/>
      <c r="BE13" s="64"/>
    </row>
    <row r="14" spans="1:57" x14ac:dyDescent="0.25">
      <c r="AF14" s="60" t="str">
        <f>'Table Seed Map'!$A$28&amp;"-"&amp;COUNTA($AH$1:ListSearch[[#This Row],[No]])-2</f>
        <v>List Search-12</v>
      </c>
      <c r="AG14" s="4" t="s">
        <v>1612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4" t="s">
        <v>23</v>
      </c>
      <c r="AK14" s="60">
        <f>IF(ListSearch[[#This Row],[List Name for Search]]="","relation",IFERROR(VLOOKUP(ListSearch[[#This Row],[Relation]],RelationTable[[Display]:[RELID]],2,0),""))</f>
        <v>308114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4" t="s">
        <v>1614</v>
      </c>
      <c r="AP14" s="64"/>
      <c r="AQ14" s="64"/>
      <c r="AR14" s="64"/>
      <c r="AT14" s="60" t="str">
        <f>'Table Seed Map'!$A$27&amp;"-"&amp;COUNTA($AV$1:ListLayout[[#This Row],[No]])-2</f>
        <v>List Layout-12</v>
      </c>
      <c r="AU14" s="4" t="s">
        <v>1506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1313</v>
      </c>
      <c r="AY14" s="64" t="s">
        <v>23</v>
      </c>
      <c r="AZ14" s="60">
        <f>IF(ListLayout[[#This Row],[List Name for Layout]]="","relation",IFERROR(VLOOKUP(ListLayout[[#This Row],[Relation]],RelationTable[[Display]:[RELID]],2,0),""))</f>
        <v>308109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4" t="s">
        <v>1492</v>
      </c>
      <c r="BD14" s="64"/>
      <c r="BE14" s="64"/>
    </row>
    <row r="15" spans="1:57" x14ac:dyDescent="0.25">
      <c r="AF15" s="60" t="str">
        <f>'Table Seed Map'!$A$28&amp;"-"&amp;COUNTA($AH$1:ListSearch[[#This Row],[No]])-2</f>
        <v>List Search-13</v>
      </c>
      <c r="AG15" s="4" t="s">
        <v>1612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4" t="s">
        <v>23</v>
      </c>
      <c r="AK15" s="60">
        <f>IF(ListSearch[[#This Row],[List Name for Search]]="","relation",IFERROR(VLOOKUP(ListSearch[[#This Row],[Relation]],RelationTable[[Display]:[RELID]],2,0),""))</f>
        <v>308115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4" t="s">
        <v>1615</v>
      </c>
      <c r="AP15" s="64"/>
      <c r="AQ15" s="64"/>
      <c r="AR15" s="64"/>
      <c r="AT15" s="60" t="str">
        <f>'Table Seed Map'!$A$27&amp;"-"&amp;COUNTA($AV$1:ListLayout[[#This Row],[No]])-2</f>
        <v>List Layout-13</v>
      </c>
      <c r="AU15" s="4" t="s">
        <v>1506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4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4"/>
      <c r="BD15" s="64"/>
      <c r="BE15" s="64"/>
    </row>
    <row r="16" spans="1:57" x14ac:dyDescent="0.25">
      <c r="AF16" s="60" t="str">
        <f>'Table Seed Map'!$A$28&amp;"-"&amp;COUNTA($AH$1:ListSearch[[#This Row],[No]])-2</f>
        <v>List Search-14</v>
      </c>
      <c r="AG16" s="4" t="s">
        <v>1643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4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4"/>
      <c r="AP16" s="64"/>
      <c r="AQ16" s="64"/>
      <c r="AR16" s="64"/>
      <c r="AT16" s="16" t="str">
        <f>'Table Seed Map'!$A$27&amp;"-"&amp;COUNTA($AV$1:ListLayout[[#This Row],[No]])-2</f>
        <v>List Layout-14</v>
      </c>
      <c r="AU16" s="4" t="s">
        <v>1506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1399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 x14ac:dyDescent="0.25">
      <c r="AF17" s="60" t="str">
        <f>'Table Seed Map'!$A$28&amp;"-"&amp;COUNTA($AH$1:ListSearch[[#This Row],[No]])-2</f>
        <v>List Search-15</v>
      </c>
      <c r="AG17" s="4" t="s">
        <v>1647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4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4"/>
      <c r="AP17" s="64"/>
      <c r="AQ17" s="64"/>
      <c r="AR17" s="64"/>
      <c r="AT17" s="60" t="str">
        <f>'Table Seed Map'!$A$27&amp;"-"&amp;COUNTA($AV$1:ListLayout[[#This Row],[No]])-2</f>
        <v>List Layout-15</v>
      </c>
      <c r="AU17" s="4" t="s">
        <v>1550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4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4"/>
      <c r="BD17" s="64"/>
      <c r="BE17" s="64"/>
    </row>
    <row r="18" spans="32:57" x14ac:dyDescent="0.25">
      <c r="AT18" s="60" t="str">
        <f>'Table Seed Map'!$A$27&amp;"-"&amp;COUNTA($AV$1:ListLayout[[#This Row],[No]])-2</f>
        <v>List Layout-16</v>
      </c>
      <c r="AU18" s="4" t="s">
        <v>1550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1500</v>
      </c>
      <c r="AY18" s="64" t="s">
        <v>1501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4"/>
      <c r="BD18" s="64"/>
      <c r="BE18" s="64"/>
    </row>
    <row r="19" spans="32:57" x14ac:dyDescent="0.25">
      <c r="AT19" s="60" t="str">
        <f>'Table Seed Map'!$A$27&amp;"-"&amp;COUNTA($AV$1:ListLayout[[#This Row],[No]])-2</f>
        <v>List Layout-17</v>
      </c>
      <c r="AU19" s="4" t="s">
        <v>1550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1499</v>
      </c>
      <c r="AY19" s="64" t="s">
        <v>1498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4"/>
      <c r="BD19" s="64"/>
      <c r="BE19" s="64"/>
    </row>
    <row r="20" spans="32:57" x14ac:dyDescent="0.25">
      <c r="AT20" s="60" t="str">
        <f>'Table Seed Map'!$A$27&amp;"-"&amp;COUNTA($AV$1:ListLayout[[#This Row],[No]])-2</f>
        <v>List Layout-18</v>
      </c>
      <c r="AU20" s="4" t="s">
        <v>1612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1616</v>
      </c>
      <c r="AY20" s="64" t="s">
        <v>23</v>
      </c>
      <c r="AZ20" s="60">
        <f>IF(ListLayout[[#This Row],[List Name for Layout]]="","relation",IFERROR(VLOOKUP(ListLayout[[#This Row],[Relation]],RelationTable[[Display]:[RELID]],2,0),""))</f>
        <v>308115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4" t="s">
        <v>1615</v>
      </c>
      <c r="BD20" s="64"/>
      <c r="BE20" s="64"/>
    </row>
    <row r="21" spans="32:57" x14ac:dyDescent="0.25">
      <c r="AT21" s="60" t="str">
        <f>'Table Seed Map'!$A$27&amp;"-"&amp;COUNTA($AV$1:ListLayout[[#This Row],[No]])-2</f>
        <v>List Layout-19</v>
      </c>
      <c r="AU21" s="4" t="s">
        <v>1612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1297</v>
      </c>
      <c r="AY21" s="64" t="s">
        <v>23</v>
      </c>
      <c r="AZ21" s="60">
        <f>IF(ListLayout[[#This Row],[List Name for Layout]]="","relation",IFERROR(VLOOKUP(ListLayout[[#This Row],[Relation]],RelationTable[[Display]:[RELID]],2,0),""))</f>
        <v>308114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4" t="s">
        <v>1614</v>
      </c>
      <c r="BD21" s="64"/>
      <c r="BE21" s="64"/>
    </row>
    <row r="22" spans="32:57" x14ac:dyDescent="0.25">
      <c r="AT22" s="60" t="str">
        <f>'Table Seed Map'!$A$27&amp;"-"&amp;COUNTA($AV$1:ListLayout[[#This Row],[No]])-2</f>
        <v>List Layout-20</v>
      </c>
      <c r="AU22" s="4" t="s">
        <v>1612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1298</v>
      </c>
      <c r="AY22" s="64" t="s">
        <v>23</v>
      </c>
      <c r="AZ22" s="60">
        <f>IF(ListLayout[[#This Row],[List Name for Layout]]="","relation",IFERROR(VLOOKUP(ListLayout[[#This Row],[Relation]],RelationTable[[Display]:[RELID]],2,0),""))</f>
        <v>308113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4" t="s">
        <v>1613</v>
      </c>
      <c r="BD22" s="64"/>
      <c r="BE22" s="64"/>
    </row>
    <row r="23" spans="32:57" x14ac:dyDescent="0.25">
      <c r="AT23" s="60" t="str">
        <f>'Table Seed Map'!$A$27&amp;"-"&amp;COUNTA($AV$1:ListLayout[[#This Row],[No]])-2</f>
        <v>List Layout-21</v>
      </c>
      <c r="AU23" s="4" t="s">
        <v>1612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1399</v>
      </c>
      <c r="AY23" s="64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4"/>
      <c r="BD23" s="64"/>
      <c r="BE23" s="64"/>
    </row>
    <row r="24" spans="32:57" x14ac:dyDescent="0.25">
      <c r="AT24" s="60" t="str">
        <f>'Table Seed Map'!$A$27&amp;"-"&amp;COUNTA($AV$1:ListLayout[[#This Row],[No]])-2</f>
        <v>List Layout-22</v>
      </c>
      <c r="AU24" s="4" t="s">
        <v>1643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1644</v>
      </c>
      <c r="AY24" s="64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4"/>
      <c r="BD24" s="64"/>
      <c r="BE24" s="64"/>
    </row>
    <row r="25" spans="32:57" x14ac:dyDescent="0.25">
      <c r="AT25" s="60" t="str">
        <f>'Table Seed Map'!$A$27&amp;"-"&amp;COUNTA($AV$1:ListLayout[[#This Row],[No]])-2</f>
        <v>List Layout-23</v>
      </c>
      <c r="AU25" s="4" t="s">
        <v>1643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4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4"/>
      <c r="BD25" s="64"/>
      <c r="BE25" s="64"/>
    </row>
    <row r="26" spans="32:57" x14ac:dyDescent="0.25">
      <c r="AT26" s="60" t="str">
        <f>'Table Seed Map'!$A$27&amp;"-"&amp;COUNTA($AV$1:ListLayout[[#This Row],[No]])-2</f>
        <v>List Layout-24</v>
      </c>
      <c r="AU26" s="4" t="s">
        <v>1643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4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4"/>
      <c r="BD26" s="64"/>
      <c r="BE26" s="64"/>
    </row>
    <row r="27" spans="32:57" x14ac:dyDescent="0.25">
      <c r="AT27" s="60" t="str">
        <f>'Table Seed Map'!$A$27&amp;"-"&amp;COUNTA($AV$1:ListLayout[[#This Row],[No]])-2</f>
        <v>List Layout-25</v>
      </c>
      <c r="AU27" s="4" t="s">
        <v>1643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1399</v>
      </c>
      <c r="AY27" s="64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4"/>
      <c r="BD27" s="64"/>
      <c r="BE27" s="64"/>
    </row>
    <row r="28" spans="32:57" x14ac:dyDescent="0.25">
      <c r="AT28" s="60" t="str">
        <f>'Table Seed Map'!$A$27&amp;"-"&amp;COUNTA($AV$1:ListLayout[[#This Row],[No]])-2</f>
        <v>List Layout-26</v>
      </c>
      <c r="AU28" s="4" t="s">
        <v>1647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1644</v>
      </c>
      <c r="AY28" s="64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4"/>
      <c r="BD28" s="64"/>
      <c r="BE28" s="64"/>
    </row>
    <row r="29" spans="32:57" x14ac:dyDescent="0.25">
      <c r="AT29" s="60" t="str">
        <f>'Table Seed Map'!$A$27&amp;"-"&amp;COUNTA($AV$1:ListLayout[[#This Row],[No]])-2</f>
        <v>List Layout-27</v>
      </c>
      <c r="AU29" s="4" t="s">
        <v>1647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4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4"/>
      <c r="BD29" s="64"/>
      <c r="BE29" s="64"/>
    </row>
    <row r="30" spans="32:57" x14ac:dyDescent="0.25">
      <c r="AT30" s="60" t="str">
        <f>'Table Seed Map'!$A$27&amp;"-"&amp;COUNTA($AV$1:ListLayout[[#This Row],[No]])-2</f>
        <v>List Layout-28</v>
      </c>
      <c r="AU30" s="4" t="s">
        <v>1647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1648</v>
      </c>
      <c r="AY30" s="64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4"/>
      <c r="BD30" s="64"/>
      <c r="BE30" s="64"/>
    </row>
    <row r="31" spans="32:57" x14ac:dyDescent="0.25">
      <c r="AT31" s="60" t="str">
        <f>'Table Seed Map'!$A$27&amp;"-"&amp;COUNTA($AV$1:ListLayout[[#This Row],[No]])-2</f>
        <v>List Layout-29</v>
      </c>
      <c r="AU31" s="4" t="s">
        <v>1647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1649</v>
      </c>
      <c r="AY31" s="64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4"/>
      <c r="BD31" s="64"/>
      <c r="BE31" s="64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opLeftCell="AD1" workbookViewId="0">
      <selection activeCell="AJ10" sqref="AJ10"/>
    </sheetView>
  </sheetViews>
  <sheetFormatPr defaultRowHeight="15" x14ac:dyDescent="0.2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 x14ac:dyDescent="0.25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 x14ac:dyDescent="0.25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ResourceData[No]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Map'!$A$32&amp;"-"&amp;COUNTA($AF$1:DataViewSection[[#This Row],[Data Name for Layout]])-1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Layout]]="","id",-1+COUNTA($AF$1:DataViewSection[[#This Row],[Data Name for Layout]])+VLOOKUP('Table Seed Map'!$A$32,SeedMap[],9,0))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 x14ac:dyDescent="0.25">
      <c r="A3" s="7" t="str">
        <f>'Table Seed Map'!$A$29&amp;"-"&amp;COUNTA($E$1:ResourceData[[#This Row],[Resource]])-2</f>
        <v>Resource Data-1</v>
      </c>
      <c r="B3" s="4" t="s">
        <v>1303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305115</v>
      </c>
      <c r="F3" s="64" t="s">
        <v>1431</v>
      </c>
      <c r="G3" s="64" t="s">
        <v>1432</v>
      </c>
      <c r="H3" s="64" t="s">
        <v>23</v>
      </c>
      <c r="I3" s="88"/>
      <c r="J3" s="63">
        <f>ResourceData[No]</f>
        <v>327101</v>
      </c>
      <c r="L3" s="2" t="s">
        <v>1593</v>
      </c>
      <c r="M3" s="9">
        <f>VLOOKUP(DataExtra[[#This Row],[Data Name]],ResourceData[[DataDisplayName]:[No]],2,0)</f>
        <v>327104</v>
      </c>
      <c r="N3" s="2"/>
      <c r="O3" s="2" t="s">
        <v>1493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308111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Map'!$A$32&amp;"-"&amp;COUNTA($AF$1:DataViewSection[[#This Row],[Data Name for Layout]])-1</f>
        <v>Data View Section-1</v>
      </c>
      <c r="AF3" s="4" t="s">
        <v>1435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Layout]]="","id",-1+COUNTA($AF$1:DataViewSection[[#This Row],[Data Name for Layout]])+VLOOKUP('Table Seed Map'!$A$32,SeedMap[],9,0))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4">
        <v>12</v>
      </c>
      <c r="AN3" s="64"/>
      <c r="AP3" s="60" t="str">
        <f>'Table Seed Map'!$A$33&amp;"-"&amp;-1+COUNTA($AQ$1:DataViewSectionItem[[#This Row],[Data Section for Items]])</f>
        <v>Data View Section Items-1</v>
      </c>
      <c r="AQ3" s="4" t="s">
        <v>1437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4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4"/>
    </row>
    <row r="4" spans="1:49" x14ac:dyDescent="0.25">
      <c r="A4" s="7" t="str">
        <f>'Table Seed Map'!$A$29&amp;"-"&amp;COUNTA($E$1:ResourceData[[#This Row],[Resource]])-2</f>
        <v>Resource Data-2</v>
      </c>
      <c r="B4" s="4" t="s">
        <v>1304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305116</v>
      </c>
      <c r="F4" s="64" t="s">
        <v>1433</v>
      </c>
      <c r="G4" s="64" t="s">
        <v>1434</v>
      </c>
      <c r="H4" s="64" t="s">
        <v>23</v>
      </c>
      <c r="I4" s="88"/>
      <c r="J4" s="63">
        <f>ResourceData[No]</f>
        <v>327102</v>
      </c>
      <c r="L4" s="2" t="s">
        <v>1593</v>
      </c>
      <c r="M4" s="9">
        <f>VLOOKUP(DataExtra[[#This Row],[Data Name]],ResourceData[[DataDisplayName]:[No]],2,0)</f>
        <v>327104</v>
      </c>
      <c r="N4" s="2"/>
      <c r="O4" s="2" t="s">
        <v>1492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308109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Map'!$A$32&amp;"-"&amp;COUNTA($AF$1:DataViewSection[[#This Row],[Data Name for Layout]])-1</f>
        <v>Data View Section-2</v>
      </c>
      <c r="AF4" s="4" t="s">
        <v>1436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Layout]]="","id",-1+COUNTA($AF$1:DataViewSection[[#This Row],[Data Name for Layout]])+VLOOKUP('Table Seed Map'!$A$32,SeedMap[],9,0))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4">
        <v>12</v>
      </c>
      <c r="AN4" s="64"/>
      <c r="AP4" s="60" t="str">
        <f>'Table Seed Map'!$A$33&amp;"-"&amp;-1+COUNTA($AQ$1:DataViewSectionItem[[#This Row],[Data Section for Items]])</f>
        <v>Data View Section Items-2</v>
      </c>
      <c r="AQ4" s="4" t="s">
        <v>1437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1399</v>
      </c>
      <c r="AU4" s="64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4"/>
    </row>
    <row r="5" spans="1:49" x14ac:dyDescent="0.25">
      <c r="A5" s="7" t="str">
        <f>'Table Seed Map'!$A$29&amp;"-"&amp;COUNTA($E$1:ResourceData[[#This Row],[Resource]])-2</f>
        <v>Resource Data-3</v>
      </c>
      <c r="B5" s="4" t="s">
        <v>1291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4" t="s">
        <v>1461</v>
      </c>
      <c r="G5" s="64" t="s">
        <v>1462</v>
      </c>
      <c r="H5" s="64" t="s">
        <v>23</v>
      </c>
      <c r="I5" s="88"/>
      <c r="J5" s="63">
        <f>ResourceData[No]</f>
        <v>327103</v>
      </c>
      <c r="L5" s="2" t="s">
        <v>1630</v>
      </c>
      <c r="M5" s="7">
        <f>VLOOKUP(DataExtra[[#This Row],[Data Name]],ResourceData[[DataDisplayName]:[No]],2,0)</f>
        <v>327105</v>
      </c>
      <c r="N5" s="4"/>
      <c r="O5" s="2" t="s">
        <v>1613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308113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Map'!$A$32&amp;"-"&amp;COUNTA($AF$1:DataViewSection[[#This Row],[Data Name for Layout]])-1</f>
        <v>Data View Section-3</v>
      </c>
      <c r="AF5" s="4" t="s">
        <v>1463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Layout]]="","id",-1+COUNTA($AF$1:DataViewSection[[#This Row],[Data Name for Layout]])+VLOOKUP('Table Seed Map'!$A$32,SeedMap[],9,0))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1464</v>
      </c>
      <c r="AK5" s="60"/>
      <c r="AL5" s="60" t="str">
        <f>IFERROR(VLOOKUP(DataViewSection[[#This Row],[Relation]],RelationTable[[Display]:[RELID]],2,0),"")</f>
        <v/>
      </c>
      <c r="AM5" s="64">
        <v>4</v>
      </c>
      <c r="AN5" s="64"/>
      <c r="AP5" s="60" t="str">
        <f>'Table Seed Map'!$A$33&amp;"-"&amp;-1+COUNTA($AQ$1:DataViewSectionItem[[#This Row],[Data Section for Items]])</f>
        <v>Data View Section Items-3</v>
      </c>
      <c r="AQ5" s="4" t="s">
        <v>1465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4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4"/>
    </row>
    <row r="6" spans="1:49" x14ac:dyDescent="0.25">
      <c r="A6" s="9" t="str">
        <f>'Table Seed Map'!$A$29&amp;"-"&amp;COUNTA($E$1:ResourceData[[#This Row],[Resource]])-2</f>
        <v>Resource Data-4</v>
      </c>
      <c r="B6" s="4" t="s">
        <v>1300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305112</v>
      </c>
      <c r="F6" s="14" t="s">
        <v>1591</v>
      </c>
      <c r="G6" s="14" t="s">
        <v>1592</v>
      </c>
      <c r="H6" s="14" t="s">
        <v>1561</v>
      </c>
      <c r="I6" s="105"/>
      <c r="J6" s="106">
        <f>ResourceData[No]</f>
        <v>327104</v>
      </c>
      <c r="L6" s="2" t="s">
        <v>1630</v>
      </c>
      <c r="M6" s="7">
        <f>VLOOKUP(DataExtra[[#This Row],[Data Name]],ResourceData[[DataDisplayName]:[No]],2,0)</f>
        <v>327105</v>
      </c>
      <c r="N6" s="4"/>
      <c r="O6" s="2" t="s">
        <v>1614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308114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Map'!$A$32&amp;"-"&amp;COUNTA($AF$1:DataViewSection[[#This Row],[Data Name for Layout]])-1</f>
        <v>Data View Section-4</v>
      </c>
      <c r="AF6" s="4" t="s">
        <v>1463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Layout]]="","id",-1+COUNTA($AF$1:DataViewSection[[#This Row],[Data Name for Layout]])+VLOOKUP('Table Seed Map'!$A$32,SeedMap[],9,0))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4">
        <v>12</v>
      </c>
      <c r="AN6" s="64"/>
      <c r="AP6" s="60" t="str">
        <f>'Table Seed Map'!$A$33&amp;"-"&amp;-1+COUNTA($AQ$1:DataViewSectionItem[[#This Row],[Data Section for Items]])</f>
        <v>Data View Section Items-4</v>
      </c>
      <c r="AQ6" s="4" t="s">
        <v>1465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1399</v>
      </c>
      <c r="AU6" s="64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4"/>
    </row>
    <row r="7" spans="1:49" x14ac:dyDescent="0.25">
      <c r="A7" s="7" t="str">
        <f>'Table Seed Map'!$A$29&amp;"-"&amp;COUNTA($E$1:ResourceData[[#This Row],[Resource]])-2</f>
        <v>Resource Data-5</v>
      </c>
      <c r="B7" s="4" t="s">
        <v>1301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305113</v>
      </c>
      <c r="F7" s="64" t="s">
        <v>1628</v>
      </c>
      <c r="G7" s="64" t="s">
        <v>1629</v>
      </c>
      <c r="H7" s="14" t="s">
        <v>1561</v>
      </c>
      <c r="I7" s="88"/>
      <c r="J7" s="63">
        <f>ResourceData[No]</f>
        <v>327105</v>
      </c>
      <c r="L7" s="2" t="s">
        <v>1630</v>
      </c>
      <c r="M7" s="7">
        <f>VLOOKUP(DataExtra[[#This Row],[Data Name]],ResourceData[[DataDisplayName]:[No]],2,0)</f>
        <v>327105</v>
      </c>
      <c r="N7" s="4"/>
      <c r="O7" s="2" t="s">
        <v>1615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308115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Map'!$A$32&amp;"-"&amp;COUNTA($AF$1:DataViewSection[[#This Row],[Data Name for Layout]])-1</f>
        <v>Data View Section-5</v>
      </c>
      <c r="AF7" s="4" t="s">
        <v>1593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Layout]]="","id",-1+COUNTA($AF$1:DataViewSection[[#This Row],[Data Name for Layout]])+VLOOKUP('Table Seed Map'!$A$32,SeedMap[],9,0))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1594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1466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4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4"/>
    </row>
    <row r="8" spans="1:49" x14ac:dyDescent="0.25">
      <c r="AE8" s="60" t="str">
        <f>'Table Seed Map'!$A$32&amp;"-"&amp;COUNTA($AF$1:DataViewSection[[#This Row],[Data Name for Layout]])-1</f>
        <v>Data View Section-6</v>
      </c>
      <c r="AF8" s="4" t="s">
        <v>1630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Layout]]="","id",-1+COUNTA($AF$1:DataViewSection[[#This Row],[Data Name for Layout]])+VLOOKUP('Table Seed Map'!$A$32,SeedMap[],9,0))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1382</v>
      </c>
      <c r="AK8" s="60"/>
      <c r="AL8" s="60" t="str">
        <f>IFERROR(VLOOKUP(DataViewSection[[#This Row],[Relation]],RelationTable[[Display]:[RELID]],2,0),"")</f>
        <v/>
      </c>
      <c r="AM8" s="64">
        <v>12</v>
      </c>
      <c r="AN8" s="64"/>
      <c r="AP8" s="60" t="str">
        <f>'Table Seed Map'!$A$33&amp;"-"&amp;-1+COUNTA($AQ$1:DataViewSectionItem[[#This Row],[Data Section for Items]])</f>
        <v>Data View Section Items-6</v>
      </c>
      <c r="AQ8" s="4" t="s">
        <v>1466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1457</v>
      </c>
      <c r="AU8" s="64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4"/>
    </row>
    <row r="9" spans="1:49" x14ac:dyDescent="0.25">
      <c r="AP9" s="60" t="str">
        <f>'Table Seed Map'!$A$33&amp;"-"&amp;-1+COUNTA($AQ$1:DataViewSectionItem[[#This Row],[Data Section for Items]])</f>
        <v>Data View Section Items-7</v>
      </c>
      <c r="AQ9" s="4" t="s">
        <v>1466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1399</v>
      </c>
      <c r="AU9" s="64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4"/>
    </row>
    <row r="10" spans="1:49" x14ac:dyDescent="0.25">
      <c r="AP10" s="60" t="str">
        <f>'Table Seed Map'!$A$33&amp;"-"&amp;-1+COUNTA($AQ$1:DataViewSectionItem[[#This Row],[Data Section for Items]])</f>
        <v>Data View Section Items-8</v>
      </c>
      <c r="AQ10" s="4" t="s">
        <v>1467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1382</v>
      </c>
      <c r="AU10" s="64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4"/>
    </row>
    <row r="11" spans="1:49" x14ac:dyDescent="0.25">
      <c r="AP11" s="16" t="str">
        <f>'Table Seed Map'!$A$33&amp;"-"&amp;-1+COUNTA($AQ$1:DataViewSectionItem[[#This Row],[Data Section for Items]])</f>
        <v>Data View Section Items-9</v>
      </c>
      <c r="AQ11" s="4" t="s">
        <v>1595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308111</v>
      </c>
      <c r="AW11" s="14" t="s">
        <v>1493</v>
      </c>
    </row>
    <row r="12" spans="1:49" x14ac:dyDescent="0.25">
      <c r="AP12" s="16" t="str">
        <f>'Table Seed Map'!$A$33&amp;"-"&amp;-1+COUNTA($AQ$1:DataViewSectionItem[[#This Row],[Data Section for Items]])</f>
        <v>Data View Section Items-10</v>
      </c>
      <c r="AQ12" s="4" t="s">
        <v>1595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1596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308109</v>
      </c>
      <c r="AW12" s="14" t="s">
        <v>1492</v>
      </c>
    </row>
    <row r="13" spans="1:49" x14ac:dyDescent="0.25">
      <c r="AP13" s="16" t="str">
        <f>'Table Seed Map'!$A$33&amp;"-"&amp;-1+COUNTA($AQ$1:DataViewSectionItem[[#This Row],[Data Section for Items]])</f>
        <v>Data View Section Items-11</v>
      </c>
      <c r="AQ13" s="4" t="s">
        <v>1595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 x14ac:dyDescent="0.25">
      <c r="AP14" s="16" t="str">
        <f>'Table Seed Map'!$A$33&amp;"-"&amp;-1+COUNTA($AQ$1:DataViewSectionItem[[#This Row],[Data Section for Items]])</f>
        <v>Data View Section Items-12</v>
      </c>
      <c r="AQ14" s="4" t="s">
        <v>1595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1399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 x14ac:dyDescent="0.25">
      <c r="AP15" s="60" t="str">
        <f>'Table Seed Map'!$A$33&amp;"-"&amp;-1+COUNTA($AQ$1:DataViewSectionItem[[#This Row],[Data Section for Items]])</f>
        <v>Data View Section Items-13</v>
      </c>
      <c r="AQ15" s="4" t="s">
        <v>1631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1616</v>
      </c>
      <c r="AU15" s="64" t="s">
        <v>23</v>
      </c>
      <c r="AV15" s="60">
        <f>IF(DataViewSectionItem[[#This Row],[Data Section for Items]]="","relation",IFERROR(VLOOKUP(DataViewSectionItem[[#This Row],[Relation]],RelationTable[[Display]:[RELID]],2,0),""))</f>
        <v>308115</v>
      </c>
      <c r="AW15" s="64" t="s">
        <v>1615</v>
      </c>
    </row>
    <row r="16" spans="1:49" x14ac:dyDescent="0.25">
      <c r="AP16" s="60" t="str">
        <f>'Table Seed Map'!$A$33&amp;"-"&amp;-1+COUNTA($AQ$1:DataViewSectionItem[[#This Row],[Data Section for Items]])</f>
        <v>Data View Section Items-14</v>
      </c>
      <c r="AQ16" s="4" t="s">
        <v>1631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1297</v>
      </c>
      <c r="AU16" s="64" t="s">
        <v>23</v>
      </c>
      <c r="AV16" s="60">
        <f>IF(DataViewSectionItem[[#This Row],[Data Section for Items]]="","relation",IFERROR(VLOOKUP(DataViewSectionItem[[#This Row],[Relation]],RelationTable[[Display]:[RELID]],2,0),""))</f>
        <v>308114</v>
      </c>
      <c r="AW16" s="64" t="s">
        <v>1614</v>
      </c>
    </row>
    <row r="17" spans="42:49" x14ac:dyDescent="0.25">
      <c r="AP17" s="60" t="str">
        <f>'Table Seed Map'!$A$33&amp;"-"&amp;-1+COUNTA($AQ$1:DataViewSectionItem[[#This Row],[Data Section for Items]])</f>
        <v>Data View Section Items-15</v>
      </c>
      <c r="AQ17" s="4" t="s">
        <v>1631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1298</v>
      </c>
      <c r="AU17" s="64" t="s">
        <v>23</v>
      </c>
      <c r="AV17" s="60">
        <f>IF(DataViewSectionItem[[#This Row],[Data Section for Items]]="","relation",IFERROR(VLOOKUP(DataViewSectionItem[[#This Row],[Relation]],RelationTable[[Display]:[RELID]],2,0),""))</f>
        <v>308113</v>
      </c>
      <c r="AW17" s="64" t="s">
        <v>1613</v>
      </c>
    </row>
    <row r="18" spans="42:49" x14ac:dyDescent="0.25">
      <c r="AP18" s="60" t="str">
        <f>'Table Seed Map'!$A$33&amp;"-"&amp;-1+COUNTA($AQ$1:DataViewSectionItem[[#This Row],[Data Section for Items]])</f>
        <v>Data View Section Items-16</v>
      </c>
      <c r="AQ18" s="4" t="s">
        <v>1631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1399</v>
      </c>
      <c r="AU18" s="64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4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workbookViewId="0">
      <selection activeCell="K2" sqref="K2"/>
    </sheetView>
  </sheetViews>
  <sheetFormatPr defaultRowHeight="15" x14ac:dyDescent="0.2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 x14ac:dyDescent="0.25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 x14ac:dyDescent="0.25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 x14ac:dyDescent="0.25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 x14ac:dyDescent="0.25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 x14ac:dyDescent="0.25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42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 x14ac:dyDescent="0.25">
      <c r="A6" s="38" t="s">
        <v>1578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 x14ac:dyDescent="0.25">
      <c r="J7" s="11">
        <f t="shared" si="0"/>
        <v>6</v>
      </c>
      <c r="K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 x14ac:dyDescent="0.25">
      <c r="J8" s="11">
        <f t="shared" si="0"/>
        <v>7</v>
      </c>
      <c r="K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 x14ac:dyDescent="0.25">
      <c r="J9" s="11">
        <f t="shared" si="0"/>
        <v>8</v>
      </c>
      <c r="K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 x14ac:dyDescent="0.25">
      <c r="J10" s="11">
        <f t="shared" si="0"/>
        <v>9</v>
      </c>
      <c r="K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 x14ac:dyDescent="0.25">
      <c r="J11" s="11">
        <f t="shared" si="0"/>
        <v>10</v>
      </c>
      <c r="K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 x14ac:dyDescent="0.25">
      <c r="J12" s="11">
        <f t="shared" si="0"/>
        <v>11</v>
      </c>
      <c r="K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 x14ac:dyDescent="0.25">
      <c r="J13" s="11">
        <f t="shared" si="0"/>
        <v>12</v>
      </c>
      <c r="K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 x14ac:dyDescent="0.25">
      <c r="J14" s="11">
        <f t="shared" si="0"/>
        <v>13</v>
      </c>
      <c r="K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 x14ac:dyDescent="0.25">
      <c r="J15" s="11">
        <f t="shared" si="0"/>
        <v>14</v>
      </c>
      <c r="K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 x14ac:dyDescent="0.25">
      <c r="J16" s="56">
        <f t="shared" si="0"/>
        <v>15</v>
      </c>
      <c r="K16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 x14ac:dyDescent="0.25">
      <c r="J17" s="11">
        <f t="shared" si="0"/>
        <v>16</v>
      </c>
      <c r="K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 x14ac:dyDescent="0.25">
      <c r="J18" s="11">
        <f t="shared" si="0"/>
        <v>17</v>
      </c>
      <c r="K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 x14ac:dyDescent="0.25">
      <c r="J19" s="11">
        <f t="shared" si="0"/>
        <v>18</v>
      </c>
      <c r="K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 x14ac:dyDescent="0.25">
      <c r="J20" s="11">
        <f t="shared" si="0"/>
        <v>19</v>
      </c>
      <c r="K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 x14ac:dyDescent="0.25">
      <c r="J21" s="11">
        <f t="shared" si="0"/>
        <v>20</v>
      </c>
      <c r="K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 x14ac:dyDescent="0.25">
      <c r="J22" s="11">
        <f t="shared" si="0"/>
        <v>21</v>
      </c>
      <c r="K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Pricelist/Items</v>
      </c>
      <c r="O22" s="6" t="str">
        <f ca="1">IF(IDNMaps[[#This Row],[Name]]="","","("&amp;IDNMaps[[#This Row],[Type]]&amp;") "&amp;IDNMaps[[#This Row],[Name]])</f>
        <v>(Relation) Pricelist/Items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 x14ac:dyDescent="0.25">
      <c r="J23" s="11">
        <f t="shared" si="0"/>
        <v>22</v>
      </c>
      <c r="K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PricelistProduct/Pricelist</v>
      </c>
      <c r="O23" s="6" t="str">
        <f ca="1">IF(IDNMaps[[#This Row],[Name]]="","","("&amp;IDNMaps[[#This Row],[Type]]&amp;") "&amp;IDNMaps[[#This Row],[Name]])</f>
        <v>(Relation) PricelistProduct/Pricelist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 x14ac:dyDescent="0.25">
      <c r="J24" s="11">
        <f t="shared" si="0"/>
        <v>23</v>
      </c>
      <c r="K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PricelistProduct/Product</v>
      </c>
      <c r="O24" s="6" t="str">
        <f ca="1">IF(IDNMaps[[#This Row],[Name]]="","","("&amp;IDNMaps[[#This Row],[Type]]&amp;") "&amp;IDNMaps[[#This Row],[Name]])</f>
        <v>(Relation) PricelistProduct/Product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 x14ac:dyDescent="0.25">
      <c r="J25" s="11">
        <f t="shared" si="0"/>
        <v>24</v>
      </c>
      <c r="K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AreaUser/Area</v>
      </c>
      <c r="O25" s="6" t="str">
        <f ca="1">IF(IDNMaps[[#This Row],[Name]]="","","("&amp;IDNMaps[[#This Row],[Type]]&amp;") "&amp;IDNMaps[[#This Row],[Name]])</f>
        <v>(Relation) AreaUser/Area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 x14ac:dyDescent="0.25">
      <c r="J26" s="11">
        <f t="shared" si="0"/>
        <v>25</v>
      </c>
      <c r="K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AreaUser/Customer</v>
      </c>
      <c r="O26" s="6" t="str">
        <f ca="1">IF(IDNMaps[[#This Row],[Name]]="","","("&amp;IDNMaps[[#This Row],[Type]]&amp;") "&amp;IDNMaps[[#This Row],[Name]])</f>
        <v>(Relation) AreaUser/Customer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 x14ac:dyDescent="0.25">
      <c r="J27" s="11">
        <f t="shared" si="0"/>
        <v>26</v>
      </c>
      <c r="K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Area/User</v>
      </c>
      <c r="O27" s="6" t="str">
        <f ca="1">IF(IDNMaps[[#This Row],[Name]]="","","("&amp;IDNMaps[[#This Row],[Type]]&amp;") "&amp;IDNMaps[[#This Row],[Name]])</f>
        <v>(Relation) Area/User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 x14ac:dyDescent="0.25">
      <c r="J28" s="11">
        <f t="shared" si="0"/>
        <v>27</v>
      </c>
      <c r="K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Setting/Users</v>
      </c>
      <c r="O28" s="6" t="str">
        <f ca="1">IF(IDNMaps[[#This Row],[Name]]="","","("&amp;IDNMaps[[#This Row],[Type]]&amp;") "&amp;IDNMaps[[#This Row],[Name]])</f>
        <v>(Relation) Setting/Users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 x14ac:dyDescent="0.25">
      <c r="J29" s="11">
        <f t="shared" si="0"/>
        <v>28</v>
      </c>
      <c r="K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User/Area</v>
      </c>
      <c r="O29" s="6" t="str">
        <f ca="1">IF(IDNMaps[[#This Row],[Name]]="","","("&amp;IDNMaps[[#This Row],[Type]]&amp;") "&amp;IDNMaps[[#This Row],[Name]])</f>
        <v>(Relation) User/Area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 x14ac:dyDescent="0.25">
      <c r="J30" s="11">
        <f t="shared" si="0"/>
        <v>29</v>
      </c>
      <c r="K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UserSetting/Settings</v>
      </c>
      <c r="O30" s="6" t="str">
        <f ca="1">IF(IDNMaps[[#This Row],[Name]]="","","("&amp;IDNMaps[[#This Row],[Type]]&amp;") "&amp;IDNMaps[[#This Row],[Name]])</f>
        <v>(Relation) UserSetting/Settings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 x14ac:dyDescent="0.25">
      <c r="J31" s="11">
        <f t="shared" si="0"/>
        <v>30</v>
      </c>
      <c r="K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User/Settings</v>
      </c>
      <c r="O31" s="6" t="str">
        <f ca="1">IF(IDNMaps[[#This Row],[Name]]="","","("&amp;IDNMaps[[#This Row],[Type]]&amp;") "&amp;IDNMaps[[#This Row],[Name]])</f>
        <v>(Relation) User/Settings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 x14ac:dyDescent="0.25">
      <c r="J32" s="11">
        <f t="shared" si="0"/>
        <v>31</v>
      </c>
      <c r="K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UserSetting/User</v>
      </c>
      <c r="O32" s="6" t="str">
        <f ca="1">IF(IDNMaps[[#This Row],[Name]]="","","("&amp;IDNMaps[[#This Row],[Type]]&amp;") "&amp;IDNMaps[[#This Row],[Name]])</f>
        <v>(Relation) UserSetting/User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 x14ac:dyDescent="0.25">
      <c r="J33" s="11">
        <f t="shared" si="0"/>
        <v>32</v>
      </c>
      <c r="K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User/StoreAndArea</v>
      </c>
      <c r="O33" s="6" t="str">
        <f ca="1">IF(IDNMaps[[#This Row],[Name]]="","","("&amp;IDNMaps[[#This Row],[Type]]&amp;") "&amp;IDNMaps[[#This Row],[Name]])</f>
        <v>(Relation) User/StoreAndArea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 x14ac:dyDescent="0.25">
      <c r="J34" s="11">
        <f t="shared" si="0"/>
        <v>33</v>
      </c>
      <c r="K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UserStoreArea/Area</v>
      </c>
      <c r="O34" s="6" t="str">
        <f ca="1">IF(IDNMaps[[#This Row],[Name]]="","","("&amp;IDNMaps[[#This Row],[Type]]&amp;") "&amp;IDNMaps[[#This Row],[Name]])</f>
        <v>(Relation) UserStoreArea/Area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 x14ac:dyDescent="0.25">
      <c r="J35" s="11">
        <f t="shared" si="0"/>
        <v>34</v>
      </c>
      <c r="K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UserStoreArea/Store</v>
      </c>
      <c r="O35" s="6" t="str">
        <f ca="1">IF(IDNMaps[[#This Row],[Name]]="","","("&amp;IDNMaps[[#This Row],[Type]]&amp;") "&amp;IDNMaps[[#This Row],[Name]])</f>
        <v>(Relation) UserStoreArea/Store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 x14ac:dyDescent="0.25">
      <c r="J36" s="11">
        <f t="shared" si="0"/>
        <v>35</v>
      </c>
      <c r="K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UserStoreArea/User</v>
      </c>
      <c r="O36" s="6" t="str">
        <f ca="1">IF(IDNMaps[[#This Row],[Name]]="","","("&amp;IDNMaps[[#This Row],[Type]]&amp;") "&amp;IDNMaps[[#This Row],[Name]])</f>
        <v>(Relation) UserStoreArea/User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 x14ac:dyDescent="0.25">
      <c r="J37" s="11">
        <f t="shared" si="0"/>
        <v>36</v>
      </c>
      <c r="K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Store/Users</v>
      </c>
      <c r="O37" s="6" t="str">
        <f ca="1">IF(IDNMaps[[#This Row],[Name]]="","","("&amp;IDNMaps[[#This Row],[Type]]&amp;") "&amp;IDNMaps[[#This Row],[Name]])</f>
        <v>(Relation) Store/Users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 x14ac:dyDescent="0.25">
      <c r="J38" s="11">
        <f t="shared" si="0"/>
        <v>37</v>
      </c>
      <c r="K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Area/StoreAndUser</v>
      </c>
      <c r="O38" s="6" t="str">
        <f ca="1">IF(IDNMaps[[#This Row],[Name]]="","","("&amp;IDNMaps[[#This Row],[Type]]&amp;") "&amp;IDNMaps[[#This Row],[Name]])</f>
        <v>(Relation) Area/StoreAndUser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 x14ac:dyDescent="0.25">
      <c r="J39" s="11">
        <f t="shared" si="0"/>
        <v>38</v>
      </c>
      <c r="K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39" s="6" t="str">
        <f ca="1">IF(IDNMaps[[#This Row],[Name]]="","","("&amp;IDNMaps[[#This Row],[Type]]&amp;") "&amp;IDNMaps[[#This Row],[Name]])</f>
        <v>(Relation) StoreProductTransaction/Product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 x14ac:dyDescent="0.25">
      <c r="J40" s="11">
        <f t="shared" si="0"/>
        <v>39</v>
      </c>
      <c r="K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40" s="6" t="str">
        <f ca="1">IF(IDNMaps[[#This Row],[Name]]="","","("&amp;IDNMaps[[#This Row],[Type]]&amp;") "&amp;IDNMaps[[#This Row],[Name]])</f>
        <v>(Relation) StoreProductTransaction/Store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 x14ac:dyDescent="0.25">
      <c r="J41" s="11">
        <f t="shared" si="0"/>
        <v>40</v>
      </c>
      <c r="K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41" s="6" t="str">
        <f ca="1">IF(IDNMaps[[#This Row],[Name]]="","","("&amp;IDNMaps[[#This Row],[Type]]&amp;") "&amp;IDNMaps[[#This Row],[Name]])</f>
        <v>(Relation) StoreProductTransaction/User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 x14ac:dyDescent="0.25">
      <c r="J42" s="11">
        <f t="shared" si="0"/>
        <v>41</v>
      </c>
      <c r="K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42" s="6" t="str">
        <f ca="1">IF(IDNMaps[[#This Row],[Name]]="","","("&amp;IDNMaps[[#This Row],[Type]]&amp;") "&amp;IDNMaps[[#This Row],[Name]])</f>
        <v>(Relation) StoreProductTransaction/Nature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 x14ac:dyDescent="0.25">
      <c r="J43" s="11">
        <f t="shared" si="0"/>
        <v>42</v>
      </c>
      <c r="K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43" s="6" t="str">
        <f ca="1">IF(IDNMaps[[#This Row],[Name]]="","","("&amp;IDNMaps[[#This Row],[Type]]&amp;") "&amp;IDNMaps[[#This Row],[Name]])</f>
        <v>(Relation) StoreProductTransaction/Type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 x14ac:dyDescent="0.25">
      <c r="J44" s="11">
        <f t="shared" si="0"/>
        <v>43</v>
      </c>
      <c r="K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Store/ProductTransaction</v>
      </c>
      <c r="O44" s="6" t="str">
        <f ca="1">IF(IDNMaps[[#This Row],[Name]]="","","("&amp;IDNMaps[[#This Row],[Type]]&amp;") "&amp;IDNMaps[[#This Row],[Name]])</f>
        <v>(Relation) Store/ProductTransaction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 x14ac:dyDescent="0.25">
      <c r="J45" s="11">
        <f t="shared" si="0"/>
        <v>44</v>
      </c>
      <c r="K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Transaction/Details</v>
      </c>
      <c r="O45" s="6" t="str">
        <f ca="1">IF(IDNMaps[[#This Row],[Name]]="","","("&amp;IDNMaps[[#This Row],[Type]]&amp;") "&amp;IDNMaps[[#This Row],[Name]])</f>
        <v>(Relation) Transaction/Details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 x14ac:dyDescent="0.25">
      <c r="J46" s="11">
        <f t="shared" si="0"/>
        <v>45</v>
      </c>
      <c r="K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Transaction/Products</v>
      </c>
      <c r="O46" s="6" t="str">
        <f ca="1">IF(IDNMaps[[#This Row],[Name]]="","","("&amp;IDNMaps[[#This Row],[Type]]&amp;") "&amp;IDNMaps[[#This Row],[Name]])</f>
        <v>(Relation) Transaction/Products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 x14ac:dyDescent="0.25">
      <c r="J47" s="11">
        <f t="shared" si="0"/>
        <v>46</v>
      </c>
      <c r="K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TransactionDetail/Product</v>
      </c>
      <c r="O47" s="6" t="str">
        <f ca="1">IF(IDNMaps[[#This Row],[Name]]="","","("&amp;IDNMaps[[#This Row],[Type]]&amp;") "&amp;IDNMaps[[#This Row],[Name]])</f>
        <v>(Relation) TransactionDetail/Product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 x14ac:dyDescent="0.25">
      <c r="J48" s="11">
        <f t="shared" si="0"/>
        <v>47</v>
      </c>
      <c r="K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SalesOrder/Items</v>
      </c>
      <c r="O48" s="6" t="str">
        <f ca="1">IF(IDNMaps[[#This Row],[Name]]="","","("&amp;IDNMaps[[#This Row],[Type]]&amp;") "&amp;IDNMaps[[#This Row],[Name]])</f>
        <v>(Relation) SalesOrder/Items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 x14ac:dyDescent="0.25">
      <c r="J49" s="11">
        <f t="shared" si="0"/>
        <v>48</v>
      </c>
      <c r="K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SalesOrderItem/Product</v>
      </c>
      <c r="O49" s="6" t="str">
        <f ca="1">IF(IDNMaps[[#This Row],[Name]]="","","("&amp;IDNMaps[[#This Row],[Type]]&amp;") "&amp;IDNMaps[[#This Row],[Name]])</f>
        <v>(Relation) SalesOrderItem/Product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 x14ac:dyDescent="0.25">
      <c r="J50" s="11">
        <f t="shared" si="0"/>
        <v>49</v>
      </c>
      <c r="K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StockTransfer/IN</v>
      </c>
      <c r="O50" s="6" t="str">
        <f ca="1">IF(IDNMaps[[#This Row],[Name]]="","","("&amp;IDNMaps[[#This Row],[Type]]&amp;") "&amp;IDNMaps[[#This Row],[Name]])</f>
        <v>(Relation) StockTransfer/IN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 x14ac:dyDescent="0.25">
      <c r="J51" s="11">
        <f t="shared" si="0"/>
        <v>50</v>
      </c>
      <c r="K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StockTransfer/OUT</v>
      </c>
      <c r="O51" s="6" t="str">
        <f ca="1">IF(IDNMaps[[#This Row],[Name]]="","","("&amp;IDNMaps[[#This Row],[Type]]&amp;") "&amp;IDNMaps[[#This Row],[Name]])</f>
        <v>(Relation) StockTransfer/OUT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 x14ac:dyDescent="0.25">
      <c r="J52" s="11">
        <f t="shared" si="0"/>
        <v>51</v>
      </c>
      <c r="K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SalesOrder/Customer</v>
      </c>
      <c r="O52" s="6" t="str">
        <f ca="1">IF(IDNMaps[[#This Row],[Name]]="","","("&amp;IDNMaps[[#This Row],[Type]]&amp;") "&amp;IDNMaps[[#This Row],[Name]])</f>
        <v>(Relation) SalesOrder/Customer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 x14ac:dyDescent="0.25">
      <c r="J53" s="11">
        <f t="shared" si="0"/>
        <v>52</v>
      </c>
      <c r="K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UserStoreArea/AssignedAreas</v>
      </c>
      <c r="O53" s="6" t="str">
        <f ca="1">IF(IDNMaps[[#This Row],[Name]]="","","("&amp;IDNMaps[[#This Row],[Type]]&amp;") "&amp;IDNMaps[[#This Row],[Name]])</f>
        <v>(Relation) UserStoreArea/AssignedAreas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 x14ac:dyDescent="0.25">
      <c r="J54" s="11">
        <f t="shared" si="0"/>
        <v>53</v>
      </c>
      <c r="K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AreaUser/Users</v>
      </c>
      <c r="O54" s="6" t="str">
        <f ca="1">IF(IDNMaps[[#This Row],[Name]]="","","("&amp;IDNMaps[[#This Row],[Type]]&amp;") "&amp;IDNMaps[[#This Row],[Name]])</f>
        <v>(Relation) AreaUser/Users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 x14ac:dyDescent="0.25">
      <c r="J55" s="11">
        <f t="shared" si="0"/>
        <v>54</v>
      </c>
      <c r="K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UserStoreArea/Customers</v>
      </c>
      <c r="O55" s="6" t="str">
        <f ca="1">IF(IDNMaps[[#This Row],[Name]]="","","("&amp;IDNMaps[[#This Row],[Type]]&amp;") "&amp;IDNMaps[[#This Row],[Name]])</f>
        <v>(Relation) UserStoreArea/Customers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 x14ac:dyDescent="0.25">
      <c r="J56" s="11">
        <f t="shared" si="0"/>
        <v>55</v>
      </c>
      <c r="K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User/AreaCustomers</v>
      </c>
      <c r="O56" s="6" t="str">
        <f ca="1">IF(IDNMaps[[#This Row],[Name]]="","","("&amp;IDNMaps[[#This Row],[Type]]&amp;") "&amp;IDNMaps[[#This Row],[Name]])</f>
        <v>(Relation) User/AreaCustomers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 x14ac:dyDescent="0.25">
      <c r="J57" s="11">
        <f t="shared" si="0"/>
        <v>56</v>
      </c>
      <c r="K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SalesOrderItem/SalesOrder</v>
      </c>
      <c r="O57" s="6" t="str">
        <f ca="1">IF(IDNMaps[[#This Row],[Name]]="","","("&amp;IDNMaps[[#This Row],[Type]]&amp;") "&amp;IDNMaps[[#This Row],[Name]])</f>
        <v>(Relation) SalesOrderItem/SalesOrder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 x14ac:dyDescent="0.25">
      <c r="J58" s="11">
        <f t="shared" si="0"/>
        <v>57</v>
      </c>
      <c r="K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TransactionDetail/Transaction</v>
      </c>
      <c r="O58" s="6" t="str">
        <f ca="1">IF(IDNMaps[[#This Row],[Name]]="","","("&amp;IDNMaps[[#This Row],[Type]]&amp;") "&amp;IDNMaps[[#This Row],[Name]])</f>
        <v>(Relation) TransactionDetail/Transaction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 x14ac:dyDescent="0.25">
      <c r="J59" s="11">
        <f t="shared" si="0"/>
        <v>58</v>
      </c>
      <c r="K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SalesOrderSale/SalesOrder</v>
      </c>
      <c r="O59" s="6" t="str">
        <f ca="1">IF(IDNMaps[[#This Row],[Name]]="","","("&amp;IDNMaps[[#This Row],[Type]]&amp;") "&amp;IDNMaps[[#This Row],[Name]])</f>
        <v>(Relation) SalesOrderSale/SalesOrder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 x14ac:dyDescent="0.25">
      <c r="J60" s="11">
        <f t="shared" si="0"/>
        <v>59</v>
      </c>
      <c r="K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SalesOrderSale/Transaction</v>
      </c>
      <c r="O60" s="6" t="str">
        <f ca="1">IF(IDNMaps[[#This Row],[Name]]="","","("&amp;IDNMaps[[#This Row],[Type]]&amp;") "&amp;IDNMaps[[#This Row],[Name]])</f>
        <v>(Relation) SalesOrderSale/Transaction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 x14ac:dyDescent="0.25">
      <c r="J61" s="11">
        <f t="shared" si="0"/>
        <v>60</v>
      </c>
      <c r="K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Transaction/STOut</v>
      </c>
      <c r="O61" s="6" t="str">
        <f ca="1">IF(IDNMaps[[#This Row],[Name]]="","","("&amp;IDNMaps[[#This Row],[Type]]&amp;") "&amp;IDNMaps[[#This Row],[Name]])</f>
        <v>(Relation) Transaction/STOut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 x14ac:dyDescent="0.25">
      <c r="J62" s="11">
        <f t="shared" si="0"/>
        <v>61</v>
      </c>
      <c r="K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Transaction/STIn</v>
      </c>
      <c r="O62" s="6" t="str">
        <f ca="1">IF(IDNMaps[[#This Row],[Name]]="","","("&amp;IDNMaps[[#This Row],[Type]]&amp;") "&amp;IDNMaps[[#This Row],[Name]])</f>
        <v>(Relation) Transaction/STIn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 x14ac:dyDescent="0.25">
      <c r="J63" s="11">
        <f t="shared" si="0"/>
        <v>62</v>
      </c>
      <c r="K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StoreProductTransaction/TransactionDetail</v>
      </c>
      <c r="O63" s="6" t="str">
        <f ca="1">IF(IDNMaps[[#This Row],[Name]]="","","("&amp;IDNMaps[[#This Row],[Type]]&amp;") "&amp;IDNMaps[[#This Row],[Name]])</f>
        <v>(Relation) StoreProductTransaction/TransactionDetail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 x14ac:dyDescent="0.25">
      <c r="J64" s="11">
        <f t="shared" si="0"/>
        <v>63</v>
      </c>
      <c r="K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4" s="6">
        <f ca="1">IF(IDNMaps[[#This Row],[Type]]="","",COUNTIF($K$1:IDNMaps[[#This Row],[Type]],IDNMaps[[#This Row],[Type]]))</f>
        <v>1</v>
      </c>
      <c r="M64" s="6" t="str">
        <f ca="1">IFERROR(VLOOKUP(IDNMaps[[#This Row],[Type]],RecordCount[],6,0)&amp;"-"&amp;IDNMaps[[#This Row],[Type Count]],"")</f>
        <v>Form Fields-1</v>
      </c>
      <c r="N64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64" s="6" t="str">
        <f ca="1">IF(IDNMaps[[#This Row],[Name]]="","","("&amp;IDNMaps[[#This Row],[Type]]&amp;") "&amp;IDNMaps[[#This Row],[Name]])</f>
        <v>(Fields) ProductTransactionNature/NewTransactionProductNature/name</v>
      </c>
      <c r="P64" s="6">
        <f ca="1">IFERROR(VLOOKUP(IDNMaps[[#This Row],[Primary]],INDIRECT(VLOOKUP(IDNMaps[[#This Row],[Type]],RecordCount[],2,0)),VLOOKUP(IDNMaps[[#This Row],[Type]],RecordCount[],8,0),0),"")</f>
        <v>310101</v>
      </c>
    </row>
    <row r="65" spans="10:16" x14ac:dyDescent="0.25">
      <c r="J65" s="11">
        <f t="shared" si="0"/>
        <v>64</v>
      </c>
      <c r="K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5" s="6">
        <f ca="1">IF(IDNMaps[[#This Row],[Type]]="","",COUNTIF($K$1:IDNMaps[[#This Row],[Type]],IDNMaps[[#This Row],[Type]]))</f>
        <v>2</v>
      </c>
      <c r="M65" s="6" t="str">
        <f ca="1">IFERROR(VLOOKUP(IDNMaps[[#This Row],[Type]],RecordCount[],6,0)&amp;"-"&amp;IDNMaps[[#This Row],[Type Count]],"")</f>
        <v>Form Fields-2</v>
      </c>
      <c r="N65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65" s="6" t="str">
        <f ca="1">IF(IDNMaps[[#This Row],[Name]]="","","("&amp;IDNMaps[[#This Row],[Type]]&amp;") "&amp;IDNMaps[[#This Row],[Name]])</f>
        <v>(Fields) ProductTransactionNature/NewTransactionProductNature/status</v>
      </c>
      <c r="P65" s="6">
        <f ca="1">IFERROR(VLOOKUP(IDNMaps[[#This Row],[Primary]],INDIRECT(VLOOKUP(IDNMaps[[#This Row],[Type]],RecordCount[],2,0)),VLOOKUP(IDNMaps[[#This Row],[Type]],RecordCount[],8,0),0),"")</f>
        <v>310102</v>
      </c>
    </row>
    <row r="66" spans="10:16" x14ac:dyDescent="0.25">
      <c r="J66" s="11">
        <f t="shared" ref="J66:J129" si="1">IFERROR($J65+1,1)</f>
        <v>65</v>
      </c>
      <c r="K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6" s="6">
        <f ca="1">IF(IDNMaps[[#This Row],[Type]]="","",COUNTIF($K$1:IDNMaps[[#This Row],[Type]],IDNMaps[[#This Row],[Type]]))</f>
        <v>3</v>
      </c>
      <c r="M66" s="6" t="str">
        <f ca="1">IFERROR(VLOOKUP(IDNMaps[[#This Row],[Type]],RecordCount[],6,0)&amp;"-"&amp;IDNMaps[[#This Row],[Type Count]],"")</f>
        <v>Form Fields-3</v>
      </c>
      <c r="N66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66" s="6" t="str">
        <f ca="1">IF(IDNMaps[[#This Row],[Name]]="","","("&amp;IDNMaps[[#This Row],[Type]]&amp;") "&amp;IDNMaps[[#This Row],[Name]])</f>
        <v>(Fields) ProductTransactionType/NewProductTransactionType/name</v>
      </c>
      <c r="P66" s="6">
        <f ca="1">IFERROR(VLOOKUP(IDNMaps[[#This Row],[Primary]],INDIRECT(VLOOKUP(IDNMaps[[#This Row],[Type]],RecordCount[],2,0)),VLOOKUP(IDNMaps[[#This Row],[Type]],RecordCount[],8,0),0),"")</f>
        <v>310103</v>
      </c>
    </row>
    <row r="67" spans="10:16" x14ac:dyDescent="0.25">
      <c r="J67" s="11">
        <f t="shared" si="1"/>
        <v>66</v>
      </c>
      <c r="K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7" s="6">
        <f ca="1">IF(IDNMaps[[#This Row],[Type]]="","",COUNTIF($K$1:IDNMaps[[#This Row],[Type]],IDNMaps[[#This Row],[Type]]))</f>
        <v>4</v>
      </c>
      <c r="M67" s="6" t="str">
        <f ca="1">IFERROR(VLOOKUP(IDNMaps[[#This Row],[Type]],RecordCount[],6,0)&amp;"-"&amp;IDNMaps[[#This Row],[Type Count]],"")</f>
        <v>Form Fields-4</v>
      </c>
      <c r="N67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67" s="6" t="str">
        <f ca="1">IF(IDNMaps[[#This Row],[Name]]="","","("&amp;IDNMaps[[#This Row],[Type]]&amp;") "&amp;IDNMaps[[#This Row],[Name]])</f>
        <v>(Fields) ProductTransactionType/NewProductTransactionType/status</v>
      </c>
      <c r="P67" s="6">
        <f ca="1">IFERROR(VLOOKUP(IDNMaps[[#This Row],[Primary]],INDIRECT(VLOOKUP(IDNMaps[[#This Row],[Type]],RecordCount[],2,0)),VLOOKUP(IDNMaps[[#This Row],[Type]],RecordCount[],8,0),0),"")</f>
        <v>310104</v>
      </c>
    </row>
    <row r="68" spans="10:16" x14ac:dyDescent="0.25">
      <c r="J68" s="11">
        <f t="shared" si="1"/>
        <v>67</v>
      </c>
      <c r="K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8" s="6">
        <f ca="1">IF(IDNMaps[[#This Row],[Type]]="","",COUNTIF($K$1:IDNMaps[[#This Row],[Type]],IDNMaps[[#This Row],[Type]]))</f>
        <v>5</v>
      </c>
      <c r="M68" s="6" t="str">
        <f ca="1">IFERROR(VLOOKUP(IDNMaps[[#This Row],[Type]],RecordCount[],6,0)&amp;"-"&amp;IDNMaps[[#This Row],[Type Count]],"")</f>
        <v>Form Fields-5</v>
      </c>
      <c r="N68" s="6" t="str">
        <f ca="1">IFERROR(VLOOKUP(IDNMaps[[#This Row],[Primary]],INDIRECT(VLOOKUP(IDNMaps[[#This Row],[Type]],RecordCount[],2,0)),VLOOKUP(IDNMaps[[#This Row],[Type]],RecordCount[],7,0),0),"")</f>
        <v>Setting/AddNewSetting/name</v>
      </c>
      <c r="O68" s="6" t="str">
        <f ca="1">IF(IDNMaps[[#This Row],[Name]]="","","("&amp;IDNMaps[[#This Row],[Type]]&amp;") "&amp;IDNMaps[[#This Row],[Name]])</f>
        <v>(Fields) Setting/AddNewSetting/name</v>
      </c>
      <c r="P68" s="6">
        <f ca="1">IFERROR(VLOOKUP(IDNMaps[[#This Row],[Primary]],INDIRECT(VLOOKUP(IDNMaps[[#This Row],[Type]],RecordCount[],2,0)),VLOOKUP(IDNMaps[[#This Row],[Type]],RecordCount[],8,0),0),"")</f>
        <v>310105</v>
      </c>
    </row>
    <row r="69" spans="10:16" x14ac:dyDescent="0.25">
      <c r="J69" s="11">
        <f t="shared" si="1"/>
        <v>68</v>
      </c>
      <c r="K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69" s="6">
        <f ca="1">IF(IDNMaps[[#This Row],[Type]]="","",COUNTIF($K$1:IDNMaps[[#This Row],[Type]],IDNMaps[[#This Row],[Type]]))</f>
        <v>6</v>
      </c>
      <c r="M69" s="6" t="str">
        <f ca="1">IFERROR(VLOOKUP(IDNMaps[[#This Row],[Type]],RecordCount[],6,0)&amp;"-"&amp;IDNMaps[[#This Row],[Type Count]],"")</f>
        <v>Form Fields-6</v>
      </c>
      <c r="N69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69" s="6" t="str">
        <f ca="1">IF(IDNMaps[[#This Row],[Name]]="","","("&amp;IDNMaps[[#This Row],[Type]]&amp;") "&amp;IDNMaps[[#This Row],[Name]])</f>
        <v>(Fields) Setting/AddNewSetting/value</v>
      </c>
      <c r="P69" s="6">
        <f ca="1">IFERROR(VLOOKUP(IDNMaps[[#This Row],[Primary]],INDIRECT(VLOOKUP(IDNMaps[[#This Row],[Type]],RecordCount[],2,0)),VLOOKUP(IDNMaps[[#This Row],[Type]],RecordCount[],8,0),0),"")</f>
        <v>310106</v>
      </c>
    </row>
    <row r="70" spans="10:16" x14ac:dyDescent="0.25">
      <c r="J70" s="11">
        <f t="shared" si="1"/>
        <v>69</v>
      </c>
      <c r="K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0" s="6">
        <f ca="1">IF(IDNMaps[[#This Row],[Type]]="","",COUNTIF($K$1:IDNMaps[[#This Row],[Type]],IDNMaps[[#This Row],[Type]]))</f>
        <v>7</v>
      </c>
      <c r="M70" s="6" t="str">
        <f ca="1">IFERROR(VLOOKUP(IDNMaps[[#This Row],[Type]],RecordCount[],6,0)&amp;"-"&amp;IDNMaps[[#This Row],[Type Count]],"")</f>
        <v>Form Fields-7</v>
      </c>
      <c r="N70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70" s="6" t="str">
        <f ca="1">IF(IDNMaps[[#This Row],[Name]]="","","("&amp;IDNMaps[[#This Row],[Type]]&amp;") "&amp;IDNMaps[[#This Row],[Name]])</f>
        <v>(Fields) Setting/AddNewSetting/status</v>
      </c>
      <c r="P70" s="6">
        <f ca="1">IFERROR(VLOOKUP(IDNMaps[[#This Row],[Primary]],INDIRECT(VLOOKUP(IDNMaps[[#This Row],[Type]],RecordCount[],2,0)),VLOOKUP(IDNMaps[[#This Row],[Type]],RecordCount[],8,0),0),"")</f>
        <v>310107</v>
      </c>
    </row>
    <row r="71" spans="10:16" x14ac:dyDescent="0.25">
      <c r="J71" s="11">
        <f t="shared" si="1"/>
        <v>70</v>
      </c>
      <c r="K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1" s="6">
        <f ca="1">IF(IDNMaps[[#This Row],[Type]]="","",COUNTIF($K$1:IDNMaps[[#This Row],[Type]],IDNMaps[[#This Row],[Type]]))</f>
        <v>8</v>
      </c>
      <c r="M71" s="6" t="str">
        <f ca="1">IFERROR(VLOOKUP(IDNMaps[[#This Row],[Type]],RecordCount[],6,0)&amp;"-"&amp;IDNMaps[[#This Row],[Type Count]],"")</f>
        <v>Form Fields-8</v>
      </c>
      <c r="N71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71" s="6" t="str">
        <f ca="1">IF(IDNMaps[[#This Row],[Name]]="","","("&amp;IDNMaps[[#This Row],[Type]]&amp;") "&amp;IDNMaps[[#This Row],[Name]])</f>
        <v>(Fields) Setting/AddNewSetting/description</v>
      </c>
      <c r="P71" s="6">
        <f ca="1">IFERROR(VLOOKUP(IDNMaps[[#This Row],[Primary]],INDIRECT(VLOOKUP(IDNMaps[[#This Row],[Type]],RecordCount[],2,0)),VLOOKUP(IDNMaps[[#This Row],[Type]],RecordCount[],8,0),0),"")</f>
        <v>310108</v>
      </c>
    </row>
    <row r="72" spans="10:16" x14ac:dyDescent="0.25">
      <c r="J72" s="11">
        <f t="shared" si="1"/>
        <v>71</v>
      </c>
      <c r="K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2" s="6">
        <f ca="1">IF(IDNMaps[[#This Row],[Type]]="","",COUNTIF($K$1:IDNMaps[[#This Row],[Type]],IDNMaps[[#This Row],[Type]]))</f>
        <v>9</v>
      </c>
      <c r="M72" s="6" t="str">
        <f ca="1">IFERROR(VLOOKUP(IDNMaps[[#This Row],[Type]],RecordCount[],6,0)&amp;"-"&amp;IDNMaps[[#This Row],[Type Count]],"")</f>
        <v>Form Fields-9</v>
      </c>
      <c r="N72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72" s="6" t="str">
        <f ca="1">IF(IDNMaps[[#This Row],[Name]]="","","("&amp;IDNMaps[[#This Row],[Type]]&amp;") "&amp;IDNMaps[[#This Row],[Name]])</f>
        <v>(Fields) UserSetting/AddNewUserSetting/user</v>
      </c>
      <c r="P72" s="6">
        <f ca="1">IFERROR(VLOOKUP(IDNMaps[[#This Row],[Primary]],INDIRECT(VLOOKUP(IDNMaps[[#This Row],[Type]],RecordCount[],2,0)),VLOOKUP(IDNMaps[[#This Row],[Type]],RecordCount[],8,0),0),"")</f>
        <v>310109</v>
      </c>
    </row>
    <row r="73" spans="10:16" x14ac:dyDescent="0.25">
      <c r="J73" s="11">
        <f t="shared" si="1"/>
        <v>72</v>
      </c>
      <c r="K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3" s="6">
        <f ca="1">IF(IDNMaps[[#This Row],[Type]]="","",COUNTIF($K$1:IDNMaps[[#This Row],[Type]],IDNMaps[[#This Row],[Type]]))</f>
        <v>10</v>
      </c>
      <c r="M73" s="6" t="str">
        <f ca="1">IFERROR(VLOOKUP(IDNMaps[[#This Row],[Type]],RecordCount[],6,0)&amp;"-"&amp;IDNMaps[[#This Row],[Type Count]],"")</f>
        <v>Form Fields-10</v>
      </c>
      <c r="N73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73" s="6" t="str">
        <f ca="1">IF(IDNMaps[[#This Row],[Name]]="","","("&amp;IDNMaps[[#This Row],[Type]]&amp;") "&amp;IDNMaps[[#This Row],[Name]])</f>
        <v>(Fields) UserSetting/AddNewUserSetting/setting</v>
      </c>
      <c r="P73" s="6">
        <f ca="1">IFERROR(VLOOKUP(IDNMaps[[#This Row],[Primary]],INDIRECT(VLOOKUP(IDNMaps[[#This Row],[Type]],RecordCount[],2,0)),VLOOKUP(IDNMaps[[#This Row],[Type]],RecordCount[],8,0),0),"")</f>
        <v>310110</v>
      </c>
    </row>
    <row r="74" spans="10:16" x14ac:dyDescent="0.25">
      <c r="J74" s="11">
        <f t="shared" si="1"/>
        <v>73</v>
      </c>
      <c r="K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4" s="6">
        <f ca="1">IF(IDNMaps[[#This Row],[Type]]="","",COUNTIF($K$1:IDNMaps[[#This Row],[Type]],IDNMaps[[#This Row],[Type]]))</f>
        <v>11</v>
      </c>
      <c r="M74" s="6" t="str">
        <f ca="1">IFERROR(VLOOKUP(IDNMaps[[#This Row],[Type]],RecordCount[],6,0)&amp;"-"&amp;IDNMaps[[#This Row],[Type Count]],"")</f>
        <v>Form Fields-11</v>
      </c>
      <c r="N74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74" s="6" t="str">
        <f ca="1">IF(IDNMaps[[#This Row],[Name]]="","","("&amp;IDNMaps[[#This Row],[Type]]&amp;") "&amp;IDNMaps[[#This Row],[Name]])</f>
        <v>(Fields) UserSetting/AddNewUserSetting/value</v>
      </c>
      <c r="P74" s="6">
        <f ca="1">IFERROR(VLOOKUP(IDNMaps[[#This Row],[Primary]],INDIRECT(VLOOKUP(IDNMaps[[#This Row],[Type]],RecordCount[],2,0)),VLOOKUP(IDNMaps[[#This Row],[Type]],RecordCount[],8,0),0),"")</f>
        <v>310111</v>
      </c>
    </row>
    <row r="75" spans="10:16" x14ac:dyDescent="0.25">
      <c r="J75" s="11">
        <f t="shared" si="1"/>
        <v>74</v>
      </c>
      <c r="K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5" s="6">
        <f ca="1">IF(IDNMaps[[#This Row],[Type]]="","",COUNTIF($K$1:IDNMaps[[#This Row],[Type]],IDNMaps[[#This Row],[Type]]))</f>
        <v>12</v>
      </c>
      <c r="M75" s="6" t="str">
        <f ca="1">IFERROR(VLOOKUP(IDNMaps[[#This Row],[Type]],RecordCount[],6,0)&amp;"-"&amp;IDNMaps[[#This Row],[Type Count]],"")</f>
        <v>Form Fields-12</v>
      </c>
      <c r="N75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75" s="6" t="str">
        <f ca="1">IF(IDNMaps[[#This Row],[Name]]="","","("&amp;IDNMaps[[#This Row],[Type]]&amp;") "&amp;IDNMaps[[#This Row],[Name]])</f>
        <v>(Fields) UserSetting/ChangeUserSettingStatus/status</v>
      </c>
      <c r="P75" s="6">
        <f ca="1">IFERROR(VLOOKUP(IDNMaps[[#This Row],[Primary]],INDIRECT(VLOOKUP(IDNMaps[[#This Row],[Type]],RecordCount[],2,0)),VLOOKUP(IDNMaps[[#This Row],[Type]],RecordCount[],8,0),0),"")</f>
        <v>310112</v>
      </c>
    </row>
    <row r="76" spans="10:16" x14ac:dyDescent="0.25">
      <c r="J76" s="11">
        <f t="shared" si="1"/>
        <v>75</v>
      </c>
      <c r="K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6" s="6">
        <f ca="1">IF(IDNMaps[[#This Row],[Type]]="","",COUNTIF($K$1:IDNMaps[[#This Row],[Type]],IDNMaps[[#This Row],[Type]]))</f>
        <v>13</v>
      </c>
      <c r="M76" s="6" t="str">
        <f ca="1">IFERROR(VLOOKUP(IDNMaps[[#This Row],[Type]],RecordCount[],6,0)&amp;"-"&amp;IDNMaps[[#This Row],[Type Count]],"")</f>
        <v>Form Fields-13</v>
      </c>
      <c r="N76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76" s="6" t="str">
        <f ca="1">IF(IDNMaps[[#This Row],[Name]]="","","("&amp;IDNMaps[[#This Row],[Type]]&amp;") "&amp;IDNMaps[[#This Row],[Name]])</f>
        <v>(Fields) UserStoreArea/AddUserStoreAreaForm/user</v>
      </c>
      <c r="P76" s="6">
        <f ca="1">IFERROR(VLOOKUP(IDNMaps[[#This Row],[Primary]],INDIRECT(VLOOKUP(IDNMaps[[#This Row],[Type]],RecordCount[],2,0)),VLOOKUP(IDNMaps[[#This Row],[Type]],RecordCount[],8,0),0),"")</f>
        <v>310113</v>
      </c>
    </row>
    <row r="77" spans="10:16" x14ac:dyDescent="0.25">
      <c r="J77" s="11">
        <f t="shared" si="1"/>
        <v>76</v>
      </c>
      <c r="K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7" s="6">
        <f ca="1">IF(IDNMaps[[#This Row],[Type]]="","",COUNTIF($K$1:IDNMaps[[#This Row],[Type]],IDNMaps[[#This Row],[Type]]))</f>
        <v>14</v>
      </c>
      <c r="M77" s="6" t="str">
        <f ca="1">IFERROR(VLOOKUP(IDNMaps[[#This Row],[Type]],RecordCount[],6,0)&amp;"-"&amp;IDNMaps[[#This Row],[Type Count]],"")</f>
        <v>Form Fields-14</v>
      </c>
      <c r="N77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77" s="6" t="str">
        <f ca="1">IF(IDNMaps[[#This Row],[Name]]="","","("&amp;IDNMaps[[#This Row],[Type]]&amp;") "&amp;IDNMaps[[#This Row],[Name]])</f>
        <v>(Fields) UserStoreArea/AddUserStoreAreaForm/store</v>
      </c>
      <c r="P77" s="6">
        <f ca="1">IFERROR(VLOOKUP(IDNMaps[[#This Row],[Primary]],INDIRECT(VLOOKUP(IDNMaps[[#This Row],[Type]],RecordCount[],2,0)),VLOOKUP(IDNMaps[[#This Row],[Type]],RecordCount[],8,0),0),"")</f>
        <v>310114</v>
      </c>
    </row>
    <row r="78" spans="10:16" x14ac:dyDescent="0.25">
      <c r="J78" s="11">
        <f t="shared" si="1"/>
        <v>77</v>
      </c>
      <c r="K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8" s="6">
        <f ca="1">IF(IDNMaps[[#This Row],[Type]]="","",COUNTIF($K$1:IDNMaps[[#This Row],[Type]],IDNMaps[[#This Row],[Type]]))</f>
        <v>15</v>
      </c>
      <c r="M78" s="6" t="str">
        <f ca="1">IFERROR(VLOOKUP(IDNMaps[[#This Row],[Type]],RecordCount[],6,0)&amp;"-"&amp;IDNMaps[[#This Row],[Type Count]],"")</f>
        <v>Form Fields-15</v>
      </c>
      <c r="N78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78" s="6" t="str">
        <f ca="1">IF(IDNMaps[[#This Row],[Name]]="","","("&amp;IDNMaps[[#This Row],[Type]]&amp;") "&amp;IDNMaps[[#This Row],[Name]])</f>
        <v>(Fields) UserStoreArea/AddUserStoreAreaForm/area</v>
      </c>
      <c r="P78" s="6">
        <f ca="1">IFERROR(VLOOKUP(IDNMaps[[#This Row],[Primary]],INDIRECT(VLOOKUP(IDNMaps[[#This Row],[Type]],RecordCount[],2,0)),VLOOKUP(IDNMaps[[#This Row],[Type]],RecordCount[],8,0),0),"")</f>
        <v>310115</v>
      </c>
    </row>
    <row r="79" spans="10:16" x14ac:dyDescent="0.25">
      <c r="J79" s="11">
        <f t="shared" si="1"/>
        <v>78</v>
      </c>
      <c r="K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16</v>
      </c>
      <c r="M79" s="6" t="str">
        <f ca="1">IFERROR(VLOOKUP(IDNMaps[[#This Row],[Type]],RecordCount[],6,0)&amp;"-"&amp;IDNMaps[[#This Row],[Type Count]],"")</f>
        <v>Form Fields-16</v>
      </c>
      <c r="N79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79" s="6" t="str">
        <f ca="1">IF(IDNMaps[[#This Row],[Name]]="","","("&amp;IDNMaps[[#This Row],[Type]]&amp;") "&amp;IDNMaps[[#This Row],[Name]])</f>
        <v>(Fields) UserStoreArea/AddUserStoreAreaForm/status</v>
      </c>
      <c r="P79" s="6">
        <f ca="1">IFERROR(VLOOKUP(IDNMaps[[#This Row],[Primary]],INDIRECT(VLOOKUP(IDNMaps[[#This Row],[Type]],RecordCount[],2,0)),VLOOKUP(IDNMaps[[#This Row],[Type]],RecordCount[],8,0),0),"")</f>
        <v>310116</v>
      </c>
    </row>
    <row r="80" spans="10:16" x14ac:dyDescent="0.25">
      <c r="J80" s="11">
        <f t="shared" si="1"/>
        <v>79</v>
      </c>
      <c r="K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 x14ac:dyDescent="0.25">
      <c r="J81" s="11">
        <f t="shared" si="1"/>
        <v>80</v>
      </c>
      <c r="K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 x14ac:dyDescent="0.25">
      <c r="J82" s="11">
        <f t="shared" si="1"/>
        <v>81</v>
      </c>
      <c r="K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 x14ac:dyDescent="0.25">
      <c r="J83" s="11">
        <f t="shared" si="1"/>
        <v>82</v>
      </c>
      <c r="K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 x14ac:dyDescent="0.25">
      <c r="J84" s="11">
        <f t="shared" si="1"/>
        <v>83</v>
      </c>
      <c r="K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 x14ac:dyDescent="0.25">
      <c r="J85" s="11">
        <f t="shared" si="1"/>
        <v>84</v>
      </c>
      <c r="K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 x14ac:dyDescent="0.25">
      <c r="J86" s="11">
        <f t="shared" si="1"/>
        <v>85</v>
      </c>
      <c r="K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 x14ac:dyDescent="0.25">
      <c r="J87" s="11">
        <f t="shared" si="1"/>
        <v>86</v>
      </c>
      <c r="K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 x14ac:dyDescent="0.25">
      <c r="J88" s="11">
        <f t="shared" si="1"/>
        <v>87</v>
      </c>
      <c r="K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 x14ac:dyDescent="0.25">
      <c r="J89" s="11">
        <f t="shared" si="1"/>
        <v>88</v>
      </c>
      <c r="K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 x14ac:dyDescent="0.25">
      <c r="J90" s="11">
        <f t="shared" si="1"/>
        <v>89</v>
      </c>
      <c r="K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 x14ac:dyDescent="0.25">
      <c r="J91" s="11">
        <f t="shared" si="1"/>
        <v>90</v>
      </c>
      <c r="K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 x14ac:dyDescent="0.25">
      <c r="J92" s="11">
        <f t="shared" si="1"/>
        <v>91</v>
      </c>
      <c r="K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 x14ac:dyDescent="0.25">
      <c r="J93" s="11">
        <f t="shared" si="1"/>
        <v>92</v>
      </c>
      <c r="K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 x14ac:dyDescent="0.25">
      <c r="J94" s="11">
        <f t="shared" si="1"/>
        <v>93</v>
      </c>
      <c r="K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 x14ac:dyDescent="0.25">
      <c r="J95" s="11">
        <f t="shared" si="1"/>
        <v>94</v>
      </c>
      <c r="K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 x14ac:dyDescent="0.25">
      <c r="J96" s="11">
        <f t="shared" si="1"/>
        <v>95</v>
      </c>
      <c r="K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 x14ac:dyDescent="0.25">
      <c r="J97" s="11">
        <f t="shared" si="1"/>
        <v>96</v>
      </c>
      <c r="K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 x14ac:dyDescent="0.25">
      <c r="J98" s="11">
        <f t="shared" si="1"/>
        <v>97</v>
      </c>
      <c r="K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 x14ac:dyDescent="0.25">
      <c r="J99" s="11">
        <f t="shared" si="1"/>
        <v>98</v>
      </c>
      <c r="K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 x14ac:dyDescent="0.25">
      <c r="J100" s="11">
        <f t="shared" si="1"/>
        <v>99</v>
      </c>
      <c r="K1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 x14ac:dyDescent="0.25">
      <c r="J101" s="11">
        <f t="shared" si="1"/>
        <v>100</v>
      </c>
      <c r="K1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 x14ac:dyDescent="0.25">
      <c r="J102" s="11">
        <f t="shared" si="1"/>
        <v>101</v>
      </c>
      <c r="K1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 x14ac:dyDescent="0.25">
      <c r="J103" s="11">
        <f t="shared" si="1"/>
        <v>102</v>
      </c>
      <c r="K1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 x14ac:dyDescent="0.25">
      <c r="J104" s="11">
        <f t="shared" si="1"/>
        <v>103</v>
      </c>
      <c r="K1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 x14ac:dyDescent="0.25">
      <c r="J105" s="11">
        <f t="shared" si="1"/>
        <v>104</v>
      </c>
      <c r="K1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 x14ac:dyDescent="0.25">
      <c r="J106" s="11">
        <f t="shared" si="1"/>
        <v>105</v>
      </c>
      <c r="K1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 x14ac:dyDescent="0.25">
      <c r="J107" s="11">
        <f t="shared" si="1"/>
        <v>106</v>
      </c>
      <c r="K1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 x14ac:dyDescent="0.25">
      <c r="J108" s="11">
        <f t="shared" si="1"/>
        <v>107</v>
      </c>
      <c r="K1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 x14ac:dyDescent="0.25">
      <c r="J109" s="11">
        <f t="shared" si="1"/>
        <v>108</v>
      </c>
      <c r="K1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 x14ac:dyDescent="0.25">
      <c r="J110" s="11">
        <f t="shared" si="1"/>
        <v>109</v>
      </c>
      <c r="K1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 x14ac:dyDescent="0.25">
      <c r="J111" s="11">
        <f t="shared" si="1"/>
        <v>110</v>
      </c>
      <c r="K1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 x14ac:dyDescent="0.25">
      <c r="J112" s="11">
        <f t="shared" si="1"/>
        <v>111</v>
      </c>
      <c r="K1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 x14ac:dyDescent="0.25">
      <c r="J113" s="11">
        <f t="shared" si="1"/>
        <v>112</v>
      </c>
      <c r="K1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 x14ac:dyDescent="0.25">
      <c r="J114" s="11">
        <f t="shared" si="1"/>
        <v>113</v>
      </c>
      <c r="K1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 x14ac:dyDescent="0.25">
      <c r="J115" s="11">
        <f t="shared" si="1"/>
        <v>114</v>
      </c>
      <c r="K1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 x14ac:dyDescent="0.25">
      <c r="J116" s="11">
        <f t="shared" si="1"/>
        <v>115</v>
      </c>
      <c r="K1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 x14ac:dyDescent="0.25">
      <c r="J117" s="11">
        <f t="shared" si="1"/>
        <v>116</v>
      </c>
      <c r="K1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 x14ac:dyDescent="0.25">
      <c r="J118" s="11">
        <f t="shared" si="1"/>
        <v>117</v>
      </c>
      <c r="K1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 x14ac:dyDescent="0.25">
      <c r="J119" s="11">
        <f t="shared" si="1"/>
        <v>118</v>
      </c>
      <c r="K1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 x14ac:dyDescent="0.25">
      <c r="J120" s="11">
        <f t="shared" si="1"/>
        <v>119</v>
      </c>
      <c r="K1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 x14ac:dyDescent="0.25">
      <c r="J121" s="11">
        <f t="shared" si="1"/>
        <v>120</v>
      </c>
      <c r="K1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 x14ac:dyDescent="0.25">
      <c r="J122" s="11">
        <f t="shared" si="1"/>
        <v>121</v>
      </c>
      <c r="K1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 x14ac:dyDescent="0.25">
      <c r="J123" s="11">
        <f t="shared" si="1"/>
        <v>122</v>
      </c>
      <c r="K1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 x14ac:dyDescent="0.25">
      <c r="J124" s="11">
        <f t="shared" si="1"/>
        <v>123</v>
      </c>
      <c r="K1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 x14ac:dyDescent="0.25">
      <c r="J125" s="11">
        <f t="shared" si="1"/>
        <v>124</v>
      </c>
      <c r="K1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 x14ac:dyDescent="0.25">
      <c r="J126" s="11">
        <f t="shared" si="1"/>
        <v>125</v>
      </c>
      <c r="K1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 x14ac:dyDescent="0.25">
      <c r="J127" s="11">
        <f t="shared" si="1"/>
        <v>126</v>
      </c>
      <c r="K1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 x14ac:dyDescent="0.25">
      <c r="J128" s="11">
        <f t="shared" si="1"/>
        <v>127</v>
      </c>
      <c r="K1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 x14ac:dyDescent="0.25">
      <c r="J129" s="11">
        <f t="shared" si="1"/>
        <v>128</v>
      </c>
      <c r="K1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 x14ac:dyDescent="0.25">
      <c r="J130" s="11">
        <f t="shared" ref="J130:J193" si="2">IFERROR($J129+1,1)</f>
        <v>129</v>
      </c>
      <c r="K1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 x14ac:dyDescent="0.25">
      <c r="J131" s="11">
        <f t="shared" si="2"/>
        <v>130</v>
      </c>
      <c r="K1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 x14ac:dyDescent="0.25">
      <c r="J132" s="11">
        <f t="shared" si="2"/>
        <v>131</v>
      </c>
      <c r="K1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 x14ac:dyDescent="0.25">
      <c r="J133" s="11">
        <f t="shared" si="2"/>
        <v>132</v>
      </c>
      <c r="K1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 x14ac:dyDescent="0.25">
      <c r="J134" s="11">
        <f t="shared" si="2"/>
        <v>133</v>
      </c>
      <c r="K1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 x14ac:dyDescent="0.25">
      <c r="J135" s="11">
        <f t="shared" si="2"/>
        <v>134</v>
      </c>
      <c r="K1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 x14ac:dyDescent="0.25">
      <c r="J136" s="11">
        <f t="shared" si="2"/>
        <v>135</v>
      </c>
      <c r="K1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 x14ac:dyDescent="0.25">
      <c r="J137" s="11">
        <f t="shared" si="2"/>
        <v>136</v>
      </c>
      <c r="K1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 x14ac:dyDescent="0.25">
      <c r="J138" s="11">
        <f t="shared" si="2"/>
        <v>137</v>
      </c>
      <c r="K1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 x14ac:dyDescent="0.25">
      <c r="J139" s="11">
        <f t="shared" si="2"/>
        <v>138</v>
      </c>
      <c r="K1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 x14ac:dyDescent="0.25">
      <c r="J140" s="11">
        <f t="shared" si="2"/>
        <v>139</v>
      </c>
      <c r="K1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 x14ac:dyDescent="0.25">
      <c r="J141" s="11">
        <f t="shared" si="2"/>
        <v>140</v>
      </c>
      <c r="K1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 x14ac:dyDescent="0.25">
      <c r="J142" s="11">
        <f t="shared" si="2"/>
        <v>141</v>
      </c>
      <c r="K1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 x14ac:dyDescent="0.25">
      <c r="J143" s="11">
        <f t="shared" si="2"/>
        <v>142</v>
      </c>
      <c r="K1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 x14ac:dyDescent="0.25">
      <c r="J144" s="11">
        <f t="shared" si="2"/>
        <v>143</v>
      </c>
      <c r="K1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 x14ac:dyDescent="0.25">
      <c r="J145" s="11">
        <f t="shared" si="2"/>
        <v>144</v>
      </c>
      <c r="K1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 x14ac:dyDescent="0.25">
      <c r="J146" s="11">
        <f t="shared" si="2"/>
        <v>145</v>
      </c>
      <c r="K1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 x14ac:dyDescent="0.25">
      <c r="J147" s="11">
        <f t="shared" si="2"/>
        <v>146</v>
      </c>
      <c r="K1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 x14ac:dyDescent="0.25">
      <c r="J148" s="11">
        <f t="shared" si="2"/>
        <v>147</v>
      </c>
      <c r="K1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 x14ac:dyDescent="0.25">
      <c r="J149" s="11">
        <f t="shared" si="2"/>
        <v>148</v>
      </c>
      <c r="K1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 x14ac:dyDescent="0.25">
      <c r="J150" s="11">
        <f t="shared" si="2"/>
        <v>149</v>
      </c>
      <c r="K1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 x14ac:dyDescent="0.25">
      <c r="J151" s="11">
        <f t="shared" si="2"/>
        <v>150</v>
      </c>
      <c r="K1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 x14ac:dyDescent="0.25">
      <c r="J152" s="11">
        <f t="shared" si="2"/>
        <v>151</v>
      </c>
      <c r="K1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 x14ac:dyDescent="0.25">
      <c r="J153" s="11">
        <f t="shared" si="2"/>
        <v>152</v>
      </c>
      <c r="K1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 x14ac:dyDescent="0.25">
      <c r="J154" s="11">
        <f t="shared" si="2"/>
        <v>153</v>
      </c>
      <c r="K1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 x14ac:dyDescent="0.25">
      <c r="J155" s="11">
        <f t="shared" si="2"/>
        <v>154</v>
      </c>
      <c r="K1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 x14ac:dyDescent="0.25">
      <c r="J156" s="11">
        <f t="shared" si="2"/>
        <v>155</v>
      </c>
      <c r="K1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 x14ac:dyDescent="0.25">
      <c r="J157" s="11">
        <f t="shared" si="2"/>
        <v>156</v>
      </c>
      <c r="K1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 x14ac:dyDescent="0.25">
      <c r="J158" s="11">
        <f t="shared" si="2"/>
        <v>157</v>
      </c>
      <c r="K1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 x14ac:dyDescent="0.25">
      <c r="J159" s="11">
        <f t="shared" si="2"/>
        <v>158</v>
      </c>
      <c r="K1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 x14ac:dyDescent="0.25">
      <c r="J160" s="11">
        <f t="shared" si="2"/>
        <v>159</v>
      </c>
      <c r="K1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 x14ac:dyDescent="0.25">
      <c r="J161" s="11">
        <f t="shared" si="2"/>
        <v>160</v>
      </c>
      <c r="K1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 x14ac:dyDescent="0.25">
      <c r="J162" s="11">
        <f t="shared" si="2"/>
        <v>161</v>
      </c>
      <c r="K1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 x14ac:dyDescent="0.25">
      <c r="J163" s="11">
        <f t="shared" si="2"/>
        <v>162</v>
      </c>
      <c r="K1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 x14ac:dyDescent="0.25">
      <c r="J164" s="11">
        <f t="shared" si="2"/>
        <v>163</v>
      </c>
      <c r="K1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 x14ac:dyDescent="0.25">
      <c r="J165" s="11">
        <f t="shared" si="2"/>
        <v>164</v>
      </c>
      <c r="K1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 x14ac:dyDescent="0.25">
      <c r="J166" s="11">
        <f t="shared" si="2"/>
        <v>165</v>
      </c>
      <c r="K1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 x14ac:dyDescent="0.25">
      <c r="J167" s="11">
        <f t="shared" si="2"/>
        <v>166</v>
      </c>
      <c r="K1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 x14ac:dyDescent="0.25">
      <c r="J168" s="11">
        <f t="shared" si="2"/>
        <v>167</v>
      </c>
      <c r="K1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 x14ac:dyDescent="0.25">
      <c r="J169" s="11">
        <f t="shared" si="2"/>
        <v>168</v>
      </c>
      <c r="K1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 x14ac:dyDescent="0.25">
      <c r="J170" s="11">
        <f t="shared" si="2"/>
        <v>169</v>
      </c>
      <c r="K1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 x14ac:dyDescent="0.25">
      <c r="J171" s="11">
        <f t="shared" si="2"/>
        <v>170</v>
      </c>
      <c r="K1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 x14ac:dyDescent="0.25">
      <c r="J172" s="11">
        <f t="shared" si="2"/>
        <v>171</v>
      </c>
      <c r="K1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 x14ac:dyDescent="0.25">
      <c r="J173" s="11">
        <f t="shared" si="2"/>
        <v>172</v>
      </c>
      <c r="K1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 x14ac:dyDescent="0.25">
      <c r="J174" s="11">
        <f t="shared" si="2"/>
        <v>173</v>
      </c>
      <c r="K1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 x14ac:dyDescent="0.25">
      <c r="J175" s="11">
        <f t="shared" si="2"/>
        <v>174</v>
      </c>
      <c r="K1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 x14ac:dyDescent="0.25">
      <c r="J176" s="11">
        <f t="shared" si="2"/>
        <v>175</v>
      </c>
      <c r="K1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 x14ac:dyDescent="0.25">
      <c r="J177" s="11">
        <f t="shared" si="2"/>
        <v>176</v>
      </c>
      <c r="K1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 x14ac:dyDescent="0.25">
      <c r="J178" s="11">
        <f t="shared" si="2"/>
        <v>177</v>
      </c>
      <c r="K1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 x14ac:dyDescent="0.25">
      <c r="J179" s="11">
        <f t="shared" si="2"/>
        <v>178</v>
      </c>
      <c r="K1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 x14ac:dyDescent="0.25">
      <c r="J180" s="11">
        <f t="shared" si="2"/>
        <v>179</v>
      </c>
      <c r="K1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 x14ac:dyDescent="0.25">
      <c r="J181" s="11">
        <f t="shared" si="2"/>
        <v>180</v>
      </c>
      <c r="K1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 x14ac:dyDescent="0.25">
      <c r="J182" s="11">
        <f t="shared" si="2"/>
        <v>181</v>
      </c>
      <c r="K1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 x14ac:dyDescent="0.25">
      <c r="J183" s="11">
        <f t="shared" si="2"/>
        <v>182</v>
      </c>
      <c r="K1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 x14ac:dyDescent="0.25">
      <c r="J184" s="11">
        <f t="shared" si="2"/>
        <v>183</v>
      </c>
      <c r="K1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 x14ac:dyDescent="0.25">
      <c r="J185" s="11">
        <f t="shared" si="2"/>
        <v>184</v>
      </c>
      <c r="K1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 x14ac:dyDescent="0.25">
      <c r="J186" s="11">
        <f t="shared" si="2"/>
        <v>185</v>
      </c>
      <c r="K1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 x14ac:dyDescent="0.25">
      <c r="J187" s="11">
        <f t="shared" si="2"/>
        <v>186</v>
      </c>
      <c r="K1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 x14ac:dyDescent="0.25">
      <c r="J188" s="11">
        <f t="shared" si="2"/>
        <v>187</v>
      </c>
      <c r="K1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 x14ac:dyDescent="0.25">
      <c r="J189" s="11">
        <f t="shared" si="2"/>
        <v>188</v>
      </c>
      <c r="K1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 x14ac:dyDescent="0.25">
      <c r="J190" s="11">
        <f t="shared" si="2"/>
        <v>189</v>
      </c>
      <c r="K1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 x14ac:dyDescent="0.25">
      <c r="J191" s="11">
        <f t="shared" si="2"/>
        <v>190</v>
      </c>
      <c r="K1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 x14ac:dyDescent="0.25">
      <c r="J192" s="11">
        <f t="shared" si="2"/>
        <v>191</v>
      </c>
      <c r="K1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 x14ac:dyDescent="0.25">
      <c r="J193" s="11">
        <f t="shared" si="2"/>
        <v>192</v>
      </c>
      <c r="K1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 x14ac:dyDescent="0.25">
      <c r="J194" s="11">
        <f t="shared" ref="J194:J257" si="3">IFERROR($J193+1,1)</f>
        <v>193</v>
      </c>
      <c r="K1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 x14ac:dyDescent="0.25">
      <c r="J195" s="11">
        <f t="shared" si="3"/>
        <v>194</v>
      </c>
      <c r="K1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 x14ac:dyDescent="0.25">
      <c r="J196" s="11">
        <f t="shared" si="3"/>
        <v>195</v>
      </c>
      <c r="K1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 x14ac:dyDescent="0.25">
      <c r="J197" s="11">
        <f t="shared" si="3"/>
        <v>196</v>
      </c>
      <c r="K1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 x14ac:dyDescent="0.25">
      <c r="J198" s="11">
        <f t="shared" si="3"/>
        <v>197</v>
      </c>
      <c r="K1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 x14ac:dyDescent="0.25">
      <c r="J199" s="11">
        <f t="shared" si="3"/>
        <v>198</v>
      </c>
      <c r="K1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 x14ac:dyDescent="0.25">
      <c r="J200" s="11">
        <f t="shared" si="3"/>
        <v>199</v>
      </c>
      <c r="K2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 x14ac:dyDescent="0.25">
      <c r="J201" s="11">
        <f t="shared" si="3"/>
        <v>200</v>
      </c>
      <c r="K2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 x14ac:dyDescent="0.25">
      <c r="J202" s="11">
        <f t="shared" si="3"/>
        <v>201</v>
      </c>
      <c r="K2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 x14ac:dyDescent="0.25">
      <c r="J203" s="11">
        <f t="shared" si="3"/>
        <v>202</v>
      </c>
      <c r="K2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 x14ac:dyDescent="0.25">
      <c r="J204" s="11">
        <f t="shared" si="3"/>
        <v>203</v>
      </c>
      <c r="K2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 x14ac:dyDescent="0.25">
      <c r="J205" s="11">
        <f t="shared" si="3"/>
        <v>204</v>
      </c>
      <c r="K2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 x14ac:dyDescent="0.25">
      <c r="J206" s="11">
        <f t="shared" si="3"/>
        <v>205</v>
      </c>
      <c r="K2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 x14ac:dyDescent="0.25">
      <c r="J207" s="11">
        <f t="shared" si="3"/>
        <v>206</v>
      </c>
      <c r="K2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 x14ac:dyDescent="0.25">
      <c r="J208" s="11">
        <f t="shared" si="3"/>
        <v>207</v>
      </c>
      <c r="K2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 x14ac:dyDescent="0.25">
      <c r="J209" s="11">
        <f t="shared" si="3"/>
        <v>208</v>
      </c>
      <c r="K2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 x14ac:dyDescent="0.25">
      <c r="J210" s="11">
        <f t="shared" si="3"/>
        <v>209</v>
      </c>
      <c r="K2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 x14ac:dyDescent="0.25">
      <c r="J211" s="11">
        <f t="shared" si="3"/>
        <v>210</v>
      </c>
      <c r="K2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 x14ac:dyDescent="0.25">
      <c r="J212" s="11">
        <f t="shared" si="3"/>
        <v>211</v>
      </c>
      <c r="K2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 x14ac:dyDescent="0.25">
      <c r="J213" s="11">
        <f t="shared" si="3"/>
        <v>212</v>
      </c>
      <c r="K2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 x14ac:dyDescent="0.25">
      <c r="J214" s="11">
        <f t="shared" si="3"/>
        <v>213</v>
      </c>
      <c r="K2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 x14ac:dyDescent="0.25">
      <c r="J215" s="11">
        <f t="shared" si="3"/>
        <v>214</v>
      </c>
      <c r="K2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 x14ac:dyDescent="0.25">
      <c r="J216" s="11">
        <f t="shared" si="3"/>
        <v>215</v>
      </c>
      <c r="K2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 x14ac:dyDescent="0.25">
      <c r="J217" s="11">
        <f t="shared" si="3"/>
        <v>216</v>
      </c>
      <c r="K2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 x14ac:dyDescent="0.25">
      <c r="J218" s="11">
        <f t="shared" si="3"/>
        <v>217</v>
      </c>
      <c r="K2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 x14ac:dyDescent="0.25">
      <c r="J219" s="11">
        <f t="shared" si="3"/>
        <v>218</v>
      </c>
      <c r="K2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 x14ac:dyDescent="0.25">
      <c r="J220" s="11">
        <f t="shared" si="3"/>
        <v>219</v>
      </c>
      <c r="K2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 x14ac:dyDescent="0.25">
      <c r="J221" s="11">
        <f t="shared" si="3"/>
        <v>220</v>
      </c>
      <c r="K2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 x14ac:dyDescent="0.25">
      <c r="J222" s="11">
        <f t="shared" si="3"/>
        <v>221</v>
      </c>
      <c r="K2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 x14ac:dyDescent="0.25">
      <c r="J223" s="11">
        <f t="shared" si="3"/>
        <v>222</v>
      </c>
      <c r="K2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 x14ac:dyDescent="0.25">
      <c r="J224" s="11">
        <f t="shared" si="3"/>
        <v>223</v>
      </c>
      <c r="K2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 x14ac:dyDescent="0.25">
      <c r="J225" s="11">
        <f t="shared" si="3"/>
        <v>224</v>
      </c>
      <c r="K2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 x14ac:dyDescent="0.25">
      <c r="J226" s="11">
        <f t="shared" si="3"/>
        <v>225</v>
      </c>
      <c r="K2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 x14ac:dyDescent="0.25">
      <c r="J227" s="11">
        <f t="shared" si="3"/>
        <v>226</v>
      </c>
      <c r="K2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 x14ac:dyDescent="0.25">
      <c r="J228" s="11">
        <f t="shared" si="3"/>
        <v>227</v>
      </c>
      <c r="K2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 x14ac:dyDescent="0.25">
      <c r="J229" s="11">
        <f t="shared" si="3"/>
        <v>228</v>
      </c>
      <c r="K2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 x14ac:dyDescent="0.25">
      <c r="J230" s="11">
        <f t="shared" si="3"/>
        <v>229</v>
      </c>
      <c r="K2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 x14ac:dyDescent="0.25">
      <c r="J231" s="11">
        <f t="shared" si="3"/>
        <v>230</v>
      </c>
      <c r="K2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 x14ac:dyDescent="0.25">
      <c r="J232" s="11">
        <f t="shared" si="3"/>
        <v>231</v>
      </c>
      <c r="K2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 x14ac:dyDescent="0.25">
      <c r="J233" s="11">
        <f t="shared" si="3"/>
        <v>232</v>
      </c>
      <c r="K2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 x14ac:dyDescent="0.25">
      <c r="J234" s="11">
        <f t="shared" si="3"/>
        <v>233</v>
      </c>
      <c r="K2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 x14ac:dyDescent="0.25">
      <c r="J235" s="11">
        <f t="shared" si="3"/>
        <v>234</v>
      </c>
      <c r="K2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 x14ac:dyDescent="0.25">
      <c r="J236" s="11">
        <f t="shared" si="3"/>
        <v>235</v>
      </c>
      <c r="K2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 x14ac:dyDescent="0.25">
      <c r="J237" s="11">
        <f t="shared" si="3"/>
        <v>236</v>
      </c>
      <c r="K2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 x14ac:dyDescent="0.25">
      <c r="J238" s="11">
        <f t="shared" si="3"/>
        <v>237</v>
      </c>
      <c r="K2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 x14ac:dyDescent="0.25">
      <c r="J239" s="11">
        <f t="shared" si="3"/>
        <v>238</v>
      </c>
      <c r="K2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 x14ac:dyDescent="0.25">
      <c r="J240" s="11">
        <f t="shared" si="3"/>
        <v>239</v>
      </c>
      <c r="K2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 x14ac:dyDescent="0.25">
      <c r="J241" s="11">
        <f t="shared" si="3"/>
        <v>240</v>
      </c>
      <c r="K2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 x14ac:dyDescent="0.25">
      <c r="J242" s="11">
        <f t="shared" si="3"/>
        <v>241</v>
      </c>
      <c r="K2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 x14ac:dyDescent="0.25">
      <c r="J243" s="11">
        <f t="shared" si="3"/>
        <v>242</v>
      </c>
      <c r="K2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 x14ac:dyDescent="0.25">
      <c r="J244" s="11">
        <f t="shared" si="3"/>
        <v>243</v>
      </c>
      <c r="K2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 x14ac:dyDescent="0.25">
      <c r="J245" s="11">
        <f t="shared" si="3"/>
        <v>244</v>
      </c>
      <c r="K2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 x14ac:dyDescent="0.25">
      <c r="J246" s="11">
        <f t="shared" si="3"/>
        <v>245</v>
      </c>
      <c r="K2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 x14ac:dyDescent="0.25">
      <c r="J247" s="11">
        <f t="shared" si="3"/>
        <v>246</v>
      </c>
      <c r="K2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 x14ac:dyDescent="0.25">
      <c r="J248" s="11">
        <f t="shared" si="3"/>
        <v>247</v>
      </c>
      <c r="K2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 x14ac:dyDescent="0.25">
      <c r="J249" s="11">
        <f t="shared" si="3"/>
        <v>248</v>
      </c>
      <c r="K2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 x14ac:dyDescent="0.25">
      <c r="J250" s="11">
        <f t="shared" si="3"/>
        <v>249</v>
      </c>
      <c r="K2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 x14ac:dyDescent="0.25">
      <c r="J251" s="11">
        <f t="shared" si="3"/>
        <v>250</v>
      </c>
      <c r="K2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 x14ac:dyDescent="0.25">
      <c r="J252" s="11">
        <f t="shared" si="3"/>
        <v>251</v>
      </c>
      <c r="K2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 x14ac:dyDescent="0.25">
      <c r="J253" s="11">
        <f t="shared" si="3"/>
        <v>252</v>
      </c>
      <c r="K2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 x14ac:dyDescent="0.25">
      <c r="J254" s="11">
        <f t="shared" si="3"/>
        <v>253</v>
      </c>
      <c r="K2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 x14ac:dyDescent="0.25">
      <c r="J255" s="11">
        <f t="shared" si="3"/>
        <v>254</v>
      </c>
      <c r="K2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 x14ac:dyDescent="0.25">
      <c r="J256" s="11">
        <f t="shared" si="3"/>
        <v>255</v>
      </c>
      <c r="K2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 x14ac:dyDescent="0.25">
      <c r="J257" s="11">
        <f t="shared" si="3"/>
        <v>256</v>
      </c>
      <c r="K2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 x14ac:dyDescent="0.25">
      <c r="J258" s="11">
        <f t="shared" ref="J258:J321" si="4">IFERROR($J257+1,1)</f>
        <v>257</v>
      </c>
      <c r="K2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 x14ac:dyDescent="0.25">
      <c r="J259" s="11">
        <f t="shared" si="4"/>
        <v>258</v>
      </c>
      <c r="K2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 x14ac:dyDescent="0.25">
      <c r="J260" s="11">
        <f t="shared" si="4"/>
        <v>259</v>
      </c>
      <c r="K2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 x14ac:dyDescent="0.25">
      <c r="J261" s="11">
        <f t="shared" si="4"/>
        <v>260</v>
      </c>
      <c r="K2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 x14ac:dyDescent="0.25">
      <c r="J262" s="11">
        <f t="shared" si="4"/>
        <v>261</v>
      </c>
      <c r="K2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 x14ac:dyDescent="0.25">
      <c r="J263" s="11">
        <f t="shared" si="4"/>
        <v>262</v>
      </c>
      <c r="K2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 x14ac:dyDescent="0.25">
      <c r="J264" s="11">
        <f t="shared" si="4"/>
        <v>263</v>
      </c>
      <c r="K2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 x14ac:dyDescent="0.25">
      <c r="J265" s="11">
        <f t="shared" si="4"/>
        <v>264</v>
      </c>
      <c r="K2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 x14ac:dyDescent="0.25">
      <c r="J266" s="11">
        <f t="shared" si="4"/>
        <v>265</v>
      </c>
      <c r="K2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 x14ac:dyDescent="0.25">
      <c r="J267" s="11">
        <f t="shared" si="4"/>
        <v>266</v>
      </c>
      <c r="K2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 x14ac:dyDescent="0.25">
      <c r="J268" s="11">
        <f t="shared" si="4"/>
        <v>267</v>
      </c>
      <c r="K2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 x14ac:dyDescent="0.25">
      <c r="J269" s="11">
        <f t="shared" si="4"/>
        <v>268</v>
      </c>
      <c r="K2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 x14ac:dyDescent="0.25">
      <c r="J270" s="11">
        <f t="shared" si="4"/>
        <v>269</v>
      </c>
      <c r="K2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 x14ac:dyDescent="0.25">
      <c r="J271" s="11">
        <f t="shared" si="4"/>
        <v>270</v>
      </c>
      <c r="K2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 x14ac:dyDescent="0.25">
      <c r="J272" s="11">
        <f t="shared" si="4"/>
        <v>271</v>
      </c>
      <c r="K2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 x14ac:dyDescent="0.25">
      <c r="J273" s="11">
        <f t="shared" si="4"/>
        <v>272</v>
      </c>
      <c r="K2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 x14ac:dyDescent="0.25">
      <c r="J274" s="11">
        <f t="shared" si="4"/>
        <v>273</v>
      </c>
      <c r="K2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 x14ac:dyDescent="0.25">
      <c r="J275" s="11">
        <f t="shared" si="4"/>
        <v>274</v>
      </c>
      <c r="K2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 x14ac:dyDescent="0.25">
      <c r="J276" s="11">
        <f t="shared" si="4"/>
        <v>275</v>
      </c>
      <c r="K2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 x14ac:dyDescent="0.25">
      <c r="J277" s="11">
        <f t="shared" si="4"/>
        <v>276</v>
      </c>
      <c r="K2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 x14ac:dyDescent="0.25">
      <c r="J278" s="11">
        <f t="shared" si="4"/>
        <v>277</v>
      </c>
      <c r="K2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 x14ac:dyDescent="0.25">
      <c r="J279" s="11">
        <f t="shared" si="4"/>
        <v>278</v>
      </c>
      <c r="K2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 x14ac:dyDescent="0.25">
      <c r="J280" s="11">
        <f t="shared" si="4"/>
        <v>279</v>
      </c>
      <c r="K2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 x14ac:dyDescent="0.25">
      <c r="J281" s="11">
        <f t="shared" si="4"/>
        <v>280</v>
      </c>
      <c r="K2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 x14ac:dyDescent="0.25">
      <c r="J282" s="11">
        <f t="shared" si="4"/>
        <v>281</v>
      </c>
      <c r="K2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 x14ac:dyDescent="0.25">
      <c r="J283" s="11">
        <f t="shared" si="4"/>
        <v>282</v>
      </c>
      <c r="K2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 x14ac:dyDescent="0.25">
      <c r="J284" s="11">
        <f t="shared" si="4"/>
        <v>283</v>
      </c>
      <c r="K2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 x14ac:dyDescent="0.25">
      <c r="J285" s="11">
        <f t="shared" si="4"/>
        <v>284</v>
      </c>
      <c r="K2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 x14ac:dyDescent="0.25">
      <c r="J286" s="11">
        <f t="shared" si="4"/>
        <v>285</v>
      </c>
      <c r="K2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 x14ac:dyDescent="0.25">
      <c r="J287" s="11">
        <f t="shared" si="4"/>
        <v>286</v>
      </c>
      <c r="K2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 x14ac:dyDescent="0.25">
      <c r="J288" s="11">
        <f t="shared" si="4"/>
        <v>287</v>
      </c>
      <c r="K2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 x14ac:dyDescent="0.25">
      <c r="J289" s="11">
        <f t="shared" si="4"/>
        <v>288</v>
      </c>
      <c r="K2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 x14ac:dyDescent="0.25">
      <c r="J290" s="11">
        <f t="shared" si="4"/>
        <v>289</v>
      </c>
      <c r="K2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 x14ac:dyDescent="0.25">
      <c r="J291" s="11">
        <f t="shared" si="4"/>
        <v>290</v>
      </c>
      <c r="K2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 x14ac:dyDescent="0.25">
      <c r="J292" s="11">
        <f t="shared" si="4"/>
        <v>291</v>
      </c>
      <c r="K2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 x14ac:dyDescent="0.25">
      <c r="J293" s="11">
        <f t="shared" si="4"/>
        <v>292</v>
      </c>
      <c r="K2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 x14ac:dyDescent="0.25">
      <c r="J294" s="11">
        <f t="shared" si="4"/>
        <v>293</v>
      </c>
      <c r="K2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 x14ac:dyDescent="0.25">
      <c r="J295" s="11">
        <f t="shared" si="4"/>
        <v>294</v>
      </c>
      <c r="K2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 x14ac:dyDescent="0.25">
      <c r="J296" s="11">
        <f t="shared" si="4"/>
        <v>295</v>
      </c>
      <c r="K2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 x14ac:dyDescent="0.25">
      <c r="J297" s="11">
        <f t="shared" si="4"/>
        <v>296</v>
      </c>
      <c r="K2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 x14ac:dyDescent="0.25">
      <c r="J298" s="11">
        <f t="shared" si="4"/>
        <v>297</v>
      </c>
      <c r="K2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 x14ac:dyDescent="0.25">
      <c r="J299" s="11">
        <f t="shared" si="4"/>
        <v>298</v>
      </c>
      <c r="K2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 x14ac:dyDescent="0.25">
      <c r="J300" s="11">
        <f t="shared" si="4"/>
        <v>299</v>
      </c>
      <c r="K3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 x14ac:dyDescent="0.25">
      <c r="J301" s="11">
        <f t="shared" si="4"/>
        <v>300</v>
      </c>
      <c r="K3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 x14ac:dyDescent="0.25">
      <c r="J302" s="11">
        <f t="shared" si="4"/>
        <v>301</v>
      </c>
      <c r="K3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 x14ac:dyDescent="0.25">
      <c r="J303" s="11">
        <f t="shared" si="4"/>
        <v>302</v>
      </c>
      <c r="K3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 x14ac:dyDescent="0.25">
      <c r="J304" s="11">
        <f t="shared" si="4"/>
        <v>303</v>
      </c>
      <c r="K3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 x14ac:dyDescent="0.25">
      <c r="J305" s="11">
        <f t="shared" si="4"/>
        <v>304</v>
      </c>
      <c r="K3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 x14ac:dyDescent="0.25">
      <c r="J306" s="11">
        <f t="shared" si="4"/>
        <v>305</v>
      </c>
      <c r="K3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 x14ac:dyDescent="0.25">
      <c r="J307" s="11">
        <f t="shared" si="4"/>
        <v>306</v>
      </c>
      <c r="K3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 x14ac:dyDescent="0.25">
      <c r="J308" s="11">
        <f t="shared" si="4"/>
        <v>307</v>
      </c>
      <c r="K3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 x14ac:dyDescent="0.25">
      <c r="J309" s="11">
        <f t="shared" si="4"/>
        <v>308</v>
      </c>
      <c r="K3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 x14ac:dyDescent="0.25">
      <c r="J310" s="11">
        <f t="shared" si="4"/>
        <v>309</v>
      </c>
      <c r="K3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 x14ac:dyDescent="0.25">
      <c r="J311" s="11">
        <f t="shared" si="4"/>
        <v>310</v>
      </c>
      <c r="K3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 x14ac:dyDescent="0.25">
      <c r="J312" s="11">
        <f t="shared" si="4"/>
        <v>311</v>
      </c>
      <c r="K3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 x14ac:dyDescent="0.25">
      <c r="J313" s="11">
        <f t="shared" si="4"/>
        <v>312</v>
      </c>
      <c r="K3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 x14ac:dyDescent="0.25">
      <c r="J314" s="11">
        <f t="shared" si="4"/>
        <v>313</v>
      </c>
      <c r="K3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 x14ac:dyDescent="0.25">
      <c r="J315" s="11">
        <f t="shared" si="4"/>
        <v>314</v>
      </c>
      <c r="K3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 x14ac:dyDescent="0.25">
      <c r="J316" s="11">
        <f t="shared" si="4"/>
        <v>315</v>
      </c>
      <c r="K3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 x14ac:dyDescent="0.25">
      <c r="J317" s="11">
        <f t="shared" si="4"/>
        <v>316</v>
      </c>
      <c r="K3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 x14ac:dyDescent="0.25">
      <c r="J318" s="11">
        <f t="shared" si="4"/>
        <v>317</v>
      </c>
      <c r="K3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 x14ac:dyDescent="0.25">
      <c r="J319" s="11">
        <f t="shared" si="4"/>
        <v>318</v>
      </c>
      <c r="K3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 x14ac:dyDescent="0.25">
      <c r="J320" s="11">
        <f t="shared" si="4"/>
        <v>319</v>
      </c>
      <c r="K3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 x14ac:dyDescent="0.25">
      <c r="J321" s="11">
        <f t="shared" si="4"/>
        <v>320</v>
      </c>
      <c r="K3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 x14ac:dyDescent="0.25">
      <c r="J322" s="11">
        <f t="shared" ref="J322:J385" si="5">IFERROR($J321+1,1)</f>
        <v>321</v>
      </c>
      <c r="K3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 x14ac:dyDescent="0.25">
      <c r="J323" s="11">
        <f t="shared" si="5"/>
        <v>322</v>
      </c>
      <c r="K3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 x14ac:dyDescent="0.25">
      <c r="J324" s="11">
        <f t="shared" si="5"/>
        <v>323</v>
      </c>
      <c r="K3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 x14ac:dyDescent="0.25">
      <c r="J325" s="11">
        <f t="shared" si="5"/>
        <v>324</v>
      </c>
      <c r="K3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 x14ac:dyDescent="0.25">
      <c r="J326" s="11">
        <f t="shared" si="5"/>
        <v>325</v>
      </c>
      <c r="K3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 x14ac:dyDescent="0.25">
      <c r="J327" s="11">
        <f t="shared" si="5"/>
        <v>326</v>
      </c>
      <c r="K3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 x14ac:dyDescent="0.25">
      <c r="J328" s="11">
        <f t="shared" si="5"/>
        <v>327</v>
      </c>
      <c r="K3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 x14ac:dyDescent="0.25">
      <c r="J329" s="11">
        <f t="shared" si="5"/>
        <v>328</v>
      </c>
      <c r="K3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 x14ac:dyDescent="0.25">
      <c r="J330" s="11">
        <f t="shared" si="5"/>
        <v>329</v>
      </c>
      <c r="K3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 x14ac:dyDescent="0.25">
      <c r="J331" s="11">
        <f t="shared" si="5"/>
        <v>330</v>
      </c>
      <c r="K3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 x14ac:dyDescent="0.25">
      <c r="J332" s="11">
        <f t="shared" si="5"/>
        <v>331</v>
      </c>
      <c r="K3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 x14ac:dyDescent="0.25">
      <c r="J333" s="11">
        <f t="shared" si="5"/>
        <v>332</v>
      </c>
      <c r="K3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 x14ac:dyDescent="0.25">
      <c r="J334" s="11">
        <f t="shared" si="5"/>
        <v>333</v>
      </c>
      <c r="K3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 x14ac:dyDescent="0.25">
      <c r="J335" s="11">
        <f t="shared" si="5"/>
        <v>334</v>
      </c>
      <c r="K3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 x14ac:dyDescent="0.25">
      <c r="J336" s="11">
        <f t="shared" si="5"/>
        <v>335</v>
      </c>
      <c r="K3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 x14ac:dyDescent="0.25">
      <c r="J337" s="11">
        <f t="shared" si="5"/>
        <v>336</v>
      </c>
      <c r="K3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 x14ac:dyDescent="0.25">
      <c r="J338" s="11">
        <f t="shared" si="5"/>
        <v>337</v>
      </c>
      <c r="K3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 x14ac:dyDescent="0.25">
      <c r="J339" s="11">
        <f t="shared" si="5"/>
        <v>338</v>
      </c>
      <c r="K3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 x14ac:dyDescent="0.25">
      <c r="J340" s="11">
        <f t="shared" si="5"/>
        <v>339</v>
      </c>
      <c r="K3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 x14ac:dyDescent="0.25">
      <c r="J341" s="11">
        <f t="shared" si="5"/>
        <v>340</v>
      </c>
      <c r="K3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 x14ac:dyDescent="0.25">
      <c r="J342" s="11">
        <f t="shared" si="5"/>
        <v>341</v>
      </c>
      <c r="K3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 x14ac:dyDescent="0.25">
      <c r="J343" s="11">
        <f t="shared" si="5"/>
        <v>342</v>
      </c>
      <c r="K3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 x14ac:dyDescent="0.25">
      <c r="J344" s="11">
        <f t="shared" si="5"/>
        <v>343</v>
      </c>
      <c r="K3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 x14ac:dyDescent="0.25">
      <c r="J345" s="11">
        <f t="shared" si="5"/>
        <v>344</v>
      </c>
      <c r="K3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 x14ac:dyDescent="0.25">
      <c r="J346" s="11">
        <f t="shared" si="5"/>
        <v>345</v>
      </c>
      <c r="K3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 x14ac:dyDescent="0.25">
      <c r="J347" s="11">
        <f t="shared" si="5"/>
        <v>346</v>
      </c>
      <c r="K3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 x14ac:dyDescent="0.25">
      <c r="J348" s="11">
        <f t="shared" si="5"/>
        <v>347</v>
      </c>
      <c r="K3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 x14ac:dyDescent="0.25">
      <c r="J349" s="11">
        <f t="shared" si="5"/>
        <v>348</v>
      </c>
      <c r="K3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 x14ac:dyDescent="0.25">
      <c r="J350" s="11">
        <f t="shared" si="5"/>
        <v>349</v>
      </c>
      <c r="K3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 x14ac:dyDescent="0.25">
      <c r="J351" s="11">
        <f t="shared" si="5"/>
        <v>350</v>
      </c>
      <c r="K3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 x14ac:dyDescent="0.25">
      <c r="J352" s="11">
        <f t="shared" si="5"/>
        <v>351</v>
      </c>
      <c r="K3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 x14ac:dyDescent="0.25">
      <c r="J353" s="11">
        <f t="shared" si="5"/>
        <v>352</v>
      </c>
      <c r="K3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 x14ac:dyDescent="0.25">
      <c r="J354" s="11">
        <f t="shared" si="5"/>
        <v>353</v>
      </c>
      <c r="K3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 x14ac:dyDescent="0.25">
      <c r="J355" s="11">
        <f t="shared" si="5"/>
        <v>354</v>
      </c>
      <c r="K3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 x14ac:dyDescent="0.25">
      <c r="J356" s="11">
        <f t="shared" si="5"/>
        <v>355</v>
      </c>
      <c r="K3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 x14ac:dyDescent="0.25">
      <c r="J357" s="11">
        <f t="shared" si="5"/>
        <v>356</v>
      </c>
      <c r="K3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 x14ac:dyDescent="0.25">
      <c r="J358" s="11">
        <f t="shared" si="5"/>
        <v>357</v>
      </c>
      <c r="K3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 x14ac:dyDescent="0.25">
      <c r="J359" s="11">
        <f t="shared" si="5"/>
        <v>358</v>
      </c>
      <c r="K3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 x14ac:dyDescent="0.25">
      <c r="J360" s="11">
        <f t="shared" si="5"/>
        <v>359</v>
      </c>
      <c r="K3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 x14ac:dyDescent="0.25">
      <c r="J361" s="11">
        <f t="shared" si="5"/>
        <v>360</v>
      </c>
      <c r="K3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 x14ac:dyDescent="0.25">
      <c r="J362" s="11">
        <f t="shared" si="5"/>
        <v>361</v>
      </c>
      <c r="K3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 x14ac:dyDescent="0.25">
      <c r="J363" s="11">
        <f t="shared" si="5"/>
        <v>362</v>
      </c>
      <c r="K3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 x14ac:dyDescent="0.25">
      <c r="J364" s="11">
        <f t="shared" si="5"/>
        <v>363</v>
      </c>
      <c r="K3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 x14ac:dyDescent="0.25">
      <c r="J365" s="11">
        <f t="shared" si="5"/>
        <v>364</v>
      </c>
      <c r="K3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 x14ac:dyDescent="0.25">
      <c r="J366" s="11">
        <f t="shared" si="5"/>
        <v>365</v>
      </c>
      <c r="K3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 x14ac:dyDescent="0.25">
      <c r="J367" s="11">
        <f t="shared" si="5"/>
        <v>366</v>
      </c>
      <c r="K3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 x14ac:dyDescent="0.25">
      <c r="J368" s="11">
        <f t="shared" si="5"/>
        <v>367</v>
      </c>
      <c r="K3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 x14ac:dyDescent="0.25">
      <c r="J369" s="11">
        <f t="shared" si="5"/>
        <v>368</v>
      </c>
      <c r="K3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 x14ac:dyDescent="0.25">
      <c r="J370" s="11">
        <f t="shared" si="5"/>
        <v>369</v>
      </c>
      <c r="K3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 x14ac:dyDescent="0.25">
      <c r="J371" s="11">
        <f t="shared" si="5"/>
        <v>370</v>
      </c>
      <c r="K3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 x14ac:dyDescent="0.25">
      <c r="J372" s="11">
        <f t="shared" si="5"/>
        <v>371</v>
      </c>
      <c r="K3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 x14ac:dyDescent="0.25">
      <c r="J373" s="11">
        <f t="shared" si="5"/>
        <v>372</v>
      </c>
      <c r="K3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 x14ac:dyDescent="0.25">
      <c r="J374" s="11">
        <f t="shared" si="5"/>
        <v>373</v>
      </c>
      <c r="K3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 x14ac:dyDescent="0.25">
      <c r="J375" s="11">
        <f t="shared" si="5"/>
        <v>374</v>
      </c>
      <c r="K3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 x14ac:dyDescent="0.25">
      <c r="J376" s="11">
        <f t="shared" si="5"/>
        <v>375</v>
      </c>
      <c r="K3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 x14ac:dyDescent="0.25">
      <c r="J377" s="11">
        <f t="shared" si="5"/>
        <v>376</v>
      </c>
      <c r="K3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 x14ac:dyDescent="0.25">
      <c r="J378" s="11">
        <f t="shared" si="5"/>
        <v>377</v>
      </c>
      <c r="K3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 x14ac:dyDescent="0.25">
      <c r="J379" s="11">
        <f t="shared" si="5"/>
        <v>378</v>
      </c>
      <c r="K3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 x14ac:dyDescent="0.25">
      <c r="J380" s="11">
        <f t="shared" si="5"/>
        <v>379</v>
      </c>
      <c r="K3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 x14ac:dyDescent="0.25">
      <c r="J381" s="11">
        <f t="shared" si="5"/>
        <v>380</v>
      </c>
      <c r="K3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 x14ac:dyDescent="0.25">
      <c r="J382" s="11">
        <f t="shared" si="5"/>
        <v>381</v>
      </c>
      <c r="K3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 x14ac:dyDescent="0.25">
      <c r="J383" s="11">
        <f t="shared" si="5"/>
        <v>382</v>
      </c>
      <c r="K3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 x14ac:dyDescent="0.25">
      <c r="J384" s="11">
        <f t="shared" si="5"/>
        <v>383</v>
      </c>
      <c r="K3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 x14ac:dyDescent="0.25">
      <c r="J385" s="11">
        <f t="shared" si="5"/>
        <v>384</v>
      </c>
      <c r="K3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 x14ac:dyDescent="0.25">
      <c r="J386" s="11">
        <f t="shared" ref="J386:J449" si="6">IFERROR($J385+1,1)</f>
        <v>385</v>
      </c>
      <c r="K3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 x14ac:dyDescent="0.25">
      <c r="J387" s="11">
        <f t="shared" si="6"/>
        <v>386</v>
      </c>
      <c r="K3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 x14ac:dyDescent="0.25">
      <c r="J388" s="11">
        <f t="shared" si="6"/>
        <v>387</v>
      </c>
      <c r="K3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 x14ac:dyDescent="0.25">
      <c r="J389" s="11">
        <f t="shared" si="6"/>
        <v>388</v>
      </c>
      <c r="K3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 x14ac:dyDescent="0.25">
      <c r="J390" s="11">
        <f t="shared" si="6"/>
        <v>389</v>
      </c>
      <c r="K3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 x14ac:dyDescent="0.25">
      <c r="J391" s="11">
        <f t="shared" si="6"/>
        <v>390</v>
      </c>
      <c r="K3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 x14ac:dyDescent="0.25">
      <c r="J392" s="11">
        <f t="shared" si="6"/>
        <v>391</v>
      </c>
      <c r="K3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 x14ac:dyDescent="0.25">
      <c r="J393" s="11">
        <f t="shared" si="6"/>
        <v>392</v>
      </c>
      <c r="K3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 x14ac:dyDescent="0.25">
      <c r="J394" s="11">
        <f t="shared" si="6"/>
        <v>393</v>
      </c>
      <c r="K3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 x14ac:dyDescent="0.25">
      <c r="J395" s="11">
        <f t="shared" si="6"/>
        <v>394</v>
      </c>
      <c r="K3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 x14ac:dyDescent="0.25">
      <c r="J396" s="11">
        <f t="shared" si="6"/>
        <v>395</v>
      </c>
      <c r="K3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 x14ac:dyDescent="0.25">
      <c r="J397" s="11">
        <f t="shared" si="6"/>
        <v>396</v>
      </c>
      <c r="K3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 x14ac:dyDescent="0.25">
      <c r="J398" s="11">
        <f t="shared" si="6"/>
        <v>397</v>
      </c>
      <c r="K3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 x14ac:dyDescent="0.25">
      <c r="J399" s="11">
        <f t="shared" si="6"/>
        <v>398</v>
      </c>
      <c r="K3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 x14ac:dyDescent="0.25">
      <c r="J400" s="11">
        <f t="shared" si="6"/>
        <v>399</v>
      </c>
      <c r="K4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 x14ac:dyDescent="0.25">
      <c r="J401" s="11">
        <f t="shared" si="6"/>
        <v>400</v>
      </c>
      <c r="K40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 x14ac:dyDescent="0.25">
      <c r="J402" s="11">
        <f t="shared" si="6"/>
        <v>401</v>
      </c>
      <c r="K40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 x14ac:dyDescent="0.25">
      <c r="J403" s="11">
        <f t="shared" si="6"/>
        <v>402</v>
      </c>
      <c r="K40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 x14ac:dyDescent="0.25">
      <c r="J404" s="11">
        <f t="shared" si="6"/>
        <v>403</v>
      </c>
      <c r="K40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 x14ac:dyDescent="0.25">
      <c r="J405" s="11">
        <f t="shared" si="6"/>
        <v>404</v>
      </c>
      <c r="K40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 x14ac:dyDescent="0.25">
      <c r="J406" s="11">
        <f t="shared" si="6"/>
        <v>405</v>
      </c>
      <c r="K40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 x14ac:dyDescent="0.25">
      <c r="J407" s="11">
        <f t="shared" si="6"/>
        <v>406</v>
      </c>
      <c r="K40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 x14ac:dyDescent="0.25">
      <c r="J408" s="11">
        <f t="shared" si="6"/>
        <v>407</v>
      </c>
      <c r="K40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 x14ac:dyDescent="0.25">
      <c r="J409" s="11">
        <f t="shared" si="6"/>
        <v>408</v>
      </c>
      <c r="K40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 x14ac:dyDescent="0.25">
      <c r="J410" s="11">
        <f t="shared" si="6"/>
        <v>409</v>
      </c>
      <c r="K41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 x14ac:dyDescent="0.25">
      <c r="J411" s="11">
        <f t="shared" si="6"/>
        <v>410</v>
      </c>
      <c r="K41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 x14ac:dyDescent="0.25">
      <c r="J412" s="11">
        <f t="shared" si="6"/>
        <v>411</v>
      </c>
      <c r="K41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 x14ac:dyDescent="0.25">
      <c r="J413" s="11">
        <f t="shared" si="6"/>
        <v>412</v>
      </c>
      <c r="K41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 x14ac:dyDescent="0.25">
      <c r="J414" s="11">
        <f t="shared" si="6"/>
        <v>413</v>
      </c>
      <c r="K41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 x14ac:dyDescent="0.25">
      <c r="J415" s="11">
        <f t="shared" si="6"/>
        <v>414</v>
      </c>
      <c r="K41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 x14ac:dyDescent="0.25">
      <c r="J416" s="11">
        <f t="shared" si="6"/>
        <v>415</v>
      </c>
      <c r="K41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 x14ac:dyDescent="0.25">
      <c r="J417" s="11">
        <f t="shared" si="6"/>
        <v>416</v>
      </c>
      <c r="K41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 x14ac:dyDescent="0.25">
      <c r="J418" s="11">
        <f t="shared" si="6"/>
        <v>417</v>
      </c>
      <c r="K41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 x14ac:dyDescent="0.25">
      <c r="J419" s="11">
        <f t="shared" si="6"/>
        <v>418</v>
      </c>
      <c r="K41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 x14ac:dyDescent="0.25">
      <c r="J420" s="11">
        <f t="shared" si="6"/>
        <v>419</v>
      </c>
      <c r="K42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 x14ac:dyDescent="0.25">
      <c r="J421" s="11">
        <f t="shared" si="6"/>
        <v>420</v>
      </c>
      <c r="K42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 x14ac:dyDescent="0.25">
      <c r="J422" s="11">
        <f t="shared" si="6"/>
        <v>421</v>
      </c>
      <c r="K42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 x14ac:dyDescent="0.25">
      <c r="J423" s="11">
        <f t="shared" si="6"/>
        <v>422</v>
      </c>
      <c r="K42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 x14ac:dyDescent="0.25">
      <c r="J424" s="11">
        <f t="shared" si="6"/>
        <v>423</v>
      </c>
      <c r="K42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 x14ac:dyDescent="0.25">
      <c r="J425" s="11">
        <f t="shared" si="6"/>
        <v>424</v>
      </c>
      <c r="K42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 x14ac:dyDescent="0.25">
      <c r="J426" s="11">
        <f t="shared" si="6"/>
        <v>425</v>
      </c>
      <c r="K42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 x14ac:dyDescent="0.25">
      <c r="J427" s="11">
        <f t="shared" si="6"/>
        <v>426</v>
      </c>
      <c r="K42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 x14ac:dyDescent="0.25">
      <c r="J428" s="11">
        <f t="shared" si="6"/>
        <v>427</v>
      </c>
      <c r="K42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 x14ac:dyDescent="0.25">
      <c r="J429" s="11">
        <f t="shared" si="6"/>
        <v>428</v>
      </c>
      <c r="K42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 x14ac:dyDescent="0.25">
      <c r="J430" s="11">
        <f t="shared" si="6"/>
        <v>429</v>
      </c>
      <c r="K43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 x14ac:dyDescent="0.25">
      <c r="J431" s="11">
        <f t="shared" si="6"/>
        <v>430</v>
      </c>
      <c r="K43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 x14ac:dyDescent="0.25">
      <c r="J432" s="11">
        <f t="shared" si="6"/>
        <v>431</v>
      </c>
      <c r="K43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 x14ac:dyDescent="0.25">
      <c r="J433" s="11">
        <f t="shared" si="6"/>
        <v>432</v>
      </c>
      <c r="K43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 x14ac:dyDescent="0.25">
      <c r="J434" s="11">
        <f t="shared" si="6"/>
        <v>433</v>
      </c>
      <c r="K43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 x14ac:dyDescent="0.25">
      <c r="J435" s="11">
        <f t="shared" si="6"/>
        <v>434</v>
      </c>
      <c r="K43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 x14ac:dyDescent="0.25">
      <c r="J436" s="11">
        <f t="shared" si="6"/>
        <v>435</v>
      </c>
      <c r="K43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 x14ac:dyDescent="0.25">
      <c r="J437" s="11">
        <f t="shared" si="6"/>
        <v>436</v>
      </c>
      <c r="K43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 x14ac:dyDescent="0.25">
      <c r="J438" s="11">
        <f t="shared" si="6"/>
        <v>437</v>
      </c>
      <c r="K43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 x14ac:dyDescent="0.25">
      <c r="J439" s="11">
        <f t="shared" si="6"/>
        <v>438</v>
      </c>
      <c r="K43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 x14ac:dyDescent="0.25">
      <c r="J440" s="11">
        <f t="shared" si="6"/>
        <v>439</v>
      </c>
      <c r="K44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 x14ac:dyDescent="0.25">
      <c r="J441" s="11">
        <f t="shared" si="6"/>
        <v>440</v>
      </c>
      <c r="K44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 x14ac:dyDescent="0.25">
      <c r="J442" s="11">
        <f t="shared" si="6"/>
        <v>441</v>
      </c>
      <c r="K44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 x14ac:dyDescent="0.25">
      <c r="J443" s="11">
        <f t="shared" si="6"/>
        <v>442</v>
      </c>
      <c r="K44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 x14ac:dyDescent="0.25">
      <c r="J444" s="11">
        <f t="shared" si="6"/>
        <v>443</v>
      </c>
      <c r="K44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 x14ac:dyDescent="0.25">
      <c r="J445" s="11">
        <f t="shared" si="6"/>
        <v>444</v>
      </c>
      <c r="K44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 x14ac:dyDescent="0.25">
      <c r="J446" s="11">
        <f t="shared" si="6"/>
        <v>445</v>
      </c>
      <c r="K44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 x14ac:dyDescent="0.25">
      <c r="J447" s="11">
        <f t="shared" si="6"/>
        <v>446</v>
      </c>
      <c r="K44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 x14ac:dyDescent="0.25">
      <c r="J448" s="11">
        <f t="shared" si="6"/>
        <v>447</v>
      </c>
      <c r="K44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 x14ac:dyDescent="0.25">
      <c r="J449" s="11">
        <f t="shared" si="6"/>
        <v>448</v>
      </c>
      <c r="K44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 x14ac:dyDescent="0.25">
      <c r="J450" s="11">
        <f t="shared" ref="J450:J501" si="7">IFERROR($J449+1,1)</f>
        <v>449</v>
      </c>
      <c r="K45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 x14ac:dyDescent="0.25">
      <c r="J451" s="11">
        <f t="shared" si="7"/>
        <v>450</v>
      </c>
      <c r="K45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 x14ac:dyDescent="0.25">
      <c r="J452" s="11">
        <f t="shared" si="7"/>
        <v>451</v>
      </c>
      <c r="K45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 x14ac:dyDescent="0.25">
      <c r="J453" s="11">
        <f t="shared" si="7"/>
        <v>452</v>
      </c>
      <c r="K45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 x14ac:dyDescent="0.25">
      <c r="J454" s="11">
        <f t="shared" si="7"/>
        <v>453</v>
      </c>
      <c r="K45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 x14ac:dyDescent="0.25">
      <c r="J455" s="11">
        <f t="shared" si="7"/>
        <v>454</v>
      </c>
      <c r="K45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 x14ac:dyDescent="0.25">
      <c r="J456" s="11">
        <f t="shared" si="7"/>
        <v>455</v>
      </c>
      <c r="K45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 x14ac:dyDescent="0.25">
      <c r="J457" s="11">
        <f t="shared" si="7"/>
        <v>456</v>
      </c>
      <c r="K45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 x14ac:dyDescent="0.25">
      <c r="J458" s="11">
        <f t="shared" si="7"/>
        <v>457</v>
      </c>
      <c r="K45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 x14ac:dyDescent="0.25">
      <c r="J459" s="11">
        <f t="shared" si="7"/>
        <v>458</v>
      </c>
      <c r="K45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 x14ac:dyDescent="0.25">
      <c r="J460" s="11">
        <f t="shared" si="7"/>
        <v>459</v>
      </c>
      <c r="K46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 x14ac:dyDescent="0.25">
      <c r="J461" s="11">
        <f t="shared" si="7"/>
        <v>460</v>
      </c>
      <c r="K46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 x14ac:dyDescent="0.25">
      <c r="J462" s="11">
        <f t="shared" si="7"/>
        <v>461</v>
      </c>
      <c r="K46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 x14ac:dyDescent="0.25">
      <c r="J463" s="11">
        <f t="shared" si="7"/>
        <v>462</v>
      </c>
      <c r="K46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 x14ac:dyDescent="0.25">
      <c r="J464" s="11">
        <f t="shared" si="7"/>
        <v>463</v>
      </c>
      <c r="K46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 x14ac:dyDescent="0.25">
      <c r="J465" s="11">
        <f t="shared" si="7"/>
        <v>464</v>
      </c>
      <c r="K46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 x14ac:dyDescent="0.25">
      <c r="J466" s="11">
        <f t="shared" si="7"/>
        <v>465</v>
      </c>
      <c r="K46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 x14ac:dyDescent="0.25">
      <c r="J467" s="11">
        <f t="shared" si="7"/>
        <v>466</v>
      </c>
      <c r="K46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 x14ac:dyDescent="0.25">
      <c r="J468" s="11">
        <f t="shared" si="7"/>
        <v>467</v>
      </c>
      <c r="K46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 x14ac:dyDescent="0.25">
      <c r="J469" s="11">
        <f t="shared" si="7"/>
        <v>468</v>
      </c>
      <c r="K46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 x14ac:dyDescent="0.25">
      <c r="J470" s="11">
        <f t="shared" si="7"/>
        <v>469</v>
      </c>
      <c r="K47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 x14ac:dyDescent="0.25">
      <c r="J471" s="11">
        <f t="shared" si="7"/>
        <v>470</v>
      </c>
      <c r="K47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 x14ac:dyDescent="0.25">
      <c r="J472" s="11">
        <f t="shared" si="7"/>
        <v>471</v>
      </c>
      <c r="K47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 x14ac:dyDescent="0.25">
      <c r="J473" s="11">
        <f t="shared" si="7"/>
        <v>472</v>
      </c>
      <c r="K47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 x14ac:dyDescent="0.25">
      <c r="J474" s="11">
        <f t="shared" si="7"/>
        <v>473</v>
      </c>
      <c r="K47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 x14ac:dyDescent="0.25">
      <c r="J475" s="11">
        <f t="shared" si="7"/>
        <v>474</v>
      </c>
      <c r="K47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 x14ac:dyDescent="0.25">
      <c r="J476" s="11">
        <f t="shared" si="7"/>
        <v>475</v>
      </c>
      <c r="K47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 x14ac:dyDescent="0.25">
      <c r="J477" s="11">
        <f t="shared" si="7"/>
        <v>476</v>
      </c>
      <c r="K47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 x14ac:dyDescent="0.25">
      <c r="J478" s="11">
        <f t="shared" si="7"/>
        <v>477</v>
      </c>
      <c r="K47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 x14ac:dyDescent="0.25">
      <c r="J479" s="11">
        <f t="shared" si="7"/>
        <v>478</v>
      </c>
      <c r="K47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 x14ac:dyDescent="0.25">
      <c r="J480" s="11">
        <f t="shared" si="7"/>
        <v>479</v>
      </c>
      <c r="K48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 x14ac:dyDescent="0.25">
      <c r="J481" s="11">
        <f t="shared" si="7"/>
        <v>480</v>
      </c>
      <c r="K48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 x14ac:dyDescent="0.25">
      <c r="J482" s="11">
        <f t="shared" si="7"/>
        <v>481</v>
      </c>
      <c r="K48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 x14ac:dyDescent="0.25">
      <c r="J483" s="11">
        <f t="shared" si="7"/>
        <v>482</v>
      </c>
      <c r="K48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 x14ac:dyDescent="0.25">
      <c r="J484" s="11">
        <f t="shared" si="7"/>
        <v>483</v>
      </c>
      <c r="K48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 x14ac:dyDescent="0.25">
      <c r="J485" s="11">
        <f t="shared" si="7"/>
        <v>484</v>
      </c>
      <c r="K48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 x14ac:dyDescent="0.25">
      <c r="J486" s="11">
        <f t="shared" si="7"/>
        <v>485</v>
      </c>
      <c r="K48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 x14ac:dyDescent="0.25">
      <c r="J487" s="11">
        <f t="shared" si="7"/>
        <v>486</v>
      </c>
      <c r="K48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 x14ac:dyDescent="0.25">
      <c r="J488" s="11">
        <f t="shared" si="7"/>
        <v>487</v>
      </c>
      <c r="K48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 x14ac:dyDescent="0.25">
      <c r="J489" s="11">
        <f t="shared" si="7"/>
        <v>488</v>
      </c>
      <c r="K48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 x14ac:dyDescent="0.25">
      <c r="J490" s="11">
        <f t="shared" si="7"/>
        <v>489</v>
      </c>
      <c r="K49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 x14ac:dyDescent="0.25">
      <c r="J491" s="11">
        <f t="shared" si="7"/>
        <v>490</v>
      </c>
      <c r="K491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 x14ac:dyDescent="0.25">
      <c r="J492" s="11">
        <f t="shared" si="7"/>
        <v>491</v>
      </c>
      <c r="K492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 x14ac:dyDescent="0.25">
      <c r="J493" s="11">
        <f t="shared" si="7"/>
        <v>492</v>
      </c>
      <c r="K493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 x14ac:dyDescent="0.25">
      <c r="J494" s="11">
        <f t="shared" si="7"/>
        <v>493</v>
      </c>
      <c r="K494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 x14ac:dyDescent="0.25">
      <c r="J495" s="11">
        <f t="shared" si="7"/>
        <v>494</v>
      </c>
      <c r="K495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 x14ac:dyDescent="0.25">
      <c r="J496" s="11">
        <f t="shared" si="7"/>
        <v>495</v>
      </c>
      <c r="K496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 x14ac:dyDescent="0.25">
      <c r="J497" s="11">
        <f t="shared" si="7"/>
        <v>496</v>
      </c>
      <c r="K497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 x14ac:dyDescent="0.25">
      <c r="J498" s="11">
        <f t="shared" si="7"/>
        <v>497</v>
      </c>
      <c r="K498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 x14ac:dyDescent="0.25">
      <c r="J499" s="11">
        <f t="shared" si="7"/>
        <v>498</v>
      </c>
      <c r="K499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 x14ac:dyDescent="0.25">
      <c r="J500" s="11">
        <f t="shared" si="7"/>
        <v>499</v>
      </c>
      <c r="K500" s="6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 x14ac:dyDescent="0.25">
      <c r="J501" s="56">
        <f t="shared" si="7"/>
        <v>500</v>
      </c>
      <c r="K501" s="9" t="str">
        <f ca="1">IF(IDNMaps[No]&lt;=VLOOKUP("Forms",RecordCount[],5,0),"Forms",IF(IDNMaps[No]&lt;=(VLOOKUP("Forms",RecordCount[],5,0)+VLOOKUP("Lists",RecordCount[],5,0)),"Lists",IF(IDNMaps[No]&lt;=(VLOOKUP("Forms",RecordCount[],5,0)+VLOOKUP("Lists",RecordCount[],5,0)+VLOOKUP("Data",RecordCount[],5,0)),"Data",IF(IDNMaps[No]&lt;=(VLOOKUP("Forms",RecordCount[],5,0)+VLOOKUP("Lists",RecordCount[],5,0)+VLOOKUP("Data",RecordCount[],5,0)+VLOOKUP("Relation",RecordCount[],5,0)),"Relation",IF(IDNMaps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opLeftCell="A10" workbookViewId="0">
      <selection activeCell="A52" sqref="A52"/>
    </sheetView>
  </sheetViews>
  <sheetFormatPr defaultColWidth="10.42578125" defaultRowHeight="15" x14ac:dyDescent="0.2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 x14ac:dyDescent="0.25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x14ac:dyDescent="0.25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26</v>
      </c>
    </row>
    <row r="3" spans="1:10" x14ac:dyDescent="0.25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x14ac:dyDescent="0.25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26</v>
      </c>
    </row>
    <row r="5" spans="1:10" x14ac:dyDescent="0.25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5</v>
      </c>
    </row>
    <row r="6" spans="1:10" x14ac:dyDescent="0.25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x14ac:dyDescent="0.25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x14ac:dyDescent="0.25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x14ac:dyDescent="0.25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8</v>
      </c>
    </row>
    <row r="10" spans="1:10" x14ac:dyDescent="0.25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x14ac:dyDescent="0.25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3</v>
      </c>
    </row>
    <row r="12" spans="1:10" x14ac:dyDescent="0.25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x14ac:dyDescent="0.25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14</v>
      </c>
    </row>
    <row r="14" spans="1:10" x14ac:dyDescent="0.25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x14ac:dyDescent="0.25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x14ac:dyDescent="0.25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x14ac:dyDescent="0.25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x14ac:dyDescent="0.25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x14ac:dyDescent="0.25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x14ac:dyDescent="0.25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2</v>
      </c>
    </row>
    <row r="21" spans="1:10" x14ac:dyDescent="0.25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0</v>
      </c>
    </row>
    <row r="22" spans="1:10" x14ac:dyDescent="0.25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0</v>
      </c>
    </row>
    <row r="23" spans="1:10" x14ac:dyDescent="0.25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0</v>
      </c>
    </row>
    <row r="24" spans="1:10" x14ac:dyDescent="0.25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x14ac:dyDescent="0.25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x14ac:dyDescent="0.25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0</v>
      </c>
    </row>
    <row r="27" spans="1:10" x14ac:dyDescent="0.25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0</v>
      </c>
    </row>
    <row r="28" spans="1:10" x14ac:dyDescent="0.25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0</v>
      </c>
    </row>
    <row r="29" spans="1:10" x14ac:dyDescent="0.25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0</v>
      </c>
    </row>
    <row r="30" spans="1:10" x14ac:dyDescent="0.25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0</v>
      </c>
    </row>
    <row r="31" spans="1:10" x14ac:dyDescent="0.25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0</v>
      </c>
    </row>
    <row r="32" spans="1:10" x14ac:dyDescent="0.25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0</v>
      </c>
    </row>
    <row r="33" spans="1:10" x14ac:dyDescent="0.25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0</v>
      </c>
    </row>
    <row r="34" spans="1:10" x14ac:dyDescent="0.25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x14ac:dyDescent="0.25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x14ac:dyDescent="0.25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x14ac:dyDescent="0.25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0</v>
      </c>
    </row>
    <row r="38" spans="1:10" x14ac:dyDescent="0.25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0</v>
      </c>
    </row>
    <row r="39" spans="1:10" x14ac:dyDescent="0.25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0</v>
      </c>
    </row>
    <row r="40" spans="1:10" x14ac:dyDescent="0.25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0</v>
      </c>
    </row>
    <row r="41" spans="1:10" x14ac:dyDescent="0.25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0</v>
      </c>
    </row>
    <row r="42" spans="1:10" x14ac:dyDescent="0.25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0</v>
      </c>
    </row>
    <row r="43" spans="1:10" x14ac:dyDescent="0.25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0</v>
      </c>
    </row>
    <row r="44" spans="1:10" x14ac:dyDescent="0.25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0</v>
      </c>
    </row>
    <row r="45" spans="1:10" x14ac:dyDescent="0.25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0</v>
      </c>
    </row>
    <row r="46" spans="1:10" x14ac:dyDescent="0.25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0</v>
      </c>
    </row>
    <row r="47" spans="1:10" x14ac:dyDescent="0.25">
      <c r="A47" s="4" t="s">
        <v>1845</v>
      </c>
      <c r="B47" s="4" t="s">
        <v>828</v>
      </c>
      <c r="C47" s="5" t="s">
        <v>1845</v>
      </c>
      <c r="D47" s="4" t="s">
        <v>829</v>
      </c>
      <c r="E47" s="5" t="s">
        <v>1268</v>
      </c>
      <c r="F47" s="5"/>
      <c r="G47" s="5"/>
      <c r="H47" s="5"/>
      <c r="I47" s="5"/>
      <c r="J47" s="32">
        <f>COUNTIF(TableFields[Field],Columns[[#This Row],[Column]])</f>
        <v>1</v>
      </c>
    </row>
    <row r="48" spans="1:10" x14ac:dyDescent="0.25">
      <c r="A48" s="4" t="s">
        <v>1847</v>
      </c>
      <c r="B48" s="4" t="s">
        <v>828</v>
      </c>
      <c r="C48" s="5" t="s">
        <v>1847</v>
      </c>
      <c r="D48" s="4" t="s">
        <v>829</v>
      </c>
      <c r="E48" s="5" t="s">
        <v>1268</v>
      </c>
      <c r="F48" s="5"/>
      <c r="G48" s="5"/>
      <c r="H48" s="5"/>
      <c r="I48" s="5"/>
      <c r="J48" s="32">
        <f>COUNTIF(TableFields[Field],Columns[[#This Row],[Column]])</f>
        <v>1</v>
      </c>
    </row>
    <row r="49" spans="1:10" x14ac:dyDescent="0.25">
      <c r="A49" s="4" t="s">
        <v>1846</v>
      </c>
      <c r="B49" s="4" t="s">
        <v>828</v>
      </c>
      <c r="C49" s="5" t="s">
        <v>1846</v>
      </c>
      <c r="D49" s="4" t="s">
        <v>829</v>
      </c>
      <c r="E49" s="5" t="s">
        <v>1268</v>
      </c>
      <c r="F49" s="5"/>
      <c r="G49" s="5"/>
      <c r="H49" s="5"/>
      <c r="I49" s="5"/>
      <c r="J49" s="32">
        <f>COUNTIF(TableFields[Field],Columns[[#This Row],[Column]])</f>
        <v>1</v>
      </c>
    </row>
    <row r="50" spans="1:10" x14ac:dyDescent="0.25">
      <c r="A50" s="4" t="s">
        <v>1848</v>
      </c>
      <c r="B50" s="4" t="s">
        <v>828</v>
      </c>
      <c r="C50" s="5" t="s">
        <v>1848</v>
      </c>
      <c r="D50" s="4" t="s">
        <v>829</v>
      </c>
      <c r="E50" s="5" t="s">
        <v>1268</v>
      </c>
      <c r="F50" s="5"/>
      <c r="G50" s="5"/>
      <c r="H50" s="5"/>
      <c r="I50" s="5"/>
      <c r="J50" s="32">
        <f>COUNTIF(TableFields[Field],Columns[[#This Row],[Column]])</f>
        <v>1</v>
      </c>
    </row>
    <row r="51" spans="1:10" x14ac:dyDescent="0.25">
      <c r="A51" s="4" t="s">
        <v>822</v>
      </c>
      <c r="B51" s="4" t="s">
        <v>782</v>
      </c>
      <c r="C51" s="4" t="s">
        <v>763</v>
      </c>
      <c r="D51" s="4" t="s">
        <v>763</v>
      </c>
      <c r="E51" s="4"/>
      <c r="F51" s="4"/>
      <c r="G51" s="4"/>
      <c r="H51" s="4"/>
      <c r="I51" s="4"/>
      <c r="J51" s="32">
        <f>COUNTIF(TableFields[Field],Columns[[#This Row],[Column]])</f>
        <v>1</v>
      </c>
    </row>
    <row r="52" spans="1:10" x14ac:dyDescent="0.25">
      <c r="A52" s="4" t="s">
        <v>823</v>
      </c>
      <c r="B52" s="4" t="s">
        <v>782</v>
      </c>
      <c r="C52" s="4" t="s">
        <v>824</v>
      </c>
      <c r="D52" s="4" t="s">
        <v>760</v>
      </c>
      <c r="E52" s="4"/>
      <c r="F52" s="4"/>
      <c r="G52" s="4"/>
      <c r="H52" s="4"/>
      <c r="I52" s="4"/>
      <c r="J52" s="32">
        <f>COUNTIF(TableFields[Field],Columns[[#This Row],[Column]])</f>
        <v>2</v>
      </c>
    </row>
    <row r="53" spans="1:10" x14ac:dyDescent="0.25">
      <c r="A53" s="4" t="s">
        <v>832</v>
      </c>
      <c r="B53" s="4" t="s">
        <v>794</v>
      </c>
      <c r="C53" s="4" t="s">
        <v>824</v>
      </c>
      <c r="D53" s="4" t="s">
        <v>760</v>
      </c>
      <c r="E53" s="4"/>
      <c r="F53" s="4"/>
      <c r="G53" s="4"/>
      <c r="H53" s="4"/>
      <c r="I53" s="4"/>
      <c r="J53" s="32">
        <f>COUNTIF(TableFields[Field],Columns[[#This Row],[Column]])</f>
        <v>3</v>
      </c>
    </row>
    <row r="54" spans="1:10" x14ac:dyDescent="0.25">
      <c r="A54" s="4" t="s">
        <v>825</v>
      </c>
      <c r="B54" s="4" t="s">
        <v>828</v>
      </c>
      <c r="C54" s="4" t="s">
        <v>825</v>
      </c>
      <c r="D54" s="4" t="s">
        <v>829</v>
      </c>
      <c r="E54" s="4" t="s">
        <v>830</v>
      </c>
      <c r="F54" s="4"/>
      <c r="G54" s="4"/>
      <c r="H54" s="4"/>
      <c r="I54" s="4"/>
      <c r="J54" s="32">
        <f>COUNTIF(TableFields[Field],Columns[[#This Row],[Column]])</f>
        <v>1</v>
      </c>
    </row>
    <row r="55" spans="1:10" x14ac:dyDescent="0.25">
      <c r="A55" s="4" t="s">
        <v>826</v>
      </c>
      <c r="B55" s="4" t="s">
        <v>828</v>
      </c>
      <c r="C55" s="4" t="s">
        <v>826</v>
      </c>
      <c r="D55" s="4" t="s">
        <v>829</v>
      </c>
      <c r="E55" s="4" t="s">
        <v>830</v>
      </c>
      <c r="F55" s="4"/>
      <c r="G55" s="4"/>
      <c r="H55" s="4"/>
      <c r="I55" s="4"/>
      <c r="J55" s="32">
        <f>COUNTIF(TableFields[Field],Columns[[#This Row],[Column]])</f>
        <v>1</v>
      </c>
    </row>
    <row r="56" spans="1:10" x14ac:dyDescent="0.25">
      <c r="A56" s="4" t="s">
        <v>827</v>
      </c>
      <c r="B56" s="4" t="s">
        <v>828</v>
      </c>
      <c r="C56" s="4" t="s">
        <v>827</v>
      </c>
      <c r="D56" s="4" t="s">
        <v>829</v>
      </c>
      <c r="E56" s="4" t="s">
        <v>830</v>
      </c>
      <c r="F56" s="4"/>
      <c r="G56" s="4"/>
      <c r="H56" s="4"/>
      <c r="I56" s="4"/>
      <c r="J56" s="32">
        <f>COUNTIF(TableFields[Field],Columns[[#This Row],[Column]])</f>
        <v>1</v>
      </c>
    </row>
    <row r="57" spans="1:10" x14ac:dyDescent="0.25">
      <c r="A57" s="4" t="s">
        <v>833</v>
      </c>
      <c r="B57" s="4" t="s">
        <v>774</v>
      </c>
      <c r="C57" s="4" t="s">
        <v>834</v>
      </c>
      <c r="D57" s="4" t="s">
        <v>836</v>
      </c>
      <c r="E57" s="4" t="s">
        <v>835</v>
      </c>
      <c r="F57" s="4"/>
      <c r="G57" s="4"/>
      <c r="H57" s="4"/>
      <c r="I57" s="4"/>
      <c r="J57" s="32">
        <f>COUNTIF(TableFields[Field],Columns[[#This Row],[Column]])</f>
        <v>2</v>
      </c>
    </row>
    <row r="58" spans="1:10" x14ac:dyDescent="0.25">
      <c r="A58" s="4" t="s">
        <v>837</v>
      </c>
      <c r="B58" s="4" t="s">
        <v>828</v>
      </c>
      <c r="C58" s="4" t="s">
        <v>837</v>
      </c>
      <c r="D58" s="4" t="s">
        <v>829</v>
      </c>
      <c r="E58" s="4" t="s">
        <v>838</v>
      </c>
      <c r="F58" s="4"/>
      <c r="G58" s="4"/>
      <c r="H58" s="4"/>
      <c r="I58" s="4"/>
      <c r="J58" s="32">
        <f>COUNTIF(TableFields[Field],Columns[[#This Row],[Column]])</f>
        <v>4</v>
      </c>
    </row>
    <row r="59" spans="1:10" x14ac:dyDescent="0.25">
      <c r="A59" s="4" t="s">
        <v>840</v>
      </c>
      <c r="B59" s="4" t="s">
        <v>794</v>
      </c>
      <c r="C59" s="4" t="s">
        <v>841</v>
      </c>
      <c r="D59" s="4" t="s">
        <v>839</v>
      </c>
      <c r="E59" s="4"/>
      <c r="F59" s="4"/>
      <c r="G59" s="4"/>
      <c r="H59" s="4"/>
      <c r="I59" s="4"/>
      <c r="J59" s="32">
        <f>COUNTIF(TableFields[Field],Columns[[#This Row],[Column]])</f>
        <v>1</v>
      </c>
    </row>
    <row r="60" spans="1:10" x14ac:dyDescent="0.25">
      <c r="A60" s="4" t="s">
        <v>842</v>
      </c>
      <c r="B60" s="4" t="s">
        <v>843</v>
      </c>
      <c r="C60" s="4" t="s">
        <v>844</v>
      </c>
      <c r="D60" s="4"/>
      <c r="E60" s="4" t="s">
        <v>845</v>
      </c>
      <c r="F60" s="4"/>
      <c r="G60" s="4"/>
      <c r="H60" s="4"/>
      <c r="I60" s="4"/>
      <c r="J60" s="32">
        <f>COUNTIF(TableFields[Field],Columns[[#This Row],[Column]])</f>
        <v>4</v>
      </c>
    </row>
    <row r="61" spans="1:10" x14ac:dyDescent="0.25">
      <c r="A61" s="4" t="s">
        <v>847</v>
      </c>
      <c r="B61" s="4" t="s">
        <v>794</v>
      </c>
      <c r="C61" s="4" t="s">
        <v>35</v>
      </c>
      <c r="D61" s="4" t="s">
        <v>846</v>
      </c>
      <c r="E61" s="4"/>
      <c r="F61" s="4"/>
      <c r="G61" s="4"/>
      <c r="H61" s="4"/>
      <c r="I61" s="4"/>
      <c r="J61" s="32">
        <f>COUNTIF(TableFields[Field],Columns[[#This Row],[Column]])</f>
        <v>1</v>
      </c>
    </row>
    <row r="62" spans="1:10" x14ac:dyDescent="0.25">
      <c r="A62" s="4" t="s">
        <v>848</v>
      </c>
      <c r="B62" s="4" t="s">
        <v>770</v>
      </c>
      <c r="C62" s="4" t="s">
        <v>848</v>
      </c>
      <c r="D62" s="4">
        <v>20</v>
      </c>
      <c r="E62" s="4" t="s">
        <v>772</v>
      </c>
      <c r="F62" s="4" t="s">
        <v>771</v>
      </c>
      <c r="G62" s="4"/>
      <c r="H62" s="4"/>
      <c r="I62" s="4"/>
      <c r="J62" s="32">
        <f>COUNTIF(TableFields[Field],Columns[[#This Row],[Column]])</f>
        <v>3</v>
      </c>
    </row>
    <row r="63" spans="1:10" x14ac:dyDescent="0.25">
      <c r="A63" s="4" t="s">
        <v>849</v>
      </c>
      <c r="B63" s="4" t="s">
        <v>783</v>
      </c>
      <c r="C63" s="4" t="s">
        <v>849</v>
      </c>
      <c r="D63" s="4"/>
      <c r="E63" s="4" t="s">
        <v>772</v>
      </c>
      <c r="F63" s="4" t="s">
        <v>771</v>
      </c>
      <c r="G63" s="4"/>
      <c r="H63" s="4"/>
      <c r="I63" s="4"/>
      <c r="J63" s="32">
        <f>COUNTIF(TableFields[Field],Columns[[#This Row],[Column]])</f>
        <v>0</v>
      </c>
    </row>
    <row r="64" spans="1:10" x14ac:dyDescent="0.25">
      <c r="A64" s="4" t="s">
        <v>857</v>
      </c>
      <c r="B64" s="4" t="s">
        <v>785</v>
      </c>
      <c r="C64" s="4" t="s">
        <v>849</v>
      </c>
      <c r="D64" s="4"/>
      <c r="E64" s="4" t="s">
        <v>788</v>
      </c>
      <c r="F64" s="4" t="s">
        <v>790</v>
      </c>
      <c r="G64" s="4" t="s">
        <v>786</v>
      </c>
      <c r="H64" s="4" t="s">
        <v>789</v>
      </c>
      <c r="I64" s="4"/>
      <c r="J64" s="32">
        <f>COUNTIF(TableFields[Field],Columns[[#This Row],[Column]])</f>
        <v>0</v>
      </c>
    </row>
    <row r="65" spans="1:10" x14ac:dyDescent="0.25">
      <c r="A65" s="4" t="s">
        <v>850</v>
      </c>
      <c r="B65" s="4" t="s">
        <v>783</v>
      </c>
      <c r="C65" s="4" t="s">
        <v>850</v>
      </c>
      <c r="D65" s="4"/>
      <c r="E65" s="4" t="s">
        <v>772</v>
      </c>
      <c r="F65" s="4" t="s">
        <v>771</v>
      </c>
      <c r="G65" s="4"/>
      <c r="H65" s="4"/>
      <c r="I65" s="4"/>
      <c r="J65" s="32">
        <f>COUNTIF(TableFields[Field],Columns[[#This Row],[Column]])</f>
        <v>0</v>
      </c>
    </row>
    <row r="66" spans="1:10" x14ac:dyDescent="0.25">
      <c r="A66" s="4" t="s">
        <v>858</v>
      </c>
      <c r="B66" s="4" t="s">
        <v>785</v>
      </c>
      <c r="C66" s="4" t="s">
        <v>850</v>
      </c>
      <c r="D66" s="4"/>
      <c r="E66" s="4" t="s">
        <v>788</v>
      </c>
      <c r="F66" s="4" t="s">
        <v>790</v>
      </c>
      <c r="G66" s="4" t="s">
        <v>786</v>
      </c>
      <c r="H66" s="4" t="s">
        <v>789</v>
      </c>
      <c r="I66" s="4"/>
      <c r="J66" s="32">
        <f>COUNTIF(TableFields[Field],Columns[[#This Row],[Column]])</f>
        <v>0</v>
      </c>
    </row>
    <row r="67" spans="1:10" x14ac:dyDescent="0.25">
      <c r="A67" s="4" t="s">
        <v>851</v>
      </c>
      <c r="B67" s="4" t="s">
        <v>782</v>
      </c>
      <c r="C67" s="4" t="s">
        <v>766</v>
      </c>
      <c r="D67" s="4" t="s">
        <v>766</v>
      </c>
      <c r="E67" s="4"/>
      <c r="F67" s="4"/>
      <c r="G67" s="4"/>
      <c r="H67" s="4"/>
      <c r="I67" s="4"/>
      <c r="J67" s="32">
        <f>COUNTIF(TableFields[Field],Columns[[#This Row],[Column]])</f>
        <v>0</v>
      </c>
    </row>
    <row r="68" spans="1:10" x14ac:dyDescent="0.25">
      <c r="A68" s="4" t="s">
        <v>852</v>
      </c>
      <c r="B68" s="4" t="s">
        <v>782</v>
      </c>
      <c r="C68" s="4" t="s">
        <v>852</v>
      </c>
      <c r="D68" s="4" t="s">
        <v>765</v>
      </c>
      <c r="E68" s="4"/>
      <c r="F68" s="4"/>
      <c r="G68" s="4"/>
      <c r="H68" s="4"/>
      <c r="I68" s="4"/>
      <c r="J68" s="32">
        <f>COUNTIF(TableFields[Field],Columns[[#This Row],[Column]])</f>
        <v>1</v>
      </c>
    </row>
    <row r="69" spans="1:10" x14ac:dyDescent="0.25">
      <c r="A69" s="4" t="s">
        <v>853</v>
      </c>
      <c r="B69" s="4" t="s">
        <v>782</v>
      </c>
      <c r="C69" s="4" t="s">
        <v>767</v>
      </c>
      <c r="D69" s="4" t="s">
        <v>767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x14ac:dyDescent="0.25">
      <c r="A70" s="4" t="s">
        <v>854</v>
      </c>
      <c r="B70" s="4" t="s">
        <v>774</v>
      </c>
      <c r="C70" s="4" t="s">
        <v>854</v>
      </c>
      <c r="D70" s="4" t="s">
        <v>855</v>
      </c>
      <c r="E70" s="4" t="s">
        <v>830</v>
      </c>
      <c r="F70" s="4" t="s">
        <v>771</v>
      </c>
      <c r="G70" s="4"/>
      <c r="H70" s="4"/>
      <c r="I70" s="4"/>
      <c r="J70" s="32">
        <f>COUNTIF(TableFields[Field],Columns[[#This Row],[Column]])</f>
        <v>0</v>
      </c>
    </row>
    <row r="71" spans="1:10" x14ac:dyDescent="0.25">
      <c r="A71" s="4" t="s">
        <v>856</v>
      </c>
      <c r="B71" s="4" t="s">
        <v>783</v>
      </c>
      <c r="C71" s="4" t="s">
        <v>856</v>
      </c>
      <c r="D71" s="4"/>
      <c r="E71" s="4" t="s">
        <v>772</v>
      </c>
      <c r="F71" s="4"/>
      <c r="G71" s="4"/>
      <c r="H71" s="4"/>
      <c r="I71" s="4"/>
      <c r="J71" s="32">
        <f>COUNTIF(TableFields[Field],Columns[[#This Row],[Column]])</f>
        <v>0</v>
      </c>
    </row>
    <row r="72" spans="1:10" x14ac:dyDescent="0.25">
      <c r="A72" s="4" t="s">
        <v>859</v>
      </c>
      <c r="B72" s="4" t="s">
        <v>785</v>
      </c>
      <c r="C72" s="4" t="s">
        <v>856</v>
      </c>
      <c r="D72" s="4"/>
      <c r="E72" s="4" t="s">
        <v>788</v>
      </c>
      <c r="F72" s="4" t="s">
        <v>790</v>
      </c>
      <c r="G72" s="4" t="s">
        <v>786</v>
      </c>
      <c r="H72" s="4" t="s">
        <v>789</v>
      </c>
      <c r="I72" s="4"/>
      <c r="J72" s="32">
        <f>COUNTIF(TableFields[Field],Columns[[#This Row],[Column]])</f>
        <v>0</v>
      </c>
    </row>
    <row r="73" spans="1:10" x14ac:dyDescent="0.25">
      <c r="A73" s="4" t="s">
        <v>860</v>
      </c>
      <c r="B73" s="4" t="s">
        <v>782</v>
      </c>
      <c r="C73" s="4" t="s">
        <v>768</v>
      </c>
      <c r="D73" s="4" t="s">
        <v>768</v>
      </c>
      <c r="E73" s="4"/>
      <c r="F73" s="4"/>
      <c r="G73" s="4"/>
      <c r="H73" s="4"/>
      <c r="I73" s="4"/>
      <c r="J73" s="32">
        <f>COUNTIF(TableFields[Field],Columns[[#This Row],[Column]])</f>
        <v>0</v>
      </c>
    </row>
    <row r="74" spans="1:10" x14ac:dyDescent="0.25">
      <c r="A74" s="4" t="s">
        <v>862</v>
      </c>
      <c r="B74" s="4" t="s">
        <v>798</v>
      </c>
      <c r="C74" s="4" t="s">
        <v>863</v>
      </c>
      <c r="D74" s="4">
        <v>30</v>
      </c>
      <c r="E74" s="4" t="s">
        <v>772</v>
      </c>
      <c r="F74" s="4" t="s">
        <v>864</v>
      </c>
      <c r="G74" s="4"/>
      <c r="H74" s="4"/>
      <c r="I74" s="4"/>
      <c r="J74" s="32">
        <f>COUNTIF(TableFields[Field],Columns[[#This Row],[Column]])</f>
        <v>1</v>
      </c>
    </row>
    <row r="75" spans="1:10" x14ac:dyDescent="0.25">
      <c r="A75" s="4" t="s">
        <v>865</v>
      </c>
      <c r="B75" s="4" t="s">
        <v>828</v>
      </c>
      <c r="C75" s="4" t="s">
        <v>865</v>
      </c>
      <c r="D75" s="4" t="s">
        <v>866</v>
      </c>
      <c r="E75" s="4" t="s">
        <v>867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x14ac:dyDescent="0.25">
      <c r="A76" s="4" t="s">
        <v>868</v>
      </c>
      <c r="B76" s="4" t="s">
        <v>770</v>
      </c>
      <c r="C76" s="4" t="s">
        <v>869</v>
      </c>
      <c r="D76" s="4">
        <v>15</v>
      </c>
      <c r="E76" s="4" t="s">
        <v>772</v>
      </c>
      <c r="F76" s="4" t="s">
        <v>771</v>
      </c>
      <c r="G76" s="4"/>
      <c r="H76" s="4"/>
      <c r="I76" s="4"/>
      <c r="J76" s="32">
        <f>COUNTIF(TableFields[Field],Columns[[#This Row],[Column]])</f>
        <v>0</v>
      </c>
    </row>
    <row r="77" spans="1:10" x14ac:dyDescent="0.25">
      <c r="A77" s="4" t="s">
        <v>870</v>
      </c>
      <c r="B77" s="4" t="s">
        <v>785</v>
      </c>
      <c r="C77" s="4" t="s">
        <v>869</v>
      </c>
      <c r="D77" s="4"/>
      <c r="E77" s="4" t="s">
        <v>871</v>
      </c>
      <c r="F77" s="4" t="s">
        <v>872</v>
      </c>
      <c r="G77" s="4" t="s">
        <v>786</v>
      </c>
      <c r="H77" s="4" t="s">
        <v>789</v>
      </c>
      <c r="I77" s="4"/>
      <c r="J77" s="32">
        <f>COUNTIF(TableFields[Field],Columns[[#This Row],[Column]])</f>
        <v>0</v>
      </c>
    </row>
    <row r="78" spans="1:10" x14ac:dyDescent="0.25">
      <c r="A78" s="4" t="s">
        <v>873</v>
      </c>
      <c r="B78" s="4" t="s">
        <v>878</v>
      </c>
      <c r="C78" s="4" t="s">
        <v>874</v>
      </c>
      <c r="D78" s="4"/>
      <c r="E78" s="4" t="s">
        <v>830</v>
      </c>
      <c r="F78" s="4"/>
      <c r="G78" s="4"/>
      <c r="H78" s="4"/>
      <c r="I78" s="4"/>
      <c r="J78" s="32">
        <f>COUNTIF(TableFields[Field],Columns[[#This Row],[Column]])</f>
        <v>0</v>
      </c>
    </row>
    <row r="79" spans="1:10" x14ac:dyDescent="0.25">
      <c r="A79" s="4" t="s">
        <v>879</v>
      </c>
      <c r="B79" s="4" t="s">
        <v>774</v>
      </c>
      <c r="C79" s="4" t="s">
        <v>879</v>
      </c>
      <c r="D79" s="4" t="s">
        <v>882</v>
      </c>
      <c r="E79" s="4" t="s">
        <v>883</v>
      </c>
      <c r="F79" s="4"/>
      <c r="G79" s="4"/>
      <c r="H79" s="4"/>
      <c r="I79" s="4"/>
      <c r="J79" s="32">
        <f>COUNTIF(TableFields[Field],Columns[[#This Row],[Column]])</f>
        <v>1</v>
      </c>
    </row>
    <row r="80" spans="1:10" x14ac:dyDescent="0.25">
      <c r="A80" s="4" t="s">
        <v>884</v>
      </c>
      <c r="B80" s="4" t="s">
        <v>828</v>
      </c>
      <c r="C80" s="4" t="s">
        <v>884</v>
      </c>
      <c r="D80" s="4" t="s">
        <v>881</v>
      </c>
      <c r="E80" s="4" t="s">
        <v>830</v>
      </c>
      <c r="F80" s="4"/>
      <c r="G80" s="4"/>
      <c r="H80" s="4"/>
      <c r="I80" s="4"/>
      <c r="J80" s="32">
        <f>COUNTIF(TableFields[Field],Columns[[#This Row],[Column]])</f>
        <v>1</v>
      </c>
    </row>
    <row r="81" spans="1:10" x14ac:dyDescent="0.25">
      <c r="A81" s="4" t="s">
        <v>880</v>
      </c>
      <c r="B81" s="5" t="s">
        <v>774</v>
      </c>
      <c r="C81" s="4" t="s">
        <v>880</v>
      </c>
      <c r="D81" s="4" t="s">
        <v>882</v>
      </c>
      <c r="E81" s="4" t="s">
        <v>883</v>
      </c>
      <c r="F81" s="5"/>
      <c r="G81" s="5"/>
      <c r="H81" s="5"/>
      <c r="I81" s="5"/>
      <c r="J81" s="32">
        <f>COUNTIF(TableFields[Field],Columns[[#This Row],[Column]])</f>
        <v>1</v>
      </c>
    </row>
    <row r="82" spans="1:10" x14ac:dyDescent="0.25">
      <c r="A82" s="4" t="s">
        <v>885</v>
      </c>
      <c r="B82" s="4" t="s">
        <v>828</v>
      </c>
      <c r="C82" s="4" t="s">
        <v>885</v>
      </c>
      <c r="D82" s="4" t="s">
        <v>881</v>
      </c>
      <c r="E82" s="4" t="s">
        <v>830</v>
      </c>
      <c r="F82" s="4"/>
      <c r="G82" s="4"/>
      <c r="H82" s="4"/>
      <c r="I82" s="4"/>
      <c r="J82" s="32">
        <f>COUNTIF(TableFields[Field],Columns[[#This Row],[Column]])</f>
        <v>1</v>
      </c>
    </row>
    <row r="83" spans="1:10" x14ac:dyDescent="0.25">
      <c r="A83" s="4" t="s">
        <v>886</v>
      </c>
      <c r="B83" s="4" t="s">
        <v>770</v>
      </c>
      <c r="C83" s="4" t="s">
        <v>886</v>
      </c>
      <c r="D83" s="4">
        <v>5</v>
      </c>
      <c r="E83" s="4" t="s">
        <v>772</v>
      </c>
      <c r="F83" s="4" t="s">
        <v>771</v>
      </c>
      <c r="G83" s="4"/>
      <c r="H83" s="4"/>
      <c r="I83" s="4"/>
      <c r="J83" s="32">
        <f>COUNTIF(TableFields[Field],Columns[[#This Row],[Column]])</f>
        <v>2</v>
      </c>
    </row>
    <row r="84" spans="1:10" x14ac:dyDescent="0.25">
      <c r="A84" s="4" t="s">
        <v>887</v>
      </c>
      <c r="B84" s="4" t="s">
        <v>770</v>
      </c>
      <c r="C84" s="4" t="s">
        <v>887</v>
      </c>
      <c r="D84" s="4">
        <v>6</v>
      </c>
      <c r="E84" s="4" t="s">
        <v>772</v>
      </c>
      <c r="F84" s="4" t="s">
        <v>771</v>
      </c>
      <c r="G84" s="4"/>
      <c r="H84" s="4"/>
      <c r="I84" s="4"/>
      <c r="J84" s="32">
        <f>COUNTIF(TableFields[Field],Columns[[#This Row],[Column]])</f>
        <v>1</v>
      </c>
    </row>
    <row r="85" spans="1:10" x14ac:dyDescent="0.25">
      <c r="A85" s="4" t="s">
        <v>894</v>
      </c>
      <c r="B85" s="4" t="s">
        <v>878</v>
      </c>
      <c r="C85" s="4" t="s">
        <v>894</v>
      </c>
      <c r="D85" s="4"/>
      <c r="E85" s="4" t="s">
        <v>838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x14ac:dyDescent="0.25">
      <c r="A86" s="4" t="s">
        <v>897</v>
      </c>
      <c r="B86" s="4" t="s">
        <v>774</v>
      </c>
      <c r="C86" s="4" t="s">
        <v>35</v>
      </c>
      <c r="D86" s="4" t="s">
        <v>898</v>
      </c>
      <c r="E86" s="4" t="s">
        <v>899</v>
      </c>
      <c r="F86" s="4"/>
      <c r="G86" s="4"/>
      <c r="H86" s="4"/>
      <c r="I86" s="4"/>
      <c r="J86" s="58">
        <f>COUNTIF(TableFields[Field],Columns[[#This Row],[Column]])</f>
        <v>0</v>
      </c>
    </row>
    <row r="87" spans="1:10" x14ac:dyDescent="0.25">
      <c r="A87" s="4" t="s">
        <v>900</v>
      </c>
      <c r="B87" s="4" t="s">
        <v>782</v>
      </c>
      <c r="C87" s="4" t="s">
        <v>64</v>
      </c>
      <c r="D87" s="4" t="s">
        <v>75</v>
      </c>
      <c r="E87" s="4"/>
      <c r="F87" s="4"/>
      <c r="G87" s="4"/>
      <c r="H87" s="4"/>
      <c r="I87" s="4"/>
      <c r="J87" s="58">
        <f>COUNTIF(TableFields[Field],Columns[[#This Row],[Column]])</f>
        <v>2</v>
      </c>
    </row>
    <row r="88" spans="1:10" x14ac:dyDescent="0.25">
      <c r="A88" s="4" t="s">
        <v>911</v>
      </c>
      <c r="B88" s="4" t="s">
        <v>794</v>
      </c>
      <c r="C88" s="4" t="s">
        <v>64</v>
      </c>
      <c r="D88" s="4" t="s">
        <v>75</v>
      </c>
      <c r="E88" s="4"/>
      <c r="F88" s="4"/>
      <c r="G88" s="4"/>
      <c r="H88" s="4"/>
      <c r="I88" s="4"/>
      <c r="J88" s="58">
        <f>COUNTIF(TableFields[Field],Columns[[#This Row],[Column]])</f>
        <v>4</v>
      </c>
    </row>
    <row r="89" spans="1:10" x14ac:dyDescent="0.25">
      <c r="A89" s="4" t="s">
        <v>902</v>
      </c>
      <c r="B89" s="4" t="s">
        <v>842</v>
      </c>
      <c r="C89" s="4" t="s">
        <v>903</v>
      </c>
      <c r="D89" s="4"/>
      <c r="E89" s="4" t="s">
        <v>772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x14ac:dyDescent="0.25">
      <c r="A90" s="4" t="s">
        <v>904</v>
      </c>
      <c r="B90" s="4" t="s">
        <v>842</v>
      </c>
      <c r="C90" s="4" t="s">
        <v>905</v>
      </c>
      <c r="D90" s="4"/>
      <c r="E90" s="4" t="s">
        <v>772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x14ac:dyDescent="0.25">
      <c r="A91" s="4" t="s">
        <v>906</v>
      </c>
      <c r="B91" s="4" t="s">
        <v>774</v>
      </c>
      <c r="C91" s="4" t="s">
        <v>777</v>
      </c>
      <c r="D91" s="4" t="s">
        <v>907</v>
      </c>
      <c r="E91" s="4" t="s">
        <v>908</v>
      </c>
      <c r="F91" s="4" t="s">
        <v>772</v>
      </c>
      <c r="G91" s="4"/>
      <c r="H91" s="4"/>
      <c r="I91" s="4"/>
      <c r="J91" s="58">
        <f>COUNTIF(TableFields[Field],Columns[[#This Row],[Column]])</f>
        <v>1</v>
      </c>
    </row>
    <row r="92" spans="1:10" x14ac:dyDescent="0.25">
      <c r="A92" s="4" t="s">
        <v>912</v>
      </c>
      <c r="B92" s="4" t="s">
        <v>782</v>
      </c>
      <c r="C92" s="4" t="s">
        <v>913</v>
      </c>
      <c r="D92" s="4" t="s">
        <v>909</v>
      </c>
      <c r="E92" s="4"/>
      <c r="F92" s="4"/>
      <c r="G92" s="4"/>
      <c r="H92" s="4"/>
      <c r="I92" s="4"/>
      <c r="J92" s="58">
        <f>COUNTIF(TableFields[Field],Columns[[#This Row],[Column]])</f>
        <v>1</v>
      </c>
    </row>
    <row r="93" spans="1:10" x14ac:dyDescent="0.25">
      <c r="A93" s="4" t="s">
        <v>914</v>
      </c>
      <c r="B93" s="4" t="s">
        <v>828</v>
      </c>
      <c r="C93" s="4" t="s">
        <v>914</v>
      </c>
      <c r="D93" s="4" t="s">
        <v>829</v>
      </c>
      <c r="E93" s="4" t="s">
        <v>830</v>
      </c>
      <c r="F93" s="4"/>
      <c r="G93" s="4"/>
      <c r="H93" s="4"/>
      <c r="I93" s="4"/>
      <c r="J93" s="58">
        <f>COUNTIF(TableFields[Field],Columns[[#This Row],[Column]])</f>
        <v>2</v>
      </c>
    </row>
    <row r="94" spans="1:10" x14ac:dyDescent="0.25">
      <c r="A94" s="4" t="s">
        <v>915</v>
      </c>
      <c r="B94" s="4" t="s">
        <v>828</v>
      </c>
      <c r="C94" s="4" t="s">
        <v>915</v>
      </c>
      <c r="D94" s="4" t="s">
        <v>829</v>
      </c>
      <c r="E94" s="4" t="s">
        <v>830</v>
      </c>
      <c r="F94" s="4"/>
      <c r="G94" s="4"/>
      <c r="H94" s="4"/>
      <c r="I94" s="4"/>
      <c r="J94" s="58">
        <f>COUNTIF(TableFields[Field],Columns[[#This Row],[Column]])</f>
        <v>2</v>
      </c>
    </row>
    <row r="95" spans="1:10" x14ac:dyDescent="0.25">
      <c r="A95" s="4" t="s">
        <v>979</v>
      </c>
      <c r="B95" s="4" t="s">
        <v>828</v>
      </c>
      <c r="C95" s="4" t="s">
        <v>979</v>
      </c>
      <c r="D95" s="4" t="s">
        <v>829</v>
      </c>
      <c r="E95" s="4" t="s">
        <v>830</v>
      </c>
      <c r="F95" s="4"/>
      <c r="G95" s="4"/>
      <c r="H95" s="4"/>
      <c r="I95" s="4"/>
      <c r="J95" s="58">
        <f>COUNTIF(TableFields[Field],Columns[[#This Row],[Column]])</f>
        <v>2</v>
      </c>
    </row>
    <row r="96" spans="1:10" x14ac:dyDescent="0.25">
      <c r="A96" s="4" t="s">
        <v>916</v>
      </c>
      <c r="B96" s="4" t="s">
        <v>770</v>
      </c>
      <c r="C96" s="4" t="s">
        <v>916</v>
      </c>
      <c r="D96" s="4">
        <v>5</v>
      </c>
      <c r="E96" s="4" t="s">
        <v>772</v>
      </c>
      <c r="F96" s="4" t="s">
        <v>771</v>
      </c>
      <c r="G96" s="4"/>
      <c r="H96" s="4"/>
      <c r="I96" s="4"/>
      <c r="J96" s="58">
        <f>COUNTIF(TableFields[Field],Columns[[#This Row],[Column]])</f>
        <v>3</v>
      </c>
    </row>
    <row r="97" spans="1:10" x14ac:dyDescent="0.25">
      <c r="A97" s="4" t="s">
        <v>869</v>
      </c>
      <c r="B97" s="4" t="s">
        <v>770</v>
      </c>
      <c r="C97" s="4" t="s">
        <v>869</v>
      </c>
      <c r="D97" s="4">
        <v>5</v>
      </c>
      <c r="E97" s="4" t="s">
        <v>772</v>
      </c>
      <c r="F97" s="4" t="s">
        <v>771</v>
      </c>
      <c r="G97" s="4"/>
      <c r="H97" s="4"/>
      <c r="I97" s="4"/>
      <c r="J97" s="58">
        <f>COUNTIF(TableFields[Field],Columns[[#This Row],[Column]])</f>
        <v>4</v>
      </c>
    </row>
    <row r="98" spans="1:10" x14ac:dyDescent="0.25">
      <c r="A98" s="4" t="s">
        <v>918</v>
      </c>
      <c r="B98" s="4" t="s">
        <v>794</v>
      </c>
      <c r="C98" s="4" t="s">
        <v>919</v>
      </c>
      <c r="D98" s="4" t="s">
        <v>909</v>
      </c>
      <c r="E98" s="4"/>
      <c r="F98" s="4"/>
      <c r="G98" s="4"/>
      <c r="H98" s="4"/>
      <c r="I98" s="4"/>
      <c r="J98" s="58">
        <f>COUNTIF(TableFields[Field],Columns[[#This Row],[Column]])</f>
        <v>1</v>
      </c>
    </row>
    <row r="99" spans="1:10" x14ac:dyDescent="0.25">
      <c r="A99" s="4" t="s">
        <v>920</v>
      </c>
      <c r="B99" s="4" t="s">
        <v>794</v>
      </c>
      <c r="C99" s="4" t="s">
        <v>921</v>
      </c>
      <c r="D99" s="4" t="s">
        <v>909</v>
      </c>
      <c r="E99" s="4"/>
      <c r="F99" s="4"/>
      <c r="G99" s="4"/>
      <c r="H99" s="4"/>
      <c r="I99" s="4"/>
      <c r="J99" s="58">
        <f>COUNTIF(TableFields[Field],Columns[[#This Row],[Column]])</f>
        <v>1</v>
      </c>
    </row>
    <row r="100" spans="1:10" x14ac:dyDescent="0.25">
      <c r="A100" s="4" t="s">
        <v>922</v>
      </c>
      <c r="B100" s="4" t="s">
        <v>794</v>
      </c>
      <c r="C100" s="4" t="s">
        <v>924</v>
      </c>
      <c r="D100" s="4" t="s">
        <v>75</v>
      </c>
      <c r="E100" s="4"/>
      <c r="F100" s="4"/>
      <c r="G100" s="4"/>
      <c r="H100" s="4"/>
      <c r="I100" s="4"/>
      <c r="J100" s="58">
        <f>COUNTIF(TableFields[Field],Columns[[#This Row],[Column]])</f>
        <v>1</v>
      </c>
    </row>
    <row r="101" spans="1:10" x14ac:dyDescent="0.25">
      <c r="A101" s="4" t="s">
        <v>923</v>
      </c>
      <c r="B101" s="4" t="s">
        <v>843</v>
      </c>
      <c r="C101" s="4" t="s">
        <v>925</v>
      </c>
      <c r="D101" s="4"/>
      <c r="E101" s="4" t="s">
        <v>772</v>
      </c>
      <c r="F101" s="4"/>
      <c r="G101" s="4"/>
      <c r="H101" s="4"/>
      <c r="I101" s="4"/>
      <c r="J101" s="58">
        <f>COUNTIF(TableFields[Field],Columns[[#This Row],[Column]])</f>
        <v>1</v>
      </c>
    </row>
    <row r="102" spans="1:10" x14ac:dyDescent="0.25">
      <c r="A102" s="4" t="s">
        <v>926</v>
      </c>
      <c r="B102" s="4" t="s">
        <v>828</v>
      </c>
      <c r="C102" s="4" t="s">
        <v>926</v>
      </c>
      <c r="D102" s="4" t="s">
        <v>829</v>
      </c>
      <c r="E102" s="4" t="s">
        <v>830</v>
      </c>
      <c r="F102" s="4"/>
      <c r="G102" s="4"/>
      <c r="H102" s="4"/>
      <c r="I102" s="4"/>
      <c r="J102" s="58">
        <f>COUNTIF(TableFields[Field],Columns[[#This Row],[Column]])</f>
        <v>2</v>
      </c>
    </row>
    <row r="103" spans="1:10" x14ac:dyDescent="0.25">
      <c r="A103" s="4" t="s">
        <v>928</v>
      </c>
      <c r="B103" s="4" t="s">
        <v>770</v>
      </c>
      <c r="C103" s="4" t="s">
        <v>928</v>
      </c>
      <c r="D103" s="4">
        <v>15</v>
      </c>
      <c r="E103" s="4" t="s">
        <v>772</v>
      </c>
      <c r="F103" s="4" t="s">
        <v>771</v>
      </c>
      <c r="G103" s="4"/>
      <c r="H103" s="4"/>
      <c r="I103" s="4"/>
      <c r="J103" s="58">
        <f>COUNTIF(TableFields[Field],Columns[[#This Row],[Column]])</f>
        <v>0</v>
      </c>
    </row>
    <row r="104" spans="1:10" x14ac:dyDescent="0.25">
      <c r="A104" s="4" t="s">
        <v>929</v>
      </c>
      <c r="B104" s="4" t="s">
        <v>828</v>
      </c>
      <c r="C104" s="4" t="s">
        <v>929</v>
      </c>
      <c r="D104" s="4" t="s">
        <v>881</v>
      </c>
      <c r="E104" s="4" t="s">
        <v>830</v>
      </c>
      <c r="F104" s="4"/>
      <c r="G104" s="4"/>
      <c r="H104" s="4"/>
      <c r="I104" s="4"/>
      <c r="J104" s="58">
        <f>COUNTIF(TableFields[Field],Columns[[#This Row],[Column]])</f>
        <v>0</v>
      </c>
    </row>
    <row r="105" spans="1:10" x14ac:dyDescent="0.25">
      <c r="A105" s="4" t="s">
        <v>930</v>
      </c>
      <c r="B105" s="4" t="s">
        <v>770</v>
      </c>
      <c r="C105" s="4" t="s">
        <v>931</v>
      </c>
      <c r="D105" s="4">
        <v>15</v>
      </c>
      <c r="E105" s="4" t="s">
        <v>772</v>
      </c>
      <c r="F105" s="4"/>
      <c r="G105" s="4"/>
      <c r="H105" s="4"/>
      <c r="I105" s="4"/>
      <c r="J105" s="58">
        <f>COUNTIF(TableFields[Field],Columns[[#This Row],[Column]])</f>
        <v>1</v>
      </c>
    </row>
    <row r="106" spans="1:10" x14ac:dyDescent="0.25">
      <c r="A106" s="4" t="s">
        <v>932</v>
      </c>
      <c r="B106" s="4" t="s">
        <v>774</v>
      </c>
      <c r="C106" s="4" t="s">
        <v>914</v>
      </c>
      <c r="D106" s="4" t="s">
        <v>955</v>
      </c>
      <c r="E106" s="4" t="s">
        <v>772</v>
      </c>
      <c r="F106" s="4" t="s">
        <v>959</v>
      </c>
      <c r="G106" s="4"/>
      <c r="H106" s="4"/>
      <c r="I106" s="4"/>
      <c r="J106" s="58">
        <f>COUNTIF(TableFields[Field],Columns[[#This Row],[Column]])</f>
        <v>1</v>
      </c>
    </row>
    <row r="107" spans="1:10" x14ac:dyDescent="0.25">
      <c r="A107" s="4" t="s">
        <v>933</v>
      </c>
      <c r="B107" s="4" t="s">
        <v>774</v>
      </c>
      <c r="C107" s="4" t="s">
        <v>957</v>
      </c>
      <c r="D107" s="4" t="s">
        <v>956</v>
      </c>
      <c r="E107" s="4" t="s">
        <v>772</v>
      </c>
      <c r="F107" s="4" t="s">
        <v>960</v>
      </c>
      <c r="G107" s="4"/>
      <c r="H107" s="4"/>
      <c r="I107" s="4"/>
      <c r="J107" s="58">
        <f>COUNTIF(TableFields[Field],Columns[[#This Row],[Column]])</f>
        <v>1</v>
      </c>
    </row>
    <row r="108" spans="1:10" x14ac:dyDescent="0.25">
      <c r="A108" s="4" t="s">
        <v>935</v>
      </c>
      <c r="B108" s="4" t="s">
        <v>774</v>
      </c>
      <c r="C108" s="4" t="s">
        <v>934</v>
      </c>
      <c r="D108" s="4" t="s">
        <v>955</v>
      </c>
      <c r="E108" s="4" t="s">
        <v>772</v>
      </c>
      <c r="F108" s="4" t="s">
        <v>959</v>
      </c>
      <c r="G108" s="4"/>
      <c r="H108" s="4"/>
      <c r="I108" s="4"/>
      <c r="J108" s="58">
        <f>COUNTIF(TableFields[Field],Columns[[#This Row],[Column]])</f>
        <v>1</v>
      </c>
    </row>
    <row r="109" spans="1:10" x14ac:dyDescent="0.25">
      <c r="A109" s="4" t="s">
        <v>936</v>
      </c>
      <c r="B109" s="4" t="s">
        <v>794</v>
      </c>
      <c r="C109" s="4" t="s">
        <v>927</v>
      </c>
      <c r="D109" s="4" t="s">
        <v>914</v>
      </c>
      <c r="E109" s="4"/>
      <c r="F109" s="4"/>
      <c r="G109" s="4"/>
      <c r="H109" s="4"/>
      <c r="I109" s="4"/>
      <c r="J109" s="58">
        <f>COUNTIF(TableFields[Field],Columns[[#This Row],[Column]])</f>
        <v>0</v>
      </c>
    </row>
    <row r="110" spans="1:10" x14ac:dyDescent="0.25">
      <c r="A110" s="4" t="s">
        <v>937</v>
      </c>
      <c r="B110" s="4" t="s">
        <v>774</v>
      </c>
      <c r="C110" s="4" t="s">
        <v>958</v>
      </c>
      <c r="D110" s="4" t="s">
        <v>955</v>
      </c>
      <c r="E110" s="4" t="s">
        <v>772</v>
      </c>
      <c r="F110" s="4" t="s">
        <v>959</v>
      </c>
      <c r="G110" s="4"/>
      <c r="H110" s="4"/>
      <c r="I110" s="4"/>
      <c r="J110" s="58">
        <f>COUNTIF(TableFields[Field],Columns[[#This Row],[Column]])</f>
        <v>1</v>
      </c>
    </row>
    <row r="111" spans="1:10" x14ac:dyDescent="0.25">
      <c r="A111" s="4" t="s">
        <v>938</v>
      </c>
      <c r="B111" s="4" t="s">
        <v>774</v>
      </c>
      <c r="C111" s="4" t="s">
        <v>948</v>
      </c>
      <c r="D111" s="4" t="s">
        <v>949</v>
      </c>
      <c r="E111" s="4" t="s">
        <v>772</v>
      </c>
      <c r="F111" s="4" t="s">
        <v>952</v>
      </c>
      <c r="G111" s="4"/>
      <c r="H111" s="4"/>
      <c r="I111" s="4"/>
      <c r="J111" s="58">
        <f>COUNTIF(TableFields[Field],Columns[[#This Row],[Column]])</f>
        <v>1</v>
      </c>
    </row>
    <row r="112" spans="1:10" x14ac:dyDescent="0.25">
      <c r="A112" s="4" t="s">
        <v>939</v>
      </c>
      <c r="B112" s="4" t="s">
        <v>774</v>
      </c>
      <c r="C112" s="4" t="s">
        <v>947</v>
      </c>
      <c r="D112" s="4" t="s">
        <v>949</v>
      </c>
      <c r="E112" s="4" t="s">
        <v>772</v>
      </c>
      <c r="F112" s="4" t="s">
        <v>952</v>
      </c>
      <c r="G112" s="4"/>
      <c r="H112" s="4"/>
      <c r="I112" s="4"/>
      <c r="J112" s="58">
        <f>COUNTIF(TableFields[Field],Columns[[#This Row],[Column]])</f>
        <v>1</v>
      </c>
    </row>
    <row r="113" spans="1:10" x14ac:dyDescent="0.25">
      <c r="A113" s="4" t="s">
        <v>940</v>
      </c>
      <c r="B113" s="4" t="s">
        <v>774</v>
      </c>
      <c r="C113" s="4" t="s">
        <v>946</v>
      </c>
      <c r="D113" s="4" t="s">
        <v>950</v>
      </c>
      <c r="E113" s="4" t="s">
        <v>772</v>
      </c>
      <c r="F113" s="4" t="s">
        <v>954</v>
      </c>
      <c r="G113" s="4"/>
      <c r="H113" s="4"/>
      <c r="I113" s="4"/>
      <c r="J113" s="58">
        <f>COUNTIF(TableFields[Field],Columns[[#This Row],[Column]])</f>
        <v>1</v>
      </c>
    </row>
    <row r="114" spans="1:10" x14ac:dyDescent="0.25">
      <c r="A114" s="4" t="s">
        <v>941</v>
      </c>
      <c r="B114" s="4" t="s">
        <v>774</v>
      </c>
      <c r="C114" s="4" t="s">
        <v>945</v>
      </c>
      <c r="D114" s="4" t="s">
        <v>949</v>
      </c>
      <c r="E114" s="4" t="s">
        <v>772</v>
      </c>
      <c r="F114" s="4" t="s">
        <v>952</v>
      </c>
      <c r="G114" s="4"/>
      <c r="H114" s="4"/>
      <c r="I114" s="4"/>
      <c r="J114" s="58">
        <f>COUNTIF(TableFields[Field],Columns[[#This Row],[Column]])</f>
        <v>1</v>
      </c>
    </row>
    <row r="115" spans="1:10" x14ac:dyDescent="0.25">
      <c r="A115" s="4" t="s">
        <v>942</v>
      </c>
      <c r="B115" s="4" t="s">
        <v>774</v>
      </c>
      <c r="C115" s="4" t="s">
        <v>944</v>
      </c>
      <c r="D115" s="4" t="s">
        <v>951</v>
      </c>
      <c r="E115" s="4" t="s">
        <v>772</v>
      </c>
      <c r="F115" s="4" t="s">
        <v>953</v>
      </c>
      <c r="G115" s="4"/>
      <c r="H115" s="4"/>
      <c r="I115" s="4"/>
      <c r="J115" s="58">
        <f>COUNTIF(TableFields[Field],Columns[[#This Row],[Column]])</f>
        <v>1</v>
      </c>
    </row>
    <row r="116" spans="1:10" x14ac:dyDescent="0.25">
      <c r="A116" s="4" t="s">
        <v>943</v>
      </c>
      <c r="B116" s="4" t="s">
        <v>770</v>
      </c>
      <c r="C116" s="4" t="s">
        <v>926</v>
      </c>
      <c r="D116" s="4">
        <v>15</v>
      </c>
      <c r="E116" s="4" t="s">
        <v>772</v>
      </c>
      <c r="F116" s="4"/>
      <c r="G116" s="4"/>
      <c r="H116" s="4"/>
      <c r="I116" s="4"/>
      <c r="J116" s="58">
        <f>COUNTIF(TableFields[Field],Columns[[#This Row],[Column]])</f>
        <v>1</v>
      </c>
    </row>
    <row r="117" spans="1:10" x14ac:dyDescent="0.25">
      <c r="A117" s="4" t="s">
        <v>963</v>
      </c>
      <c r="B117" s="4" t="s">
        <v>794</v>
      </c>
      <c r="C117" s="4" t="s">
        <v>849</v>
      </c>
      <c r="D117" s="4" t="s">
        <v>75</v>
      </c>
      <c r="E117" s="4"/>
      <c r="F117" s="4"/>
      <c r="G117" s="4"/>
      <c r="H117" s="4"/>
      <c r="I117" s="4"/>
      <c r="J117" s="58">
        <f>COUNTIF(TableFields[Field],Columns[[#This Row],[Column]])</f>
        <v>3</v>
      </c>
    </row>
    <row r="118" spans="1:10" x14ac:dyDescent="0.25">
      <c r="A118" s="4" t="s">
        <v>965</v>
      </c>
      <c r="B118" s="4" t="s">
        <v>774</v>
      </c>
      <c r="C118" s="4" t="s">
        <v>964</v>
      </c>
      <c r="D118" s="4" t="s">
        <v>966</v>
      </c>
      <c r="E118" s="4" t="s">
        <v>772</v>
      </c>
      <c r="F118" s="4" t="s">
        <v>967</v>
      </c>
      <c r="G118" s="4"/>
      <c r="H118" s="4"/>
      <c r="I118" s="4"/>
      <c r="J118" s="58">
        <f>COUNTIF(TableFields[Field],Columns[[#This Row],[Column]])</f>
        <v>1</v>
      </c>
    </row>
    <row r="119" spans="1:10" x14ac:dyDescent="0.25">
      <c r="A119" s="4" t="s">
        <v>968</v>
      </c>
      <c r="B119" s="4" t="s">
        <v>794</v>
      </c>
      <c r="C119" s="4" t="s">
        <v>969</v>
      </c>
      <c r="D119" s="4" t="s">
        <v>961</v>
      </c>
      <c r="E119" s="4"/>
      <c r="F119" s="4"/>
      <c r="G119" s="4"/>
      <c r="H119" s="4"/>
      <c r="I119" s="4"/>
      <c r="J119" s="58">
        <f>COUNTIF(TableFields[Field],Columns[[#This Row],[Column]])</f>
        <v>2</v>
      </c>
    </row>
    <row r="120" spans="1:10" x14ac:dyDescent="0.25">
      <c r="A120" s="4" t="s">
        <v>970</v>
      </c>
      <c r="B120" s="4" t="s">
        <v>828</v>
      </c>
      <c r="C120" s="4" t="s">
        <v>970</v>
      </c>
      <c r="D120" s="4" t="s">
        <v>829</v>
      </c>
      <c r="E120" s="4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x14ac:dyDescent="0.25">
      <c r="A121" s="4" t="s">
        <v>971</v>
      </c>
      <c r="B121" s="4" t="s">
        <v>782</v>
      </c>
      <c r="C121" s="4" t="s">
        <v>914</v>
      </c>
      <c r="D121" s="4" t="s">
        <v>914</v>
      </c>
      <c r="E121" s="4"/>
      <c r="F121" s="4"/>
      <c r="G121" s="4"/>
      <c r="H121" s="4"/>
      <c r="I121" s="4"/>
      <c r="J121" s="58">
        <f>COUNTIF(TableFields[Field],Columns[[#This Row],[Column]])</f>
        <v>0</v>
      </c>
    </row>
    <row r="122" spans="1:10" x14ac:dyDescent="0.25">
      <c r="A122" s="2" t="s">
        <v>1271</v>
      </c>
      <c r="B122" s="2" t="s">
        <v>798</v>
      </c>
      <c r="C122" s="2" t="s">
        <v>1271</v>
      </c>
      <c r="D122" s="2">
        <v>200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0</v>
      </c>
    </row>
    <row r="123" spans="1:10" x14ac:dyDescent="0.25">
      <c r="A123" s="4" t="s">
        <v>972</v>
      </c>
      <c r="B123" s="4" t="s">
        <v>774</v>
      </c>
      <c r="C123" s="2" t="s">
        <v>1280</v>
      </c>
      <c r="D123" s="4" t="s">
        <v>973</v>
      </c>
      <c r="E123" s="5" t="s">
        <v>772</v>
      </c>
      <c r="F123" s="4" t="s">
        <v>974</v>
      </c>
      <c r="G123" s="4"/>
      <c r="H123" s="4"/>
      <c r="I123" s="4"/>
      <c r="J123" s="58">
        <f>COUNTIF(TableFields[Field],Columns[[#This Row],[Column]])</f>
        <v>0</v>
      </c>
    </row>
    <row r="124" spans="1:10" x14ac:dyDescent="0.25">
      <c r="A124" s="4" t="s">
        <v>975</v>
      </c>
      <c r="B124" s="4" t="s">
        <v>774</v>
      </c>
      <c r="C124" s="2" t="s">
        <v>1281</v>
      </c>
      <c r="D124" s="4" t="s">
        <v>976</v>
      </c>
      <c r="E124" s="4" t="s">
        <v>772</v>
      </c>
      <c r="F124" s="4" t="s">
        <v>977</v>
      </c>
      <c r="G124" s="4"/>
      <c r="H124" s="4"/>
      <c r="I124" s="4"/>
      <c r="J124" s="58">
        <f>COUNTIF(TableFields[Field],Columns[[#This Row],[Column]])</f>
        <v>0</v>
      </c>
    </row>
    <row r="125" spans="1:10" x14ac:dyDescent="0.25">
      <c r="A125" s="4" t="s">
        <v>978</v>
      </c>
      <c r="B125" s="4" t="s">
        <v>828</v>
      </c>
      <c r="C125" s="4" t="s">
        <v>979</v>
      </c>
      <c r="D125" s="4" t="s">
        <v>829</v>
      </c>
      <c r="E125" s="2" t="s">
        <v>830</v>
      </c>
      <c r="F125" s="4"/>
      <c r="G125" s="4"/>
      <c r="H125" s="4"/>
      <c r="I125" s="4"/>
      <c r="J125" s="58">
        <f>COUNTIF(TableFields[Field],Columns[[#This Row],[Column]])</f>
        <v>0</v>
      </c>
    </row>
    <row r="126" spans="1:10" x14ac:dyDescent="0.25">
      <c r="A126" s="2" t="s">
        <v>1272</v>
      </c>
      <c r="B126" s="2" t="s">
        <v>770</v>
      </c>
      <c r="C126" s="2" t="s">
        <v>1276</v>
      </c>
      <c r="D126" s="2">
        <v>15</v>
      </c>
      <c r="E126" s="2" t="s">
        <v>772</v>
      </c>
      <c r="F126" s="2"/>
      <c r="G126" s="2"/>
      <c r="H126" s="2"/>
      <c r="I126" s="2"/>
      <c r="J126" s="59">
        <f>COUNTIF(TableFields[Field],Columns[[#This Row],[Column]])</f>
        <v>0</v>
      </c>
    </row>
    <row r="127" spans="1:10" x14ac:dyDescent="0.25">
      <c r="A127" s="2" t="s">
        <v>1273</v>
      </c>
      <c r="B127" s="2" t="s">
        <v>770</v>
      </c>
      <c r="C127" s="2" t="s">
        <v>1277</v>
      </c>
      <c r="D127" s="2">
        <v>15</v>
      </c>
      <c r="E127" s="2" t="s">
        <v>772</v>
      </c>
      <c r="F127" s="2"/>
      <c r="G127" s="2"/>
      <c r="H127" s="2"/>
      <c r="I127" s="2"/>
      <c r="J127" s="59">
        <f>COUNTIF(TableFields[Field],Columns[[#This Row],[Column]])</f>
        <v>0</v>
      </c>
    </row>
    <row r="128" spans="1:10" x14ac:dyDescent="0.25">
      <c r="A128" s="2" t="s">
        <v>1274</v>
      </c>
      <c r="B128" s="2" t="s">
        <v>770</v>
      </c>
      <c r="C128" s="2" t="s">
        <v>1278</v>
      </c>
      <c r="D128" s="2">
        <v>15</v>
      </c>
      <c r="E128" s="2" t="s">
        <v>772</v>
      </c>
      <c r="F128" s="2"/>
      <c r="G128" s="2"/>
      <c r="H128" s="2"/>
      <c r="I128" s="2"/>
      <c r="J128" s="59">
        <f>COUNTIF(TableFields[Field],Columns[[#This Row],[Column]])</f>
        <v>0</v>
      </c>
    </row>
    <row r="129" spans="1:10" x14ac:dyDescent="0.25">
      <c r="A129" s="2" t="s">
        <v>1275</v>
      </c>
      <c r="B129" s="2" t="s">
        <v>878</v>
      </c>
      <c r="C129" s="2" t="s">
        <v>1279</v>
      </c>
      <c r="D129" s="2"/>
      <c r="E129" s="2" t="s">
        <v>838</v>
      </c>
      <c r="F129" s="2"/>
      <c r="G129" s="2"/>
      <c r="H129" s="2"/>
      <c r="I129" s="2"/>
      <c r="J129" s="59">
        <f>COUNTIF(TableFields[Field],Columns[[#This Row],[Column]])</f>
        <v>0</v>
      </c>
    </row>
    <row r="130" spans="1:10" x14ac:dyDescent="0.25">
      <c r="A130" s="4" t="s">
        <v>980</v>
      </c>
      <c r="B130" s="4" t="s">
        <v>794</v>
      </c>
      <c r="C130" s="4" t="s">
        <v>982</v>
      </c>
      <c r="D130" s="4" t="s">
        <v>914</v>
      </c>
      <c r="E130" s="4"/>
      <c r="F130" s="4"/>
      <c r="G130" s="4"/>
      <c r="H130" s="4"/>
      <c r="I130" s="4"/>
      <c r="J130" s="58">
        <f>COUNTIF(TableFields[Field],Columns[[#This Row],[Column]])</f>
        <v>0</v>
      </c>
    </row>
    <row r="131" spans="1:10" x14ac:dyDescent="0.25">
      <c r="A131" s="4" t="s">
        <v>981</v>
      </c>
      <c r="B131" s="4" t="s">
        <v>794</v>
      </c>
      <c r="C131" s="4" t="s">
        <v>983</v>
      </c>
      <c r="D131" s="4" t="s">
        <v>914</v>
      </c>
      <c r="E131" s="4"/>
      <c r="F131" s="4"/>
      <c r="G131" s="4"/>
      <c r="H131" s="4"/>
      <c r="I131" s="4"/>
      <c r="J131" s="58">
        <f>COUNTIF(TableFields[Field],Columns[[#This Row],[Column]])</f>
        <v>0</v>
      </c>
    </row>
    <row r="132" spans="1:10" x14ac:dyDescent="0.25">
      <c r="A132" s="4" t="s">
        <v>1779</v>
      </c>
      <c r="B132" s="4" t="s">
        <v>798</v>
      </c>
      <c r="C132" s="4" t="s">
        <v>1779</v>
      </c>
      <c r="D132" s="4">
        <v>15</v>
      </c>
      <c r="E132" s="4" t="s">
        <v>772</v>
      </c>
      <c r="F132" s="4"/>
      <c r="G132" s="4"/>
      <c r="H132" s="4"/>
      <c r="I132" s="4"/>
      <c r="J132" s="58">
        <f>COUNTIF(TableFields[Field],Columns[[#This Row],[Column]])</f>
        <v>2</v>
      </c>
    </row>
    <row r="133" spans="1:10" x14ac:dyDescent="0.25">
      <c r="A133" s="4" t="s">
        <v>1780</v>
      </c>
      <c r="B133" s="4" t="s">
        <v>798</v>
      </c>
      <c r="C133" s="4" t="s">
        <v>1780</v>
      </c>
      <c r="D133" s="4">
        <v>15</v>
      </c>
      <c r="E133" s="4" t="s">
        <v>772</v>
      </c>
      <c r="F133" s="4"/>
      <c r="G133" s="4"/>
      <c r="H133" s="4"/>
      <c r="I133" s="4"/>
      <c r="J133" s="58">
        <f>COUNTIF(TableFields[Field],Columns[[#This Row],[Column]])</f>
        <v>1</v>
      </c>
    </row>
    <row r="134" spans="1:10" x14ac:dyDescent="0.25">
      <c r="A134" s="4" t="s">
        <v>1781</v>
      </c>
      <c r="B134" s="4" t="s">
        <v>798</v>
      </c>
      <c r="C134" s="4" t="s">
        <v>1781</v>
      </c>
      <c r="D134" s="4">
        <v>15</v>
      </c>
      <c r="E134" s="4" t="s">
        <v>772</v>
      </c>
      <c r="F134" s="4"/>
      <c r="G134" s="4"/>
      <c r="H134" s="4"/>
      <c r="I134" s="4"/>
      <c r="J134" s="58">
        <f>COUNTIF(TableFields[Field],Columns[[#This Row],[Column]])</f>
        <v>1</v>
      </c>
    </row>
    <row r="135" spans="1:10" x14ac:dyDescent="0.25">
      <c r="A135" s="4" t="s">
        <v>1701</v>
      </c>
      <c r="B135" s="4" t="s">
        <v>770</v>
      </c>
      <c r="C135" s="4" t="s">
        <v>1701</v>
      </c>
      <c r="D135" s="4">
        <v>30</v>
      </c>
      <c r="E135" s="4" t="s">
        <v>772</v>
      </c>
      <c r="F135" s="4" t="s">
        <v>771</v>
      </c>
      <c r="G135" s="4"/>
      <c r="H135" s="4"/>
      <c r="I135" s="4"/>
      <c r="J135" s="58">
        <f>COUNTIF(TableFields[Field],Columns[[#This Row],[Column]])</f>
        <v>5</v>
      </c>
    </row>
    <row r="136" spans="1:10" x14ac:dyDescent="0.25">
      <c r="A136" s="4" t="s">
        <v>1734</v>
      </c>
      <c r="B136" s="4" t="s">
        <v>770</v>
      </c>
      <c r="C136" s="4" t="s">
        <v>1734</v>
      </c>
      <c r="D136" s="4">
        <v>30</v>
      </c>
      <c r="E136" s="4" t="s">
        <v>772</v>
      </c>
      <c r="F136" s="4" t="s">
        <v>771</v>
      </c>
      <c r="G136" s="4"/>
      <c r="H136" s="4"/>
      <c r="I136" s="4"/>
      <c r="J136" s="58">
        <f>COUNTIF(TableFields[Field],Columns[[#This Row],[Column]])</f>
        <v>1</v>
      </c>
    </row>
    <row r="137" spans="1:10" x14ac:dyDescent="0.25">
      <c r="A137" s="4" t="s">
        <v>1735</v>
      </c>
      <c r="B137" s="4" t="s">
        <v>770</v>
      </c>
      <c r="C137" s="4" t="s">
        <v>1735</v>
      </c>
      <c r="D137" s="4">
        <v>30</v>
      </c>
      <c r="E137" s="4" t="s">
        <v>772</v>
      </c>
      <c r="F137" s="4" t="s">
        <v>771</v>
      </c>
      <c r="G137" s="4"/>
      <c r="H137" s="4"/>
      <c r="I137" s="4"/>
      <c r="J137" s="58">
        <f>COUNTIF(TableFields[Field],Columns[[#This Row],[Column]])</f>
        <v>1</v>
      </c>
    </row>
    <row r="138" spans="1:10" x14ac:dyDescent="0.25">
      <c r="A138" s="4" t="s">
        <v>1738</v>
      </c>
      <c r="B138" s="4" t="s">
        <v>774</v>
      </c>
      <c r="C138" s="4" t="s">
        <v>1737</v>
      </c>
      <c r="D138" s="4" t="s">
        <v>1739</v>
      </c>
      <c r="E138" s="4" t="s">
        <v>772</v>
      </c>
      <c r="F138" s="4" t="s">
        <v>1740</v>
      </c>
      <c r="G138" s="4"/>
      <c r="H138" s="4"/>
      <c r="I138" s="4"/>
      <c r="J138" s="58">
        <f>COUNTIF(TableFields[Field],Columns[[#This Row],[Column]])</f>
        <v>1</v>
      </c>
    </row>
    <row r="139" spans="1:10" x14ac:dyDescent="0.25">
      <c r="A139" s="4" t="s">
        <v>1782</v>
      </c>
      <c r="B139" s="4" t="s">
        <v>774</v>
      </c>
      <c r="C139" s="4" t="s">
        <v>1782</v>
      </c>
      <c r="D139" s="4" t="s">
        <v>1783</v>
      </c>
      <c r="E139" s="4" t="s">
        <v>772</v>
      </c>
      <c r="F139" s="4" t="s">
        <v>1740</v>
      </c>
      <c r="G139" s="4"/>
      <c r="H139" s="4"/>
      <c r="I139" s="4"/>
      <c r="J139" s="58">
        <f>COUNTIF(TableFields[Field],Columns[[#This Row],[Column]])</f>
        <v>2</v>
      </c>
    </row>
    <row r="140" spans="1:10" x14ac:dyDescent="0.25">
      <c r="A140" s="4" t="s">
        <v>1741</v>
      </c>
      <c r="B140" s="4" t="s">
        <v>798</v>
      </c>
      <c r="C140" s="4" t="s">
        <v>1741</v>
      </c>
      <c r="D140" s="4">
        <v>60</v>
      </c>
      <c r="E140" s="4" t="s">
        <v>772</v>
      </c>
      <c r="F140" s="4"/>
      <c r="G140" s="4"/>
      <c r="H140" s="4"/>
      <c r="I140" s="4"/>
      <c r="J140" s="58">
        <f>COUNTIF(TableFields[Field],Columns[[#This Row],[Column]])</f>
        <v>1</v>
      </c>
    </row>
    <row r="141" spans="1:10" x14ac:dyDescent="0.25">
      <c r="A141" s="4" t="s">
        <v>1742</v>
      </c>
      <c r="B141" s="4" t="s">
        <v>798</v>
      </c>
      <c r="C141" s="4" t="s">
        <v>1742</v>
      </c>
      <c r="D141" s="4">
        <v>60</v>
      </c>
      <c r="E141" s="4" t="s">
        <v>772</v>
      </c>
      <c r="F141" s="4"/>
      <c r="G141" s="4"/>
      <c r="H141" s="4"/>
      <c r="I141" s="4"/>
      <c r="J141" s="58">
        <f>COUNTIF(TableFields[Field],Columns[[#This Row],[Column]])</f>
        <v>1</v>
      </c>
    </row>
    <row r="142" spans="1:10" x14ac:dyDescent="0.25">
      <c r="A142" s="4" t="s">
        <v>1743</v>
      </c>
      <c r="B142" s="4" t="s">
        <v>842</v>
      </c>
      <c r="C142" s="4" t="s">
        <v>1743</v>
      </c>
      <c r="D142" s="4"/>
      <c r="E142" s="4" t="s">
        <v>772</v>
      </c>
      <c r="F142" s="4"/>
      <c r="G142" s="4"/>
      <c r="H142" s="4"/>
      <c r="I142" s="4"/>
      <c r="J142" s="58">
        <f>COUNTIF(TableFields[Field],Columns[[#This Row],[Column]])</f>
        <v>1</v>
      </c>
    </row>
    <row r="143" spans="1:10" x14ac:dyDescent="0.25">
      <c r="A143" s="4" t="s">
        <v>1772</v>
      </c>
      <c r="B143" s="4" t="s">
        <v>1774</v>
      </c>
      <c r="C143" s="4" t="s">
        <v>1772</v>
      </c>
      <c r="D143" s="4"/>
      <c r="E143" s="4" t="s">
        <v>772</v>
      </c>
      <c r="F143" s="4"/>
      <c r="G143" s="4"/>
      <c r="H143" s="4"/>
      <c r="I143" s="4"/>
      <c r="J143" s="58">
        <f>COUNTIF(TableFields[Field],Columns[[#This Row],[Column]])</f>
        <v>1</v>
      </c>
    </row>
    <row r="144" spans="1:10" x14ac:dyDescent="0.25">
      <c r="A144" s="4" t="s">
        <v>1773</v>
      </c>
      <c r="B144" s="4" t="s">
        <v>1774</v>
      </c>
      <c r="C144" s="4" t="s">
        <v>1773</v>
      </c>
      <c r="D144" s="4"/>
      <c r="E144" s="4" t="s">
        <v>772</v>
      </c>
      <c r="F144" s="4"/>
      <c r="G144" s="4"/>
      <c r="H144" s="4"/>
      <c r="I144" s="4"/>
      <c r="J144" s="58">
        <f>COUNTIF(TableFields[Field],Columns[[#This Row],[Column]])</f>
        <v>1</v>
      </c>
    </row>
    <row r="145" spans="1:10" x14ac:dyDescent="0.25">
      <c r="A145" s="4" t="s">
        <v>1790</v>
      </c>
      <c r="B145" s="4" t="s">
        <v>1774</v>
      </c>
      <c r="C145" s="4" t="s">
        <v>1791</v>
      </c>
      <c r="D145" s="4"/>
      <c r="E145" s="4" t="s">
        <v>772</v>
      </c>
      <c r="F145" s="4" t="s">
        <v>830</v>
      </c>
      <c r="G145" s="4"/>
      <c r="H145" s="4"/>
      <c r="I145" s="4"/>
      <c r="J145" s="58">
        <f>COUNTIF(TableFields[Field],Columns[[#This Row],[Column]])</f>
        <v>1</v>
      </c>
    </row>
    <row r="146" spans="1:10" x14ac:dyDescent="0.25">
      <c r="A146" s="4" t="s">
        <v>1775</v>
      </c>
      <c r="B146" s="4" t="s">
        <v>774</v>
      </c>
      <c r="C146" s="4" t="s">
        <v>964</v>
      </c>
      <c r="D146" s="4" t="s">
        <v>1776</v>
      </c>
      <c r="E146" s="4" t="s">
        <v>772</v>
      </c>
      <c r="F146" s="4" t="s">
        <v>1777</v>
      </c>
      <c r="G146" s="4"/>
      <c r="H146" s="4"/>
      <c r="I146" s="4"/>
      <c r="J146" s="58">
        <f>COUNTIF(TableFields[Field],Columns[[#This Row],[Column]])</f>
        <v>1</v>
      </c>
    </row>
    <row r="147" spans="1:10" x14ac:dyDescent="0.25">
      <c r="A147" s="4" t="s">
        <v>1794</v>
      </c>
      <c r="B147" s="4" t="s">
        <v>794</v>
      </c>
      <c r="C147" s="4" t="s">
        <v>913</v>
      </c>
      <c r="D147" s="4" t="s">
        <v>909</v>
      </c>
      <c r="E147" s="4"/>
      <c r="F147" s="4"/>
      <c r="G147" s="4"/>
      <c r="H147" s="4"/>
      <c r="I147" s="4"/>
      <c r="J147" s="58">
        <f>COUNTIF(TableFields[Field],Columns[[#This Row],[Column]])</f>
        <v>1</v>
      </c>
    </row>
    <row r="148" spans="1:10" x14ac:dyDescent="0.25">
      <c r="A148" s="4" t="s">
        <v>1795</v>
      </c>
      <c r="B148" s="4" t="s">
        <v>828</v>
      </c>
      <c r="C148" s="4" t="s">
        <v>1796</v>
      </c>
      <c r="D148" s="4" t="s">
        <v>829</v>
      </c>
      <c r="E148" s="4" t="s">
        <v>830</v>
      </c>
      <c r="F148" s="4"/>
      <c r="G148" s="4"/>
      <c r="H148" s="4"/>
      <c r="I148" s="4"/>
      <c r="J148" s="58">
        <f>COUNTIF(TableFields[Field],Columns[[#This Row],[Column]])</f>
        <v>1</v>
      </c>
    </row>
    <row r="149" spans="1:10" x14ac:dyDescent="0.25">
      <c r="A149" s="4" t="s">
        <v>1809</v>
      </c>
      <c r="B149" s="4" t="s">
        <v>770</v>
      </c>
      <c r="C149" s="4" t="s">
        <v>1808</v>
      </c>
      <c r="D149" s="4">
        <v>15</v>
      </c>
      <c r="E149" s="4" t="s">
        <v>772</v>
      </c>
      <c r="F149" s="4" t="s">
        <v>771</v>
      </c>
      <c r="G149" s="4"/>
      <c r="H149" s="4"/>
      <c r="I149" s="4"/>
      <c r="J149" s="58">
        <f>COUNTIF(TableFields[Field],Columns[[#This Row],[Column]])</f>
        <v>1</v>
      </c>
    </row>
    <row r="150" spans="1:10" x14ac:dyDescent="0.25">
      <c r="A150" s="4" t="s">
        <v>1810</v>
      </c>
      <c r="B150" s="4" t="s">
        <v>798</v>
      </c>
      <c r="C150" s="4" t="s">
        <v>1811</v>
      </c>
      <c r="D150" s="4">
        <v>30</v>
      </c>
      <c r="E150" s="4" t="s">
        <v>772</v>
      </c>
      <c r="F150" s="4" t="s">
        <v>771</v>
      </c>
      <c r="G150" s="4"/>
      <c r="H150" s="4"/>
      <c r="I150" s="4"/>
      <c r="J150" s="58">
        <f>COUNTIF(TableFields[Field],Columns[[#This Row],[Column]])</f>
        <v>1</v>
      </c>
    </row>
    <row r="151" spans="1:10" x14ac:dyDescent="0.25">
      <c r="A151" s="4" t="s">
        <v>1844</v>
      </c>
      <c r="B151" s="4" t="s">
        <v>798</v>
      </c>
      <c r="C151" s="4" t="s">
        <v>1844</v>
      </c>
      <c r="D151" s="4">
        <v>15</v>
      </c>
      <c r="E151" s="4" t="s">
        <v>772</v>
      </c>
      <c r="F151" s="4"/>
      <c r="G151" s="4"/>
      <c r="H151" s="4"/>
      <c r="I151" s="4"/>
      <c r="J151" s="58">
        <f>COUNTIF(TableFields[Field],Columns[[#This Row],[Column]])</f>
        <v>1</v>
      </c>
    </row>
    <row r="152" spans="1:10" x14ac:dyDescent="0.25">
      <c r="A152" s="5" t="s">
        <v>984</v>
      </c>
      <c r="B152" s="5" t="s">
        <v>770</v>
      </c>
      <c r="C152" s="5" t="s">
        <v>985</v>
      </c>
      <c r="D152" s="5">
        <v>5</v>
      </c>
      <c r="E152" s="5" t="s">
        <v>772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x14ac:dyDescent="0.25">
      <c r="A153" s="5" t="s">
        <v>986</v>
      </c>
      <c r="B153" s="5" t="s">
        <v>770</v>
      </c>
      <c r="C153" s="5" t="s">
        <v>987</v>
      </c>
      <c r="D153" s="5">
        <v>5</v>
      </c>
      <c r="E153" s="5" t="s">
        <v>772</v>
      </c>
      <c r="F153" s="5"/>
      <c r="G153" s="5"/>
      <c r="H153" s="5"/>
      <c r="I153" s="5"/>
      <c r="J153" s="32">
        <f>COUNTIF(TableFields[Field],Columns[[#This Row],[Column]])</f>
        <v>1</v>
      </c>
    </row>
    <row r="154" spans="1:10" x14ac:dyDescent="0.25">
      <c r="A154" s="5" t="s">
        <v>988</v>
      </c>
      <c r="B154" s="5" t="s">
        <v>770</v>
      </c>
      <c r="C154" s="5" t="s">
        <v>989</v>
      </c>
      <c r="D154" s="5">
        <v>5</v>
      </c>
      <c r="E154" s="5" t="s">
        <v>772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x14ac:dyDescent="0.25">
      <c r="A155" s="5" t="s">
        <v>990</v>
      </c>
      <c r="B155" s="5" t="s">
        <v>770</v>
      </c>
      <c r="C155" s="5" t="s">
        <v>991</v>
      </c>
      <c r="D155" s="5">
        <v>5</v>
      </c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x14ac:dyDescent="0.25">
      <c r="A156" s="5" t="s">
        <v>992</v>
      </c>
      <c r="B156" s="5" t="s">
        <v>770</v>
      </c>
      <c r="C156" s="5" t="s">
        <v>993</v>
      </c>
      <c r="D156" s="5">
        <v>20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1</v>
      </c>
    </row>
    <row r="157" spans="1:10" x14ac:dyDescent="0.25">
      <c r="A157" s="5" t="s">
        <v>994</v>
      </c>
      <c r="B157" s="5" t="s">
        <v>828</v>
      </c>
      <c r="C157" s="5" t="s">
        <v>995</v>
      </c>
      <c r="D157" s="5" t="s">
        <v>1030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1</v>
      </c>
    </row>
    <row r="158" spans="1:10" x14ac:dyDescent="0.25">
      <c r="A158" s="5" t="s">
        <v>996</v>
      </c>
      <c r="B158" s="5" t="s">
        <v>828</v>
      </c>
      <c r="C158" s="5" t="s">
        <v>997</v>
      </c>
      <c r="D158" s="5" t="s">
        <v>1030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0</v>
      </c>
    </row>
    <row r="159" spans="1:10" x14ac:dyDescent="0.25">
      <c r="A159" s="5" t="s">
        <v>998</v>
      </c>
      <c r="B159" s="5" t="s">
        <v>842</v>
      </c>
      <c r="C159" s="5" t="s">
        <v>999</v>
      </c>
      <c r="D159" s="5"/>
      <c r="E159" s="5" t="s">
        <v>772</v>
      </c>
      <c r="F159" s="5"/>
      <c r="G159" s="5"/>
      <c r="H159" s="5"/>
      <c r="I159" s="5"/>
      <c r="J159" s="32">
        <f>COUNTIF(TableFields[Field],Columns[[#This Row],[Column]])</f>
        <v>1</v>
      </c>
    </row>
    <row r="160" spans="1:10" x14ac:dyDescent="0.25">
      <c r="A160" s="5" t="s">
        <v>1000</v>
      </c>
      <c r="B160" s="5" t="s">
        <v>770</v>
      </c>
      <c r="C160" s="5" t="s">
        <v>1001</v>
      </c>
      <c r="D160" s="5">
        <v>5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1</v>
      </c>
    </row>
    <row r="161" spans="1:10" x14ac:dyDescent="0.25">
      <c r="A161" s="5" t="s">
        <v>1002</v>
      </c>
      <c r="B161" s="5" t="s">
        <v>770</v>
      </c>
      <c r="C161" s="5" t="s">
        <v>1003</v>
      </c>
      <c r="D161" s="5">
        <v>5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x14ac:dyDescent="0.25">
      <c r="A162" s="5" t="s">
        <v>1004</v>
      </c>
      <c r="B162" s="5" t="s">
        <v>770</v>
      </c>
      <c r="C162" s="5" t="s">
        <v>1005</v>
      </c>
      <c r="D162" s="5">
        <v>15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x14ac:dyDescent="0.25">
      <c r="A163" s="5" t="s">
        <v>1006</v>
      </c>
      <c r="B163" s="5" t="s">
        <v>798</v>
      </c>
      <c r="C163" s="5" t="s">
        <v>1029</v>
      </c>
      <c r="D163" s="5">
        <v>60</v>
      </c>
      <c r="E163" s="5" t="s">
        <v>772</v>
      </c>
      <c r="F163" s="5"/>
      <c r="G163" s="5"/>
      <c r="H163" s="5"/>
      <c r="I163" s="5"/>
      <c r="J163" s="32">
        <f>COUNTIF(TableFields[Field],Columns[[#This Row],[Column]])</f>
        <v>0</v>
      </c>
    </row>
    <row r="164" spans="1:10" x14ac:dyDescent="0.25">
      <c r="A164" s="5" t="s">
        <v>1007</v>
      </c>
      <c r="B164" s="5" t="s">
        <v>842</v>
      </c>
      <c r="C164" s="5" t="s">
        <v>1008</v>
      </c>
      <c r="D164" s="5"/>
      <c r="E164" s="5" t="s">
        <v>772</v>
      </c>
      <c r="F164" s="5"/>
      <c r="G164" s="5"/>
      <c r="H164" s="5"/>
      <c r="I164" s="5"/>
      <c r="J164" s="32">
        <f>COUNTIF(TableFields[Field],Columns[[#This Row],[Column]])</f>
        <v>0</v>
      </c>
    </row>
    <row r="165" spans="1:10" x14ac:dyDescent="0.25">
      <c r="A165" s="5" t="s">
        <v>1009</v>
      </c>
      <c r="B165" s="5" t="s">
        <v>842</v>
      </c>
      <c r="C165" s="5" t="s">
        <v>1010</v>
      </c>
      <c r="D165" s="5"/>
      <c r="E165" s="5" t="s">
        <v>772</v>
      </c>
      <c r="F165" s="5"/>
      <c r="G165" s="5"/>
      <c r="H165" s="5"/>
      <c r="I165" s="5"/>
      <c r="J165" s="32">
        <f>COUNTIF(TableFields[Field],Columns[[#This Row],[Column]])</f>
        <v>0</v>
      </c>
    </row>
    <row r="166" spans="1:10" x14ac:dyDescent="0.25">
      <c r="A166" s="5" t="s">
        <v>1011</v>
      </c>
      <c r="B166" s="5" t="s">
        <v>828</v>
      </c>
      <c r="C166" s="5" t="s">
        <v>1012</v>
      </c>
      <c r="D166" s="5" t="s">
        <v>829</v>
      </c>
      <c r="E166" s="5" t="s">
        <v>830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x14ac:dyDescent="0.25">
      <c r="A167" s="5" t="s">
        <v>1013</v>
      </c>
      <c r="B167" s="5" t="s">
        <v>828</v>
      </c>
      <c r="C167" s="5" t="s">
        <v>1014</v>
      </c>
      <c r="D167" s="5" t="s">
        <v>866</v>
      </c>
      <c r="E167" s="5" t="s">
        <v>838</v>
      </c>
      <c r="F167" s="5"/>
      <c r="G167" s="5"/>
      <c r="H167" s="5"/>
      <c r="I167" s="5"/>
      <c r="J167" s="32">
        <f>COUNTIF(TableFields[Field],Columns[[#This Row],[Column]])</f>
        <v>1</v>
      </c>
    </row>
    <row r="168" spans="1:10" x14ac:dyDescent="0.25">
      <c r="A168" s="5" t="s">
        <v>1015</v>
      </c>
      <c r="B168" s="5" t="s">
        <v>774</v>
      </c>
      <c r="C168" s="5" t="s">
        <v>1016</v>
      </c>
      <c r="D168" s="5" t="s">
        <v>1031</v>
      </c>
      <c r="E168" s="5" t="s">
        <v>1032</v>
      </c>
      <c r="F168" s="5"/>
      <c r="G168" s="5"/>
      <c r="H168" s="5"/>
      <c r="I168" s="5"/>
      <c r="J168" s="32">
        <f>COUNTIF(TableFields[Field],Columns[[#This Row],[Column]])</f>
        <v>0</v>
      </c>
    </row>
    <row r="169" spans="1:10" x14ac:dyDescent="0.25">
      <c r="A169" s="5" t="s">
        <v>1017</v>
      </c>
      <c r="B169" s="5" t="s">
        <v>774</v>
      </c>
      <c r="C169" s="5" t="s">
        <v>1018</v>
      </c>
      <c r="D169" s="5" t="s">
        <v>1033</v>
      </c>
      <c r="E169" s="5" t="s">
        <v>1034</v>
      </c>
      <c r="F169" s="5"/>
      <c r="G169" s="5"/>
      <c r="H169" s="5"/>
      <c r="I169" s="5"/>
      <c r="J169" s="32">
        <f>COUNTIF(TableFields[Field],Columns[[#This Row],[Column]])</f>
        <v>1</v>
      </c>
    </row>
    <row r="170" spans="1:10" x14ac:dyDescent="0.25">
      <c r="A170" s="5" t="s">
        <v>1027</v>
      </c>
      <c r="B170" s="5" t="s">
        <v>828</v>
      </c>
      <c r="C170" s="5" t="s">
        <v>1028</v>
      </c>
      <c r="D170" s="5" t="s">
        <v>1030</v>
      </c>
      <c r="E170" s="5" t="s">
        <v>838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x14ac:dyDescent="0.25">
      <c r="A171" s="5" t="s">
        <v>1035</v>
      </c>
      <c r="B171" s="5" t="s">
        <v>770</v>
      </c>
      <c r="C171" s="5" t="s">
        <v>1036</v>
      </c>
      <c r="D171" s="5">
        <v>15</v>
      </c>
      <c r="E171" s="5" t="s">
        <v>772</v>
      </c>
      <c r="F171" s="5"/>
      <c r="G171" s="5"/>
      <c r="H171" s="5"/>
      <c r="I171" s="5"/>
      <c r="J171" s="32">
        <f>COUNTIF(TableFields[Field],Columns[[#This Row],[Column]])</f>
        <v>0</v>
      </c>
    </row>
    <row r="172" spans="1:10" x14ac:dyDescent="0.25">
      <c r="A172" s="5" t="s">
        <v>1037</v>
      </c>
      <c r="B172" s="5" t="s">
        <v>770</v>
      </c>
      <c r="C172" s="5" t="s">
        <v>1038</v>
      </c>
      <c r="D172" s="5">
        <v>15</v>
      </c>
      <c r="E172" s="5" t="s">
        <v>772</v>
      </c>
      <c r="F172" s="5"/>
      <c r="G172" s="5"/>
      <c r="H172" s="5"/>
      <c r="I172" s="5"/>
      <c r="J172" s="32">
        <f>COUNTIF(TableFields[Field],Columns[[#This Row],[Column]])</f>
        <v>0</v>
      </c>
    </row>
    <row r="173" spans="1:10" x14ac:dyDescent="0.25">
      <c r="A173" s="5" t="s">
        <v>1039</v>
      </c>
      <c r="B173" s="5" t="s">
        <v>798</v>
      </c>
      <c r="C173" s="5" t="s">
        <v>1040</v>
      </c>
      <c r="D173" s="5">
        <v>60</v>
      </c>
      <c r="E173" s="5" t="s">
        <v>772</v>
      </c>
      <c r="F173" s="5"/>
      <c r="G173" s="5"/>
      <c r="H173" s="5"/>
      <c r="I173" s="5"/>
      <c r="J173" s="32">
        <f>COUNTIF(TableFields[Field],Columns[[#This Row],[Column]])</f>
        <v>0</v>
      </c>
    </row>
    <row r="174" spans="1:10" x14ac:dyDescent="0.25">
      <c r="A174" s="5" t="s">
        <v>1041</v>
      </c>
      <c r="B174" s="5" t="s">
        <v>842</v>
      </c>
      <c r="C174" s="5" t="s">
        <v>1042</v>
      </c>
      <c r="D174" s="5"/>
      <c r="E174" s="5" t="s">
        <v>772</v>
      </c>
      <c r="F174" s="5"/>
      <c r="G174" s="5"/>
      <c r="H174" s="5"/>
      <c r="I174" s="5"/>
      <c r="J174" s="32">
        <f>COUNTIF(TableFields[Field],Columns[[#This Row],[Column]])</f>
        <v>0</v>
      </c>
    </row>
    <row r="175" spans="1:10" x14ac:dyDescent="0.25">
      <c r="A175" s="5" t="s">
        <v>1043</v>
      </c>
      <c r="B175" s="5" t="s">
        <v>842</v>
      </c>
      <c r="C175" s="5" t="s">
        <v>1044</v>
      </c>
      <c r="D175" s="5"/>
      <c r="E175" s="5" t="s">
        <v>772</v>
      </c>
      <c r="F175" s="5"/>
      <c r="G175" s="5"/>
      <c r="H175" s="5"/>
      <c r="I175" s="5"/>
      <c r="J175" s="32">
        <f>COUNTIF(TableFields[Field],Columns[[#This Row],[Column]])</f>
        <v>0</v>
      </c>
    </row>
    <row r="176" spans="1:10" x14ac:dyDescent="0.25">
      <c r="A176" s="5" t="s">
        <v>1045</v>
      </c>
      <c r="B176" s="5" t="s">
        <v>842</v>
      </c>
      <c r="C176" s="5" t="s">
        <v>1046</v>
      </c>
      <c r="D176" s="5"/>
      <c r="E176" s="5" t="s">
        <v>772</v>
      </c>
      <c r="F176" s="5"/>
      <c r="G176" s="5"/>
      <c r="H176" s="5"/>
      <c r="I176" s="5"/>
      <c r="J176" s="32">
        <f>COUNTIF(TableFields[Field],Columns[[#This Row],[Column]])</f>
        <v>0</v>
      </c>
    </row>
    <row r="177" spans="1:10" x14ac:dyDescent="0.25">
      <c r="A177" s="5" t="s">
        <v>1047</v>
      </c>
      <c r="B177" s="5" t="s">
        <v>774</v>
      </c>
      <c r="C177" s="5" t="s">
        <v>1048</v>
      </c>
      <c r="D177" s="5" t="s">
        <v>1063</v>
      </c>
      <c r="E177" s="5" t="s">
        <v>1064</v>
      </c>
      <c r="F177" s="5"/>
      <c r="G177" s="5"/>
      <c r="H177" s="5"/>
      <c r="I177" s="5"/>
      <c r="J177" s="32">
        <f>COUNTIF(TableFields[Field],Columns[[#This Row],[Column]])</f>
        <v>0</v>
      </c>
    </row>
    <row r="178" spans="1:10" x14ac:dyDescent="0.25">
      <c r="A178" s="5" t="s">
        <v>1025</v>
      </c>
      <c r="B178" s="5" t="s">
        <v>774</v>
      </c>
      <c r="C178" s="5" t="s">
        <v>1026</v>
      </c>
      <c r="D178" s="5" t="s">
        <v>955</v>
      </c>
      <c r="E178" s="5" t="s">
        <v>959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x14ac:dyDescent="0.25">
      <c r="A179" s="5" t="s">
        <v>1049</v>
      </c>
      <c r="B179" s="5" t="s">
        <v>774</v>
      </c>
      <c r="C179" s="5" t="s">
        <v>1050</v>
      </c>
      <c r="D179" s="5" t="s">
        <v>1065</v>
      </c>
      <c r="E179" s="5" t="s">
        <v>1067</v>
      </c>
      <c r="F179" s="5"/>
      <c r="G179" s="5"/>
      <c r="H179" s="5"/>
      <c r="I179" s="5"/>
      <c r="J179" s="32">
        <f>COUNTIF(TableFields[Field],Columns[[#This Row],[Column]])</f>
        <v>0</v>
      </c>
    </row>
    <row r="180" spans="1:10" x14ac:dyDescent="0.25">
      <c r="A180" s="5" t="s">
        <v>1051</v>
      </c>
      <c r="B180" s="5" t="s">
        <v>842</v>
      </c>
      <c r="C180" s="5" t="s">
        <v>1052</v>
      </c>
      <c r="D180" s="5"/>
      <c r="E180" s="5" t="s">
        <v>772</v>
      </c>
      <c r="F180" s="5"/>
      <c r="G180" s="5"/>
      <c r="H180" s="5"/>
      <c r="I180" s="5"/>
      <c r="J180" s="32">
        <f>COUNTIF(TableFields[Field],Columns[[#This Row],[Column]])</f>
        <v>0</v>
      </c>
    </row>
    <row r="181" spans="1:10" x14ac:dyDescent="0.25">
      <c r="A181" s="5" t="s">
        <v>1053</v>
      </c>
      <c r="B181" s="5" t="s">
        <v>770</v>
      </c>
      <c r="C181" s="5" t="s">
        <v>1054</v>
      </c>
      <c r="D181" s="5">
        <v>5</v>
      </c>
      <c r="E181" s="5" t="s">
        <v>772</v>
      </c>
      <c r="F181" s="5"/>
      <c r="G181" s="5"/>
      <c r="H181" s="5"/>
      <c r="I181" s="5"/>
      <c r="J181" s="32">
        <f>COUNTIF(TableFields[Field],Columns[[#This Row],[Column]])</f>
        <v>1</v>
      </c>
    </row>
    <row r="182" spans="1:10" x14ac:dyDescent="0.25">
      <c r="A182" s="5" t="s">
        <v>1055</v>
      </c>
      <c r="B182" s="5" t="s">
        <v>770</v>
      </c>
      <c r="C182" s="5" t="s">
        <v>1056</v>
      </c>
      <c r="D182" s="5">
        <v>5</v>
      </c>
      <c r="E182" s="5" t="s">
        <v>772</v>
      </c>
      <c r="F182" s="5"/>
      <c r="G182" s="5"/>
      <c r="H182" s="5"/>
      <c r="I182" s="5"/>
      <c r="J182" s="32">
        <f>COUNTIF(TableFields[Field],Columns[[#This Row],[Column]])</f>
        <v>1</v>
      </c>
    </row>
    <row r="183" spans="1:10" x14ac:dyDescent="0.25">
      <c r="A183" s="5" t="s">
        <v>1057</v>
      </c>
      <c r="B183" s="5" t="s">
        <v>770</v>
      </c>
      <c r="C183" s="5" t="s">
        <v>1058</v>
      </c>
      <c r="D183" s="5">
        <v>5</v>
      </c>
      <c r="E183" s="5" t="s">
        <v>772</v>
      </c>
      <c r="F183" s="5"/>
      <c r="G183" s="5"/>
      <c r="H183" s="5"/>
      <c r="I183" s="5"/>
      <c r="J183" s="32">
        <f>COUNTIF(TableFields[Field],Columns[[#This Row],[Column]])</f>
        <v>1</v>
      </c>
    </row>
    <row r="184" spans="1:10" x14ac:dyDescent="0.25">
      <c r="A184" s="5" t="s">
        <v>1059</v>
      </c>
      <c r="B184" s="5" t="s">
        <v>770</v>
      </c>
      <c r="C184" s="5" t="s">
        <v>1060</v>
      </c>
      <c r="D184" s="5">
        <v>5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x14ac:dyDescent="0.25">
      <c r="A185" s="5" t="s">
        <v>1061</v>
      </c>
      <c r="B185" s="5" t="s">
        <v>770</v>
      </c>
      <c r="C185" s="5" t="s">
        <v>1062</v>
      </c>
      <c r="D185" s="5">
        <v>20</v>
      </c>
      <c r="E185" s="5" t="s">
        <v>772</v>
      </c>
      <c r="F185" s="5"/>
      <c r="G185" s="5"/>
      <c r="H185" s="5"/>
      <c r="I185" s="5"/>
      <c r="J185" s="32">
        <f>COUNTIF(TableFields[Field],Columns[[#This Row],[Column]])</f>
        <v>1</v>
      </c>
    </row>
    <row r="186" spans="1:10" x14ac:dyDescent="0.25">
      <c r="A186" s="5" t="s">
        <v>1069</v>
      </c>
      <c r="B186" s="5" t="s">
        <v>828</v>
      </c>
      <c r="C186" s="5" t="s">
        <v>1070</v>
      </c>
      <c r="D186" s="5" t="s">
        <v>1068</v>
      </c>
      <c r="E186" s="5" t="s">
        <v>772</v>
      </c>
      <c r="F186" s="5"/>
      <c r="G186" s="5"/>
      <c r="H186" s="5"/>
      <c r="I186" s="5"/>
      <c r="J186" s="32">
        <f>COUNTIF(TableFields[Field],Columns[[#This Row],[Column]])</f>
        <v>1</v>
      </c>
    </row>
    <row r="187" spans="1:10" x14ac:dyDescent="0.25">
      <c r="A187" s="5" t="s">
        <v>1071</v>
      </c>
      <c r="B187" s="5" t="s">
        <v>798</v>
      </c>
      <c r="C187" s="5" t="s">
        <v>1072</v>
      </c>
      <c r="D187" s="5">
        <v>60</v>
      </c>
      <c r="E187" s="5" t="s">
        <v>772</v>
      </c>
      <c r="F187" s="5"/>
      <c r="G187" s="5"/>
      <c r="H187" s="5"/>
      <c r="I187" s="5"/>
      <c r="J187" s="32">
        <f>COUNTIF(TableFields[Field],Columns[[#This Row],[Column]])</f>
        <v>1</v>
      </c>
    </row>
    <row r="188" spans="1:10" x14ac:dyDescent="0.25">
      <c r="A188" s="5" t="s">
        <v>1073</v>
      </c>
      <c r="B188" s="5" t="s">
        <v>842</v>
      </c>
      <c r="C188" s="5" t="s">
        <v>1074</v>
      </c>
      <c r="D188" s="5"/>
      <c r="E188" s="5" t="s">
        <v>772</v>
      </c>
      <c r="F188" s="5"/>
      <c r="G188" s="5"/>
      <c r="H188" s="5"/>
      <c r="I188" s="5"/>
      <c r="J188" s="32">
        <f>COUNTIF(TableFields[Field],Columns[[#This Row],[Column]])</f>
        <v>1</v>
      </c>
    </row>
    <row r="189" spans="1:10" x14ac:dyDescent="0.25">
      <c r="A189" s="5" t="s">
        <v>1075</v>
      </c>
      <c r="B189" s="5" t="s">
        <v>798</v>
      </c>
      <c r="C189" s="5" t="s">
        <v>1076</v>
      </c>
      <c r="D189" s="5">
        <v>255</v>
      </c>
      <c r="E189" s="5" t="s">
        <v>772</v>
      </c>
      <c r="F189" s="5"/>
      <c r="G189" s="5"/>
      <c r="H189" s="5"/>
      <c r="I189" s="5"/>
      <c r="J189" s="32">
        <f>COUNTIF(TableFields[Field],Columns[[#This Row],[Column]])</f>
        <v>1</v>
      </c>
    </row>
    <row r="190" spans="1:10" x14ac:dyDescent="0.25">
      <c r="A190" s="5" t="s">
        <v>1077</v>
      </c>
      <c r="B190" s="5" t="s">
        <v>798</v>
      </c>
      <c r="C190" s="5" t="s">
        <v>1078</v>
      </c>
      <c r="D190" s="5">
        <v>255</v>
      </c>
      <c r="E190" s="5" t="s">
        <v>772</v>
      </c>
      <c r="F190" s="5"/>
      <c r="G190" s="5"/>
      <c r="H190" s="5"/>
      <c r="I190" s="5"/>
      <c r="J190" s="32">
        <f>COUNTIF(TableFields[Field],Columns[[#This Row],[Column]])</f>
        <v>1</v>
      </c>
    </row>
    <row r="191" spans="1:10" x14ac:dyDescent="0.25">
      <c r="A191" s="5" t="s">
        <v>1079</v>
      </c>
      <c r="B191" s="5" t="s">
        <v>828</v>
      </c>
      <c r="C191" s="5" t="s">
        <v>1080</v>
      </c>
      <c r="D191" s="5" t="s">
        <v>1068</v>
      </c>
      <c r="E191" s="5" t="s">
        <v>772</v>
      </c>
      <c r="F191" s="5"/>
      <c r="G191" s="5"/>
      <c r="H191" s="5"/>
      <c r="I191" s="5"/>
      <c r="J191" s="32">
        <f>COUNTIF(TableFields[Field],Columns[[#This Row],[Column]])</f>
        <v>1</v>
      </c>
    </row>
    <row r="192" spans="1:10" x14ac:dyDescent="0.25">
      <c r="A192" s="5" t="s">
        <v>1019</v>
      </c>
      <c r="B192" s="5" t="s">
        <v>774</v>
      </c>
      <c r="C192" s="5" t="s">
        <v>1020</v>
      </c>
      <c r="D192" s="5" t="s">
        <v>1063</v>
      </c>
      <c r="E192" s="5" t="s">
        <v>772</v>
      </c>
      <c r="F192" s="5" t="s">
        <v>1064</v>
      </c>
      <c r="G192" s="5"/>
      <c r="H192" s="5"/>
      <c r="I192" s="5"/>
      <c r="J192" s="32">
        <f>COUNTIF(TableFields[Field],Columns[[#This Row],[Column]])</f>
        <v>1</v>
      </c>
    </row>
    <row r="193" spans="1:10" x14ac:dyDescent="0.25">
      <c r="A193" s="5" t="s">
        <v>1021</v>
      </c>
      <c r="B193" s="5" t="s">
        <v>774</v>
      </c>
      <c r="C193" s="5" t="s">
        <v>1022</v>
      </c>
      <c r="D193" s="5" t="s">
        <v>1081</v>
      </c>
      <c r="E193" s="5" t="s">
        <v>772</v>
      </c>
      <c r="F193" s="5" t="s">
        <v>1083</v>
      </c>
      <c r="G193" s="5"/>
      <c r="H193" s="5"/>
      <c r="I193" s="5"/>
      <c r="J193" s="32">
        <f>COUNTIF(TableFields[Field],Columns[[#This Row],[Column]])</f>
        <v>1</v>
      </c>
    </row>
    <row r="194" spans="1:10" x14ac:dyDescent="0.25">
      <c r="A194" s="5" t="s">
        <v>1023</v>
      </c>
      <c r="B194" s="5" t="s">
        <v>774</v>
      </c>
      <c r="C194" s="5" t="s">
        <v>1024</v>
      </c>
      <c r="D194" s="5" t="s">
        <v>1082</v>
      </c>
      <c r="E194" s="5" t="s">
        <v>772</v>
      </c>
      <c r="F194" s="5" t="s">
        <v>1084</v>
      </c>
      <c r="G194" s="5"/>
      <c r="H194" s="5"/>
      <c r="I194" s="5"/>
      <c r="J194" s="32">
        <f>COUNTIF(TableFields[Field],Columns[[#This Row],[Column]])</f>
        <v>1</v>
      </c>
    </row>
    <row r="195" spans="1:10" x14ac:dyDescent="0.25">
      <c r="A195" s="5" t="s">
        <v>1086</v>
      </c>
      <c r="B195" s="5" t="s">
        <v>770</v>
      </c>
      <c r="C195" s="5" t="s">
        <v>1087</v>
      </c>
      <c r="D195" s="5">
        <v>15</v>
      </c>
      <c r="E195" s="5" t="s">
        <v>772</v>
      </c>
      <c r="F195" s="5"/>
      <c r="G195" s="5"/>
      <c r="H195" s="5"/>
      <c r="I195" s="5"/>
      <c r="J195" s="32">
        <f>COUNTIF(TableFields[Field],Columns[[#This Row],[Column]])</f>
        <v>1</v>
      </c>
    </row>
    <row r="196" spans="1:10" x14ac:dyDescent="0.25">
      <c r="A196" s="5" t="s">
        <v>1088</v>
      </c>
      <c r="B196" s="5" t="s">
        <v>774</v>
      </c>
      <c r="C196" s="5" t="s">
        <v>1089</v>
      </c>
      <c r="D196" s="5" t="s">
        <v>1090</v>
      </c>
      <c r="E196" s="5" t="s">
        <v>772</v>
      </c>
      <c r="F196" s="5" t="s">
        <v>1034</v>
      </c>
      <c r="G196" s="5"/>
      <c r="H196" s="5"/>
      <c r="I196" s="5"/>
      <c r="J196" s="32">
        <f>COUNTIF(TableFields[Field],Columns[[#This Row],[Column]])</f>
        <v>1</v>
      </c>
    </row>
    <row r="197" spans="1:10" x14ac:dyDescent="0.25">
      <c r="A197" s="5" t="s">
        <v>1091</v>
      </c>
      <c r="B197" s="5" t="s">
        <v>828</v>
      </c>
      <c r="C197" s="5" t="s">
        <v>1092</v>
      </c>
      <c r="D197" s="5" t="s">
        <v>1030</v>
      </c>
      <c r="E197" s="5" t="s">
        <v>772</v>
      </c>
      <c r="F197" s="5" t="s">
        <v>1268</v>
      </c>
      <c r="G197" s="5"/>
      <c r="H197" s="5"/>
      <c r="I197" s="5"/>
      <c r="J197" s="32">
        <f>COUNTIF(TableFields[Field],Columns[[#This Row],[Column]])</f>
        <v>1</v>
      </c>
    </row>
    <row r="198" spans="1:10" x14ac:dyDescent="0.25">
      <c r="A198" s="5" t="s">
        <v>1093</v>
      </c>
      <c r="B198" s="5" t="s">
        <v>828</v>
      </c>
      <c r="C198" s="5" t="s">
        <v>1094</v>
      </c>
      <c r="D198" s="5" t="s">
        <v>1030</v>
      </c>
      <c r="E198" s="5" t="s">
        <v>772</v>
      </c>
      <c r="F198" s="5" t="s">
        <v>1269</v>
      </c>
      <c r="G198" s="5"/>
      <c r="H198" s="5"/>
      <c r="I198" s="5"/>
      <c r="J198" s="32">
        <f>COUNTIF(TableFields[Field],Columns[[#This Row],[Column]])</f>
        <v>1</v>
      </c>
    </row>
    <row r="199" spans="1:10" x14ac:dyDescent="0.25">
      <c r="A199" s="5" t="s">
        <v>1095</v>
      </c>
      <c r="B199" s="5" t="s">
        <v>828</v>
      </c>
      <c r="C199" s="5" t="s">
        <v>1096</v>
      </c>
      <c r="D199" s="5" t="s">
        <v>1030</v>
      </c>
      <c r="E199" s="5" t="s">
        <v>772</v>
      </c>
      <c r="F199" s="5" t="s">
        <v>1269</v>
      </c>
      <c r="G199" s="5"/>
      <c r="H199" s="5"/>
      <c r="I199" s="5"/>
      <c r="J199" s="32">
        <f>COUNTIF(TableFields[Field],Columns[[#This Row],[Column]])</f>
        <v>1</v>
      </c>
    </row>
    <row r="200" spans="1:10" x14ac:dyDescent="0.25">
      <c r="A200" s="5" t="s">
        <v>1097</v>
      </c>
      <c r="B200" s="5" t="s">
        <v>828</v>
      </c>
      <c r="C200" s="5" t="s">
        <v>1098</v>
      </c>
      <c r="D200" s="5" t="s">
        <v>1030</v>
      </c>
      <c r="E200" s="5" t="s">
        <v>772</v>
      </c>
      <c r="F200" s="5" t="s">
        <v>1270</v>
      </c>
      <c r="G200" s="5"/>
      <c r="H200" s="5"/>
      <c r="I200" s="5"/>
      <c r="J200" s="32">
        <f>COUNTIF(TableFields[Field],Columns[[#This Row],[Column]])</f>
        <v>1</v>
      </c>
    </row>
    <row r="201" spans="1:10" x14ac:dyDescent="0.25">
      <c r="A201" s="5" t="s">
        <v>1099</v>
      </c>
      <c r="B201" s="5" t="s">
        <v>774</v>
      </c>
      <c r="C201" s="5" t="s">
        <v>1100</v>
      </c>
      <c r="D201" s="5" t="s">
        <v>955</v>
      </c>
      <c r="E201" s="5" t="s">
        <v>772</v>
      </c>
      <c r="F201" s="5"/>
      <c r="G201" s="5"/>
      <c r="H201" s="5"/>
      <c r="I201" s="5"/>
      <c r="J201" s="32">
        <f>COUNTIF(TableFields[Field],Columns[[#This Row],[Column]])</f>
        <v>1</v>
      </c>
    </row>
    <row r="202" spans="1:10" x14ac:dyDescent="0.25">
      <c r="A202" s="5" t="s">
        <v>1101</v>
      </c>
      <c r="B202" s="5" t="s">
        <v>774</v>
      </c>
      <c r="C202" s="5" t="s">
        <v>1102</v>
      </c>
      <c r="D202" s="5" t="s">
        <v>955</v>
      </c>
      <c r="E202" s="5" t="s">
        <v>772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x14ac:dyDescent="0.25">
      <c r="A203" s="5" t="s">
        <v>1103</v>
      </c>
      <c r="B203" s="5" t="s">
        <v>774</v>
      </c>
      <c r="C203" s="5" t="s">
        <v>1104</v>
      </c>
      <c r="D203" s="5" t="s">
        <v>955</v>
      </c>
      <c r="E203" s="5" t="s">
        <v>772</v>
      </c>
      <c r="F203" s="5"/>
      <c r="G203" s="5"/>
      <c r="H203" s="5"/>
      <c r="I203" s="5"/>
      <c r="J203" s="32">
        <f>COUNTIF(TableFields[Field],Columns[[#This Row],[Column]])</f>
        <v>1</v>
      </c>
    </row>
    <row r="204" spans="1:10" x14ac:dyDescent="0.25">
      <c r="A204" s="5" t="s">
        <v>1105</v>
      </c>
      <c r="B204" s="5" t="s">
        <v>774</v>
      </c>
      <c r="C204" s="5" t="s">
        <v>1106</v>
      </c>
      <c r="D204" s="5" t="s">
        <v>955</v>
      </c>
      <c r="E204" s="5" t="s">
        <v>772</v>
      </c>
      <c r="F204" s="5"/>
      <c r="G204" s="5"/>
      <c r="H204" s="5"/>
      <c r="I204" s="5"/>
      <c r="J204" s="32">
        <f>COUNTIF(TableFields[Field],Columns[[#This Row],[Column]])</f>
        <v>1</v>
      </c>
    </row>
    <row r="205" spans="1:10" x14ac:dyDescent="0.25">
      <c r="A205" s="5" t="s">
        <v>1107</v>
      </c>
      <c r="B205" s="5" t="s">
        <v>798</v>
      </c>
      <c r="C205" s="5" t="s">
        <v>1108</v>
      </c>
      <c r="D205" s="5">
        <v>30</v>
      </c>
      <c r="E205" s="5" t="s">
        <v>772</v>
      </c>
      <c r="F205" s="5" t="s">
        <v>1109</v>
      </c>
      <c r="G205" s="5"/>
      <c r="H205" s="5"/>
      <c r="I205" s="5"/>
      <c r="J205" s="32">
        <f>COUNTIF(TableFields[Field],Columns[[#This Row],[Column]])</f>
        <v>1</v>
      </c>
    </row>
    <row r="206" spans="1:10" x14ac:dyDescent="0.25">
      <c r="A206" s="5" t="s">
        <v>1110</v>
      </c>
      <c r="B206" s="5" t="s">
        <v>798</v>
      </c>
      <c r="C206" s="5" t="s">
        <v>1111</v>
      </c>
      <c r="D206" s="5">
        <v>30</v>
      </c>
      <c r="E206" s="5" t="s">
        <v>772</v>
      </c>
      <c r="F206" s="5" t="s">
        <v>1109</v>
      </c>
      <c r="G206" s="5"/>
      <c r="H206" s="5"/>
      <c r="I206" s="5"/>
      <c r="J206" s="32">
        <f>COUNTIF(TableFields[Field],Columns[[#This Row],[Column]])</f>
        <v>1</v>
      </c>
    </row>
    <row r="207" spans="1:10" x14ac:dyDescent="0.25">
      <c r="A207" s="5" t="s">
        <v>1112</v>
      </c>
      <c r="B207" s="5" t="s">
        <v>798</v>
      </c>
      <c r="C207" s="5" t="s">
        <v>1113</v>
      </c>
      <c r="D207" s="5">
        <v>30</v>
      </c>
      <c r="E207" s="5" t="s">
        <v>772</v>
      </c>
      <c r="F207" s="5" t="s">
        <v>1109</v>
      </c>
      <c r="G207" s="5"/>
      <c r="H207" s="5"/>
      <c r="I207" s="5"/>
      <c r="J207" s="32">
        <f>COUNTIF(TableFields[Field],Columns[[#This Row],[Column]])</f>
        <v>1</v>
      </c>
    </row>
    <row r="208" spans="1:10" x14ac:dyDescent="0.25">
      <c r="A208" s="5" t="s">
        <v>1114</v>
      </c>
      <c r="B208" s="5" t="s">
        <v>798</v>
      </c>
      <c r="C208" s="5" t="s">
        <v>1115</v>
      </c>
      <c r="D208" s="5">
        <v>30</v>
      </c>
      <c r="E208" s="5" t="s">
        <v>772</v>
      </c>
      <c r="F208" s="5" t="s">
        <v>1109</v>
      </c>
      <c r="G208" s="5"/>
      <c r="H208" s="5"/>
      <c r="I208" s="5"/>
      <c r="J208" s="32">
        <f>COUNTIF(TableFields[Field],Columns[[#This Row],[Column]])</f>
        <v>1</v>
      </c>
    </row>
    <row r="209" spans="1:10" x14ac:dyDescent="0.25">
      <c r="A209" s="5" t="s">
        <v>1116</v>
      </c>
      <c r="B209" s="5" t="s">
        <v>798</v>
      </c>
      <c r="C209" s="5" t="s">
        <v>1117</v>
      </c>
      <c r="D209" s="5">
        <v>200</v>
      </c>
      <c r="E209" s="5" t="s">
        <v>772</v>
      </c>
      <c r="F209" s="5"/>
      <c r="G209" s="5"/>
      <c r="H209" s="5"/>
      <c r="I209" s="5"/>
      <c r="J209" s="32">
        <f>COUNTIF(TableFields[Field],Columns[[#This Row],[Column]])</f>
        <v>1</v>
      </c>
    </row>
    <row r="210" spans="1:10" x14ac:dyDescent="0.25">
      <c r="A210" s="5" t="s">
        <v>1118</v>
      </c>
      <c r="B210" s="5" t="s">
        <v>774</v>
      </c>
      <c r="C210" s="5" t="s">
        <v>1119</v>
      </c>
      <c r="D210" s="5" t="s">
        <v>955</v>
      </c>
      <c r="E210" s="5" t="s">
        <v>772</v>
      </c>
      <c r="F210" s="5" t="s">
        <v>959</v>
      </c>
      <c r="G210" s="5"/>
      <c r="H210" s="5"/>
      <c r="I210" s="5"/>
      <c r="J210" s="32">
        <f>COUNTIF(TableFields[Field],Columns[[#This Row],[Column]])</f>
        <v>1</v>
      </c>
    </row>
    <row r="211" spans="1:10" x14ac:dyDescent="0.25">
      <c r="A211" s="5" t="s">
        <v>1120</v>
      </c>
      <c r="B211" s="5" t="s">
        <v>774</v>
      </c>
      <c r="C211" s="5" t="s">
        <v>1121</v>
      </c>
      <c r="D211" s="5" t="s">
        <v>955</v>
      </c>
      <c r="E211" s="5" t="s">
        <v>772</v>
      </c>
      <c r="F211" s="5" t="s">
        <v>959</v>
      </c>
      <c r="G211" s="5"/>
      <c r="H211" s="5"/>
      <c r="I211" s="5"/>
      <c r="J211" s="32">
        <f>COUNTIF(TableFields[Field],Columns[[#This Row],[Column]])</f>
        <v>1</v>
      </c>
    </row>
    <row r="212" spans="1:10" x14ac:dyDescent="0.25">
      <c r="A212" s="5" t="s">
        <v>1122</v>
      </c>
      <c r="B212" s="5" t="s">
        <v>774</v>
      </c>
      <c r="C212" s="5" t="s">
        <v>1123</v>
      </c>
      <c r="D212" s="5" t="s">
        <v>955</v>
      </c>
      <c r="E212" s="5" t="s">
        <v>772</v>
      </c>
      <c r="F212" s="5" t="s">
        <v>959</v>
      </c>
      <c r="G212" s="5"/>
      <c r="H212" s="5"/>
      <c r="I212" s="5"/>
      <c r="J212" s="32">
        <f>COUNTIF(TableFields[Field],Columns[[#This Row],[Column]])</f>
        <v>1</v>
      </c>
    </row>
    <row r="213" spans="1:10" x14ac:dyDescent="0.25">
      <c r="A213" s="5" t="s">
        <v>1124</v>
      </c>
      <c r="B213" s="5" t="s">
        <v>774</v>
      </c>
      <c r="C213" s="5" t="s">
        <v>1125</v>
      </c>
      <c r="D213" s="5" t="s">
        <v>955</v>
      </c>
      <c r="E213" s="5" t="s">
        <v>772</v>
      </c>
      <c r="F213" s="5" t="s">
        <v>959</v>
      </c>
      <c r="G213" s="5"/>
      <c r="H213" s="5"/>
      <c r="I213" s="5"/>
      <c r="J213" s="32">
        <f>COUNTIF(TableFields[Field],Columns[[#This Row],[Column]])</f>
        <v>1</v>
      </c>
    </row>
    <row r="214" spans="1:10" x14ac:dyDescent="0.25">
      <c r="A214" s="5" t="s">
        <v>1126</v>
      </c>
      <c r="B214" s="5" t="s">
        <v>774</v>
      </c>
      <c r="C214" s="5" t="s">
        <v>1127</v>
      </c>
      <c r="D214" s="5" t="s">
        <v>955</v>
      </c>
      <c r="E214" s="5" t="s">
        <v>772</v>
      </c>
      <c r="F214" s="5" t="s">
        <v>959</v>
      </c>
      <c r="G214" s="5"/>
      <c r="H214" s="5"/>
      <c r="I214" s="5"/>
      <c r="J214" s="32">
        <f>COUNTIF(TableFields[Field],Columns[[#This Row],[Column]])</f>
        <v>1</v>
      </c>
    </row>
    <row r="215" spans="1:10" x14ac:dyDescent="0.25">
      <c r="A215" s="5" t="s">
        <v>1128</v>
      </c>
      <c r="B215" s="5" t="s">
        <v>774</v>
      </c>
      <c r="C215" s="5" t="s">
        <v>1129</v>
      </c>
      <c r="D215" s="5" t="s">
        <v>955</v>
      </c>
      <c r="E215" s="5" t="s">
        <v>772</v>
      </c>
      <c r="F215" s="5" t="s">
        <v>959</v>
      </c>
      <c r="G215" s="5"/>
      <c r="H215" s="5"/>
      <c r="I215" s="5"/>
      <c r="J215" s="32">
        <f>COUNTIF(TableFields[Field],Columns[[#This Row],[Column]])</f>
        <v>1</v>
      </c>
    </row>
    <row r="216" spans="1:10" x14ac:dyDescent="0.25">
      <c r="A216" s="5" t="s">
        <v>1130</v>
      </c>
      <c r="B216" s="5" t="s">
        <v>774</v>
      </c>
      <c r="C216" s="5" t="s">
        <v>1131</v>
      </c>
      <c r="D216" s="5" t="s">
        <v>955</v>
      </c>
      <c r="E216" s="5" t="s">
        <v>772</v>
      </c>
      <c r="F216" s="5" t="s">
        <v>959</v>
      </c>
      <c r="G216" s="5"/>
      <c r="H216" s="5"/>
      <c r="I216" s="5"/>
      <c r="J216" s="32">
        <f>COUNTIF(TableFields[Field],Columns[[#This Row],[Column]])</f>
        <v>1</v>
      </c>
    </row>
    <row r="217" spans="1:10" x14ac:dyDescent="0.25">
      <c r="A217" s="5" t="s">
        <v>1132</v>
      </c>
      <c r="B217" s="5" t="s">
        <v>798</v>
      </c>
      <c r="C217" s="5" t="s">
        <v>1133</v>
      </c>
      <c r="D217" s="5">
        <v>60</v>
      </c>
      <c r="E217" s="5" t="s">
        <v>772</v>
      </c>
      <c r="F217" s="5"/>
      <c r="G217" s="5"/>
      <c r="H217" s="5"/>
      <c r="I217" s="5"/>
      <c r="J217" s="32">
        <f>COUNTIF(TableFields[Field],Columns[[#This Row],[Column]])</f>
        <v>1</v>
      </c>
    </row>
    <row r="218" spans="1:10" x14ac:dyDescent="0.25">
      <c r="A218" s="5" t="s">
        <v>1134</v>
      </c>
      <c r="B218" s="5" t="s">
        <v>774</v>
      </c>
      <c r="C218" s="5" t="s">
        <v>1135</v>
      </c>
      <c r="D218" s="5" t="s">
        <v>1136</v>
      </c>
      <c r="E218" s="5" t="s">
        <v>772</v>
      </c>
      <c r="F218" s="5" t="s">
        <v>1137</v>
      </c>
      <c r="G218" s="5"/>
      <c r="H218" s="5"/>
      <c r="I218" s="5"/>
      <c r="J218" s="32">
        <f>COUNTIF(TableFields[Field],Columns[[#This Row],[Column]])</f>
        <v>1</v>
      </c>
    </row>
    <row r="219" spans="1:10" x14ac:dyDescent="0.25">
      <c r="A219" s="5" t="s">
        <v>1138</v>
      </c>
      <c r="B219" s="5" t="s">
        <v>774</v>
      </c>
      <c r="C219" s="5" t="s">
        <v>1139</v>
      </c>
      <c r="D219" s="5" t="s">
        <v>955</v>
      </c>
      <c r="E219" s="5" t="s">
        <v>772</v>
      </c>
      <c r="F219" s="5" t="s">
        <v>959</v>
      </c>
      <c r="G219" s="5"/>
      <c r="H219" s="5"/>
      <c r="I219" s="5"/>
      <c r="J219" s="32">
        <f>COUNTIF(TableFields[Field],Columns[[#This Row],[Column]])</f>
        <v>1</v>
      </c>
    </row>
    <row r="220" spans="1:10" x14ac:dyDescent="0.25">
      <c r="A220" s="5" t="s">
        <v>1140</v>
      </c>
      <c r="B220" s="5" t="s">
        <v>774</v>
      </c>
      <c r="C220" s="5" t="s">
        <v>1141</v>
      </c>
      <c r="D220" s="5" t="s">
        <v>1142</v>
      </c>
      <c r="E220" s="5" t="s">
        <v>772</v>
      </c>
      <c r="F220" s="5" t="s">
        <v>1143</v>
      </c>
      <c r="G220" s="5"/>
      <c r="H220" s="5"/>
      <c r="I220" s="5"/>
      <c r="J220" s="32">
        <f>COUNTIF(TableFields[Field],Columns[[#This Row],[Column]])</f>
        <v>1</v>
      </c>
    </row>
    <row r="221" spans="1:10" x14ac:dyDescent="0.25">
      <c r="A221" s="5" t="s">
        <v>1144</v>
      </c>
      <c r="B221" s="5" t="s">
        <v>798</v>
      </c>
      <c r="C221" s="5" t="s">
        <v>1145</v>
      </c>
      <c r="D221" s="5">
        <v>200</v>
      </c>
      <c r="E221" s="5" t="s">
        <v>772</v>
      </c>
      <c r="F221" s="5"/>
      <c r="G221" s="5"/>
      <c r="H221" s="5"/>
      <c r="I221" s="5"/>
      <c r="J221" s="32">
        <f>COUNTIF(TableFields[Field],Columns[[#This Row],[Column]])</f>
        <v>1</v>
      </c>
    </row>
    <row r="222" spans="1:10" x14ac:dyDescent="0.25">
      <c r="A222" s="5" t="s">
        <v>1146</v>
      </c>
      <c r="B222" s="5" t="s">
        <v>798</v>
      </c>
      <c r="C222" s="5" t="s">
        <v>1147</v>
      </c>
      <c r="D222" s="5">
        <v>200</v>
      </c>
      <c r="E222" s="5" t="s">
        <v>772</v>
      </c>
      <c r="F222" s="5"/>
      <c r="G222" s="5"/>
      <c r="H222" s="5"/>
      <c r="I222" s="5"/>
      <c r="J222" s="32">
        <f>COUNTIF(TableFields[Field],Columns[[#This Row],[Column]])</f>
        <v>1</v>
      </c>
    </row>
    <row r="223" spans="1:10" x14ac:dyDescent="0.25">
      <c r="A223" s="5" t="s">
        <v>1148</v>
      </c>
      <c r="B223" s="5" t="s">
        <v>774</v>
      </c>
      <c r="C223" s="5" t="s">
        <v>1149</v>
      </c>
      <c r="D223" s="5" t="s">
        <v>1150</v>
      </c>
      <c r="E223" s="5" t="s">
        <v>772</v>
      </c>
      <c r="F223" s="5" t="s">
        <v>953</v>
      </c>
      <c r="G223" s="5"/>
      <c r="H223" s="5"/>
      <c r="I223" s="5"/>
      <c r="J223" s="32">
        <f>COUNTIF(TableFields[Field],Columns[[#This Row],[Column]])</f>
        <v>1</v>
      </c>
    </row>
    <row r="224" spans="1:10" x14ac:dyDescent="0.25">
      <c r="A224" s="5" t="s">
        <v>1151</v>
      </c>
      <c r="B224" s="5" t="s">
        <v>774</v>
      </c>
      <c r="C224" s="5" t="s">
        <v>1152</v>
      </c>
      <c r="D224" s="5" t="s">
        <v>1153</v>
      </c>
      <c r="E224" s="5" t="s">
        <v>772</v>
      </c>
      <c r="F224" s="5" t="s">
        <v>953</v>
      </c>
      <c r="G224" s="5"/>
      <c r="H224" s="5"/>
      <c r="I224" s="5"/>
      <c r="J224" s="32">
        <f>COUNTIF(TableFields[Field],Columns[[#This Row],[Column]])</f>
        <v>1</v>
      </c>
    </row>
    <row r="225" spans="1:10" x14ac:dyDescent="0.25">
      <c r="A225" s="5" t="s">
        <v>1154</v>
      </c>
      <c r="B225" s="5" t="s">
        <v>774</v>
      </c>
      <c r="C225" s="5" t="s">
        <v>1155</v>
      </c>
      <c r="D225" s="5" t="s">
        <v>1156</v>
      </c>
      <c r="E225" s="5" t="s">
        <v>772</v>
      </c>
      <c r="F225" s="5" t="s">
        <v>1157</v>
      </c>
      <c r="G225" s="5"/>
      <c r="H225" s="5"/>
      <c r="I225" s="5"/>
      <c r="J225" s="32">
        <f>COUNTIF(TableFields[Field],Columns[[#This Row],[Column]])</f>
        <v>1</v>
      </c>
    </row>
    <row r="226" spans="1:10" x14ac:dyDescent="0.25">
      <c r="A226" s="5" t="s">
        <v>1158</v>
      </c>
      <c r="B226" s="5" t="s">
        <v>770</v>
      </c>
      <c r="C226" s="5" t="s">
        <v>1159</v>
      </c>
      <c r="D226" s="5">
        <v>15</v>
      </c>
      <c r="E226" s="5" t="s">
        <v>772</v>
      </c>
      <c r="F226" s="5" t="s">
        <v>1160</v>
      </c>
      <c r="G226" s="5"/>
      <c r="H226" s="5"/>
      <c r="I226" s="5"/>
      <c r="J226" s="32">
        <f>COUNTIF(TableFields[Field],Columns[[#This Row],[Column]])</f>
        <v>1</v>
      </c>
    </row>
    <row r="227" spans="1:10" x14ac:dyDescent="0.25">
      <c r="A227" s="5" t="s">
        <v>1161</v>
      </c>
      <c r="B227" s="5" t="s">
        <v>770</v>
      </c>
      <c r="C227" s="5" t="s">
        <v>1162</v>
      </c>
      <c r="D227" s="5">
        <v>15</v>
      </c>
      <c r="E227" s="5" t="s">
        <v>772</v>
      </c>
      <c r="F227" s="5" t="s">
        <v>1163</v>
      </c>
      <c r="G227" s="5"/>
      <c r="H227" s="5"/>
      <c r="I227" s="5"/>
      <c r="J227" s="32">
        <f>COUNTIF(TableFields[Field],Columns[[#This Row],[Column]])</f>
        <v>1</v>
      </c>
    </row>
    <row r="228" spans="1:10" x14ac:dyDescent="0.25">
      <c r="A228" s="5" t="s">
        <v>1164</v>
      </c>
      <c r="B228" s="5" t="s">
        <v>774</v>
      </c>
      <c r="C228" s="5" t="s">
        <v>1165</v>
      </c>
      <c r="D228" s="5" t="s">
        <v>955</v>
      </c>
      <c r="E228" s="5" t="s">
        <v>772</v>
      </c>
      <c r="F228" s="5" t="s">
        <v>1166</v>
      </c>
      <c r="G228" s="5"/>
      <c r="H228" s="5"/>
      <c r="I228" s="5"/>
      <c r="J228" s="32">
        <f>COUNTIF(TableFields[Field],Columns[[#This Row],[Column]])</f>
        <v>1</v>
      </c>
    </row>
    <row r="229" spans="1:10" x14ac:dyDescent="0.25">
      <c r="A229" s="5" t="s">
        <v>1167</v>
      </c>
      <c r="B229" s="5" t="s">
        <v>774</v>
      </c>
      <c r="C229" s="5" t="s">
        <v>1168</v>
      </c>
      <c r="D229" s="5" t="s">
        <v>955</v>
      </c>
      <c r="E229" s="5" t="s">
        <v>772</v>
      </c>
      <c r="F229" s="5" t="s">
        <v>959</v>
      </c>
      <c r="G229" s="5"/>
      <c r="H229" s="5"/>
      <c r="I229" s="5"/>
      <c r="J229" s="32">
        <f>COUNTIF(TableFields[Field],Columns[[#This Row],[Column]])</f>
        <v>1</v>
      </c>
    </row>
    <row r="230" spans="1:10" x14ac:dyDescent="0.25">
      <c r="A230" s="5" t="s">
        <v>1169</v>
      </c>
      <c r="B230" s="5" t="s">
        <v>774</v>
      </c>
      <c r="C230" s="5" t="s">
        <v>1170</v>
      </c>
      <c r="D230" s="5" t="s">
        <v>1171</v>
      </c>
      <c r="E230" s="5" t="s">
        <v>772</v>
      </c>
      <c r="F230" s="5" t="s">
        <v>1172</v>
      </c>
      <c r="G230" s="5"/>
      <c r="H230" s="5"/>
      <c r="I230" s="5"/>
      <c r="J230" s="32">
        <f>COUNTIF(TableFields[Field],Columns[[#This Row],[Column]])</f>
        <v>1</v>
      </c>
    </row>
    <row r="231" spans="1:10" x14ac:dyDescent="0.25">
      <c r="A231" s="5" t="s">
        <v>1173</v>
      </c>
      <c r="B231" s="5" t="s">
        <v>774</v>
      </c>
      <c r="C231" s="5" t="s">
        <v>1174</v>
      </c>
      <c r="D231" s="5" t="s">
        <v>955</v>
      </c>
      <c r="E231" s="5" t="s">
        <v>772</v>
      </c>
      <c r="F231" s="5" t="s">
        <v>959</v>
      </c>
      <c r="G231" s="5"/>
      <c r="H231" s="5"/>
      <c r="I231" s="5"/>
      <c r="J231" s="32">
        <f>COUNTIF(TableFields[Field],Columns[[#This Row],[Column]])</f>
        <v>1</v>
      </c>
    </row>
    <row r="232" spans="1:10" x14ac:dyDescent="0.25">
      <c r="A232" s="5" t="s">
        <v>1175</v>
      </c>
      <c r="B232" s="5" t="s">
        <v>798</v>
      </c>
      <c r="C232" s="5" t="s">
        <v>1176</v>
      </c>
      <c r="D232" s="5">
        <v>30</v>
      </c>
      <c r="E232" s="5" t="s">
        <v>772</v>
      </c>
      <c r="F232" s="1" t="s">
        <v>1806</v>
      </c>
      <c r="G232" s="5"/>
      <c r="H232" s="5"/>
      <c r="I232" s="5"/>
      <c r="J232" s="32">
        <f>COUNTIF(TableFields[Field],Columns[[#This Row],[Column]])</f>
        <v>1</v>
      </c>
    </row>
    <row r="233" spans="1:10" x14ac:dyDescent="0.25">
      <c r="A233" s="5" t="s">
        <v>1177</v>
      </c>
      <c r="B233" s="5" t="s">
        <v>774</v>
      </c>
      <c r="C233" s="5" t="s">
        <v>1178</v>
      </c>
      <c r="D233" s="5" t="s">
        <v>1179</v>
      </c>
      <c r="E233" s="5" t="s">
        <v>772</v>
      </c>
      <c r="F233" s="5" t="s">
        <v>1180</v>
      </c>
      <c r="G233" s="5"/>
      <c r="H233" s="5"/>
      <c r="I233" s="5"/>
      <c r="J233" s="32">
        <f>COUNTIF(TableFields[Field],Columns[[#This Row],[Column]])</f>
        <v>1</v>
      </c>
    </row>
    <row r="234" spans="1:10" x14ac:dyDescent="0.25">
      <c r="A234" s="5" t="s">
        <v>1181</v>
      </c>
      <c r="B234" s="5" t="s">
        <v>774</v>
      </c>
      <c r="C234" s="5" t="s">
        <v>1182</v>
      </c>
      <c r="D234" s="5" t="s">
        <v>1183</v>
      </c>
      <c r="E234" s="5" t="s">
        <v>772</v>
      </c>
      <c r="F234" s="5" t="s">
        <v>1184</v>
      </c>
      <c r="G234" s="5"/>
      <c r="H234" s="5"/>
      <c r="I234" s="5"/>
      <c r="J234" s="32">
        <f>COUNTIF(TableFields[Field],Columns[[#This Row],[Column]])</f>
        <v>1</v>
      </c>
    </row>
    <row r="235" spans="1:10" x14ac:dyDescent="0.25">
      <c r="A235" s="5" t="s">
        <v>1185</v>
      </c>
      <c r="B235" s="5" t="s">
        <v>774</v>
      </c>
      <c r="C235" s="5" t="s">
        <v>1186</v>
      </c>
      <c r="D235" s="5" t="s">
        <v>1187</v>
      </c>
      <c r="E235" s="5" t="s">
        <v>772</v>
      </c>
      <c r="F235" s="5" t="s">
        <v>1188</v>
      </c>
      <c r="G235" s="5"/>
      <c r="H235" s="5"/>
      <c r="I235" s="5"/>
      <c r="J235" s="32">
        <f>COUNTIF(TableFields[Field],Columns[[#This Row],[Column]])</f>
        <v>1</v>
      </c>
    </row>
    <row r="236" spans="1:10" x14ac:dyDescent="0.25">
      <c r="A236" s="5" t="s">
        <v>1189</v>
      </c>
      <c r="B236" s="5" t="s">
        <v>774</v>
      </c>
      <c r="C236" s="5" t="s">
        <v>1190</v>
      </c>
      <c r="D236" s="5" t="s">
        <v>1191</v>
      </c>
      <c r="E236" s="5" t="s">
        <v>772</v>
      </c>
      <c r="F236" s="5" t="s">
        <v>1192</v>
      </c>
      <c r="G236" s="5"/>
      <c r="H236" s="5"/>
      <c r="I236" s="5"/>
      <c r="J236" s="32">
        <f>COUNTIF(TableFields[Field],Columns[[#This Row],[Column]])</f>
        <v>1</v>
      </c>
    </row>
    <row r="237" spans="1:10" x14ac:dyDescent="0.25">
      <c r="A237" s="5" t="s">
        <v>1193</v>
      </c>
      <c r="B237" s="5" t="s">
        <v>774</v>
      </c>
      <c r="C237" s="5" t="s">
        <v>1194</v>
      </c>
      <c r="D237" s="5" t="s">
        <v>1195</v>
      </c>
      <c r="E237" s="5" t="s">
        <v>772</v>
      </c>
      <c r="F237" s="5" t="s">
        <v>1196</v>
      </c>
      <c r="G237" s="5"/>
      <c r="H237" s="5"/>
      <c r="I237" s="5"/>
      <c r="J237" s="32">
        <f>COUNTIF(TableFields[Field],Columns[[#This Row],[Column]])</f>
        <v>1</v>
      </c>
    </row>
    <row r="238" spans="1:10" x14ac:dyDescent="0.25">
      <c r="A238" s="5" t="s">
        <v>1266</v>
      </c>
      <c r="B238" s="5" t="s">
        <v>842</v>
      </c>
      <c r="C238" s="5" t="s">
        <v>1267</v>
      </c>
      <c r="D238" s="5"/>
      <c r="E238" s="5" t="s">
        <v>772</v>
      </c>
      <c r="F238" s="5"/>
      <c r="G238" s="5"/>
      <c r="H238" s="5"/>
      <c r="I238" s="5"/>
      <c r="J238" s="32">
        <f>COUNTIF(TableFields[Field],Columns[[#This Row],[Column]])</f>
        <v>1</v>
      </c>
    </row>
    <row r="239" spans="1:10" x14ac:dyDescent="0.25">
      <c r="A239" s="5" t="s">
        <v>1197</v>
      </c>
      <c r="B239" s="5" t="s">
        <v>774</v>
      </c>
      <c r="C239" s="5" t="s">
        <v>1198</v>
      </c>
      <c r="D239" s="5" t="s">
        <v>1199</v>
      </c>
      <c r="E239" s="5" t="s">
        <v>772</v>
      </c>
      <c r="F239" s="5" t="s">
        <v>1200</v>
      </c>
      <c r="G239" s="5"/>
      <c r="H239" s="5"/>
      <c r="I239" s="5"/>
      <c r="J239" s="32">
        <f>COUNTIF(TableFields[Field],Columns[[#This Row],[Column]])</f>
        <v>1</v>
      </c>
    </row>
    <row r="240" spans="1:10" x14ac:dyDescent="0.25">
      <c r="A240" s="5" t="s">
        <v>1201</v>
      </c>
      <c r="B240" s="5" t="s">
        <v>774</v>
      </c>
      <c r="C240" s="5" t="s">
        <v>1202</v>
      </c>
      <c r="D240" s="5" t="s">
        <v>1183</v>
      </c>
      <c r="E240" s="5" t="s">
        <v>772</v>
      </c>
      <c r="F240" s="5" t="s">
        <v>953</v>
      </c>
      <c r="G240" s="5"/>
      <c r="H240" s="5"/>
      <c r="I240" s="5"/>
      <c r="J240" s="32">
        <f>COUNTIF(TableFields[Field],Columns[[#This Row],[Column]])</f>
        <v>1</v>
      </c>
    </row>
    <row r="241" spans="1:10" x14ac:dyDescent="0.25">
      <c r="A241" s="5" t="s">
        <v>1203</v>
      </c>
      <c r="B241" s="5" t="s">
        <v>774</v>
      </c>
      <c r="C241" s="5" t="s">
        <v>1204</v>
      </c>
      <c r="D241" s="5" t="s">
        <v>1183</v>
      </c>
      <c r="E241" s="5" t="s">
        <v>772</v>
      </c>
      <c r="F241" s="5" t="s">
        <v>953</v>
      </c>
      <c r="G241" s="5"/>
      <c r="H241" s="5"/>
      <c r="I241" s="5"/>
      <c r="J241" s="32">
        <f>COUNTIF(TableFields[Field],Columns[[#This Row],[Column]])</f>
        <v>1</v>
      </c>
    </row>
    <row r="242" spans="1:10" x14ac:dyDescent="0.25">
      <c r="A242" s="5" t="s">
        <v>1205</v>
      </c>
      <c r="B242" s="5" t="s">
        <v>774</v>
      </c>
      <c r="C242" s="5" t="s">
        <v>1206</v>
      </c>
      <c r="D242" s="5" t="s">
        <v>1183</v>
      </c>
      <c r="E242" s="5" t="s">
        <v>772</v>
      </c>
      <c r="F242" s="5" t="s">
        <v>953</v>
      </c>
      <c r="G242" s="5"/>
      <c r="H242" s="5"/>
      <c r="I242" s="5"/>
      <c r="J242" s="32">
        <f>COUNTIF(TableFields[Field],Columns[[#This Row],[Column]])</f>
        <v>1</v>
      </c>
    </row>
    <row r="243" spans="1:10" x14ac:dyDescent="0.25">
      <c r="A243" s="5" t="s">
        <v>1207</v>
      </c>
      <c r="B243" s="5" t="s">
        <v>798</v>
      </c>
      <c r="C243" s="5" t="s">
        <v>1208</v>
      </c>
      <c r="D243" s="5">
        <v>30</v>
      </c>
      <c r="E243" s="5" t="s">
        <v>772</v>
      </c>
      <c r="F243" s="5" t="s">
        <v>1209</v>
      </c>
      <c r="G243" s="5"/>
      <c r="H243" s="5"/>
      <c r="I243" s="5"/>
      <c r="J243" s="32">
        <f>COUNTIF(TableFields[Field],Columns[[#This Row],[Column]])</f>
        <v>1</v>
      </c>
    </row>
    <row r="244" spans="1:10" x14ac:dyDescent="0.25">
      <c r="A244" s="5" t="s">
        <v>1210</v>
      </c>
      <c r="B244" s="5" t="s">
        <v>798</v>
      </c>
      <c r="C244" s="5" t="s">
        <v>1211</v>
      </c>
      <c r="D244" s="5">
        <v>30</v>
      </c>
      <c r="E244" s="5" t="s">
        <v>772</v>
      </c>
      <c r="F244" s="5" t="s">
        <v>1209</v>
      </c>
      <c r="G244" s="5"/>
      <c r="H244" s="5"/>
      <c r="I244" s="5"/>
      <c r="J244" s="32">
        <f>COUNTIF(TableFields[Field],Columns[[#This Row],[Column]])</f>
        <v>1</v>
      </c>
    </row>
    <row r="245" spans="1:10" x14ac:dyDescent="0.25">
      <c r="A245" s="5" t="s">
        <v>1212</v>
      </c>
      <c r="B245" s="1" t="s">
        <v>1282</v>
      </c>
      <c r="C245" s="5" t="s">
        <v>1213</v>
      </c>
      <c r="D245" s="5"/>
      <c r="E245" s="5" t="s">
        <v>1269</v>
      </c>
      <c r="F245" s="1"/>
      <c r="G245" s="5"/>
      <c r="H245" s="5"/>
      <c r="I245" s="5"/>
      <c r="J245" s="32">
        <f>COUNTIF(TableFields[Field],Columns[[#This Row],[Column]])</f>
        <v>1</v>
      </c>
    </row>
    <row r="246" spans="1:10" x14ac:dyDescent="0.25">
      <c r="A246" s="5" t="s">
        <v>1214</v>
      </c>
      <c r="B246" s="5" t="s">
        <v>774</v>
      </c>
      <c r="C246" s="5" t="s">
        <v>1215</v>
      </c>
      <c r="D246" s="5" t="s">
        <v>1216</v>
      </c>
      <c r="E246" s="5" t="s">
        <v>772</v>
      </c>
      <c r="F246" s="5" t="s">
        <v>1217</v>
      </c>
      <c r="G246" s="5"/>
      <c r="H246" s="5"/>
      <c r="I246" s="5"/>
      <c r="J246" s="32">
        <f>COUNTIF(TableFields[Field],Columns[[#This Row],[Column]])</f>
        <v>1</v>
      </c>
    </row>
    <row r="247" spans="1:10" x14ac:dyDescent="0.25">
      <c r="A247" s="5" t="s">
        <v>1218</v>
      </c>
      <c r="B247" s="5" t="s">
        <v>774</v>
      </c>
      <c r="C247" s="5" t="s">
        <v>1219</v>
      </c>
      <c r="D247" s="5" t="s">
        <v>955</v>
      </c>
      <c r="E247" s="5" t="s">
        <v>772</v>
      </c>
      <c r="F247" s="5" t="s">
        <v>959</v>
      </c>
      <c r="G247" s="5"/>
      <c r="H247" s="5"/>
      <c r="I247" s="5"/>
      <c r="J247" s="32">
        <f>COUNTIF(TableFields[Field],Columns[[#This Row],[Column]])</f>
        <v>1</v>
      </c>
    </row>
    <row r="248" spans="1:10" x14ac:dyDescent="0.25">
      <c r="A248" s="5" t="s">
        <v>1220</v>
      </c>
      <c r="B248" s="5" t="s">
        <v>798</v>
      </c>
      <c r="C248" s="5" t="s">
        <v>1221</v>
      </c>
      <c r="D248" s="5">
        <v>30</v>
      </c>
      <c r="E248" s="5" t="s">
        <v>1222</v>
      </c>
      <c r="F248" s="5"/>
      <c r="G248" s="5"/>
      <c r="H248" s="5"/>
      <c r="I248" s="5"/>
      <c r="J248" s="32">
        <f>COUNTIF(TableFields[Field],Columns[[#This Row],[Column]])</f>
        <v>1</v>
      </c>
    </row>
    <row r="249" spans="1:10" x14ac:dyDescent="0.25">
      <c r="A249" s="5" t="s">
        <v>1223</v>
      </c>
      <c r="B249" s="5" t="s">
        <v>774</v>
      </c>
      <c r="C249" s="5" t="s">
        <v>1224</v>
      </c>
      <c r="D249" s="5" t="s">
        <v>955</v>
      </c>
      <c r="E249" s="5" t="s">
        <v>772</v>
      </c>
      <c r="F249" s="5" t="s">
        <v>959</v>
      </c>
      <c r="G249" s="5"/>
      <c r="H249" s="5"/>
      <c r="I249" s="5"/>
      <c r="J249" s="32">
        <f>COUNTIF(TableFields[Field],Columns[[#This Row],[Column]])</f>
        <v>1</v>
      </c>
    </row>
    <row r="250" spans="1:10" x14ac:dyDescent="0.25">
      <c r="A250" s="5" t="s">
        <v>1225</v>
      </c>
      <c r="B250" s="5" t="s">
        <v>798</v>
      </c>
      <c r="C250" s="5" t="s">
        <v>1226</v>
      </c>
      <c r="D250" s="5">
        <v>30</v>
      </c>
      <c r="E250" s="5" t="s">
        <v>1227</v>
      </c>
      <c r="F250" s="5"/>
      <c r="G250" s="5"/>
      <c r="H250" s="5"/>
      <c r="I250" s="5"/>
      <c r="J250" s="32">
        <f>COUNTIF(TableFields[Field],Columns[[#This Row],[Column]])</f>
        <v>1</v>
      </c>
    </row>
    <row r="251" spans="1:10" x14ac:dyDescent="0.25">
      <c r="A251" s="5" t="s">
        <v>1228</v>
      </c>
      <c r="B251" s="5" t="s">
        <v>774</v>
      </c>
      <c r="C251" s="5" t="s">
        <v>1229</v>
      </c>
      <c r="D251" s="5" t="s">
        <v>955</v>
      </c>
      <c r="E251" s="5" t="s">
        <v>772</v>
      </c>
      <c r="F251" s="5" t="s">
        <v>959</v>
      </c>
      <c r="G251" s="5"/>
      <c r="H251" s="5"/>
      <c r="I251" s="5"/>
      <c r="J251" s="32">
        <f>COUNTIF(TableFields[Field],Columns[[#This Row],[Column]])</f>
        <v>1</v>
      </c>
    </row>
    <row r="252" spans="1:10" x14ac:dyDescent="0.25">
      <c r="A252" s="5" t="s">
        <v>1230</v>
      </c>
      <c r="B252" s="5" t="s">
        <v>798</v>
      </c>
      <c r="C252" s="5" t="s">
        <v>1231</v>
      </c>
      <c r="D252" s="5">
        <v>30</v>
      </c>
      <c r="E252" s="5" t="s">
        <v>772</v>
      </c>
      <c r="F252" s="1" t="s">
        <v>1807</v>
      </c>
      <c r="G252" s="5"/>
      <c r="H252" s="5"/>
      <c r="I252" s="5"/>
      <c r="J252" s="32">
        <f>COUNTIF(TableFields[Field],Columns[[#This Row],[Column]])</f>
        <v>1</v>
      </c>
    </row>
    <row r="253" spans="1:10" x14ac:dyDescent="0.25">
      <c r="A253" s="5" t="s">
        <v>1232</v>
      </c>
      <c r="B253" s="5" t="s">
        <v>774</v>
      </c>
      <c r="C253" s="5" t="s">
        <v>1233</v>
      </c>
      <c r="D253" s="5" t="s">
        <v>1234</v>
      </c>
      <c r="E253" s="5" t="s">
        <v>772</v>
      </c>
      <c r="F253" s="5" t="s">
        <v>1235</v>
      </c>
      <c r="G253" s="5"/>
      <c r="H253" s="5"/>
      <c r="I253" s="5"/>
      <c r="J253" s="32">
        <f>COUNTIF(TableFields[Field],Columns[[#This Row],[Column]])</f>
        <v>1</v>
      </c>
    </row>
    <row r="254" spans="1:10" x14ac:dyDescent="0.25">
      <c r="A254" s="5" t="s">
        <v>1236</v>
      </c>
      <c r="B254" s="5" t="s">
        <v>770</v>
      </c>
      <c r="C254" s="5" t="s">
        <v>1237</v>
      </c>
      <c r="D254" s="5">
        <v>15</v>
      </c>
      <c r="E254" s="5" t="s">
        <v>772</v>
      </c>
      <c r="F254" s="5"/>
      <c r="G254" s="5"/>
      <c r="H254" s="5"/>
      <c r="I254" s="5"/>
      <c r="J254" s="32">
        <f>COUNTIF(TableFields[Field],Columns[[#This Row],[Column]])</f>
        <v>1</v>
      </c>
    </row>
    <row r="255" spans="1:10" x14ac:dyDescent="0.25">
      <c r="A255" s="5" t="s">
        <v>1238</v>
      </c>
      <c r="B255" s="5" t="s">
        <v>798</v>
      </c>
      <c r="C255" s="5" t="s">
        <v>1239</v>
      </c>
      <c r="D255" s="5">
        <v>30</v>
      </c>
      <c r="E255" s="5" t="s">
        <v>772</v>
      </c>
      <c r="F255" s="5"/>
      <c r="G255" s="5"/>
      <c r="H255" s="5"/>
      <c r="I255" s="5"/>
      <c r="J255" s="32">
        <f>COUNTIF(TableFields[Field],Columns[[#This Row],[Column]])</f>
        <v>1</v>
      </c>
    </row>
    <row r="256" spans="1:10" x14ac:dyDescent="0.25">
      <c r="A256" s="5" t="s">
        <v>1240</v>
      </c>
      <c r="B256" s="5" t="s">
        <v>774</v>
      </c>
      <c r="C256" s="5" t="s">
        <v>1241</v>
      </c>
      <c r="D256" s="1" t="s">
        <v>1283</v>
      </c>
      <c r="E256" s="5" t="s">
        <v>772</v>
      </c>
      <c r="F256" s="5" t="s">
        <v>1242</v>
      </c>
      <c r="G256" s="5"/>
      <c r="H256" s="5"/>
      <c r="I256" s="5"/>
      <c r="J256" s="32">
        <f>COUNTIF(TableFields[Field],Columns[[#This Row],[Column]])</f>
        <v>1</v>
      </c>
    </row>
    <row r="257" spans="1:10" x14ac:dyDescent="0.25">
      <c r="A257" s="5" t="s">
        <v>1243</v>
      </c>
      <c r="B257" s="5" t="s">
        <v>774</v>
      </c>
      <c r="C257" s="5" t="s">
        <v>1244</v>
      </c>
      <c r="D257" s="1" t="s">
        <v>1283</v>
      </c>
      <c r="E257" s="5" t="s">
        <v>772</v>
      </c>
      <c r="F257" s="5" t="s">
        <v>1245</v>
      </c>
      <c r="G257" s="5"/>
      <c r="H257" s="5"/>
      <c r="I257" s="5"/>
      <c r="J257" s="32">
        <f>COUNTIF(TableFields[Field],Columns[[#This Row],[Column]])</f>
        <v>1</v>
      </c>
    </row>
    <row r="258" spans="1:10" x14ac:dyDescent="0.25">
      <c r="A258" s="5" t="s">
        <v>1246</v>
      </c>
      <c r="B258" s="5" t="s">
        <v>774</v>
      </c>
      <c r="C258" s="5" t="s">
        <v>1247</v>
      </c>
      <c r="D258" s="5" t="s">
        <v>1248</v>
      </c>
      <c r="E258" s="5" t="s">
        <v>772</v>
      </c>
      <c r="F258" s="5" t="s">
        <v>1249</v>
      </c>
      <c r="G258" s="5"/>
      <c r="H258" s="5"/>
      <c r="I258" s="5"/>
      <c r="J258" s="32">
        <f>COUNTIF(TableFields[Field],Columns[[#This Row],[Column]])</f>
        <v>1</v>
      </c>
    </row>
    <row r="259" spans="1:10" x14ac:dyDescent="0.25">
      <c r="A259" s="5" t="s">
        <v>1250</v>
      </c>
      <c r="B259" s="5" t="s">
        <v>774</v>
      </c>
      <c r="C259" s="5" t="s">
        <v>1251</v>
      </c>
      <c r="D259" s="5" t="s">
        <v>1252</v>
      </c>
      <c r="E259" s="5" t="s">
        <v>772</v>
      </c>
      <c r="F259" s="5" t="s">
        <v>953</v>
      </c>
      <c r="G259" s="5"/>
      <c r="H259" s="5"/>
      <c r="I259" s="5"/>
      <c r="J259" s="32">
        <f>COUNTIF(TableFields[Field],Columns[[#This Row],[Column]])</f>
        <v>1</v>
      </c>
    </row>
    <row r="260" spans="1:10" x14ac:dyDescent="0.25">
      <c r="A260" s="5" t="s">
        <v>1253</v>
      </c>
      <c r="B260" s="5" t="s">
        <v>774</v>
      </c>
      <c r="C260" s="5" t="s">
        <v>1254</v>
      </c>
      <c r="D260" s="5" t="s">
        <v>955</v>
      </c>
      <c r="E260" s="5" t="s">
        <v>772</v>
      </c>
      <c r="F260" s="5" t="s">
        <v>959</v>
      </c>
      <c r="G260" s="5"/>
      <c r="H260" s="5"/>
      <c r="I260" s="5"/>
      <c r="J260" s="32">
        <f>COUNTIF(TableFields[Field],Columns[[#This Row],[Column]])</f>
        <v>1</v>
      </c>
    </row>
    <row r="261" spans="1:10" x14ac:dyDescent="0.25">
      <c r="A261" s="5" t="s">
        <v>1255</v>
      </c>
      <c r="B261" s="5" t="s">
        <v>770</v>
      </c>
      <c r="C261" s="5" t="s">
        <v>1256</v>
      </c>
      <c r="D261" s="5">
        <v>15</v>
      </c>
      <c r="E261" s="5" t="s">
        <v>772</v>
      </c>
      <c r="F261" s="5"/>
      <c r="G261" s="5"/>
      <c r="H261" s="5"/>
      <c r="I261" s="5"/>
      <c r="J261" s="32">
        <f>COUNTIF(TableFields[Field],Columns[[#This Row],[Column]])</f>
        <v>1</v>
      </c>
    </row>
    <row r="262" spans="1:10" x14ac:dyDescent="0.25">
      <c r="A262" s="5" t="s">
        <v>1257</v>
      </c>
      <c r="B262" s="5" t="s">
        <v>774</v>
      </c>
      <c r="C262" s="5" t="s">
        <v>1258</v>
      </c>
      <c r="D262" s="5" t="s">
        <v>955</v>
      </c>
      <c r="E262" s="5" t="s">
        <v>772</v>
      </c>
      <c r="F262" s="5" t="s">
        <v>959</v>
      </c>
      <c r="G262" s="5"/>
      <c r="H262" s="5"/>
      <c r="I262" s="5"/>
      <c r="J262" s="32">
        <f>COUNTIF(TableFields[Field],Columns[[#This Row],[Column]])</f>
        <v>1</v>
      </c>
    </row>
    <row r="263" spans="1:10" x14ac:dyDescent="0.25">
      <c r="A263" s="5" t="s">
        <v>1259</v>
      </c>
      <c r="B263" s="5" t="s">
        <v>774</v>
      </c>
      <c r="C263" s="5" t="s">
        <v>1260</v>
      </c>
      <c r="D263" s="5" t="s">
        <v>955</v>
      </c>
      <c r="E263" s="5" t="s">
        <v>772</v>
      </c>
      <c r="F263" s="5" t="s">
        <v>1166</v>
      </c>
      <c r="G263" s="5"/>
      <c r="H263" s="5"/>
      <c r="I263" s="5"/>
      <c r="J263" s="32">
        <f>COUNTIF(TableFields[Field],Columns[[#This Row],[Column]])</f>
        <v>1</v>
      </c>
    </row>
    <row r="264" spans="1:10" x14ac:dyDescent="0.25">
      <c r="A264" s="5" t="s">
        <v>1261</v>
      </c>
      <c r="B264" s="5" t="s">
        <v>774</v>
      </c>
      <c r="C264" s="5" t="s">
        <v>1262</v>
      </c>
      <c r="D264" s="5" t="s">
        <v>955</v>
      </c>
      <c r="E264" s="5" t="s">
        <v>772</v>
      </c>
      <c r="F264" s="5" t="s">
        <v>959</v>
      </c>
      <c r="G264" s="5"/>
      <c r="H264" s="5"/>
      <c r="I264" s="5"/>
      <c r="J264" s="32">
        <f>COUNTIF(TableFields[Field],Columns[[#This Row],[Column]])</f>
        <v>1</v>
      </c>
    </row>
    <row r="265" spans="1:10" x14ac:dyDescent="0.25">
      <c r="A265" s="5" t="s">
        <v>1263</v>
      </c>
      <c r="B265" s="5" t="s">
        <v>798</v>
      </c>
      <c r="C265" s="5" t="s">
        <v>1264</v>
      </c>
      <c r="D265" s="5">
        <v>30</v>
      </c>
      <c r="E265" s="5" t="s">
        <v>772</v>
      </c>
      <c r="F265" s="5" t="s">
        <v>1265</v>
      </c>
      <c r="G265" s="5"/>
      <c r="H265" s="5"/>
      <c r="I265" s="5"/>
      <c r="J265" s="32">
        <f>COUNTIF(TableFields[Field],Columns[[#This Row],[Column]])</f>
        <v>1</v>
      </c>
    </row>
    <row r="266" spans="1:10" x14ac:dyDescent="0.25">
      <c r="A266" s="4" t="s">
        <v>1286</v>
      </c>
      <c r="B266" s="4" t="s">
        <v>782</v>
      </c>
      <c r="C266" s="4" t="s">
        <v>1287</v>
      </c>
      <c r="D266" s="4" t="s">
        <v>1284</v>
      </c>
      <c r="E266" s="4"/>
      <c r="F266" s="4"/>
      <c r="G266" s="4"/>
      <c r="H266" s="4"/>
      <c r="I266" s="4"/>
      <c r="J266" s="58">
        <f>COUNTIF(TableFields[Field],Columns[[#This Row],[Column]])</f>
        <v>1</v>
      </c>
    </row>
    <row r="267" spans="1:10" x14ac:dyDescent="0.25">
      <c r="A267" s="5" t="s">
        <v>1812</v>
      </c>
      <c r="B267" s="5" t="s">
        <v>770</v>
      </c>
      <c r="C267" s="5" t="s">
        <v>1813</v>
      </c>
      <c r="D267" s="5">
        <v>30</v>
      </c>
      <c r="E267" s="5" t="s">
        <v>772</v>
      </c>
      <c r="F267" s="5"/>
      <c r="G267" s="5"/>
      <c r="H267" s="5"/>
      <c r="I267" s="5"/>
      <c r="J267" s="32">
        <f>COUNTIF(TableFields[Field],Columns[[#This Row],[Column]])</f>
        <v>0</v>
      </c>
    </row>
    <row r="268" spans="1:10" x14ac:dyDescent="0.25">
      <c r="A268" s="5" t="s">
        <v>1814</v>
      </c>
      <c r="B268" s="5" t="s">
        <v>770</v>
      </c>
      <c r="C268" s="5" t="s">
        <v>1815</v>
      </c>
      <c r="D268" s="5">
        <v>15</v>
      </c>
      <c r="E268" s="5" t="s">
        <v>772</v>
      </c>
      <c r="F268" s="5"/>
      <c r="G268" s="5"/>
      <c r="H268" s="5"/>
      <c r="I268" s="5"/>
      <c r="J268" s="32">
        <f>COUNTIF(TableFields[Field],Columns[[#This Row],[Column]])</f>
        <v>0</v>
      </c>
    </row>
    <row r="269" spans="1:10" x14ac:dyDescent="0.25">
      <c r="A269" s="5" t="s">
        <v>1819</v>
      </c>
      <c r="B269" s="5" t="s">
        <v>770</v>
      </c>
      <c r="C269" s="5" t="s">
        <v>1219</v>
      </c>
      <c r="D269" s="5">
        <v>30</v>
      </c>
      <c r="E269" s="5" t="s">
        <v>772</v>
      </c>
      <c r="F269" s="5"/>
      <c r="G269" s="5"/>
      <c r="H269" s="5"/>
      <c r="I269" s="5"/>
      <c r="J269" s="32">
        <f>COUNTIF(TableFields[Field],Columns[[#This Row],[Column]])</f>
        <v>0</v>
      </c>
    </row>
    <row r="270" spans="1:10" x14ac:dyDescent="0.25">
      <c r="A270" s="5" t="s">
        <v>1816</v>
      </c>
      <c r="B270" s="5" t="s">
        <v>828</v>
      </c>
      <c r="C270" s="5" t="s">
        <v>1817</v>
      </c>
      <c r="D270" s="5" t="s">
        <v>829</v>
      </c>
      <c r="E270" s="5" t="s">
        <v>1818</v>
      </c>
      <c r="F270" s="5"/>
      <c r="G270" s="5"/>
      <c r="H270" s="5"/>
      <c r="I270" s="5"/>
      <c r="J270" s="32">
        <f>COUNTIF(TableFields[Field],Columns[[#This Row],[Column]])</f>
        <v>0</v>
      </c>
    </row>
    <row r="271" spans="1:10" x14ac:dyDescent="0.25">
      <c r="A271" s="5" t="s">
        <v>1820</v>
      </c>
      <c r="B271" s="5" t="s">
        <v>828</v>
      </c>
      <c r="C271" s="5" t="s">
        <v>1821</v>
      </c>
      <c r="D271" s="5" t="s">
        <v>829</v>
      </c>
      <c r="E271" s="5" t="s">
        <v>1268</v>
      </c>
      <c r="F271" s="5"/>
      <c r="G271" s="5"/>
      <c r="H271" s="5"/>
      <c r="I271" s="5"/>
      <c r="J271" s="32">
        <f>COUNTIF(TableFields[Field],Columns[[#This Row],[Column]])</f>
        <v>0</v>
      </c>
    </row>
    <row r="272" spans="1:10" x14ac:dyDescent="0.25">
      <c r="A272" s="5" t="s">
        <v>1822</v>
      </c>
      <c r="B272" s="5" t="s">
        <v>828</v>
      </c>
      <c r="C272" s="5" t="s">
        <v>1823</v>
      </c>
      <c r="D272" s="5" t="s">
        <v>829</v>
      </c>
      <c r="E272" s="5" t="s">
        <v>1268</v>
      </c>
      <c r="F272" s="5"/>
      <c r="G272" s="5"/>
      <c r="H272" s="5"/>
      <c r="I272" s="5"/>
      <c r="J272" s="32">
        <f>COUNTIF(TableFields[Field],Columns[[#This Row],[Column]])</f>
        <v>0</v>
      </c>
    </row>
  </sheetData>
  <conditionalFormatting sqref="A73">
    <cfRule type="duplicateValues" dxfId="9" priority="5"/>
  </conditionalFormatting>
  <conditionalFormatting sqref="A81:A82">
    <cfRule type="duplicateValues" dxfId="8" priority="4"/>
  </conditionalFormatting>
  <conditionalFormatting sqref="C143:C146">
    <cfRule type="duplicateValues" dxfId="7" priority="186"/>
  </conditionalFormatting>
  <conditionalFormatting sqref="A130:A151">
    <cfRule type="duplicateValues" dxfId="6" priority="187"/>
  </conditionalFormatting>
  <conditionalFormatting sqref="A2:A272">
    <cfRule type="duplicateValues" dxfId="5" priority="199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0"/>
  <sheetViews>
    <sheetView tabSelected="1" topLeftCell="A100" workbookViewId="0">
      <selection activeCell="B110" sqref="B110"/>
    </sheetView>
  </sheetViews>
  <sheetFormatPr defaultColWidth="21.42578125" defaultRowHeight="15" x14ac:dyDescent="0.2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 x14ac:dyDescent="0.25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 x14ac:dyDescent="0.25">
      <c r="A2" s="1" t="s">
        <v>1085</v>
      </c>
      <c r="B2" s="1" t="s">
        <v>21</v>
      </c>
      <c r="C2" s="1" t="str">
        <f>VLOOKUP(TableFields[Field],Columns[],2,0)&amp;"("</f>
        <v>bigIncrements(</v>
      </c>
      <c r="D2" s="1" t="str">
        <f>IF(VLOOKUP(TableFields[Field],Columns[],3,0)&lt;&gt;"","'"&amp;VLOOKUP(TableFields[Field],Columns[],3,0)&amp;"'","")</f>
        <v>'id'</v>
      </c>
      <c r="E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" s="1" t="str">
        <f>IF(VLOOKUP(TableFields[Field],Columns[],5,0)=0,"","-&gt;"&amp;VLOOKUP(TableFields[Field],Columns[],5,0))</f>
        <v/>
      </c>
      <c r="G2" s="1" t="str">
        <f>IF(VLOOKUP(TableFields[Field],Columns[],6,0)=0,"","-&gt;"&amp;VLOOKUP(TableFields[Field],Columns[],6,0))</f>
        <v/>
      </c>
      <c r="H2" s="1" t="str">
        <f>IF(VLOOKUP(TableFields[Field],Columns[],7,0)=0,"","-&gt;"&amp;VLOOKUP(TableFields[Field],Columns[],7,0))</f>
        <v/>
      </c>
      <c r="I2" s="1" t="str">
        <f>IF(VLOOKUP(TableFields[Field],Columns[],8,0)=0,"","-&gt;"&amp;VLOOKUP(TableFields[Field],Columns[],8,0))</f>
        <v/>
      </c>
      <c r="J2" s="1" t="str">
        <f>IF(VLOOKUP(TableFields[Field],Columns[],9,0)=0,"","-&gt;"&amp;VLOOKUP(TableFields[Field],Columns[],9,0))</f>
        <v/>
      </c>
      <c r="K2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" spans="1:11" x14ac:dyDescent="0.25">
      <c r="A3" s="1" t="s">
        <v>1085</v>
      </c>
      <c r="B3" s="1" t="s">
        <v>1086</v>
      </c>
      <c r="C3" s="1" t="str">
        <f>VLOOKUP(TableFields[Field],Columns[],2,0)&amp;"("</f>
        <v>char(</v>
      </c>
      <c r="D3" s="1" t="str">
        <f>IF(VLOOKUP(TableFields[Field],Columns[],3,0)&lt;&gt;"","'"&amp;VLOOKUP(TableFields[Field],Columns[],3,0)&amp;"'","")</f>
        <v>'CODE'</v>
      </c>
      <c r="E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" s="1" t="str">
        <f>IF(VLOOKUP(TableFields[Field],Columns[],5,0)=0,"","-&gt;"&amp;VLOOKUP(TableFields[Field],Columns[],5,0))</f>
        <v>-&gt;nullable()</v>
      </c>
      <c r="G3" s="1" t="str">
        <f>IF(VLOOKUP(TableFields[Field],Columns[],6,0)=0,"","-&gt;"&amp;VLOOKUP(TableFields[Field],Columns[],6,0))</f>
        <v/>
      </c>
      <c r="H3" s="1" t="str">
        <f>IF(VLOOKUP(TableFields[Field],Columns[],7,0)=0,"","-&gt;"&amp;VLOOKUP(TableFields[Field],Columns[],7,0))</f>
        <v/>
      </c>
      <c r="I3" s="1" t="str">
        <f>IF(VLOOKUP(TableFields[Field],Columns[],8,0)=0,"","-&gt;"&amp;VLOOKUP(TableFields[Field],Columns[],8,0))</f>
        <v/>
      </c>
      <c r="J3" s="1" t="str">
        <f>IF(VLOOKUP(TableFields[Field],Columns[],9,0)=0,"","-&gt;"&amp;VLOOKUP(TableFields[Field],Columns[],9,0))</f>
        <v/>
      </c>
      <c r="K3" s="1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'15')-&gt;nullable();</v>
      </c>
    </row>
    <row r="4" spans="1:11" x14ac:dyDescent="0.25">
      <c r="A4" s="1" t="s">
        <v>1085</v>
      </c>
      <c r="B4" s="1" t="s">
        <v>1088</v>
      </c>
      <c r="C4" s="1" t="str">
        <f>VLOOKUP(TableFields[Field],Columns[],2,0)&amp;"("</f>
        <v>enum(</v>
      </c>
      <c r="D4" s="1" t="str">
        <f>IF(VLOOKUP(TableFields[Field],Columns[],3,0)&lt;&gt;"","'"&amp;VLOOKUP(TableFields[Field],Columns[],3,0)&amp;"'","")</f>
        <v>'DBTYPE'</v>
      </c>
      <c r="E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['Normal','DistributedServer','DistributedClient'])</v>
      </c>
      <c r="F4" s="1" t="str">
        <f>IF(VLOOKUP(TableFields[Field],Columns[],5,0)=0,"","-&gt;"&amp;VLOOKUP(TableFields[Field],Columns[],5,0))</f>
        <v>-&gt;nullable()</v>
      </c>
      <c r="G4" s="1" t="str">
        <f>IF(VLOOKUP(TableFields[Field],Columns[],6,0)=0,"","-&gt;"&amp;VLOOKUP(TableFields[Field],Columns[],6,0))</f>
        <v>-&gt;default('Normal')</v>
      </c>
      <c r="H4" s="1" t="str">
        <f>IF(VLOOKUP(TableFields[Field],Columns[],7,0)=0,"","-&gt;"&amp;VLOOKUP(TableFields[Field],Columns[],7,0))</f>
        <v/>
      </c>
      <c r="I4" s="1" t="str">
        <f>IF(VLOOKUP(TableFields[Field],Columns[],8,0)=0,"","-&gt;"&amp;VLOOKUP(TableFields[Field],Columns[],8,0))</f>
        <v/>
      </c>
      <c r="J4" s="1" t="str">
        <f>IF(VLOOKUP(TableFields[Field],Columns[],9,0)=0,"","-&gt;"&amp;VLOOKUP(TableFields[Field],Columns[],9,0))</f>
        <v/>
      </c>
      <c r="K4" s="1" t="str">
        <f>"$table-&gt;"&amp;TableFields[Type]&amp;TableFields[Name]&amp;TableFields[Arg2]&amp;TableFields[Method1]&amp;TableFields[Method2]&amp;TableFields[Method3]&amp;TableFields[Method4]&amp;TableFields[Method5]&amp;";"</f>
        <v>$table-&gt;enum('DBTYPE', ['Normal','DistributedServer','DistributedClient'])-&gt;nullable()-&gt;default('Normal');</v>
      </c>
    </row>
    <row r="5" spans="1:11" x14ac:dyDescent="0.25">
      <c r="A5" s="1" t="s">
        <v>1085</v>
      </c>
      <c r="B5" s="1" t="s">
        <v>1091</v>
      </c>
      <c r="C5" s="1" t="str">
        <f>VLOOKUP(TableFields[Field],Columns[],2,0)&amp;"("</f>
        <v>decimal(</v>
      </c>
      <c r="D5" s="1" t="str">
        <f>IF(VLOOKUP(TableFields[Field],Columns[],3,0)&lt;&gt;"","'"&amp;VLOOKUP(TableFields[Field],Columns[],3,0)&amp;"'","")</f>
        <v>'QUANTITY_DECIMAL'</v>
      </c>
      <c r="E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5" s="1" t="str">
        <f>IF(VLOOKUP(TableFields[Field],Columns[],5,0)=0,"","-&gt;"&amp;VLOOKUP(TableFields[Field],Columns[],5,0))</f>
        <v>-&gt;nullable()</v>
      </c>
      <c r="G5" s="1" t="str">
        <f>IF(VLOOKUP(TableFields[Field],Columns[],6,0)=0,"","-&gt;"&amp;VLOOKUP(TableFields[Field],Columns[],6,0))</f>
        <v>-&gt;default('0')</v>
      </c>
      <c r="H5" s="1" t="str">
        <f>IF(VLOOKUP(TableFields[Field],Columns[],7,0)=0,"","-&gt;"&amp;VLOOKUP(TableFields[Field],Columns[],7,0))</f>
        <v/>
      </c>
      <c r="I5" s="1" t="str">
        <f>IF(VLOOKUP(TableFields[Field],Columns[],8,0)=0,"","-&gt;"&amp;VLOOKUP(TableFields[Field],Columns[],8,0))</f>
        <v/>
      </c>
      <c r="J5" s="1" t="str">
        <f>IF(VLOOKUP(TableFields[Field],Columns[],9,0)=0,"","-&gt;"&amp;VLOOKUP(TableFields[Field],Columns[],9,0))</f>
        <v/>
      </c>
      <c r="K5" s="1" t="str">
        <f>"$table-&gt;"&amp;TableFields[Type]&amp;TableFields[Name]&amp;TableFields[Arg2]&amp;TableFields[Method1]&amp;TableFields[Method2]&amp;TableFields[Method3]&amp;TableFields[Method4]&amp;TableFields[Method5]&amp;";"</f>
        <v>$table-&gt;decimal('QUANTITY_DECIMAL', 10,0)-&gt;nullable()-&gt;default('0');</v>
      </c>
    </row>
    <row r="6" spans="1:11" x14ac:dyDescent="0.25">
      <c r="A6" s="1" t="s">
        <v>1085</v>
      </c>
      <c r="B6" s="1" t="s">
        <v>1093</v>
      </c>
      <c r="C6" s="1" t="str">
        <f>VLOOKUP(TableFields[Field],Columns[],2,0)&amp;"("</f>
        <v>decimal(</v>
      </c>
      <c r="D6" s="1" t="str">
        <f>IF(VLOOKUP(TableFields[Field],Columns[],3,0)&lt;&gt;"","'"&amp;VLOOKUP(TableFields[Field],Columns[],3,0)&amp;"'","")</f>
        <v>'RATE_DECIMAL'</v>
      </c>
      <c r="E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6" s="1" t="str">
        <f>IF(VLOOKUP(TableFields[Field],Columns[],5,0)=0,"","-&gt;"&amp;VLOOKUP(TableFields[Field],Columns[],5,0))</f>
        <v>-&gt;nullable()</v>
      </c>
      <c r="G6" s="1" t="str">
        <f>IF(VLOOKUP(TableFields[Field],Columns[],6,0)=0,"","-&gt;"&amp;VLOOKUP(TableFields[Field],Columns[],6,0))</f>
        <v>-&gt;default('2')</v>
      </c>
      <c r="H6" s="1" t="str">
        <f>IF(VLOOKUP(TableFields[Field],Columns[],7,0)=0,"","-&gt;"&amp;VLOOKUP(TableFields[Field],Columns[],7,0))</f>
        <v/>
      </c>
      <c r="I6" s="1" t="str">
        <f>IF(VLOOKUP(TableFields[Field],Columns[],8,0)=0,"","-&gt;"&amp;VLOOKUP(TableFields[Field],Columns[],8,0))</f>
        <v/>
      </c>
      <c r="J6" s="1" t="str">
        <f>IF(VLOOKUP(TableFields[Field],Columns[],9,0)=0,"","-&gt;"&amp;VLOOKUP(TableFields[Field],Columns[],9,0))</f>
        <v/>
      </c>
      <c r="K6" s="1" t="str">
        <f>"$table-&gt;"&amp;TableFields[Type]&amp;TableFields[Name]&amp;TableFields[Arg2]&amp;TableFields[Method1]&amp;TableFields[Method2]&amp;TableFields[Method3]&amp;TableFields[Method4]&amp;TableFields[Method5]&amp;";"</f>
        <v>$table-&gt;decimal('RATE_DECIMAL', 10,0)-&gt;nullable()-&gt;default('2');</v>
      </c>
    </row>
    <row r="7" spans="1:11" x14ac:dyDescent="0.25">
      <c r="A7" s="1" t="s">
        <v>1085</v>
      </c>
      <c r="B7" s="1" t="s">
        <v>1095</v>
      </c>
      <c r="C7" s="1" t="str">
        <f>VLOOKUP(TableFields[Field],Columns[],2,0)&amp;"("</f>
        <v>decimal(</v>
      </c>
      <c r="D7" s="1" t="str">
        <f>IF(VLOOKUP(TableFields[Field],Columns[],3,0)&lt;&gt;"","'"&amp;VLOOKUP(TableFields[Field],Columns[],3,0)&amp;"'","")</f>
        <v>'AMOUNT_DECIMAL'</v>
      </c>
      <c r="E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7" s="1" t="str">
        <f>IF(VLOOKUP(TableFields[Field],Columns[],5,0)=0,"","-&gt;"&amp;VLOOKUP(TableFields[Field],Columns[],5,0))</f>
        <v>-&gt;nullable()</v>
      </c>
      <c r="G7" s="1" t="str">
        <f>IF(VLOOKUP(TableFields[Field],Columns[],6,0)=0,"","-&gt;"&amp;VLOOKUP(TableFields[Field],Columns[],6,0))</f>
        <v>-&gt;default('2')</v>
      </c>
      <c r="H7" s="1" t="str">
        <f>IF(VLOOKUP(TableFields[Field],Columns[],7,0)=0,"","-&gt;"&amp;VLOOKUP(TableFields[Field],Columns[],7,0))</f>
        <v/>
      </c>
      <c r="I7" s="1" t="str">
        <f>IF(VLOOKUP(TableFields[Field],Columns[],8,0)=0,"","-&gt;"&amp;VLOOKUP(TableFields[Field],Columns[],8,0))</f>
        <v/>
      </c>
      <c r="J7" s="1" t="str">
        <f>IF(VLOOKUP(TableFields[Field],Columns[],9,0)=0,"","-&gt;"&amp;VLOOKUP(TableFields[Field],Columns[],9,0))</f>
        <v/>
      </c>
      <c r="K7" s="1" t="str">
        <f>"$table-&gt;"&amp;TableFields[Type]&amp;TableFields[Name]&amp;TableFields[Arg2]&amp;TableFields[Method1]&amp;TableFields[Method2]&amp;TableFields[Method3]&amp;TableFields[Method4]&amp;TableFields[Method5]&amp;";"</f>
        <v>$table-&gt;decimal('AMOUNT_DECIMAL', 10,0)-&gt;nullable()-&gt;default('2');</v>
      </c>
    </row>
    <row r="8" spans="1:11" x14ac:dyDescent="0.25">
      <c r="A8" s="1" t="s">
        <v>1085</v>
      </c>
      <c r="B8" s="1" t="s">
        <v>1097</v>
      </c>
      <c r="C8" s="1" t="str">
        <f>VLOOKUP(TableFields[Field],Columns[],2,0)&amp;"("</f>
        <v>decimal(</v>
      </c>
      <c r="D8" s="1" t="str">
        <f>IF(VLOOKUP(TableFields[Field],Columns[],3,0)&lt;&gt;"","'"&amp;VLOOKUP(TableFields[Field],Columns[],3,0)&amp;"'","")</f>
        <v>'CURRENCY_DECIMAL'</v>
      </c>
      <c r="E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8" s="1" t="str">
        <f>IF(VLOOKUP(TableFields[Field],Columns[],5,0)=0,"","-&gt;"&amp;VLOOKUP(TableFields[Field],Columns[],5,0))</f>
        <v>-&gt;nullable()</v>
      </c>
      <c r="G8" s="1" t="str">
        <f>IF(VLOOKUP(TableFields[Field],Columns[],6,0)=0,"","-&gt;"&amp;VLOOKUP(TableFields[Field],Columns[],6,0))</f>
        <v>-&gt;default('6')</v>
      </c>
      <c r="H8" s="1" t="str">
        <f>IF(VLOOKUP(TableFields[Field],Columns[],7,0)=0,"","-&gt;"&amp;VLOOKUP(TableFields[Field],Columns[],7,0))</f>
        <v/>
      </c>
      <c r="I8" s="1" t="str">
        <f>IF(VLOOKUP(TableFields[Field],Columns[],8,0)=0,"","-&gt;"&amp;VLOOKUP(TableFields[Field],Columns[],8,0))</f>
        <v/>
      </c>
      <c r="J8" s="1" t="str">
        <f>IF(VLOOKUP(TableFields[Field],Columns[],9,0)=0,"","-&gt;"&amp;VLOOKUP(TableFields[Field],Columns[],9,0))</f>
        <v/>
      </c>
      <c r="K8" s="1" t="str">
        <f>"$table-&gt;"&amp;TableFields[Type]&amp;TableFields[Name]&amp;TableFields[Arg2]&amp;TableFields[Method1]&amp;TableFields[Method2]&amp;TableFields[Method3]&amp;TableFields[Method4]&amp;TableFields[Method5]&amp;";"</f>
        <v>$table-&gt;decimal('CURRENCY_DECIMAL', 10,0)-&gt;nullable()-&gt;default('6');</v>
      </c>
    </row>
    <row r="9" spans="1:11" x14ac:dyDescent="0.25">
      <c r="A9" s="1" t="s">
        <v>1085</v>
      </c>
      <c r="B9" s="1" t="s">
        <v>1099</v>
      </c>
      <c r="C9" s="1" t="str">
        <f>VLOOKUP(TableFields[Field],Columns[],2,0)&amp;"("</f>
        <v>enum(</v>
      </c>
      <c r="D9" s="1" t="str">
        <f>IF(VLOOKUP(TableFields[Field],Columns[],3,0)&lt;&gt;"","'"&amp;VLOOKUP(TableFields[Field],Columns[],3,0)&amp;"'","")</f>
        <v>'QUANTITY_SEPARATOR'</v>
      </c>
      <c r="E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9" s="1" t="str">
        <f>IF(VLOOKUP(TableFields[Field],Columns[],5,0)=0,"","-&gt;"&amp;VLOOKUP(TableFields[Field],Columns[],5,0))</f>
        <v>-&gt;nullable()</v>
      </c>
      <c r="G9" s="1" t="str">
        <f>IF(VLOOKUP(TableFields[Field],Columns[],6,0)=0,"","-&gt;"&amp;VLOOKUP(TableFields[Field],Columns[],6,0))</f>
        <v/>
      </c>
      <c r="H9" s="1" t="str">
        <f>IF(VLOOKUP(TableFields[Field],Columns[],7,0)=0,"","-&gt;"&amp;VLOOKUP(TableFields[Field],Columns[],7,0))</f>
        <v/>
      </c>
      <c r="I9" s="1" t="str">
        <f>IF(VLOOKUP(TableFields[Field],Columns[],8,0)=0,"","-&gt;"&amp;VLOOKUP(TableFields[Field],Columns[],8,0))</f>
        <v/>
      </c>
      <c r="J9" s="1" t="str">
        <f>IF(VLOOKUP(TableFields[Field],Columns[],9,0)=0,"","-&gt;"&amp;VLOOKUP(TableFields[Field],Columns[],9,0))</f>
        <v/>
      </c>
      <c r="K9" s="1" t="str">
        <f>"$table-&gt;"&amp;TableFields[Type]&amp;TableFields[Name]&amp;TableFields[Arg2]&amp;TableFields[Method1]&amp;TableFields[Method2]&amp;TableFields[Method3]&amp;TableFields[Method4]&amp;TableFields[Method5]&amp;";"</f>
        <v>$table-&gt;enum('QUANTITY_SEPARATOR', ['Yes','No'])-&gt;nullable();</v>
      </c>
    </row>
    <row r="10" spans="1:11" x14ac:dyDescent="0.25">
      <c r="A10" s="1" t="s">
        <v>1085</v>
      </c>
      <c r="B10" s="1" t="s">
        <v>1101</v>
      </c>
      <c r="C10" s="1" t="str">
        <f>VLOOKUP(TableFields[Field],Columns[],2,0)&amp;"("</f>
        <v>enum(</v>
      </c>
      <c r="D10" s="1" t="str">
        <f>IF(VLOOKUP(TableFields[Field],Columns[],3,0)&lt;&gt;"","'"&amp;VLOOKUP(TableFields[Field],Columns[],3,0)&amp;"'","")</f>
        <v>'RATE_SEPARATOR'</v>
      </c>
      <c r="E1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" s="1" t="str">
        <f>IF(VLOOKUP(TableFields[Field],Columns[],5,0)=0,"","-&gt;"&amp;VLOOKUP(TableFields[Field],Columns[],5,0))</f>
        <v>-&gt;nullable()</v>
      </c>
      <c r="G10" s="1" t="str">
        <f>IF(VLOOKUP(TableFields[Field],Columns[],6,0)=0,"","-&gt;"&amp;VLOOKUP(TableFields[Field],Columns[],6,0))</f>
        <v/>
      </c>
      <c r="H10" s="1" t="str">
        <f>IF(VLOOKUP(TableFields[Field],Columns[],7,0)=0,"","-&gt;"&amp;VLOOKUP(TableFields[Field],Columns[],7,0))</f>
        <v/>
      </c>
      <c r="I10" s="1" t="str">
        <f>IF(VLOOKUP(TableFields[Field],Columns[],8,0)=0,"","-&gt;"&amp;VLOOKUP(TableFields[Field],Columns[],8,0))</f>
        <v/>
      </c>
      <c r="J10" s="1" t="str">
        <f>IF(VLOOKUP(TableFields[Field],Columns[],9,0)=0,"","-&gt;"&amp;VLOOKUP(TableFields[Field],Columns[],9,0))</f>
        <v/>
      </c>
      <c r="K10" s="1" t="str">
        <f>"$table-&gt;"&amp;TableFields[Type]&amp;TableFields[Name]&amp;TableFields[Arg2]&amp;TableFields[Method1]&amp;TableFields[Method2]&amp;TableFields[Method3]&amp;TableFields[Method4]&amp;TableFields[Method5]&amp;";"</f>
        <v>$table-&gt;enum('RATE_SEPARATOR', ['Yes','No'])-&gt;nullable();</v>
      </c>
    </row>
    <row r="11" spans="1:11" x14ac:dyDescent="0.25">
      <c r="A11" s="1" t="s">
        <v>1085</v>
      </c>
      <c r="B11" s="1" t="s">
        <v>1103</v>
      </c>
      <c r="C11" s="1" t="str">
        <f>VLOOKUP(TableFields[Field],Columns[],2,0)&amp;"("</f>
        <v>enum(</v>
      </c>
      <c r="D11" s="1" t="str">
        <f>IF(VLOOKUP(TableFields[Field],Columns[],3,0)&lt;&gt;"","'"&amp;VLOOKUP(TableFields[Field],Columns[],3,0)&amp;"'","")</f>
        <v>'AMOUNT_SEPARATOR'</v>
      </c>
      <c r="E1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" s="1" t="str">
        <f>IF(VLOOKUP(TableFields[Field],Columns[],5,0)=0,"","-&gt;"&amp;VLOOKUP(TableFields[Field],Columns[],5,0))</f>
        <v>-&gt;nullable()</v>
      </c>
      <c r="G11" s="1" t="str">
        <f>IF(VLOOKUP(TableFields[Field],Columns[],6,0)=0,"","-&gt;"&amp;VLOOKUP(TableFields[Field],Columns[],6,0))</f>
        <v/>
      </c>
      <c r="H11" s="1" t="str">
        <f>IF(VLOOKUP(TableFields[Field],Columns[],7,0)=0,"","-&gt;"&amp;VLOOKUP(TableFields[Field],Columns[],7,0))</f>
        <v/>
      </c>
      <c r="I11" s="1" t="str">
        <f>IF(VLOOKUP(TableFields[Field],Columns[],8,0)=0,"","-&gt;"&amp;VLOOKUP(TableFields[Field],Columns[],8,0))</f>
        <v/>
      </c>
      <c r="J11" s="1" t="str">
        <f>IF(VLOOKUP(TableFields[Field],Columns[],9,0)=0,"","-&gt;"&amp;VLOOKUP(TableFields[Field],Columns[],9,0))</f>
        <v/>
      </c>
      <c r="K11" s="1" t="str">
        <f>"$table-&gt;"&amp;TableFields[Type]&amp;TableFields[Name]&amp;TableFields[Arg2]&amp;TableFields[Method1]&amp;TableFields[Method2]&amp;TableFields[Method3]&amp;TableFields[Method4]&amp;TableFields[Method5]&amp;";"</f>
        <v>$table-&gt;enum('AMOUNT_SEPARATOR', ['Yes','No'])-&gt;nullable();</v>
      </c>
    </row>
    <row r="12" spans="1:11" x14ac:dyDescent="0.25">
      <c r="A12" s="1" t="s">
        <v>1085</v>
      </c>
      <c r="B12" s="1" t="s">
        <v>1105</v>
      </c>
      <c r="C12" s="1" t="str">
        <f>VLOOKUP(TableFields[Field],Columns[],2,0)&amp;"("</f>
        <v>enum(</v>
      </c>
      <c r="D12" s="1" t="str">
        <f>IF(VLOOKUP(TableFields[Field],Columns[],3,0)&lt;&gt;"","'"&amp;VLOOKUP(TableFields[Field],Columns[],3,0)&amp;"'","")</f>
        <v>'CURRENCY_SEPARATOR'</v>
      </c>
      <c r="E1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2" s="1" t="str">
        <f>IF(VLOOKUP(TableFields[Field],Columns[],5,0)=0,"","-&gt;"&amp;VLOOKUP(TableFields[Field],Columns[],5,0))</f>
        <v>-&gt;nullable()</v>
      </c>
      <c r="G12" s="1" t="str">
        <f>IF(VLOOKUP(TableFields[Field],Columns[],6,0)=0,"","-&gt;"&amp;VLOOKUP(TableFields[Field],Columns[],6,0))</f>
        <v/>
      </c>
      <c r="H12" s="1" t="str">
        <f>IF(VLOOKUP(TableFields[Field],Columns[],7,0)=0,"","-&gt;"&amp;VLOOKUP(TableFields[Field],Columns[],7,0))</f>
        <v/>
      </c>
      <c r="I12" s="1" t="str">
        <f>IF(VLOOKUP(TableFields[Field],Columns[],8,0)=0,"","-&gt;"&amp;VLOOKUP(TableFields[Field],Columns[],8,0))</f>
        <v/>
      </c>
      <c r="J12" s="1" t="str">
        <f>IF(VLOOKUP(TableFields[Field],Columns[],9,0)=0,"","-&gt;"&amp;VLOOKUP(TableFields[Field],Columns[],9,0))</f>
        <v/>
      </c>
      <c r="K12" s="1" t="str">
        <f>"$table-&gt;"&amp;TableFields[Type]&amp;TableFields[Name]&amp;TableFields[Arg2]&amp;TableFields[Method1]&amp;TableFields[Method2]&amp;TableFields[Method3]&amp;TableFields[Method4]&amp;TableFields[Method5]&amp;";"</f>
        <v>$table-&gt;enum('CURRENCY_SEPARATOR', ['Yes','No'])-&gt;nullable();</v>
      </c>
    </row>
    <row r="13" spans="1:11" x14ac:dyDescent="0.25">
      <c r="A13" s="1" t="s">
        <v>1085</v>
      </c>
      <c r="B13" s="1" t="s">
        <v>1107</v>
      </c>
      <c r="C13" s="1" t="str">
        <f>VLOOKUP(TableFields[Field],Columns[],2,0)&amp;"("</f>
        <v>string(</v>
      </c>
      <c r="D13" s="1" t="str">
        <f>IF(VLOOKUP(TableFields[Field],Columns[],3,0)&lt;&gt;"","'"&amp;VLOOKUP(TableFields[Field],Columns[],3,0)&amp;"'","")</f>
        <v>'DOCDATE_FORMAT'</v>
      </c>
      <c r="E1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" s="1" t="str">
        <f>IF(VLOOKUP(TableFields[Field],Columns[],5,0)=0,"","-&gt;"&amp;VLOOKUP(TableFields[Field],Columns[],5,0))</f>
        <v>-&gt;nullable()</v>
      </c>
      <c r="G13" s="1" t="str">
        <f>IF(VLOOKUP(TableFields[Field],Columns[],6,0)=0,"","-&gt;"&amp;VLOOKUP(TableFields[Field],Columns[],6,0))</f>
        <v>-&gt;default('dd-MM-yyyy')</v>
      </c>
      <c r="H13" s="1" t="str">
        <f>IF(VLOOKUP(TableFields[Field],Columns[],7,0)=0,"","-&gt;"&amp;VLOOKUP(TableFields[Field],Columns[],7,0))</f>
        <v/>
      </c>
      <c r="I13" s="1" t="str">
        <f>IF(VLOOKUP(TableFields[Field],Columns[],8,0)=0,"","-&gt;"&amp;VLOOKUP(TableFields[Field],Columns[],8,0))</f>
        <v/>
      </c>
      <c r="J13" s="1" t="str">
        <f>IF(VLOOKUP(TableFields[Field],Columns[],9,0)=0,"","-&gt;"&amp;VLOOKUP(TableFields[Field],Columns[],9,0))</f>
        <v/>
      </c>
      <c r="K13" s="1" t="str">
        <f>"$table-&gt;"&amp;TableFields[Type]&amp;TableFields[Name]&amp;TableFields[Arg2]&amp;TableFields[Method1]&amp;TableFields[Method2]&amp;TableFields[Method3]&amp;TableFields[Method4]&amp;TableFields[Method5]&amp;";"</f>
        <v>$table-&gt;string('DOCDATE_FORMAT', '30')-&gt;nullable()-&gt;default('dd-MM-yyyy');</v>
      </c>
    </row>
    <row r="14" spans="1:11" x14ac:dyDescent="0.25">
      <c r="A14" s="1" t="s">
        <v>1085</v>
      </c>
      <c r="B14" s="1" t="s">
        <v>1110</v>
      </c>
      <c r="C14" s="1" t="str">
        <f>VLOOKUP(TableFields[Field],Columns[],2,0)&amp;"("</f>
        <v>string(</v>
      </c>
      <c r="D14" s="1" t="str">
        <f>IF(VLOOKUP(TableFields[Field],Columns[],3,0)&lt;&gt;"","'"&amp;VLOOKUP(TableFields[Field],Columns[],3,0)&amp;"'","")</f>
        <v>'REFDATE_FORMAT'</v>
      </c>
      <c r="E1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4" s="1" t="str">
        <f>IF(VLOOKUP(TableFields[Field],Columns[],5,0)=0,"","-&gt;"&amp;VLOOKUP(TableFields[Field],Columns[],5,0))</f>
        <v>-&gt;nullable()</v>
      </c>
      <c r="G14" s="1" t="str">
        <f>IF(VLOOKUP(TableFields[Field],Columns[],6,0)=0,"","-&gt;"&amp;VLOOKUP(TableFields[Field],Columns[],6,0))</f>
        <v>-&gt;default('dd-MM-yyyy')</v>
      </c>
      <c r="H14" s="1" t="str">
        <f>IF(VLOOKUP(TableFields[Field],Columns[],7,0)=0,"","-&gt;"&amp;VLOOKUP(TableFields[Field],Columns[],7,0))</f>
        <v/>
      </c>
      <c r="I14" s="1" t="str">
        <f>IF(VLOOKUP(TableFields[Field],Columns[],8,0)=0,"","-&gt;"&amp;VLOOKUP(TableFields[Field],Columns[],8,0))</f>
        <v/>
      </c>
      <c r="J14" s="1" t="str">
        <f>IF(VLOOKUP(TableFields[Field],Columns[],9,0)=0,"","-&gt;"&amp;VLOOKUP(TableFields[Field],Columns[],9,0))</f>
        <v/>
      </c>
      <c r="K14" s="1" t="str">
        <f>"$table-&gt;"&amp;TableFields[Type]&amp;TableFields[Name]&amp;TableFields[Arg2]&amp;TableFields[Method1]&amp;TableFields[Method2]&amp;TableFields[Method3]&amp;TableFields[Method4]&amp;TableFields[Method5]&amp;";"</f>
        <v>$table-&gt;string('REFDATE_FORMAT', '30')-&gt;nullable()-&gt;default('dd-MM-yyyy');</v>
      </c>
    </row>
    <row r="15" spans="1:11" x14ac:dyDescent="0.25">
      <c r="A15" s="1" t="s">
        <v>1085</v>
      </c>
      <c r="B15" s="1" t="s">
        <v>1112</v>
      </c>
      <c r="C15" s="1" t="str">
        <f>VLOOKUP(TableFields[Field],Columns[],2,0)&amp;"("</f>
        <v>string(</v>
      </c>
      <c r="D15" s="1" t="str">
        <f>IF(VLOOKUP(TableFields[Field],Columns[],3,0)&lt;&gt;"","'"&amp;VLOOKUP(TableFields[Field],Columns[],3,0)&amp;"'","")</f>
        <v>'CHQDATE_FORMAT'</v>
      </c>
      <c r="E1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5" s="1" t="str">
        <f>IF(VLOOKUP(TableFields[Field],Columns[],5,0)=0,"","-&gt;"&amp;VLOOKUP(TableFields[Field],Columns[],5,0))</f>
        <v>-&gt;nullable()</v>
      </c>
      <c r="G15" s="1" t="str">
        <f>IF(VLOOKUP(TableFields[Field],Columns[],6,0)=0,"","-&gt;"&amp;VLOOKUP(TableFields[Field],Columns[],6,0))</f>
        <v>-&gt;default('dd-MM-yyyy')</v>
      </c>
      <c r="H15" s="1" t="str">
        <f>IF(VLOOKUP(TableFields[Field],Columns[],7,0)=0,"","-&gt;"&amp;VLOOKUP(TableFields[Field],Columns[],7,0))</f>
        <v/>
      </c>
      <c r="I15" s="1" t="str">
        <f>IF(VLOOKUP(TableFields[Field],Columns[],8,0)=0,"","-&gt;"&amp;VLOOKUP(TableFields[Field],Columns[],8,0))</f>
        <v/>
      </c>
      <c r="J15" s="1" t="str">
        <f>IF(VLOOKUP(TableFields[Field],Columns[],9,0)=0,"","-&gt;"&amp;VLOOKUP(TableFields[Field],Columns[],9,0))</f>
        <v/>
      </c>
      <c r="K15" s="1" t="str">
        <f>"$table-&gt;"&amp;TableFields[Type]&amp;TableFields[Name]&amp;TableFields[Arg2]&amp;TableFields[Method1]&amp;TableFields[Method2]&amp;TableFields[Method3]&amp;TableFields[Method4]&amp;TableFields[Method5]&amp;";"</f>
        <v>$table-&gt;string('CHQDATE_FORMAT', '30')-&gt;nullable()-&gt;default('dd-MM-yyyy');</v>
      </c>
    </row>
    <row r="16" spans="1:11" x14ac:dyDescent="0.25">
      <c r="A16" s="1" t="s">
        <v>1085</v>
      </c>
      <c r="B16" s="1" t="s">
        <v>1114</v>
      </c>
      <c r="C16" s="1" t="str">
        <f>VLOOKUP(TableFields[Field],Columns[],2,0)&amp;"("</f>
        <v>string(</v>
      </c>
      <c r="D16" s="1" t="str">
        <f>IF(VLOOKUP(TableFields[Field],Columns[],3,0)&lt;&gt;"","'"&amp;VLOOKUP(TableFields[Field],Columns[],3,0)&amp;"'","")</f>
        <v>'OTHDATE_FORMAT'</v>
      </c>
      <c r="E1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6" s="1" t="str">
        <f>IF(VLOOKUP(TableFields[Field],Columns[],5,0)=0,"","-&gt;"&amp;VLOOKUP(TableFields[Field],Columns[],5,0))</f>
        <v>-&gt;nullable()</v>
      </c>
      <c r="G16" s="1" t="str">
        <f>IF(VLOOKUP(TableFields[Field],Columns[],6,0)=0,"","-&gt;"&amp;VLOOKUP(TableFields[Field],Columns[],6,0))</f>
        <v>-&gt;default('dd-MM-yyyy')</v>
      </c>
      <c r="H16" s="1" t="str">
        <f>IF(VLOOKUP(TableFields[Field],Columns[],7,0)=0,"","-&gt;"&amp;VLOOKUP(TableFields[Field],Columns[],7,0))</f>
        <v/>
      </c>
      <c r="I16" s="1" t="str">
        <f>IF(VLOOKUP(TableFields[Field],Columns[],8,0)=0,"","-&gt;"&amp;VLOOKUP(TableFields[Field],Columns[],8,0))</f>
        <v/>
      </c>
      <c r="J16" s="1" t="str">
        <f>IF(VLOOKUP(TableFields[Field],Columns[],9,0)=0,"","-&gt;"&amp;VLOOKUP(TableFields[Field],Columns[],9,0))</f>
        <v/>
      </c>
      <c r="K16" s="1" t="str">
        <f>"$table-&gt;"&amp;TableFields[Type]&amp;TableFields[Name]&amp;TableFields[Arg2]&amp;TableFields[Method1]&amp;TableFields[Method2]&amp;TableFields[Method3]&amp;TableFields[Method4]&amp;TableFields[Method5]&amp;";"</f>
        <v>$table-&gt;string('OTHDATE_FORMAT', '30')-&gt;nullable()-&gt;default('dd-MM-yyyy');</v>
      </c>
    </row>
    <row r="17" spans="1:11" x14ac:dyDescent="0.25">
      <c r="A17" s="1" t="s">
        <v>1085</v>
      </c>
      <c r="B17" s="1" t="s">
        <v>1116</v>
      </c>
      <c r="C17" s="1" t="str">
        <f>VLOOKUP(TableFields[Field],Columns[],2,0)&amp;"("</f>
        <v>string(</v>
      </c>
      <c r="D17" s="1" t="str">
        <f>IF(VLOOKUP(TableFields[Field],Columns[],3,0)&lt;&gt;"","'"&amp;VLOOKUP(TableFields[Field],Columns[],3,0)&amp;"'","")</f>
        <v>'CURRENCYDENOMINATION'</v>
      </c>
      <c r="E1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17" s="1" t="str">
        <f>IF(VLOOKUP(TableFields[Field],Columns[],5,0)=0,"","-&gt;"&amp;VLOOKUP(TableFields[Field],Columns[],5,0))</f>
        <v>-&gt;nullable()</v>
      </c>
      <c r="G17" s="1" t="str">
        <f>IF(VLOOKUP(TableFields[Field],Columns[],6,0)=0,"","-&gt;"&amp;VLOOKUP(TableFields[Field],Columns[],6,0))</f>
        <v/>
      </c>
      <c r="H17" s="1" t="str">
        <f>IF(VLOOKUP(TableFields[Field],Columns[],7,0)=0,"","-&gt;"&amp;VLOOKUP(TableFields[Field],Columns[],7,0))</f>
        <v/>
      </c>
      <c r="I17" s="1" t="str">
        <f>IF(VLOOKUP(TableFields[Field],Columns[],8,0)=0,"","-&gt;"&amp;VLOOKUP(TableFields[Field],Columns[],8,0))</f>
        <v/>
      </c>
      <c r="J17" s="1" t="str">
        <f>IF(VLOOKUP(TableFields[Field],Columns[],9,0)=0,"","-&gt;"&amp;VLOOKUP(TableFields[Field],Columns[],9,0))</f>
        <v/>
      </c>
      <c r="K17" s="1" t="str">
        <f>"$table-&gt;"&amp;TableFields[Type]&amp;TableFields[Name]&amp;TableFields[Arg2]&amp;TableFields[Method1]&amp;TableFields[Method2]&amp;TableFields[Method3]&amp;TableFields[Method4]&amp;TableFields[Method5]&amp;";"</f>
        <v>$table-&gt;string('CURRENCYDENOMINATION', '200')-&gt;nullable();</v>
      </c>
    </row>
    <row r="18" spans="1:11" x14ac:dyDescent="0.25">
      <c r="A18" s="1" t="s">
        <v>1085</v>
      </c>
      <c r="B18" s="1" t="s">
        <v>1118</v>
      </c>
      <c r="C18" s="1" t="str">
        <f>VLOOKUP(TableFields[Field],Columns[],2,0)&amp;"("</f>
        <v>enum(</v>
      </c>
      <c r="D18" s="1" t="str">
        <f>IF(VLOOKUP(TableFields[Field],Columns[],3,0)&lt;&gt;"","'"&amp;VLOOKUP(TableFields[Field],Columns[],3,0)&amp;"'","")</f>
        <v>'MULTICOMPANY'</v>
      </c>
      <c r="E1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8" s="1" t="str">
        <f>IF(VLOOKUP(TableFields[Field],Columns[],5,0)=0,"","-&gt;"&amp;VLOOKUP(TableFields[Field],Columns[],5,0))</f>
        <v>-&gt;nullable()</v>
      </c>
      <c r="G18" s="1" t="str">
        <f>IF(VLOOKUP(TableFields[Field],Columns[],6,0)=0,"","-&gt;"&amp;VLOOKUP(TableFields[Field],Columns[],6,0))</f>
        <v>-&gt;default('No')</v>
      </c>
      <c r="H18" s="1" t="str">
        <f>IF(VLOOKUP(TableFields[Field],Columns[],7,0)=0,"","-&gt;"&amp;VLOOKUP(TableFields[Field],Columns[],7,0))</f>
        <v/>
      </c>
      <c r="I18" s="1" t="str">
        <f>IF(VLOOKUP(TableFields[Field],Columns[],8,0)=0,"","-&gt;"&amp;VLOOKUP(TableFields[Field],Columns[],8,0))</f>
        <v/>
      </c>
      <c r="J18" s="1" t="str">
        <f>IF(VLOOKUP(TableFields[Field],Columns[],9,0)=0,"","-&gt;"&amp;VLOOKUP(TableFields[Field],Columns[],9,0))</f>
        <v/>
      </c>
      <c r="K18" s="1" t="str">
        <f>"$table-&gt;"&amp;TableFields[Type]&amp;TableFields[Name]&amp;TableFields[Arg2]&amp;TableFields[Method1]&amp;TableFields[Method2]&amp;TableFields[Method3]&amp;TableFields[Method4]&amp;TableFields[Method5]&amp;";"</f>
        <v>$table-&gt;enum('MULTICOMPANY', ['Yes','No'])-&gt;nullable()-&gt;default('No');</v>
      </c>
    </row>
    <row r="19" spans="1:11" x14ac:dyDescent="0.25">
      <c r="A19" s="1" t="s">
        <v>1085</v>
      </c>
      <c r="B19" s="1" t="s">
        <v>1120</v>
      </c>
      <c r="C19" s="1" t="str">
        <f>VLOOKUP(TableFields[Field],Columns[],2,0)&amp;"("</f>
        <v>enum(</v>
      </c>
      <c r="D19" s="1" t="str">
        <f>IF(VLOOKUP(TableFields[Field],Columns[],3,0)&lt;&gt;"","'"&amp;VLOOKUP(TableFields[Field],Columns[],3,0)&amp;"'","")</f>
        <v>'MULTIBRANCH'</v>
      </c>
      <c r="E1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9" s="1" t="str">
        <f>IF(VLOOKUP(TableFields[Field],Columns[],5,0)=0,"","-&gt;"&amp;VLOOKUP(TableFields[Field],Columns[],5,0))</f>
        <v>-&gt;nullable()</v>
      </c>
      <c r="G19" s="1" t="str">
        <f>IF(VLOOKUP(TableFields[Field],Columns[],6,0)=0,"","-&gt;"&amp;VLOOKUP(TableFields[Field],Columns[],6,0))</f>
        <v>-&gt;default('No')</v>
      </c>
      <c r="H19" s="1" t="str">
        <f>IF(VLOOKUP(TableFields[Field],Columns[],7,0)=0,"","-&gt;"&amp;VLOOKUP(TableFields[Field],Columns[],7,0))</f>
        <v/>
      </c>
      <c r="I19" s="1" t="str">
        <f>IF(VLOOKUP(TableFields[Field],Columns[],8,0)=0,"","-&gt;"&amp;VLOOKUP(TableFields[Field],Columns[],8,0))</f>
        <v/>
      </c>
      <c r="J19" s="1" t="str">
        <f>IF(VLOOKUP(TableFields[Field],Columns[],9,0)=0,"","-&gt;"&amp;VLOOKUP(TableFields[Field],Columns[],9,0))</f>
        <v/>
      </c>
      <c r="K19" s="1" t="str">
        <f>"$table-&gt;"&amp;TableFields[Type]&amp;TableFields[Name]&amp;TableFields[Arg2]&amp;TableFields[Method1]&amp;TableFields[Method2]&amp;TableFields[Method3]&amp;TableFields[Method4]&amp;TableFields[Method5]&amp;";"</f>
        <v>$table-&gt;enum('MULTIBRANCH', ['Yes','No'])-&gt;nullable()-&gt;default('No');</v>
      </c>
    </row>
    <row r="20" spans="1:11" x14ac:dyDescent="0.25">
      <c r="A20" s="1" t="s">
        <v>1085</v>
      </c>
      <c r="B20" s="1" t="s">
        <v>1122</v>
      </c>
      <c r="C20" s="1" t="str">
        <f>VLOOKUP(TableFields[Field],Columns[],2,0)&amp;"("</f>
        <v>enum(</v>
      </c>
      <c r="D20" s="1" t="str">
        <f>IF(VLOOKUP(TableFields[Field],Columns[],3,0)&lt;&gt;"","'"&amp;VLOOKUP(TableFields[Field],Columns[],3,0)&amp;"'","")</f>
        <v>'MULTICURRENCY'</v>
      </c>
      <c r="E2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0" s="1" t="str">
        <f>IF(VLOOKUP(TableFields[Field],Columns[],5,0)=0,"","-&gt;"&amp;VLOOKUP(TableFields[Field],Columns[],5,0))</f>
        <v>-&gt;nullable()</v>
      </c>
      <c r="G20" s="1" t="str">
        <f>IF(VLOOKUP(TableFields[Field],Columns[],6,0)=0,"","-&gt;"&amp;VLOOKUP(TableFields[Field],Columns[],6,0))</f>
        <v>-&gt;default('No')</v>
      </c>
      <c r="H20" s="1" t="str">
        <f>IF(VLOOKUP(TableFields[Field],Columns[],7,0)=0,"","-&gt;"&amp;VLOOKUP(TableFields[Field],Columns[],7,0))</f>
        <v/>
      </c>
      <c r="I20" s="1" t="str">
        <f>IF(VLOOKUP(TableFields[Field],Columns[],8,0)=0,"","-&gt;"&amp;VLOOKUP(TableFields[Field],Columns[],8,0))</f>
        <v/>
      </c>
      <c r="J20" s="1" t="str">
        <f>IF(VLOOKUP(TableFields[Field],Columns[],9,0)=0,"","-&gt;"&amp;VLOOKUP(TableFields[Field],Columns[],9,0))</f>
        <v/>
      </c>
      <c r="K20" s="1" t="str">
        <f>"$table-&gt;"&amp;TableFields[Type]&amp;TableFields[Name]&amp;TableFields[Arg2]&amp;TableFields[Method1]&amp;TableFields[Method2]&amp;TableFields[Method3]&amp;TableFields[Method4]&amp;TableFields[Method5]&amp;";"</f>
        <v>$table-&gt;enum('MULTICURRENCY', ['Yes','No'])-&gt;nullable()-&gt;default('No');</v>
      </c>
    </row>
    <row r="21" spans="1:11" x14ac:dyDescent="0.25">
      <c r="A21" s="1" t="s">
        <v>1085</v>
      </c>
      <c r="B21" s="1" t="s">
        <v>1124</v>
      </c>
      <c r="C21" s="1" t="str">
        <f>VLOOKUP(TableFields[Field],Columns[],2,0)&amp;"("</f>
        <v>enum(</v>
      </c>
      <c r="D21" s="1" t="str">
        <f>IF(VLOOKUP(TableFields[Field],Columns[],3,0)&lt;&gt;"","'"&amp;VLOOKUP(TableFields[Field],Columns[],3,0)&amp;"'","")</f>
        <v>'MULTIPRINT'</v>
      </c>
      <c r="E2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1" s="1" t="str">
        <f>IF(VLOOKUP(TableFields[Field],Columns[],5,0)=0,"","-&gt;"&amp;VLOOKUP(TableFields[Field],Columns[],5,0))</f>
        <v>-&gt;nullable()</v>
      </c>
      <c r="G21" s="1" t="str">
        <f>IF(VLOOKUP(TableFields[Field],Columns[],6,0)=0,"","-&gt;"&amp;VLOOKUP(TableFields[Field],Columns[],6,0))</f>
        <v>-&gt;default('No')</v>
      </c>
      <c r="H21" s="1" t="str">
        <f>IF(VLOOKUP(TableFields[Field],Columns[],7,0)=0,"","-&gt;"&amp;VLOOKUP(TableFields[Field],Columns[],7,0))</f>
        <v/>
      </c>
      <c r="I21" s="1" t="str">
        <f>IF(VLOOKUP(TableFields[Field],Columns[],8,0)=0,"","-&gt;"&amp;VLOOKUP(TableFields[Field],Columns[],8,0))</f>
        <v/>
      </c>
      <c r="J21" s="1" t="str">
        <f>IF(VLOOKUP(TableFields[Field],Columns[],9,0)=0,"","-&gt;"&amp;VLOOKUP(TableFields[Field],Columns[],9,0))</f>
        <v/>
      </c>
      <c r="K21" s="1" t="str">
        <f>"$table-&gt;"&amp;TableFields[Type]&amp;TableFields[Name]&amp;TableFields[Arg2]&amp;TableFields[Method1]&amp;TableFields[Method2]&amp;TableFields[Method3]&amp;TableFields[Method4]&amp;TableFields[Method5]&amp;";"</f>
        <v>$table-&gt;enum('MULTIPRINT', ['Yes','No'])-&gt;nullable()-&gt;default('No');</v>
      </c>
    </row>
    <row r="22" spans="1:11" x14ac:dyDescent="0.25">
      <c r="A22" s="1" t="s">
        <v>1085</v>
      </c>
      <c r="B22" s="1" t="s">
        <v>1126</v>
      </c>
      <c r="C22" s="1" t="str">
        <f>VLOOKUP(TableFields[Field],Columns[],2,0)&amp;"("</f>
        <v>enum(</v>
      </c>
      <c r="D22" s="1" t="str">
        <f>IF(VLOOKUP(TableFields[Field],Columns[],3,0)&lt;&gt;"","'"&amp;VLOOKUP(TableFields[Field],Columns[],3,0)&amp;"'","")</f>
        <v>'MULTISTORE'</v>
      </c>
      <c r="E2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2" s="1" t="str">
        <f>IF(VLOOKUP(TableFields[Field],Columns[],5,0)=0,"","-&gt;"&amp;VLOOKUP(TableFields[Field],Columns[],5,0))</f>
        <v>-&gt;nullable()</v>
      </c>
      <c r="G22" s="1" t="str">
        <f>IF(VLOOKUP(TableFields[Field],Columns[],6,0)=0,"","-&gt;"&amp;VLOOKUP(TableFields[Field],Columns[],6,0))</f>
        <v>-&gt;default('No')</v>
      </c>
      <c r="H22" s="1" t="str">
        <f>IF(VLOOKUP(TableFields[Field],Columns[],7,0)=0,"","-&gt;"&amp;VLOOKUP(TableFields[Field],Columns[],7,0))</f>
        <v/>
      </c>
      <c r="I22" s="1" t="str">
        <f>IF(VLOOKUP(TableFields[Field],Columns[],8,0)=0,"","-&gt;"&amp;VLOOKUP(TableFields[Field],Columns[],8,0))</f>
        <v/>
      </c>
      <c r="J22" s="1" t="str">
        <f>IF(VLOOKUP(TableFields[Field],Columns[],9,0)=0,"","-&gt;"&amp;VLOOKUP(TableFields[Field],Columns[],9,0))</f>
        <v/>
      </c>
      <c r="K22" s="1" t="str">
        <f>"$table-&gt;"&amp;TableFields[Type]&amp;TableFields[Name]&amp;TableFields[Arg2]&amp;TableFields[Method1]&amp;TableFields[Method2]&amp;TableFields[Method3]&amp;TableFields[Method4]&amp;TableFields[Method5]&amp;";"</f>
        <v>$table-&gt;enum('MULTISTORE', ['Yes','No'])-&gt;nullable()-&gt;default('No');</v>
      </c>
    </row>
    <row r="23" spans="1:11" x14ac:dyDescent="0.25">
      <c r="A23" s="1" t="s">
        <v>1085</v>
      </c>
      <c r="B23" s="1" t="s">
        <v>1128</v>
      </c>
      <c r="C23" s="1" t="str">
        <f>VLOOKUP(TableFields[Field],Columns[],2,0)&amp;"("</f>
        <v>enum(</v>
      </c>
      <c r="D23" s="1" t="str">
        <f>IF(VLOOKUP(TableFields[Field],Columns[],3,0)&lt;&gt;"","'"&amp;VLOOKUP(TableFields[Field],Columns[],3,0)&amp;"'","")</f>
        <v>'MULTIUNIT'</v>
      </c>
      <c r="E2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" s="1" t="str">
        <f>IF(VLOOKUP(TableFields[Field],Columns[],5,0)=0,"","-&gt;"&amp;VLOOKUP(TableFields[Field],Columns[],5,0))</f>
        <v>-&gt;nullable()</v>
      </c>
      <c r="G23" s="1" t="str">
        <f>IF(VLOOKUP(TableFields[Field],Columns[],6,0)=0,"","-&gt;"&amp;VLOOKUP(TableFields[Field],Columns[],6,0))</f>
        <v>-&gt;default('No')</v>
      </c>
      <c r="H23" s="1" t="str">
        <f>IF(VLOOKUP(TableFields[Field],Columns[],7,0)=0,"","-&gt;"&amp;VLOOKUP(TableFields[Field],Columns[],7,0))</f>
        <v/>
      </c>
      <c r="I23" s="1" t="str">
        <f>IF(VLOOKUP(TableFields[Field],Columns[],8,0)=0,"","-&gt;"&amp;VLOOKUP(TableFields[Field],Columns[],8,0))</f>
        <v/>
      </c>
      <c r="J23" s="1" t="str">
        <f>IF(VLOOKUP(TableFields[Field],Columns[],9,0)=0,"","-&gt;"&amp;VLOOKUP(TableFields[Field],Columns[],9,0))</f>
        <v/>
      </c>
      <c r="K23" s="1" t="str">
        <f>"$table-&gt;"&amp;TableFields[Type]&amp;TableFields[Name]&amp;TableFields[Arg2]&amp;TableFields[Method1]&amp;TableFields[Method2]&amp;TableFields[Method3]&amp;TableFields[Method4]&amp;TableFields[Method5]&amp;";"</f>
        <v>$table-&gt;enum('MULTIUNIT', ['Yes','No'])-&gt;nullable()-&gt;default('No');</v>
      </c>
    </row>
    <row r="24" spans="1:11" x14ac:dyDescent="0.25">
      <c r="A24" s="1" t="s">
        <v>1085</v>
      </c>
      <c r="B24" s="1" t="s">
        <v>1130</v>
      </c>
      <c r="C24" s="1" t="str">
        <f>VLOOKUP(TableFields[Field],Columns[],2,0)&amp;"("</f>
        <v>enum(</v>
      </c>
      <c r="D24" s="1" t="str">
        <f>IF(VLOOKUP(TableFields[Field],Columns[],3,0)&lt;&gt;"","'"&amp;VLOOKUP(TableFields[Field],Columns[],3,0)&amp;"'","")</f>
        <v>'SHIFTMANAGEMENT'</v>
      </c>
      <c r="E2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4" s="1" t="str">
        <f>IF(VLOOKUP(TableFields[Field],Columns[],5,0)=0,"","-&gt;"&amp;VLOOKUP(TableFields[Field],Columns[],5,0))</f>
        <v>-&gt;nullable()</v>
      </c>
      <c r="G24" s="1" t="str">
        <f>IF(VLOOKUP(TableFields[Field],Columns[],6,0)=0,"","-&gt;"&amp;VLOOKUP(TableFields[Field],Columns[],6,0))</f>
        <v>-&gt;default('No')</v>
      </c>
      <c r="H24" s="1" t="str">
        <f>IF(VLOOKUP(TableFields[Field],Columns[],7,0)=0,"","-&gt;"&amp;VLOOKUP(TableFields[Field],Columns[],7,0))</f>
        <v/>
      </c>
      <c r="I24" s="1" t="str">
        <f>IF(VLOOKUP(TableFields[Field],Columns[],8,0)=0,"","-&gt;"&amp;VLOOKUP(TableFields[Field],Columns[],8,0))</f>
        <v/>
      </c>
      <c r="J24" s="1" t="str">
        <f>IF(VLOOKUP(TableFields[Field],Columns[],9,0)=0,"","-&gt;"&amp;VLOOKUP(TableFields[Field],Columns[],9,0))</f>
        <v/>
      </c>
      <c r="K24" s="1" t="str">
        <f>"$table-&gt;"&amp;TableFields[Type]&amp;TableFields[Name]&amp;TableFields[Arg2]&amp;TableFields[Method1]&amp;TableFields[Method2]&amp;TableFields[Method3]&amp;TableFields[Method4]&amp;TableFields[Method5]&amp;";"</f>
        <v>$table-&gt;enum('SHIFTMANAGEMENT', ['Yes','No'])-&gt;nullable()-&gt;default('No');</v>
      </c>
    </row>
    <row r="25" spans="1:11" x14ac:dyDescent="0.25">
      <c r="A25" s="1" t="s">
        <v>1085</v>
      </c>
      <c r="B25" s="1" t="s">
        <v>1132</v>
      </c>
      <c r="C25" s="1" t="str">
        <f>VLOOKUP(TableFields[Field],Columns[],2,0)&amp;"("</f>
        <v>string(</v>
      </c>
      <c r="D25" s="1" t="str">
        <f>IF(VLOOKUP(TableFields[Field],Columns[],3,0)&lt;&gt;"","'"&amp;VLOOKUP(TableFields[Field],Columns[],3,0)&amp;"'","")</f>
        <v>'BUSINESSKEY'</v>
      </c>
      <c r="E2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5" s="1" t="str">
        <f>IF(VLOOKUP(TableFields[Field],Columns[],5,0)=0,"","-&gt;"&amp;VLOOKUP(TableFields[Field],Columns[],5,0))</f>
        <v>-&gt;nullable()</v>
      </c>
      <c r="G25" s="1" t="str">
        <f>IF(VLOOKUP(TableFields[Field],Columns[],6,0)=0,"","-&gt;"&amp;VLOOKUP(TableFields[Field],Columns[],6,0))</f>
        <v/>
      </c>
      <c r="H25" s="1" t="str">
        <f>IF(VLOOKUP(TableFields[Field],Columns[],7,0)=0,"","-&gt;"&amp;VLOOKUP(TableFields[Field],Columns[],7,0))</f>
        <v/>
      </c>
      <c r="I25" s="1" t="str">
        <f>IF(VLOOKUP(TableFields[Field],Columns[],8,0)=0,"","-&gt;"&amp;VLOOKUP(TableFields[Field],Columns[],8,0))</f>
        <v/>
      </c>
      <c r="J25" s="1" t="str">
        <f>IF(VLOOKUP(TableFields[Field],Columns[],9,0)=0,"","-&gt;"&amp;VLOOKUP(TableFields[Field],Columns[],9,0))</f>
        <v/>
      </c>
      <c r="K25" s="1" t="str">
        <f>"$table-&gt;"&amp;TableFields[Type]&amp;TableFields[Name]&amp;TableFields[Arg2]&amp;TableFields[Method1]&amp;TableFields[Method2]&amp;TableFields[Method3]&amp;TableFields[Method4]&amp;TableFields[Method5]&amp;";"</f>
        <v>$table-&gt;string('BUSINESSKEY', '60')-&gt;nullable();</v>
      </c>
    </row>
    <row r="26" spans="1:11" x14ac:dyDescent="0.25">
      <c r="A26" s="1" t="s">
        <v>1085</v>
      </c>
      <c r="B26" s="1" t="s">
        <v>1134</v>
      </c>
      <c r="C26" s="1" t="str">
        <f>VLOOKUP(TableFields[Field],Columns[],2,0)&amp;"("</f>
        <v>enum(</v>
      </c>
      <c r="D26" s="1" t="str">
        <f>IF(VLOOKUP(TableFields[Field],Columns[],3,0)&lt;&gt;"","'"&amp;VLOOKUP(TableFields[Field],Columns[],3,0)&amp;"'","")</f>
        <v>'INVACCPOSTING'</v>
      </c>
      <c r="E2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['ExactValue','RoundedValue'])</v>
      </c>
      <c r="F26" s="1" t="str">
        <f>IF(VLOOKUP(TableFields[Field],Columns[],5,0)=0,"","-&gt;"&amp;VLOOKUP(TableFields[Field],Columns[],5,0))</f>
        <v>-&gt;nullable()</v>
      </c>
      <c r="G26" s="1" t="str">
        <f>IF(VLOOKUP(TableFields[Field],Columns[],6,0)=0,"","-&gt;"&amp;VLOOKUP(TableFields[Field],Columns[],6,0))</f>
        <v>-&gt;default('ExactValue')</v>
      </c>
      <c r="H26" s="1" t="str">
        <f>IF(VLOOKUP(TableFields[Field],Columns[],7,0)=0,"","-&gt;"&amp;VLOOKUP(TableFields[Field],Columns[],7,0))</f>
        <v/>
      </c>
      <c r="I26" s="1" t="str">
        <f>IF(VLOOKUP(TableFields[Field],Columns[],8,0)=0,"","-&gt;"&amp;VLOOKUP(TableFields[Field],Columns[],8,0))</f>
        <v/>
      </c>
      <c r="J26" s="1" t="str">
        <f>IF(VLOOKUP(TableFields[Field],Columns[],9,0)=0,"","-&gt;"&amp;VLOOKUP(TableFields[Field],Columns[],9,0))</f>
        <v/>
      </c>
      <c r="K26" s="1" t="str">
        <f>"$table-&gt;"&amp;TableFields[Type]&amp;TableFields[Name]&amp;TableFields[Arg2]&amp;TableFields[Method1]&amp;TableFields[Method2]&amp;TableFields[Method3]&amp;TableFields[Method4]&amp;TableFields[Method5]&amp;";"</f>
        <v>$table-&gt;enum('INVACCPOSTING', ['ExactValue','RoundedValue'])-&gt;nullable()-&gt;default('ExactValue');</v>
      </c>
    </row>
    <row r="27" spans="1:11" x14ac:dyDescent="0.25">
      <c r="A27" s="1" t="s">
        <v>1085</v>
      </c>
      <c r="B27" s="1" t="s">
        <v>1138</v>
      </c>
      <c r="C27" s="1" t="str">
        <f>VLOOKUP(TableFields[Field],Columns[],2,0)&amp;"("</f>
        <v>enum(</v>
      </c>
      <c r="D27" s="1" t="str">
        <f>IF(VLOOKUP(TableFields[Field],Columns[],3,0)&lt;&gt;"","'"&amp;VLOOKUP(TableFields[Field],Columns[],3,0)&amp;"'","")</f>
        <v>'ITEMCACHE'</v>
      </c>
      <c r="E2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7" s="1" t="str">
        <f>IF(VLOOKUP(TableFields[Field],Columns[],5,0)=0,"","-&gt;"&amp;VLOOKUP(TableFields[Field],Columns[],5,0))</f>
        <v>-&gt;nullable()</v>
      </c>
      <c r="G27" s="1" t="str">
        <f>IF(VLOOKUP(TableFields[Field],Columns[],6,0)=0,"","-&gt;"&amp;VLOOKUP(TableFields[Field],Columns[],6,0))</f>
        <v>-&gt;default('No')</v>
      </c>
      <c r="H27" s="1" t="str">
        <f>IF(VLOOKUP(TableFields[Field],Columns[],7,0)=0,"","-&gt;"&amp;VLOOKUP(TableFields[Field],Columns[],7,0))</f>
        <v/>
      </c>
      <c r="I27" s="1" t="str">
        <f>IF(VLOOKUP(TableFields[Field],Columns[],8,0)=0,"","-&gt;"&amp;VLOOKUP(TableFields[Field],Columns[],8,0))</f>
        <v/>
      </c>
      <c r="J27" s="1" t="str">
        <f>IF(VLOOKUP(TableFields[Field],Columns[],9,0)=0,"","-&gt;"&amp;VLOOKUP(TableFields[Field],Columns[],9,0))</f>
        <v/>
      </c>
      <c r="K27" s="1" t="str">
        <f>"$table-&gt;"&amp;TableFields[Type]&amp;TableFields[Name]&amp;TableFields[Arg2]&amp;TableFields[Method1]&amp;TableFields[Method2]&amp;TableFields[Method3]&amp;TableFields[Method4]&amp;TableFields[Method5]&amp;";"</f>
        <v>$table-&gt;enum('ITEMCACHE', ['Yes','No'])-&gt;nullable()-&gt;default('No');</v>
      </c>
    </row>
    <row r="28" spans="1:11" x14ac:dyDescent="0.25">
      <c r="A28" s="1" t="s">
        <v>1085</v>
      </c>
      <c r="B28" s="1" t="s">
        <v>1140</v>
      </c>
      <c r="C28" s="1" t="str">
        <f>VLOOKUP(TableFields[Field],Columns[],2,0)&amp;"("</f>
        <v>enum(</v>
      </c>
      <c r="D28" s="1" t="str">
        <f>IF(VLOOKUP(TableFields[Field],Columns[],3,0)&lt;&gt;"","'"&amp;VLOOKUP(TableFields[Field],Columns[],3,0)&amp;"'","")</f>
        <v>'NEGATIVESTOCK'</v>
      </c>
      <c r="E2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['Allow','Block','Question','User'])</v>
      </c>
      <c r="F28" s="1" t="str">
        <f>IF(VLOOKUP(TableFields[Field],Columns[],5,0)=0,"","-&gt;"&amp;VLOOKUP(TableFields[Field],Columns[],5,0))</f>
        <v>-&gt;nullable()</v>
      </c>
      <c r="G28" s="1" t="str">
        <f>IF(VLOOKUP(TableFields[Field],Columns[],6,0)=0,"","-&gt;"&amp;VLOOKUP(TableFields[Field],Columns[],6,0))</f>
        <v>-&gt;default('Allow')</v>
      </c>
      <c r="H28" s="1" t="str">
        <f>IF(VLOOKUP(TableFields[Field],Columns[],7,0)=0,"","-&gt;"&amp;VLOOKUP(TableFields[Field],Columns[],7,0))</f>
        <v/>
      </c>
      <c r="I28" s="1" t="str">
        <f>IF(VLOOKUP(TableFields[Field],Columns[],8,0)=0,"","-&gt;"&amp;VLOOKUP(TableFields[Field],Columns[],8,0))</f>
        <v/>
      </c>
      <c r="J28" s="1" t="str">
        <f>IF(VLOOKUP(TableFields[Field],Columns[],9,0)=0,"","-&gt;"&amp;VLOOKUP(TableFields[Field],Columns[],9,0))</f>
        <v/>
      </c>
      <c r="K28" s="1" t="str">
        <f>"$table-&gt;"&amp;TableFields[Type]&amp;TableFields[Name]&amp;TableFields[Arg2]&amp;TableFields[Method1]&amp;TableFields[Method2]&amp;TableFields[Method3]&amp;TableFields[Method4]&amp;TableFields[Method5]&amp;";"</f>
        <v>$table-&gt;enum('NEGATIVESTOCK', ['Allow','Block','Question','User'])-&gt;nullable()-&gt;default('Allow');</v>
      </c>
    </row>
    <row r="29" spans="1:11" x14ac:dyDescent="0.25">
      <c r="A29" s="1" t="s">
        <v>1085</v>
      </c>
      <c r="B29" s="1" t="s">
        <v>1144</v>
      </c>
      <c r="C29" s="1" t="str">
        <f>VLOOKUP(TableFields[Field],Columns[],2,0)&amp;"("</f>
        <v>string(</v>
      </c>
      <c r="D29" s="1" t="str">
        <f>IF(VLOOKUP(TableFields[Field],Columns[],3,0)&lt;&gt;"","'"&amp;VLOOKUP(TableFields[Field],Columns[],3,0)&amp;"'","")</f>
        <v>'POQTYUDATE'</v>
      </c>
      <c r="E2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29" s="1" t="str">
        <f>IF(VLOOKUP(TableFields[Field],Columns[],5,0)=0,"","-&gt;"&amp;VLOOKUP(TableFields[Field],Columns[],5,0))</f>
        <v>-&gt;nullable()</v>
      </c>
      <c r="G29" s="1" t="str">
        <f>IF(VLOOKUP(TableFields[Field],Columns[],6,0)=0,"","-&gt;"&amp;VLOOKUP(TableFields[Field],Columns[],6,0))</f>
        <v/>
      </c>
      <c r="H29" s="1" t="str">
        <f>IF(VLOOKUP(TableFields[Field],Columns[],7,0)=0,"","-&gt;"&amp;VLOOKUP(TableFields[Field],Columns[],7,0))</f>
        <v/>
      </c>
      <c r="I29" s="1" t="str">
        <f>IF(VLOOKUP(TableFields[Field],Columns[],8,0)=0,"","-&gt;"&amp;VLOOKUP(TableFields[Field],Columns[],8,0))</f>
        <v/>
      </c>
      <c r="J29" s="1" t="str">
        <f>IF(VLOOKUP(TableFields[Field],Columns[],9,0)=0,"","-&gt;"&amp;VLOOKUP(TableFields[Field],Columns[],9,0))</f>
        <v/>
      </c>
      <c r="K29" s="1" t="str">
        <f>"$table-&gt;"&amp;TableFields[Type]&amp;TableFields[Name]&amp;TableFields[Arg2]&amp;TableFields[Method1]&amp;TableFields[Method2]&amp;TableFields[Method3]&amp;TableFields[Method4]&amp;TableFields[Method5]&amp;";"</f>
        <v>$table-&gt;string('POQTYUDATE', '200')-&gt;nullable();</v>
      </c>
    </row>
    <row r="30" spans="1:11" x14ac:dyDescent="0.25">
      <c r="A30" s="1" t="s">
        <v>1085</v>
      </c>
      <c r="B30" s="1" t="s">
        <v>1146</v>
      </c>
      <c r="C30" s="1" t="str">
        <f>VLOOKUP(TableFields[Field],Columns[],2,0)&amp;"("</f>
        <v>string(</v>
      </c>
      <c r="D30" s="1" t="str">
        <f>IF(VLOOKUP(TableFields[Field],Columns[],3,0)&lt;&gt;"","'"&amp;VLOOKUP(TableFields[Field],Columns[],3,0)&amp;"'","")</f>
        <v>'SOQTYUDATE'</v>
      </c>
      <c r="E3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'200')</v>
      </c>
      <c r="F30" s="1" t="str">
        <f>IF(VLOOKUP(TableFields[Field],Columns[],5,0)=0,"","-&gt;"&amp;VLOOKUP(TableFields[Field],Columns[],5,0))</f>
        <v>-&gt;nullable()</v>
      </c>
      <c r="G30" s="1" t="str">
        <f>IF(VLOOKUP(TableFields[Field],Columns[],6,0)=0,"","-&gt;"&amp;VLOOKUP(TableFields[Field],Columns[],6,0))</f>
        <v/>
      </c>
      <c r="H30" s="1" t="str">
        <f>IF(VLOOKUP(TableFields[Field],Columns[],7,0)=0,"","-&gt;"&amp;VLOOKUP(TableFields[Field],Columns[],7,0))</f>
        <v/>
      </c>
      <c r="I30" s="1" t="str">
        <f>IF(VLOOKUP(TableFields[Field],Columns[],8,0)=0,"","-&gt;"&amp;VLOOKUP(TableFields[Field],Columns[],8,0))</f>
        <v/>
      </c>
      <c r="J30" s="1" t="str">
        <f>IF(VLOOKUP(TableFields[Field],Columns[],9,0)=0,"","-&gt;"&amp;VLOOKUP(TableFields[Field],Columns[],9,0))</f>
        <v/>
      </c>
      <c r="K30" s="1" t="str">
        <f>"$table-&gt;"&amp;TableFields[Type]&amp;TableFields[Name]&amp;TableFields[Arg2]&amp;TableFields[Method1]&amp;TableFields[Method2]&amp;TableFields[Method3]&amp;TableFields[Method4]&amp;TableFields[Method5]&amp;";"</f>
        <v>$table-&gt;string('SOQTYUDATE', '200')-&gt;nullable();</v>
      </c>
    </row>
    <row r="31" spans="1:11" x14ac:dyDescent="0.25">
      <c r="A31" s="1" t="s">
        <v>1085</v>
      </c>
      <c r="B31" s="1" t="s">
        <v>1148</v>
      </c>
      <c r="C31" s="1" t="str">
        <f>VLOOKUP(TableFields[Field],Columns[],2,0)&amp;"("</f>
        <v>enum(</v>
      </c>
      <c r="D31" s="1" t="str">
        <f>IF(VLOOKUP(TableFields[Field],Columns[],3,0)&lt;&gt;"","'"&amp;VLOOKUP(TableFields[Field],Columns[],3,0)&amp;"'","")</f>
        <v>'PRODUCTION'</v>
      </c>
      <c r="E3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['None','Simple','Standard','Advanced'])</v>
      </c>
      <c r="F31" s="1" t="str">
        <f>IF(VLOOKUP(TableFields[Field],Columns[],5,0)=0,"","-&gt;"&amp;VLOOKUP(TableFields[Field],Columns[],5,0))</f>
        <v>-&gt;nullable()</v>
      </c>
      <c r="G31" s="1" t="str">
        <f>IF(VLOOKUP(TableFields[Field],Columns[],6,0)=0,"","-&gt;"&amp;VLOOKUP(TableFields[Field],Columns[],6,0))</f>
        <v>-&gt;default('None')</v>
      </c>
      <c r="H31" s="1" t="str">
        <f>IF(VLOOKUP(TableFields[Field],Columns[],7,0)=0,"","-&gt;"&amp;VLOOKUP(TableFields[Field],Columns[],7,0))</f>
        <v/>
      </c>
      <c r="I31" s="1" t="str">
        <f>IF(VLOOKUP(TableFields[Field],Columns[],8,0)=0,"","-&gt;"&amp;VLOOKUP(TableFields[Field],Columns[],8,0))</f>
        <v/>
      </c>
      <c r="J31" s="1" t="str">
        <f>IF(VLOOKUP(TableFields[Field],Columns[],9,0)=0,"","-&gt;"&amp;VLOOKUP(TableFields[Field],Columns[],9,0))</f>
        <v/>
      </c>
      <c r="K31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$table-&gt;enum('PRODUCTION', ['None','Simple','Standard','Advanced'])-&gt;nullable()-&gt;default('None');</v>
      </c>
    </row>
    <row r="32" spans="1:11" x14ac:dyDescent="0.25">
      <c r="A32" s="1" t="s">
        <v>1085</v>
      </c>
      <c r="B32" s="1" t="s">
        <v>1151</v>
      </c>
      <c r="C32" s="1" t="str">
        <f>VLOOKUP(TableFields[Field],Columns[],2,0)&amp;"("</f>
        <v>enum(</v>
      </c>
      <c r="D32" s="1" t="str">
        <f>IF(VLOOKUP(TableFields[Field],Columns[],3,0)&lt;&gt;"","'"&amp;VLOOKUP(TableFields[Field],Columns[],3,0)&amp;"'","")</f>
        <v>'PRODUCTIONCOSTUPDATION'</v>
      </c>
      <c r="E3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['Auto','None'])</v>
      </c>
      <c r="F32" s="1" t="str">
        <f>IF(VLOOKUP(TableFields[Field],Columns[],5,0)=0,"","-&gt;"&amp;VLOOKUP(TableFields[Field],Columns[],5,0))</f>
        <v>-&gt;nullable()</v>
      </c>
      <c r="G32" s="1" t="str">
        <f>IF(VLOOKUP(TableFields[Field],Columns[],6,0)=0,"","-&gt;"&amp;VLOOKUP(TableFields[Field],Columns[],6,0))</f>
        <v>-&gt;default('None')</v>
      </c>
      <c r="H32" s="1" t="str">
        <f>IF(VLOOKUP(TableFields[Field],Columns[],7,0)=0,"","-&gt;"&amp;VLOOKUP(TableFields[Field],Columns[],7,0))</f>
        <v/>
      </c>
      <c r="I32" s="1" t="str">
        <f>IF(VLOOKUP(TableFields[Field],Columns[],8,0)=0,"","-&gt;"&amp;VLOOKUP(TableFields[Field],Columns[],8,0))</f>
        <v/>
      </c>
      <c r="J32" s="1" t="str">
        <f>IF(VLOOKUP(TableFields[Field],Columns[],9,0)=0,"","-&gt;"&amp;VLOOKUP(TableFields[Field],Columns[],9,0))</f>
        <v/>
      </c>
      <c r="K32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$table-&gt;enum('PRODUCTIONCOSTUPDATION', ['Auto','None'])-&gt;nullable()-&gt;default('None');</v>
      </c>
    </row>
    <row r="33" spans="1:11" x14ac:dyDescent="0.25">
      <c r="A33" s="1" t="s">
        <v>1085</v>
      </c>
      <c r="B33" s="1" t="s">
        <v>1154</v>
      </c>
      <c r="C33" s="1" t="str">
        <f>VLOOKUP(TableFields[Field],Columns[],2,0)&amp;"("</f>
        <v>enum(</v>
      </c>
      <c r="D33" s="1" t="str">
        <f>IF(VLOOKUP(TableFields[Field],Columns[],3,0)&lt;&gt;"","'"&amp;VLOOKUP(TableFields[Field],Columns[],3,0)&amp;"'","")</f>
        <v>'PRODUCTIONNARRATION'</v>
      </c>
      <c r="E3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['Public','Protected'])</v>
      </c>
      <c r="F33" s="1" t="str">
        <f>IF(VLOOKUP(TableFields[Field],Columns[],5,0)=0,"","-&gt;"&amp;VLOOKUP(TableFields[Field],Columns[],5,0))</f>
        <v>-&gt;nullable()</v>
      </c>
      <c r="G33" s="1" t="str">
        <f>IF(VLOOKUP(TableFields[Field],Columns[],6,0)=0,"","-&gt;"&amp;VLOOKUP(TableFields[Field],Columns[],6,0))</f>
        <v>-&gt;default('Protected')</v>
      </c>
      <c r="H33" s="1" t="str">
        <f>IF(VLOOKUP(TableFields[Field],Columns[],7,0)=0,"","-&gt;"&amp;VLOOKUP(TableFields[Field],Columns[],7,0))</f>
        <v/>
      </c>
      <c r="I33" s="1" t="str">
        <f>IF(VLOOKUP(TableFields[Field],Columns[],8,0)=0,"","-&gt;"&amp;VLOOKUP(TableFields[Field],Columns[],8,0))</f>
        <v/>
      </c>
      <c r="J33" s="1" t="str">
        <f>IF(VLOOKUP(TableFields[Field],Columns[],9,0)=0,"","-&gt;"&amp;VLOOKUP(TableFields[Field],Columns[],9,0))</f>
        <v/>
      </c>
      <c r="K33" s="1" t="str">
        <f>"$table-&gt;"&amp;TableFields[Type]&amp;TableFields[Name]&amp;TableFields[Arg2]&amp;TableFields[Method1]&amp;TableFields[Method2]&amp;TableFields[Method3]&amp;TableFields[Method4]&amp;TableFields[Method5]&amp;";"</f>
        <v>$table-&gt;enum('PRODUCTIONNARRATION', ['Public','Protected'])-&gt;nullable()-&gt;default('Protected');</v>
      </c>
    </row>
    <row r="34" spans="1:11" x14ac:dyDescent="0.25">
      <c r="A34" s="1" t="s">
        <v>1085</v>
      </c>
      <c r="B34" s="1" t="s">
        <v>1158</v>
      </c>
      <c r="C34" s="1" t="str">
        <f>VLOOKUP(TableFields[Field],Columns[],2,0)&amp;"("</f>
        <v>char(</v>
      </c>
      <c r="D34" s="1" t="str">
        <f>IF(VLOOKUP(TableFields[Field],Columns[],3,0)&lt;&gt;"","'"&amp;VLOOKUP(TableFields[Field],Columns[],3,0)&amp;"'","")</f>
        <v>'DEFAULTBRANCH'</v>
      </c>
      <c r="E3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4" s="1" t="str">
        <f>IF(VLOOKUP(TableFields[Field],Columns[],5,0)=0,"","-&gt;"&amp;VLOOKUP(TableFields[Field],Columns[],5,0))</f>
        <v>-&gt;nullable()</v>
      </c>
      <c r="G34" s="1" t="str">
        <f>IF(VLOOKUP(TableFields[Field],Columns[],6,0)=0,"","-&gt;"&amp;VLOOKUP(TableFields[Field],Columns[],6,0))</f>
        <v>-&gt;default('HO')</v>
      </c>
      <c r="H34" s="1" t="str">
        <f>IF(VLOOKUP(TableFields[Field],Columns[],7,0)=0,"","-&gt;"&amp;VLOOKUP(TableFields[Field],Columns[],7,0))</f>
        <v/>
      </c>
      <c r="I34" s="1" t="str">
        <f>IF(VLOOKUP(TableFields[Field],Columns[],8,0)=0,"","-&gt;"&amp;VLOOKUP(TableFields[Field],Columns[],8,0))</f>
        <v/>
      </c>
      <c r="J34" s="1" t="str">
        <f>IF(VLOOKUP(TableFields[Field],Columns[],9,0)=0,"","-&gt;"&amp;VLOOKUP(TableFields[Field],Columns[],9,0))</f>
        <v/>
      </c>
      <c r="K34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$table-&gt;char('DEFAULTBRANCH', '15')-&gt;nullable()-&gt;default('HO');</v>
      </c>
    </row>
    <row r="35" spans="1:11" x14ac:dyDescent="0.25">
      <c r="A35" s="1" t="s">
        <v>1085</v>
      </c>
      <c r="B35" s="1" t="s">
        <v>1161</v>
      </c>
      <c r="C35" s="1" t="str">
        <f>VLOOKUP(TableFields[Field],Columns[],2,0)&amp;"("</f>
        <v>char(</v>
      </c>
      <c r="D35" s="1" t="str">
        <f>IF(VLOOKUP(TableFields[Field],Columns[],3,0)&lt;&gt;"","'"&amp;VLOOKUP(TableFields[Field],Columns[],3,0)&amp;"'","")</f>
        <v>'DEFAULTUNIT'</v>
      </c>
      <c r="E3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35" s="1" t="str">
        <f>IF(VLOOKUP(TableFields[Field],Columns[],5,0)=0,"","-&gt;"&amp;VLOOKUP(TableFields[Field],Columns[],5,0))</f>
        <v>-&gt;nullable()</v>
      </c>
      <c r="G35" s="1" t="str">
        <f>IF(VLOOKUP(TableFields[Field],Columns[],6,0)=0,"","-&gt;"&amp;VLOOKUP(TableFields[Field],Columns[],6,0))</f>
        <v>-&gt;default('PCS')</v>
      </c>
      <c r="H35" s="1" t="str">
        <f>IF(VLOOKUP(TableFields[Field],Columns[],7,0)=0,"","-&gt;"&amp;VLOOKUP(TableFields[Field],Columns[],7,0))</f>
        <v/>
      </c>
      <c r="I35" s="1" t="str">
        <f>IF(VLOOKUP(TableFields[Field],Columns[],8,0)=0,"","-&gt;"&amp;VLOOKUP(TableFields[Field],Columns[],8,0))</f>
        <v/>
      </c>
      <c r="J35" s="1" t="str">
        <f>IF(VLOOKUP(TableFields[Field],Columns[],9,0)=0,"","-&gt;"&amp;VLOOKUP(TableFields[Field],Columns[],9,0))</f>
        <v/>
      </c>
      <c r="K35" s="1" t="str">
        <f>"$table-&gt;"&amp;TableFields[Type]&amp;TableFields[Name]&amp;TableFields[Arg2]&amp;TableFields[Method1]&amp;TableFields[Method2]&amp;TableFields[Method3]&amp;TableFields[Method4]&amp;TableFields[Method5]&amp;";"</f>
        <v>$table-&gt;char('DEFAULTUNIT', '15')-&gt;nullable()-&gt;default('PCS');</v>
      </c>
    </row>
    <row r="36" spans="1:11" x14ac:dyDescent="0.25">
      <c r="A36" s="1" t="s">
        <v>1085</v>
      </c>
      <c r="B36" s="1" t="s">
        <v>1164</v>
      </c>
      <c r="C36" s="1" t="str">
        <f>VLOOKUP(TableFields[Field],Columns[],2,0)&amp;"("</f>
        <v>enum(</v>
      </c>
      <c r="D36" s="1" t="str">
        <f>IF(VLOOKUP(TableFields[Field],Columns[],3,0)&lt;&gt;"","'"&amp;VLOOKUP(TableFields[Field],Columns[],3,0)&amp;"'","")</f>
        <v>'TAX'</v>
      </c>
      <c r="E3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6" s="1" t="str">
        <f>IF(VLOOKUP(TableFields[Field],Columns[],5,0)=0,"","-&gt;"&amp;VLOOKUP(TableFields[Field],Columns[],5,0))</f>
        <v>-&gt;nullable()</v>
      </c>
      <c r="G36" s="1" t="str">
        <f>IF(VLOOKUP(TableFields[Field],Columns[],6,0)=0,"","-&gt;"&amp;VLOOKUP(TableFields[Field],Columns[],6,0))</f>
        <v>-&gt;default('Yes')</v>
      </c>
      <c r="H36" s="1" t="str">
        <f>IF(VLOOKUP(TableFields[Field],Columns[],7,0)=0,"","-&gt;"&amp;VLOOKUP(TableFields[Field],Columns[],7,0))</f>
        <v/>
      </c>
      <c r="I36" s="1" t="str">
        <f>IF(VLOOKUP(TableFields[Field],Columns[],8,0)=0,"","-&gt;"&amp;VLOOKUP(TableFields[Field],Columns[],8,0))</f>
        <v/>
      </c>
      <c r="J36" s="1" t="str">
        <f>IF(VLOOKUP(TableFields[Field],Columns[],9,0)=0,"","-&gt;"&amp;VLOOKUP(TableFields[Field],Columns[],9,0))</f>
        <v/>
      </c>
      <c r="K36" s="1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['Yes','No'])-&gt;nullable()-&gt;default('Yes');</v>
      </c>
    </row>
    <row r="37" spans="1:11" x14ac:dyDescent="0.25">
      <c r="A37" s="1" t="s">
        <v>1085</v>
      </c>
      <c r="B37" s="1" t="s">
        <v>1167</v>
      </c>
      <c r="C37" s="1" t="str">
        <f>VLOOKUP(TableFields[Field],Columns[],2,0)&amp;"("</f>
        <v>enum(</v>
      </c>
      <c r="D37" s="1" t="str">
        <f>IF(VLOOKUP(TableFields[Field],Columns[],3,0)&lt;&gt;"","'"&amp;VLOOKUP(TableFields[Field],Columns[],3,0)&amp;"'","")</f>
        <v>'TAX02'</v>
      </c>
      <c r="E3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7" s="1" t="str">
        <f>IF(VLOOKUP(TableFields[Field],Columns[],5,0)=0,"","-&gt;"&amp;VLOOKUP(TableFields[Field],Columns[],5,0))</f>
        <v>-&gt;nullable()</v>
      </c>
      <c r="G37" s="1" t="str">
        <f>IF(VLOOKUP(TableFields[Field],Columns[],6,0)=0,"","-&gt;"&amp;VLOOKUP(TableFields[Field],Columns[],6,0))</f>
        <v>-&gt;default('No')</v>
      </c>
      <c r="H37" s="1" t="str">
        <f>IF(VLOOKUP(TableFields[Field],Columns[],7,0)=0,"","-&gt;"&amp;VLOOKUP(TableFields[Field],Columns[],7,0))</f>
        <v/>
      </c>
      <c r="I37" s="1" t="str">
        <f>IF(VLOOKUP(TableFields[Field],Columns[],8,0)=0,"","-&gt;"&amp;VLOOKUP(TableFields[Field],Columns[],8,0))</f>
        <v/>
      </c>
      <c r="J37" s="1" t="str">
        <f>IF(VLOOKUP(TableFields[Field],Columns[],9,0)=0,"","-&gt;"&amp;VLOOKUP(TableFields[Field],Columns[],9,0))</f>
        <v/>
      </c>
      <c r="K37" s="1" t="str">
        <f>"$table-&gt;"&amp;TableFields[Type]&amp;TableFields[Name]&amp;TableFields[Arg2]&amp;TableFields[Method1]&amp;TableFields[Method2]&amp;TableFields[Method3]&amp;TableFields[Method4]&amp;TableFields[Method5]&amp;";"</f>
        <v>$table-&gt;enum('TAX02', ['Yes','No'])-&gt;nullable()-&gt;default('No');</v>
      </c>
    </row>
    <row r="38" spans="1:11" x14ac:dyDescent="0.25">
      <c r="A38" s="1" t="s">
        <v>1085</v>
      </c>
      <c r="B38" s="1" t="s">
        <v>1169</v>
      </c>
      <c r="C38" s="1" t="str">
        <f>VLOOKUP(TableFields[Field],Columns[],2,0)&amp;"("</f>
        <v>enum(</v>
      </c>
      <c r="D38" s="1" t="str">
        <f>IF(VLOOKUP(TableFields[Field],Columns[],3,0)&lt;&gt;"","'"&amp;VLOOKUP(TableFields[Field],Columns[],3,0)&amp;"'","")</f>
        <v>'TAXREF'</v>
      </c>
      <c r="E3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['ItemGroup','Item'])</v>
      </c>
      <c r="F38" s="1" t="str">
        <f>IF(VLOOKUP(TableFields[Field],Columns[],5,0)=0,"","-&gt;"&amp;VLOOKUP(TableFields[Field],Columns[],5,0))</f>
        <v>-&gt;nullable()</v>
      </c>
      <c r="G38" s="1" t="str">
        <f>IF(VLOOKUP(TableFields[Field],Columns[],6,0)=0,"","-&gt;"&amp;VLOOKUP(TableFields[Field],Columns[],6,0))</f>
        <v>-&gt;default('Item')</v>
      </c>
      <c r="H38" s="1" t="str">
        <f>IF(VLOOKUP(TableFields[Field],Columns[],7,0)=0,"","-&gt;"&amp;VLOOKUP(TableFields[Field],Columns[],7,0))</f>
        <v/>
      </c>
      <c r="I38" s="1" t="str">
        <f>IF(VLOOKUP(TableFields[Field],Columns[],8,0)=0,"","-&gt;"&amp;VLOOKUP(TableFields[Field],Columns[],8,0))</f>
        <v/>
      </c>
      <c r="J38" s="1" t="str">
        <f>IF(VLOOKUP(TableFields[Field],Columns[],9,0)=0,"","-&gt;"&amp;VLOOKUP(TableFields[Field],Columns[],9,0))</f>
        <v/>
      </c>
      <c r="K38" s="1" t="str">
        <f>"$table-&gt;"&amp;TableFields[Type]&amp;TableFields[Name]&amp;TableFields[Arg2]&amp;TableFields[Method1]&amp;TableFields[Method2]&amp;TableFields[Method3]&amp;TableFields[Method4]&amp;TableFields[Method5]&amp;";"</f>
        <v>$table-&gt;enum('TAXREF', ['ItemGroup','Item'])-&gt;nullable()-&gt;default('Item');</v>
      </c>
    </row>
    <row r="39" spans="1:11" x14ac:dyDescent="0.25">
      <c r="A39" s="1" t="s">
        <v>1085</v>
      </c>
      <c r="B39" s="1" t="s">
        <v>1173</v>
      </c>
      <c r="C39" s="1" t="str">
        <f>VLOOKUP(TableFields[Field],Columns[],2,0)&amp;"("</f>
        <v>enum(</v>
      </c>
      <c r="D39" s="1" t="str">
        <f>IF(VLOOKUP(TableFields[Field],Columns[],3,0)&lt;&gt;"","'"&amp;VLOOKUP(TableFields[Field],Columns[],3,0)&amp;"'","")</f>
        <v>'ITEMSERIAL'</v>
      </c>
      <c r="E3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39" s="1" t="str">
        <f>IF(VLOOKUP(TableFields[Field],Columns[],5,0)=0,"","-&gt;"&amp;VLOOKUP(TableFields[Field],Columns[],5,0))</f>
        <v>-&gt;nullable()</v>
      </c>
      <c r="G39" s="1" t="str">
        <f>IF(VLOOKUP(TableFields[Field],Columns[],6,0)=0,"","-&gt;"&amp;VLOOKUP(TableFields[Field],Columns[],6,0))</f>
        <v>-&gt;default('No')</v>
      </c>
      <c r="H39" s="1" t="str">
        <f>IF(VLOOKUP(TableFields[Field],Columns[],7,0)=0,"","-&gt;"&amp;VLOOKUP(TableFields[Field],Columns[],7,0))</f>
        <v/>
      </c>
      <c r="I39" s="1" t="str">
        <f>IF(VLOOKUP(TableFields[Field],Columns[],8,0)=0,"","-&gt;"&amp;VLOOKUP(TableFields[Field],Columns[],8,0))</f>
        <v/>
      </c>
      <c r="J39" s="1" t="str">
        <f>IF(VLOOKUP(TableFields[Field],Columns[],9,0)=0,"","-&gt;"&amp;VLOOKUP(TableFields[Field],Columns[],9,0))</f>
        <v/>
      </c>
      <c r="K39" s="1" t="str">
        <f>"$table-&gt;"&amp;TableFields[Type]&amp;TableFields[Name]&amp;TableFields[Arg2]&amp;TableFields[Method1]&amp;TableFields[Method2]&amp;TableFields[Method3]&amp;TableFields[Method4]&amp;TableFields[Method5]&amp;";"</f>
        <v>$table-&gt;enum('ITEMSERIAL', ['Yes','No'])-&gt;nullable()-&gt;default('No');</v>
      </c>
    </row>
    <row r="40" spans="1:11" x14ac:dyDescent="0.25">
      <c r="A40" s="1" t="s">
        <v>1085</v>
      </c>
      <c r="B40" s="1" t="s">
        <v>1175</v>
      </c>
      <c r="C40" s="1" t="str">
        <f>VLOOKUP(TableFields[Field],Columns[],2,0)&amp;"("</f>
        <v>string(</v>
      </c>
      <c r="D40" s="1" t="str">
        <f>IF(VLOOKUP(TableFields[Field],Columns[],3,0)&lt;&gt;"","'"&amp;VLOOKUP(TableFields[Field],Columns[],3,0)&amp;"'","")</f>
        <v>'ITEMSERIALTEXT'</v>
      </c>
      <c r="E4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40" s="1" t="str">
        <f>IF(VLOOKUP(TableFields[Field],Columns[],5,0)=0,"","-&gt;"&amp;VLOOKUP(TableFields[Field],Columns[],5,0))</f>
        <v>-&gt;nullable()</v>
      </c>
      <c r="G40" s="1" t="str">
        <f>IF(VLOOKUP(TableFields[Field],Columns[],6,0)=0,"","-&gt;"&amp;VLOOKUP(TableFields[Field],Columns[],6,0))</f>
        <v>-&gt;default ('Item Serial')</v>
      </c>
      <c r="H40" s="1" t="str">
        <f>IF(VLOOKUP(TableFields[Field],Columns[],7,0)=0,"","-&gt;"&amp;VLOOKUP(TableFields[Field],Columns[],7,0))</f>
        <v/>
      </c>
      <c r="I40" s="1" t="str">
        <f>IF(VLOOKUP(TableFields[Field],Columns[],8,0)=0,"","-&gt;"&amp;VLOOKUP(TableFields[Field],Columns[],8,0))</f>
        <v/>
      </c>
      <c r="J40" s="1" t="str">
        <f>IF(VLOOKUP(TableFields[Field],Columns[],9,0)=0,"","-&gt;"&amp;VLOOKUP(TableFields[Field],Columns[],9,0))</f>
        <v/>
      </c>
      <c r="K40" s="1" t="str">
        <f>"$table-&gt;"&amp;TableFields[Type]&amp;TableFields[Name]&amp;TableFields[Arg2]&amp;TableFields[Method1]&amp;TableFields[Method2]&amp;TableFields[Method3]&amp;TableFields[Method4]&amp;TableFields[Method5]&amp;";"</f>
        <v>$table-&gt;string('ITEMSERIALTEXT', '30')-&gt;nullable()-&gt;default ('Item Serial');</v>
      </c>
    </row>
    <row r="41" spans="1:11" x14ac:dyDescent="0.25">
      <c r="A41" s="1" t="s">
        <v>1085</v>
      </c>
      <c r="B41" s="1" t="s">
        <v>1177</v>
      </c>
      <c r="C41" s="1" t="str">
        <f>VLOOKUP(TableFields[Field],Columns[],2,0)&amp;"("</f>
        <v>enum(</v>
      </c>
      <c r="D41" s="1" t="str">
        <f>IF(VLOOKUP(TableFields[Field],Columns[],3,0)&lt;&gt;"","'"&amp;VLOOKUP(TableFields[Field],Columns[],3,0)&amp;"'","")</f>
        <v>'PAYMENTMODEACTION'</v>
      </c>
      <c r="E4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['Direct','Ledger'])</v>
      </c>
      <c r="F41" s="1" t="str">
        <f>IF(VLOOKUP(TableFields[Field],Columns[],5,0)=0,"","-&gt;"&amp;VLOOKUP(TableFields[Field],Columns[],5,0))</f>
        <v>-&gt;nullable()</v>
      </c>
      <c r="G41" s="1" t="str">
        <f>IF(VLOOKUP(TableFields[Field],Columns[],6,0)=0,"","-&gt;"&amp;VLOOKUP(TableFields[Field],Columns[],6,0))</f>
        <v>-&gt;default('Direct')</v>
      </c>
      <c r="H41" s="1" t="str">
        <f>IF(VLOOKUP(TableFields[Field],Columns[],7,0)=0,"","-&gt;"&amp;VLOOKUP(TableFields[Field],Columns[],7,0))</f>
        <v/>
      </c>
      <c r="I41" s="1" t="str">
        <f>IF(VLOOKUP(TableFields[Field],Columns[],8,0)=0,"","-&gt;"&amp;VLOOKUP(TableFields[Field],Columns[],8,0))</f>
        <v/>
      </c>
      <c r="J41" s="1" t="str">
        <f>IF(VLOOKUP(TableFields[Field],Columns[],9,0)=0,"","-&gt;"&amp;VLOOKUP(TableFields[Field],Columns[],9,0))</f>
        <v/>
      </c>
      <c r="K41" s="1" t="str">
        <f>"$table-&gt;"&amp;TableFields[Type]&amp;TableFields[Name]&amp;TableFields[Arg2]&amp;TableFields[Method1]&amp;TableFields[Method2]&amp;TableFields[Method3]&amp;TableFields[Method4]&amp;TableFields[Method5]&amp;";"</f>
        <v>$table-&gt;enum('PAYMENTMODEACTION', ['Direct','Ledger'])-&gt;nullable()-&gt;default('Direct');</v>
      </c>
    </row>
    <row r="42" spans="1:11" x14ac:dyDescent="0.25">
      <c r="A42" s="1" t="s">
        <v>1085</v>
      </c>
      <c r="B42" s="1" t="s">
        <v>1181</v>
      </c>
      <c r="C42" s="1" t="str">
        <f>VLOOKUP(TableFields[Field],Columns[],2,0)&amp;"("</f>
        <v>enum(</v>
      </c>
      <c r="D42" s="1" t="str">
        <f>IF(VLOOKUP(TableFields[Field],Columns[],3,0)&lt;&gt;"","'"&amp;VLOOKUP(TableFields[Field],Columns[],3,0)&amp;"'","")</f>
        <v>'BILLPOSTING'</v>
      </c>
      <c r="E4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2" s="1" t="str">
        <f>IF(VLOOKUP(TableFields[Field],Columns[],5,0)=0,"","-&gt;"&amp;VLOOKUP(TableFields[Field],Columns[],5,0))</f>
        <v>-&gt;nullable()</v>
      </c>
      <c r="G42" s="1" t="str">
        <f>IF(VLOOKUP(TableFields[Field],Columns[],6,0)=0,"","-&gt;"&amp;VLOOKUP(TableFields[Field],Columns[],6,0))</f>
        <v>-&gt;default('Manual')</v>
      </c>
      <c r="H42" s="1" t="str">
        <f>IF(VLOOKUP(TableFields[Field],Columns[],7,0)=0,"","-&gt;"&amp;VLOOKUP(TableFields[Field],Columns[],7,0))</f>
        <v/>
      </c>
      <c r="I42" s="1" t="str">
        <f>IF(VLOOKUP(TableFields[Field],Columns[],8,0)=0,"","-&gt;"&amp;VLOOKUP(TableFields[Field],Columns[],8,0))</f>
        <v/>
      </c>
      <c r="J42" s="1" t="str">
        <f>IF(VLOOKUP(TableFields[Field],Columns[],9,0)=0,"","-&gt;"&amp;VLOOKUP(TableFields[Field],Columns[],9,0))</f>
        <v/>
      </c>
      <c r="K42" s="1" t="str">
        <f>"$table-&gt;"&amp;TableFields[Type]&amp;TableFields[Name]&amp;TableFields[Arg2]&amp;TableFields[Method1]&amp;TableFields[Method2]&amp;TableFields[Method3]&amp;TableFields[Method4]&amp;TableFields[Method5]&amp;";"</f>
        <v>$table-&gt;enum('BILLPOSTING', ['Auto','Manual','None'])-&gt;nullable()-&gt;default('Manual');</v>
      </c>
    </row>
    <row r="43" spans="1:11" x14ac:dyDescent="0.25">
      <c r="A43" s="1" t="s">
        <v>1085</v>
      </c>
      <c r="B43" s="1" t="s">
        <v>1185</v>
      </c>
      <c r="C43" s="1" t="str">
        <f>VLOOKUP(TableFields[Field],Columns[],2,0)&amp;"("</f>
        <v>enum(</v>
      </c>
      <c r="D43" s="1" t="str">
        <f>IF(VLOOKUP(TableFields[Field],Columns[],3,0)&lt;&gt;"","'"&amp;VLOOKUP(TableFields[Field],Columns[],3,0)&amp;"'","")</f>
        <v>'AUTOBILLPOSTING'</v>
      </c>
      <c r="E4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['UptoDate','AnyDate'])</v>
      </c>
      <c r="F43" s="1" t="str">
        <f>IF(VLOOKUP(TableFields[Field],Columns[],5,0)=0,"","-&gt;"&amp;VLOOKUP(TableFields[Field],Columns[],5,0))</f>
        <v>-&gt;nullable()</v>
      </c>
      <c r="G43" s="1" t="str">
        <f>IF(VLOOKUP(TableFields[Field],Columns[],6,0)=0,"","-&gt;"&amp;VLOOKUP(TableFields[Field],Columns[],6,0))</f>
        <v>-&gt;default('UptoDate')</v>
      </c>
      <c r="H43" s="1" t="str">
        <f>IF(VLOOKUP(TableFields[Field],Columns[],7,0)=0,"","-&gt;"&amp;VLOOKUP(TableFields[Field],Columns[],7,0))</f>
        <v/>
      </c>
      <c r="I43" s="1" t="str">
        <f>IF(VLOOKUP(TableFields[Field],Columns[],8,0)=0,"","-&gt;"&amp;VLOOKUP(TableFields[Field],Columns[],8,0))</f>
        <v/>
      </c>
      <c r="J43" s="1" t="str">
        <f>IF(VLOOKUP(TableFields[Field],Columns[],9,0)=0,"","-&gt;"&amp;VLOOKUP(TableFields[Field],Columns[],9,0))</f>
        <v/>
      </c>
      <c r="K43" s="1" t="str">
        <f>"$table-&gt;"&amp;TableFields[Type]&amp;TableFields[Name]&amp;TableFields[Arg2]&amp;TableFields[Method1]&amp;TableFields[Method2]&amp;TableFields[Method3]&amp;TableFields[Method4]&amp;TableFields[Method5]&amp;";"</f>
        <v>$table-&gt;enum('AUTOBILLPOSTING', ['UptoDate','AnyDate'])-&gt;nullable()-&gt;default('UptoDate');</v>
      </c>
    </row>
    <row r="44" spans="1:11" x14ac:dyDescent="0.25">
      <c r="A44" s="1" t="s">
        <v>1085</v>
      </c>
      <c r="B44" s="1" t="s">
        <v>1189</v>
      </c>
      <c r="C44" s="1" t="str">
        <f>VLOOKUP(TableFields[Field],Columns[],2,0)&amp;"("</f>
        <v>enum(</v>
      </c>
      <c r="D44" s="1" t="str">
        <f>IF(VLOOKUP(TableFields[Field],Columns[],3,0)&lt;&gt;"","'"&amp;VLOOKUP(TableFields[Field],Columns[],3,0)&amp;"'","")</f>
        <v>'PROFIT'</v>
      </c>
      <c r="E4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['Profit','Margin'])</v>
      </c>
      <c r="F44" s="1" t="str">
        <f>IF(VLOOKUP(TableFields[Field],Columns[],5,0)=0,"","-&gt;"&amp;VLOOKUP(TableFields[Field],Columns[],5,0))</f>
        <v>-&gt;nullable()</v>
      </c>
      <c r="G44" s="1" t="str">
        <f>IF(VLOOKUP(TableFields[Field],Columns[],6,0)=0,"","-&gt;"&amp;VLOOKUP(TableFields[Field],Columns[],6,0))</f>
        <v>-&gt;default('Profit')</v>
      </c>
      <c r="H44" s="1" t="str">
        <f>IF(VLOOKUP(TableFields[Field],Columns[],7,0)=0,"","-&gt;"&amp;VLOOKUP(TableFields[Field],Columns[],7,0))</f>
        <v/>
      </c>
      <c r="I44" s="1" t="str">
        <f>IF(VLOOKUP(TableFields[Field],Columns[],8,0)=0,"","-&gt;"&amp;VLOOKUP(TableFields[Field],Columns[],8,0))</f>
        <v/>
      </c>
      <c r="J44" s="1" t="str">
        <f>IF(VLOOKUP(TableFields[Field],Columns[],9,0)=0,"","-&gt;"&amp;VLOOKUP(TableFields[Field],Columns[],9,0))</f>
        <v/>
      </c>
      <c r="K44" s="1" t="str">
        <f>"$table-&gt;"&amp;TableFields[Type]&amp;TableFields[Name]&amp;TableFields[Arg2]&amp;TableFields[Method1]&amp;TableFields[Method2]&amp;TableFields[Method3]&amp;TableFields[Method4]&amp;TableFields[Method5]&amp;";"</f>
        <v>$table-&gt;enum('PROFIT', ['Profit','Margin'])-&gt;nullable()-&gt;default('Profit');</v>
      </c>
    </row>
    <row r="45" spans="1:11" x14ac:dyDescent="0.25">
      <c r="A45" s="1" t="s">
        <v>1085</v>
      </c>
      <c r="B45" s="1" t="s">
        <v>1193</v>
      </c>
      <c r="C45" s="1" t="str">
        <f>VLOOKUP(TableFields[Field],Columns[],2,0)&amp;"("</f>
        <v>enum(</v>
      </c>
      <c r="D45" s="1" t="str">
        <f>IF(VLOOKUP(TableFields[Field],Columns[],3,0)&lt;&gt;"","'"&amp;VLOOKUP(TableFields[Field],Columns[],3,0)&amp;"'","")</f>
        <v>'PROFITCALCULATION'</v>
      </c>
      <c r="E4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['Online','Offline'])</v>
      </c>
      <c r="F45" s="1" t="str">
        <f>IF(VLOOKUP(TableFields[Field],Columns[],5,0)=0,"","-&gt;"&amp;VLOOKUP(TableFields[Field],Columns[],5,0))</f>
        <v>-&gt;nullable()</v>
      </c>
      <c r="G45" s="1" t="str">
        <f>IF(VLOOKUP(TableFields[Field],Columns[],6,0)=0,"","-&gt;"&amp;VLOOKUP(TableFields[Field],Columns[],6,0))</f>
        <v>-&gt;default('Online')</v>
      </c>
      <c r="H45" s="1" t="str">
        <f>IF(VLOOKUP(TableFields[Field],Columns[],7,0)=0,"","-&gt;"&amp;VLOOKUP(TableFields[Field],Columns[],7,0))</f>
        <v/>
      </c>
      <c r="I45" s="1" t="str">
        <f>IF(VLOOKUP(TableFields[Field],Columns[],8,0)=0,"","-&gt;"&amp;VLOOKUP(TableFields[Field],Columns[],8,0))</f>
        <v/>
      </c>
      <c r="J45" s="1" t="str">
        <f>IF(VLOOKUP(TableFields[Field],Columns[],9,0)=0,"","-&gt;"&amp;VLOOKUP(TableFields[Field],Columns[],9,0))</f>
        <v/>
      </c>
      <c r="K4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$table-&gt;enum('PROFITCALCULATION', ['Online','Offline'])-&gt;nullable()-&gt;default('Online');</v>
      </c>
    </row>
    <row r="46" spans="1:11" x14ac:dyDescent="0.25">
      <c r="A46" s="1" t="s">
        <v>1085</v>
      </c>
      <c r="B46" s="1" t="s">
        <v>1266</v>
      </c>
      <c r="C46" s="1" t="str">
        <f>VLOOKUP(TableFields[Field],Columns[],2,0)&amp;"("</f>
        <v>datetime(</v>
      </c>
      <c r="D46" s="1" t="str">
        <f>IF(VLOOKUP(TableFields[Field],Columns[],3,0)&lt;&gt;"","'"&amp;VLOOKUP(TableFields[Field],Columns[],3,0)&amp;"'","")</f>
        <v>'CLOSEDUPTO'</v>
      </c>
      <c r="E4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46" s="1" t="str">
        <f>IF(VLOOKUP(TableFields[Field],Columns[],5,0)=0,"","-&gt;"&amp;VLOOKUP(TableFields[Field],Columns[],5,0))</f>
        <v>-&gt;nullable()</v>
      </c>
      <c r="G46" s="1" t="str">
        <f>IF(VLOOKUP(TableFields[Field],Columns[],6,0)=0,"","-&gt;"&amp;VLOOKUP(TableFields[Field],Columns[],6,0))</f>
        <v/>
      </c>
      <c r="H46" s="1" t="str">
        <f>IF(VLOOKUP(TableFields[Field],Columns[],7,0)=0,"","-&gt;"&amp;VLOOKUP(TableFields[Field],Columns[],7,0))</f>
        <v/>
      </c>
      <c r="I46" s="1" t="str">
        <f>IF(VLOOKUP(TableFields[Field],Columns[],8,0)=0,"","-&gt;"&amp;VLOOKUP(TableFields[Field],Columns[],8,0))</f>
        <v/>
      </c>
      <c r="J46" s="1" t="str">
        <f>IF(VLOOKUP(TableFields[Field],Columns[],9,0)=0,"","-&gt;"&amp;VLOOKUP(TableFields[Field],Columns[],9,0))</f>
        <v/>
      </c>
      <c r="K46" s="1" t="str">
        <f>"$table-&gt;"&amp;TableFields[Type]&amp;TableFields[Name]&amp;TableFields[Arg2]&amp;TableFields[Method1]&amp;TableFields[Method2]&amp;TableFields[Method3]&amp;TableFields[Method4]&amp;TableFields[Method5]&amp;";"</f>
        <v>$table-&gt;datetime('CLOSEDUPTO')-&gt;nullable();</v>
      </c>
    </row>
    <row r="47" spans="1:11" x14ac:dyDescent="0.25">
      <c r="A47" s="1" t="s">
        <v>1085</v>
      </c>
      <c r="B47" s="1" t="s">
        <v>1197</v>
      </c>
      <c r="C47" s="1" t="str">
        <f>VLOOKUP(TableFields[Field],Columns[],2,0)&amp;"("</f>
        <v>enum(</v>
      </c>
      <c r="D47" s="1" t="str">
        <f>IF(VLOOKUP(TableFields[Field],Columns[],3,0)&lt;&gt;"","'"&amp;VLOOKUP(TableFields[Field],Columns[],3,0)&amp;"'","")</f>
        <v>'COSTING'</v>
      </c>
      <c r="E4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['FIFO','WeightedAverage','LIFO','Manual'])</v>
      </c>
      <c r="F47" s="1" t="str">
        <f>IF(VLOOKUP(TableFields[Field],Columns[],5,0)=0,"","-&gt;"&amp;VLOOKUP(TableFields[Field],Columns[],5,0))</f>
        <v>-&gt;nullable()</v>
      </c>
      <c r="G47" s="1" t="str">
        <f>IF(VLOOKUP(TableFields[Field],Columns[],6,0)=0,"","-&gt;"&amp;VLOOKUP(TableFields[Field],Columns[],6,0))</f>
        <v>-&gt;default('FIFO')</v>
      </c>
      <c r="H47" s="1" t="str">
        <f>IF(VLOOKUP(TableFields[Field],Columns[],7,0)=0,"","-&gt;"&amp;VLOOKUP(TableFields[Field],Columns[],7,0))</f>
        <v/>
      </c>
      <c r="I47" s="1" t="str">
        <f>IF(VLOOKUP(TableFields[Field],Columns[],8,0)=0,"","-&gt;"&amp;VLOOKUP(TableFields[Field],Columns[],8,0))</f>
        <v/>
      </c>
      <c r="J47" s="1" t="str">
        <f>IF(VLOOKUP(TableFields[Field],Columns[],9,0)=0,"","-&gt;"&amp;VLOOKUP(TableFields[Field],Columns[],9,0))</f>
        <v/>
      </c>
      <c r="K47" s="1" t="str">
        <f>"$table-&gt;"&amp;TableFields[Type]&amp;TableFields[Name]&amp;TableFields[Arg2]&amp;TableFields[Method1]&amp;TableFields[Method2]&amp;TableFields[Method3]&amp;TableFields[Method4]&amp;TableFields[Method5]&amp;";"</f>
        <v>$table-&gt;enum('COSTING', ['FIFO','WeightedAverage','LIFO','Manual'])-&gt;nullable()-&gt;default('FIFO');</v>
      </c>
    </row>
    <row r="48" spans="1:11" x14ac:dyDescent="0.25">
      <c r="A48" s="1" t="s">
        <v>1085</v>
      </c>
      <c r="B48" s="1" t="s">
        <v>1201</v>
      </c>
      <c r="C48" s="1" t="str">
        <f>VLOOKUP(TableFields[Field],Columns[],2,0)&amp;"("</f>
        <v>enum(</v>
      </c>
      <c r="D48" s="1" t="str">
        <f>IF(VLOOKUP(TableFields[Field],Columns[],3,0)&lt;&gt;"","'"&amp;VLOOKUP(TableFields[Field],Columns[],3,0)&amp;"'","")</f>
        <v>'BATCHNO'</v>
      </c>
      <c r="E4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8" s="1" t="str">
        <f>IF(VLOOKUP(TableFields[Field],Columns[],5,0)=0,"","-&gt;"&amp;VLOOKUP(TableFields[Field],Columns[],5,0))</f>
        <v>-&gt;nullable()</v>
      </c>
      <c r="G48" s="1" t="str">
        <f>IF(VLOOKUP(TableFields[Field],Columns[],6,0)=0,"","-&gt;"&amp;VLOOKUP(TableFields[Field],Columns[],6,0))</f>
        <v>-&gt;default('None')</v>
      </c>
      <c r="H48" s="1" t="str">
        <f>IF(VLOOKUP(TableFields[Field],Columns[],7,0)=0,"","-&gt;"&amp;VLOOKUP(TableFields[Field],Columns[],7,0))</f>
        <v/>
      </c>
      <c r="I48" s="1" t="str">
        <f>IF(VLOOKUP(TableFields[Field],Columns[],8,0)=0,"","-&gt;"&amp;VLOOKUP(TableFields[Field],Columns[],8,0))</f>
        <v/>
      </c>
      <c r="J48" s="1" t="str">
        <f>IF(VLOOKUP(TableFields[Field],Columns[],9,0)=0,"","-&gt;"&amp;VLOOKUP(TableFields[Field],Columns[],9,0))</f>
        <v/>
      </c>
      <c r="K48" s="1" t="str">
        <f>"$table-&gt;"&amp;TableFields[Type]&amp;TableFields[Name]&amp;TableFields[Arg2]&amp;TableFields[Method1]&amp;TableFields[Method2]&amp;TableFields[Method3]&amp;TableFields[Method4]&amp;TableFields[Method5]&amp;";"</f>
        <v>$table-&gt;enum('BATCHNO', ['Auto','Manual','None'])-&gt;nullable()-&gt;default('None');</v>
      </c>
    </row>
    <row r="49" spans="1:11" x14ac:dyDescent="0.25">
      <c r="A49" s="1" t="s">
        <v>1085</v>
      </c>
      <c r="B49" s="1" t="s">
        <v>1203</v>
      </c>
      <c r="C49" s="1" t="str">
        <f>VLOOKUP(TableFields[Field],Columns[],2,0)&amp;"("</f>
        <v>enum(</v>
      </c>
      <c r="D49" s="1" t="str">
        <f>IF(VLOOKUP(TableFields[Field],Columns[],3,0)&lt;&gt;"","'"&amp;VLOOKUP(TableFields[Field],Columns[],3,0)&amp;"'","")</f>
        <v>'MFGDATE'</v>
      </c>
      <c r="E4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49" s="1" t="str">
        <f>IF(VLOOKUP(TableFields[Field],Columns[],5,0)=0,"","-&gt;"&amp;VLOOKUP(TableFields[Field],Columns[],5,0))</f>
        <v>-&gt;nullable()</v>
      </c>
      <c r="G49" s="1" t="str">
        <f>IF(VLOOKUP(TableFields[Field],Columns[],6,0)=0,"","-&gt;"&amp;VLOOKUP(TableFields[Field],Columns[],6,0))</f>
        <v>-&gt;default('None')</v>
      </c>
      <c r="H49" s="1" t="str">
        <f>IF(VLOOKUP(TableFields[Field],Columns[],7,0)=0,"","-&gt;"&amp;VLOOKUP(TableFields[Field],Columns[],7,0))</f>
        <v/>
      </c>
      <c r="I49" s="1" t="str">
        <f>IF(VLOOKUP(TableFields[Field],Columns[],8,0)=0,"","-&gt;"&amp;VLOOKUP(TableFields[Field],Columns[],8,0))</f>
        <v/>
      </c>
      <c r="J49" s="1" t="str">
        <f>IF(VLOOKUP(TableFields[Field],Columns[],9,0)=0,"","-&gt;"&amp;VLOOKUP(TableFields[Field],Columns[],9,0))</f>
        <v/>
      </c>
      <c r="K49" s="1" t="str">
        <f>"$table-&gt;"&amp;TableFields[Type]&amp;TableFields[Name]&amp;TableFields[Arg2]&amp;TableFields[Method1]&amp;TableFields[Method2]&amp;TableFields[Method3]&amp;TableFields[Method4]&amp;TableFields[Method5]&amp;";"</f>
        <v>$table-&gt;enum('MFGDATE', ['Auto','Manual','None'])-&gt;nullable()-&gt;default('None');</v>
      </c>
    </row>
    <row r="50" spans="1:11" x14ac:dyDescent="0.25">
      <c r="A50" s="1" t="s">
        <v>1085</v>
      </c>
      <c r="B50" s="1" t="s">
        <v>1205</v>
      </c>
      <c r="C50" s="1" t="str">
        <f>VLOOKUP(TableFields[Field],Columns[],2,0)&amp;"("</f>
        <v>enum(</v>
      </c>
      <c r="D50" s="1" t="str">
        <f>IF(VLOOKUP(TableFields[Field],Columns[],3,0)&lt;&gt;"","'"&amp;VLOOKUP(TableFields[Field],Columns[],3,0)&amp;"'","")</f>
        <v>'EXPDATE'</v>
      </c>
      <c r="E5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['Auto','Manual','None'])</v>
      </c>
      <c r="F50" s="1" t="str">
        <f>IF(VLOOKUP(TableFields[Field],Columns[],5,0)=0,"","-&gt;"&amp;VLOOKUP(TableFields[Field],Columns[],5,0))</f>
        <v>-&gt;nullable()</v>
      </c>
      <c r="G50" s="1" t="str">
        <f>IF(VLOOKUP(TableFields[Field],Columns[],6,0)=0,"","-&gt;"&amp;VLOOKUP(TableFields[Field],Columns[],6,0))</f>
        <v>-&gt;default('None')</v>
      </c>
      <c r="H50" s="1" t="str">
        <f>IF(VLOOKUP(TableFields[Field],Columns[],7,0)=0,"","-&gt;"&amp;VLOOKUP(TableFields[Field],Columns[],7,0))</f>
        <v/>
      </c>
      <c r="I50" s="1" t="str">
        <f>IF(VLOOKUP(TableFields[Field],Columns[],8,0)=0,"","-&gt;"&amp;VLOOKUP(TableFields[Field],Columns[],8,0))</f>
        <v/>
      </c>
      <c r="J50" s="1" t="str">
        <f>IF(VLOOKUP(TableFields[Field],Columns[],9,0)=0,"","-&gt;"&amp;VLOOKUP(TableFields[Field],Columns[],9,0))</f>
        <v/>
      </c>
      <c r="K50" s="1" t="str">
        <f>"$table-&gt;"&amp;TableFields[Type]&amp;TableFields[Name]&amp;TableFields[Arg2]&amp;TableFields[Method1]&amp;TableFields[Method2]&amp;TableFields[Method3]&amp;TableFields[Method4]&amp;TableFields[Method5]&amp;";"</f>
        <v>$table-&gt;enum('EXPDATE', ['Auto','Manual','None'])-&gt;nullable()-&gt;default('None');</v>
      </c>
    </row>
    <row r="51" spans="1:11" x14ac:dyDescent="0.25">
      <c r="A51" s="1" t="s">
        <v>1085</v>
      </c>
      <c r="B51" s="1" t="s">
        <v>1207</v>
      </c>
      <c r="C51" s="1" t="str">
        <f>VLOOKUP(TableFields[Field],Columns[],2,0)&amp;"("</f>
        <v>string(</v>
      </c>
      <c r="D51" s="1" t="str">
        <f>IF(VLOOKUP(TableFields[Field],Columns[],3,0)&lt;&gt;"","'"&amp;VLOOKUP(TableFields[Field],Columns[],3,0)&amp;"'","")</f>
        <v>'MFGDATE_FORMAT'</v>
      </c>
      <c r="E5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1" s="1" t="str">
        <f>IF(VLOOKUP(TableFields[Field],Columns[],5,0)=0,"","-&gt;"&amp;VLOOKUP(TableFields[Field],Columns[],5,0))</f>
        <v>-&gt;nullable()</v>
      </c>
      <c r="G51" s="1" t="str">
        <f>IF(VLOOKUP(TableFields[Field],Columns[],6,0)=0,"","-&gt;"&amp;VLOOKUP(TableFields[Field],Columns[],6,0))</f>
        <v>-&gt;default('MMM-yyyy')</v>
      </c>
      <c r="H51" s="1" t="str">
        <f>IF(VLOOKUP(TableFields[Field],Columns[],7,0)=0,"","-&gt;"&amp;VLOOKUP(TableFields[Field],Columns[],7,0))</f>
        <v/>
      </c>
      <c r="I51" s="1" t="str">
        <f>IF(VLOOKUP(TableFields[Field],Columns[],8,0)=0,"","-&gt;"&amp;VLOOKUP(TableFields[Field],Columns[],8,0))</f>
        <v/>
      </c>
      <c r="J51" s="1" t="str">
        <f>IF(VLOOKUP(TableFields[Field],Columns[],9,0)=0,"","-&gt;"&amp;VLOOKUP(TableFields[Field],Columns[],9,0))</f>
        <v/>
      </c>
      <c r="K51" s="1" t="str">
        <f>"$table-&gt;"&amp;TableFields[Type]&amp;TableFields[Name]&amp;TableFields[Arg2]&amp;TableFields[Method1]&amp;TableFields[Method2]&amp;TableFields[Method3]&amp;TableFields[Method4]&amp;TableFields[Method5]&amp;";"</f>
        <v>$table-&gt;string('MFGDATE_FORMAT', '30')-&gt;nullable()-&gt;default('MMM-yyyy');</v>
      </c>
    </row>
    <row r="52" spans="1:11" x14ac:dyDescent="0.25">
      <c r="A52" s="1" t="s">
        <v>1085</v>
      </c>
      <c r="B52" s="1" t="s">
        <v>1210</v>
      </c>
      <c r="C52" s="1" t="str">
        <f>VLOOKUP(TableFields[Field],Columns[],2,0)&amp;"("</f>
        <v>string(</v>
      </c>
      <c r="D52" s="1" t="str">
        <f>IF(VLOOKUP(TableFields[Field],Columns[],3,0)&lt;&gt;"","'"&amp;VLOOKUP(TableFields[Field],Columns[],3,0)&amp;"'","")</f>
        <v>'EXPDATE_FORMAT'</v>
      </c>
      <c r="E5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2" s="1" t="str">
        <f>IF(VLOOKUP(TableFields[Field],Columns[],5,0)=0,"","-&gt;"&amp;VLOOKUP(TableFields[Field],Columns[],5,0))</f>
        <v>-&gt;nullable()</v>
      </c>
      <c r="G52" s="1" t="str">
        <f>IF(VLOOKUP(TableFields[Field],Columns[],6,0)=0,"","-&gt;"&amp;VLOOKUP(TableFields[Field],Columns[],6,0))</f>
        <v>-&gt;default('MMM-yyyy')</v>
      </c>
      <c r="H52" s="1" t="str">
        <f>IF(VLOOKUP(TableFields[Field],Columns[],7,0)=0,"","-&gt;"&amp;VLOOKUP(TableFields[Field],Columns[],7,0))</f>
        <v/>
      </c>
      <c r="I52" s="1" t="str">
        <f>IF(VLOOKUP(TableFields[Field],Columns[],8,0)=0,"","-&gt;"&amp;VLOOKUP(TableFields[Field],Columns[],8,0))</f>
        <v/>
      </c>
      <c r="J52" s="1" t="str">
        <f>IF(VLOOKUP(TableFields[Field],Columns[],9,0)=0,"","-&gt;"&amp;VLOOKUP(TableFields[Field],Columns[],9,0))</f>
        <v/>
      </c>
      <c r="K52" s="1" t="str">
        <f>"$table-&gt;"&amp;TableFields[Type]&amp;TableFields[Name]&amp;TableFields[Arg2]&amp;TableFields[Method1]&amp;TableFields[Method2]&amp;TableFields[Method3]&amp;TableFields[Method4]&amp;TableFields[Method5]&amp;";"</f>
        <v>$table-&gt;string('EXPDATE_FORMAT', '30')-&gt;nullable()-&gt;default('MMM-yyyy');</v>
      </c>
    </row>
    <row r="53" spans="1:11" x14ac:dyDescent="0.25">
      <c r="A53" s="1" t="s">
        <v>1085</v>
      </c>
      <c r="B53" s="1" t="s">
        <v>1212</v>
      </c>
      <c r="C53" s="1" t="str">
        <f>VLOOKUP(TableFields[Field],Columns[],2,0)&amp;"("</f>
        <v>mediumInteger(</v>
      </c>
      <c r="D53" s="1" t="str">
        <f>IF(VLOOKUP(TableFields[Field],Columns[],3,0)&lt;&gt;"","'"&amp;VLOOKUP(TableFields[Field],Columns[],3,0)&amp;"'","")</f>
        <v>'LIFETIME'</v>
      </c>
      <c r="E5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53" s="1" t="str">
        <f>IF(VLOOKUP(TableFields[Field],Columns[],5,0)=0,"","-&gt;"&amp;VLOOKUP(TableFields[Field],Columns[],5,0))</f>
        <v>-&gt;default('2')</v>
      </c>
      <c r="G53" s="1" t="str">
        <f>IF(VLOOKUP(TableFields[Field],Columns[],6,0)=0,"","-&gt;"&amp;VLOOKUP(TableFields[Field],Columns[],6,0))</f>
        <v/>
      </c>
      <c r="H53" s="1" t="str">
        <f>IF(VLOOKUP(TableFields[Field],Columns[],7,0)=0,"","-&gt;"&amp;VLOOKUP(TableFields[Field],Columns[],7,0))</f>
        <v/>
      </c>
      <c r="I53" s="1" t="str">
        <f>IF(VLOOKUP(TableFields[Field],Columns[],8,0)=0,"","-&gt;"&amp;VLOOKUP(TableFields[Field],Columns[],8,0))</f>
        <v/>
      </c>
      <c r="J53" s="1" t="str">
        <f>IF(VLOOKUP(TableFields[Field],Columns[],9,0)=0,"","-&gt;"&amp;VLOOKUP(TableFields[Field],Columns[],9,0))</f>
        <v/>
      </c>
      <c r="K53" s="1" t="str">
        <f>"$table-&gt;"&amp;TableFields[Type]&amp;TableFields[Name]&amp;TableFields[Arg2]&amp;TableFields[Method1]&amp;TableFields[Method2]&amp;TableFields[Method3]&amp;TableFields[Method4]&amp;TableFields[Method5]&amp;";"</f>
        <v>$table-&gt;mediumInteger('LIFETIME')-&gt;default('2');</v>
      </c>
    </row>
    <row r="54" spans="1:11" x14ac:dyDescent="0.25">
      <c r="A54" s="1" t="s">
        <v>1085</v>
      </c>
      <c r="B54" s="1" t="s">
        <v>1214</v>
      </c>
      <c r="C54" s="1" t="str">
        <f>VLOOKUP(TableFields[Field],Columns[],2,0)&amp;"("</f>
        <v>enum(</v>
      </c>
      <c r="D54" s="1" t="str">
        <f>IF(VLOOKUP(TableFields[Field],Columns[],3,0)&lt;&gt;"","'"&amp;VLOOKUP(TableFields[Field],Columns[],3,0)&amp;"'","")</f>
        <v>'LIFETIMEINTERVAL'</v>
      </c>
      <c r="E5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['Day','Week','Month','Year'])</v>
      </c>
      <c r="F54" s="1" t="str">
        <f>IF(VLOOKUP(TableFields[Field],Columns[],5,0)=0,"","-&gt;"&amp;VLOOKUP(TableFields[Field],Columns[],5,0))</f>
        <v>-&gt;nullable()</v>
      </c>
      <c r="G54" s="1" t="str">
        <f>IF(VLOOKUP(TableFields[Field],Columns[],6,0)=0,"","-&gt;"&amp;VLOOKUP(TableFields[Field],Columns[],6,0))</f>
        <v>-&gt;default('Year')</v>
      </c>
      <c r="H54" s="1" t="str">
        <f>IF(VLOOKUP(TableFields[Field],Columns[],7,0)=0,"","-&gt;"&amp;VLOOKUP(TableFields[Field],Columns[],7,0))</f>
        <v/>
      </c>
      <c r="I54" s="1" t="str">
        <f>IF(VLOOKUP(TableFields[Field],Columns[],8,0)=0,"","-&gt;"&amp;VLOOKUP(TableFields[Field],Columns[],8,0))</f>
        <v/>
      </c>
      <c r="J54" s="1" t="str">
        <f>IF(VLOOKUP(TableFields[Field],Columns[],9,0)=0,"","-&gt;"&amp;VLOOKUP(TableFields[Field],Columns[],9,0))</f>
        <v/>
      </c>
      <c r="K54" s="1" t="str">
        <f>"$table-&gt;"&amp;TableFields[Type]&amp;TableFields[Name]&amp;TableFields[Arg2]&amp;TableFields[Method1]&amp;TableFields[Method2]&amp;TableFields[Method3]&amp;TableFields[Method4]&amp;TableFields[Method5]&amp;";"</f>
        <v>$table-&gt;enum('LIFETIMEINTERVAL', ['Day','Week','Month','Year'])-&gt;nullable()-&gt;default('Year');</v>
      </c>
    </row>
    <row r="55" spans="1:11" x14ac:dyDescent="0.25">
      <c r="A55" s="1" t="s">
        <v>1085</v>
      </c>
      <c r="B55" s="1" t="s">
        <v>1218</v>
      </c>
      <c r="C55" s="1" t="str">
        <f>VLOOKUP(TableFields[Field],Columns[],2,0)&amp;"("</f>
        <v>enum(</v>
      </c>
      <c r="D55" s="1" t="str">
        <f>IF(VLOOKUP(TableFields[Field],Columns[],3,0)&lt;&gt;"","'"&amp;VLOOKUP(TableFields[Field],Columns[],3,0)&amp;"'","")</f>
        <v>'PARTCODE'</v>
      </c>
      <c r="E5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5" s="1" t="str">
        <f>IF(VLOOKUP(TableFields[Field],Columns[],5,0)=0,"","-&gt;"&amp;VLOOKUP(TableFields[Field],Columns[],5,0))</f>
        <v>-&gt;nullable()</v>
      </c>
      <c r="G55" s="1" t="str">
        <f>IF(VLOOKUP(TableFields[Field],Columns[],6,0)=0,"","-&gt;"&amp;VLOOKUP(TableFields[Field],Columns[],6,0))</f>
        <v>-&gt;default('No')</v>
      </c>
      <c r="H55" s="1" t="str">
        <f>IF(VLOOKUP(TableFields[Field],Columns[],7,0)=0,"","-&gt;"&amp;VLOOKUP(TableFields[Field],Columns[],7,0))</f>
        <v/>
      </c>
      <c r="I55" s="1" t="str">
        <f>IF(VLOOKUP(TableFields[Field],Columns[],8,0)=0,"","-&gt;"&amp;VLOOKUP(TableFields[Field],Columns[],8,0))</f>
        <v/>
      </c>
      <c r="J55" s="1" t="str">
        <f>IF(VLOOKUP(TableFields[Field],Columns[],9,0)=0,"","-&gt;"&amp;VLOOKUP(TableFields[Field],Columns[],9,0))</f>
        <v/>
      </c>
      <c r="K55" s="1" t="str">
        <f>"$table-&gt;"&amp;TableFields[Type]&amp;TableFields[Name]&amp;TableFields[Arg2]&amp;TableFields[Method1]&amp;TableFields[Method2]&amp;TableFields[Method3]&amp;TableFields[Method4]&amp;TableFields[Method5]&amp;";"</f>
        <v>$table-&gt;enum('PARTCODE', ['Yes','No'])-&gt;nullable()-&gt;default('No');</v>
      </c>
    </row>
    <row r="56" spans="1:11" x14ac:dyDescent="0.25">
      <c r="A56" s="1" t="s">
        <v>1085</v>
      </c>
      <c r="B56" s="1" t="s">
        <v>1220</v>
      </c>
      <c r="C56" s="1" t="str">
        <f>VLOOKUP(TableFields[Field],Columns[],2,0)&amp;"("</f>
        <v>string(</v>
      </c>
      <c r="D56" s="1" t="str">
        <f>IF(VLOOKUP(TableFields[Field],Columns[],3,0)&lt;&gt;"","'"&amp;VLOOKUP(TableFields[Field],Columns[],3,0)&amp;"'","")</f>
        <v>'PARTCODETEXT'</v>
      </c>
      <c r="E5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6" s="1" t="str">
        <f>IF(VLOOKUP(TableFields[Field],Columns[],5,0)=0,"","-&gt;"&amp;VLOOKUP(TableFields[Field],Columns[],5,0))</f>
        <v>-&gt;default('PARTCODE')</v>
      </c>
      <c r="G56" s="1" t="str">
        <f>IF(VLOOKUP(TableFields[Field],Columns[],6,0)=0,"","-&gt;"&amp;VLOOKUP(TableFields[Field],Columns[],6,0))</f>
        <v/>
      </c>
      <c r="H56" s="1" t="str">
        <f>IF(VLOOKUP(TableFields[Field],Columns[],7,0)=0,"","-&gt;"&amp;VLOOKUP(TableFields[Field],Columns[],7,0))</f>
        <v/>
      </c>
      <c r="I56" s="1" t="str">
        <f>IF(VLOOKUP(TableFields[Field],Columns[],8,0)=0,"","-&gt;"&amp;VLOOKUP(TableFields[Field],Columns[],8,0))</f>
        <v/>
      </c>
      <c r="J56" s="1" t="str">
        <f>IF(VLOOKUP(TableFields[Field],Columns[],9,0)=0,"","-&gt;"&amp;VLOOKUP(TableFields[Field],Columns[],9,0))</f>
        <v/>
      </c>
      <c r="K56" s="1" t="str">
        <f>"$table-&gt;"&amp;TableFields[Type]&amp;TableFields[Name]&amp;TableFields[Arg2]&amp;TableFields[Method1]&amp;TableFields[Method2]&amp;TableFields[Method3]&amp;TableFields[Method4]&amp;TableFields[Method5]&amp;";"</f>
        <v>$table-&gt;string('PARTCODETEXT', '30')-&gt;default('PARTCODE');</v>
      </c>
    </row>
    <row r="57" spans="1:11" x14ac:dyDescent="0.25">
      <c r="A57" s="1" t="s">
        <v>1085</v>
      </c>
      <c r="B57" s="1" t="s">
        <v>1223</v>
      </c>
      <c r="C57" s="1" t="str">
        <f>VLOOKUP(TableFields[Field],Columns[],2,0)&amp;"("</f>
        <v>enum(</v>
      </c>
      <c r="D57" s="1" t="str">
        <f>IF(VLOOKUP(TableFields[Field],Columns[],3,0)&lt;&gt;"","'"&amp;VLOOKUP(TableFields[Field],Columns[],3,0)&amp;"'","")</f>
        <v>'AREA'</v>
      </c>
      <c r="E5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7" s="1" t="str">
        <f>IF(VLOOKUP(TableFields[Field],Columns[],5,0)=0,"","-&gt;"&amp;VLOOKUP(TableFields[Field],Columns[],5,0))</f>
        <v>-&gt;nullable()</v>
      </c>
      <c r="G57" s="1" t="str">
        <f>IF(VLOOKUP(TableFields[Field],Columns[],6,0)=0,"","-&gt;"&amp;VLOOKUP(TableFields[Field],Columns[],6,0))</f>
        <v>-&gt;default('No')</v>
      </c>
      <c r="H57" s="1" t="str">
        <f>IF(VLOOKUP(TableFields[Field],Columns[],7,0)=0,"","-&gt;"&amp;VLOOKUP(TableFields[Field],Columns[],7,0))</f>
        <v/>
      </c>
      <c r="I57" s="1" t="str">
        <f>IF(VLOOKUP(TableFields[Field],Columns[],8,0)=0,"","-&gt;"&amp;VLOOKUP(TableFields[Field],Columns[],8,0))</f>
        <v/>
      </c>
      <c r="J57" s="1" t="str">
        <f>IF(VLOOKUP(TableFields[Field],Columns[],9,0)=0,"","-&gt;"&amp;VLOOKUP(TableFields[Field],Columns[],9,0))</f>
        <v/>
      </c>
      <c r="K57" s="1" t="str">
        <f>"$table-&gt;"&amp;TableFields[Type]&amp;TableFields[Name]&amp;TableFields[Arg2]&amp;TableFields[Method1]&amp;TableFields[Method2]&amp;TableFields[Method3]&amp;TableFields[Method4]&amp;TableFields[Method5]&amp;";"</f>
        <v>$table-&gt;enum('AREA', ['Yes','No'])-&gt;nullable()-&gt;default('No');</v>
      </c>
    </row>
    <row r="58" spans="1:11" x14ac:dyDescent="0.25">
      <c r="A58" s="1" t="s">
        <v>1085</v>
      </c>
      <c r="B58" s="1" t="s">
        <v>1225</v>
      </c>
      <c r="C58" s="1" t="str">
        <f>VLOOKUP(TableFields[Field],Columns[],2,0)&amp;"("</f>
        <v>string(</v>
      </c>
      <c r="D58" s="1" t="str">
        <f>IF(VLOOKUP(TableFields[Field],Columns[],3,0)&lt;&gt;"","'"&amp;VLOOKUP(TableFields[Field],Columns[],3,0)&amp;"'","")</f>
        <v>'AREATEXT'</v>
      </c>
      <c r="E5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58" s="1" t="str">
        <f>IF(VLOOKUP(TableFields[Field],Columns[],5,0)=0,"","-&gt;"&amp;VLOOKUP(TableFields[Field],Columns[],5,0))</f>
        <v>-&gt;default('Area')</v>
      </c>
      <c r="G58" s="1" t="str">
        <f>IF(VLOOKUP(TableFields[Field],Columns[],6,0)=0,"","-&gt;"&amp;VLOOKUP(TableFields[Field],Columns[],6,0))</f>
        <v/>
      </c>
      <c r="H58" s="1" t="str">
        <f>IF(VLOOKUP(TableFields[Field],Columns[],7,0)=0,"","-&gt;"&amp;VLOOKUP(TableFields[Field],Columns[],7,0))</f>
        <v/>
      </c>
      <c r="I58" s="1" t="str">
        <f>IF(VLOOKUP(TableFields[Field],Columns[],8,0)=0,"","-&gt;"&amp;VLOOKUP(TableFields[Field],Columns[],8,0))</f>
        <v/>
      </c>
      <c r="J58" s="1" t="str">
        <f>IF(VLOOKUP(TableFields[Field],Columns[],9,0)=0,"","-&gt;"&amp;VLOOKUP(TableFields[Field],Columns[],9,0))</f>
        <v/>
      </c>
      <c r="K58" s="1" t="str">
        <f>"$table-&gt;"&amp;TableFields[Type]&amp;TableFields[Name]&amp;TableFields[Arg2]&amp;TableFields[Method1]&amp;TableFields[Method2]&amp;TableFields[Method3]&amp;TableFields[Method4]&amp;TableFields[Method5]&amp;";"</f>
        <v>$table-&gt;string('AREATEXT', '30')-&gt;default('Area');</v>
      </c>
    </row>
    <row r="59" spans="1:11" x14ac:dyDescent="0.25">
      <c r="A59" s="1" t="s">
        <v>1085</v>
      </c>
      <c r="B59" s="1" t="s">
        <v>1228</v>
      </c>
      <c r="C59" s="1" t="str">
        <f>VLOOKUP(TableFields[Field],Columns[],2,0)&amp;"("</f>
        <v>enum(</v>
      </c>
      <c r="D59" s="1" t="str">
        <f>IF(VLOOKUP(TableFields[Field],Columns[],3,0)&lt;&gt;"","'"&amp;VLOOKUP(TableFields[Field],Columns[],3,0)&amp;"'","")</f>
        <v>'STORAGEBIN'</v>
      </c>
      <c r="E5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59" s="1" t="str">
        <f>IF(VLOOKUP(TableFields[Field],Columns[],5,0)=0,"","-&gt;"&amp;VLOOKUP(TableFields[Field],Columns[],5,0))</f>
        <v>-&gt;nullable()</v>
      </c>
      <c r="G59" s="1" t="str">
        <f>IF(VLOOKUP(TableFields[Field],Columns[],6,0)=0,"","-&gt;"&amp;VLOOKUP(TableFields[Field],Columns[],6,0))</f>
        <v>-&gt;default('No')</v>
      </c>
      <c r="H59" s="1" t="str">
        <f>IF(VLOOKUP(TableFields[Field],Columns[],7,0)=0,"","-&gt;"&amp;VLOOKUP(TableFields[Field],Columns[],7,0))</f>
        <v/>
      </c>
      <c r="I59" s="1" t="str">
        <f>IF(VLOOKUP(TableFields[Field],Columns[],8,0)=0,"","-&gt;"&amp;VLOOKUP(TableFields[Field],Columns[],8,0))</f>
        <v/>
      </c>
      <c r="J59" s="1" t="str">
        <f>IF(VLOOKUP(TableFields[Field],Columns[],9,0)=0,"","-&gt;"&amp;VLOOKUP(TableFields[Field],Columns[],9,0))</f>
        <v/>
      </c>
      <c r="K59" s="1" t="str">
        <f>"$table-&gt;"&amp;TableFields[Type]&amp;TableFields[Name]&amp;TableFields[Arg2]&amp;TableFields[Method1]&amp;TableFields[Method2]&amp;TableFields[Method3]&amp;TableFields[Method4]&amp;TableFields[Method5]&amp;";"</f>
        <v>$table-&gt;enum('STORAGEBIN', ['Yes','No'])-&gt;nullable()-&gt;default('No');</v>
      </c>
    </row>
    <row r="60" spans="1:11" x14ac:dyDescent="0.25">
      <c r="A60" s="1" t="s">
        <v>1085</v>
      </c>
      <c r="B60" s="1" t="s">
        <v>1230</v>
      </c>
      <c r="C60" s="1" t="str">
        <f>VLOOKUP(TableFields[Field],Columns[],2,0)&amp;"("</f>
        <v>string(</v>
      </c>
      <c r="D60" s="1" t="str">
        <f>IF(VLOOKUP(TableFields[Field],Columns[],3,0)&lt;&gt;"","'"&amp;VLOOKUP(TableFields[Field],Columns[],3,0)&amp;"'","")</f>
        <v>'STORAGEBINTEXT'</v>
      </c>
      <c r="E6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0" s="1" t="str">
        <f>IF(VLOOKUP(TableFields[Field],Columns[],5,0)=0,"","-&gt;"&amp;VLOOKUP(TableFields[Field],Columns[],5,0))</f>
        <v>-&gt;nullable()</v>
      </c>
      <c r="G60" s="1" t="str">
        <f>IF(VLOOKUP(TableFields[Field],Columns[],6,0)=0,"","-&gt;"&amp;VLOOKUP(TableFields[Field],Columns[],6,0))</f>
        <v>-&gt;default('Storage Bin')</v>
      </c>
      <c r="H60" s="1" t="str">
        <f>IF(VLOOKUP(TableFields[Field],Columns[],7,0)=0,"","-&gt;"&amp;VLOOKUP(TableFields[Field],Columns[],7,0))</f>
        <v/>
      </c>
      <c r="I60" s="1" t="str">
        <f>IF(VLOOKUP(TableFields[Field],Columns[],8,0)=0,"","-&gt;"&amp;VLOOKUP(TableFields[Field],Columns[],8,0))</f>
        <v/>
      </c>
      <c r="J60" s="1" t="str">
        <f>IF(VLOOKUP(TableFields[Field],Columns[],9,0)=0,"","-&gt;"&amp;VLOOKUP(TableFields[Field],Columns[],9,0))</f>
        <v/>
      </c>
      <c r="K60" s="1" t="str">
        <f>"$table-&gt;"&amp;TableFields[Type]&amp;TableFields[Name]&amp;TableFields[Arg2]&amp;TableFields[Method1]&amp;TableFields[Method2]&amp;TableFields[Method3]&amp;TableFields[Method4]&amp;TableFields[Method5]&amp;";"</f>
        <v>$table-&gt;string('STORAGEBINTEXT', '30')-&gt;nullable()-&gt;default('Storage Bin');</v>
      </c>
    </row>
    <row r="61" spans="1:11" s="20" customFormat="1" x14ac:dyDescent="0.25">
      <c r="A61" s="1" t="s">
        <v>1085</v>
      </c>
      <c r="B61" s="1" t="s">
        <v>1232</v>
      </c>
      <c r="C61" s="1" t="str">
        <f>VLOOKUP(TableFields[Field],Columns[],2,0)&amp;"("</f>
        <v>enum(</v>
      </c>
      <c r="D61" s="1" t="str">
        <f>IF(VLOOKUP(TableFields[Field],Columns[],3,0)&lt;&gt;"","'"&amp;VLOOKUP(TableFields[Field],Columns[],3,0)&amp;"'","")</f>
        <v>'WORKFLOW'</v>
      </c>
      <c r="E6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['Enabled','Disabled'])</v>
      </c>
      <c r="F61" s="1" t="str">
        <f>IF(VLOOKUP(TableFields[Field],Columns[],5,0)=0,"","-&gt;"&amp;VLOOKUP(TableFields[Field],Columns[],5,0))</f>
        <v>-&gt;nullable()</v>
      </c>
      <c r="G61" s="1" t="str">
        <f>IF(VLOOKUP(TableFields[Field],Columns[],6,0)=0,"","-&gt;"&amp;VLOOKUP(TableFields[Field],Columns[],6,0))</f>
        <v>-&gt;default('Disabled')</v>
      </c>
      <c r="H61" s="1" t="str">
        <f>IF(VLOOKUP(TableFields[Field],Columns[],7,0)=0,"","-&gt;"&amp;VLOOKUP(TableFields[Field],Columns[],7,0))</f>
        <v/>
      </c>
      <c r="I61" s="1" t="str">
        <f>IF(VLOOKUP(TableFields[Field],Columns[],8,0)=0,"","-&gt;"&amp;VLOOKUP(TableFields[Field],Columns[],8,0))</f>
        <v/>
      </c>
      <c r="J61" s="1" t="str">
        <f>IF(VLOOKUP(TableFields[Field],Columns[],9,0)=0,"","-&gt;"&amp;VLOOKUP(TableFields[Field],Columns[],9,0))</f>
        <v/>
      </c>
      <c r="K61" s="1" t="str">
        <f>"$table-&gt;"&amp;TableFields[Type]&amp;TableFields[Name]&amp;TableFields[Arg2]&amp;TableFields[Method1]&amp;TableFields[Method2]&amp;TableFields[Method3]&amp;TableFields[Method4]&amp;TableFields[Method5]&amp;";"</f>
        <v>$table-&gt;enum('WORKFLOW', ['Enabled','Disabled'])-&gt;nullable()-&gt;default('Disabled');</v>
      </c>
    </row>
    <row r="62" spans="1:11" x14ac:dyDescent="0.25">
      <c r="A62" s="1" t="s">
        <v>1085</v>
      </c>
      <c r="B62" s="1" t="s">
        <v>1236</v>
      </c>
      <c r="C62" s="1" t="str">
        <f>VLOOKUP(TableFields[Field],Columns[],2,0)&amp;"("</f>
        <v>char(</v>
      </c>
      <c r="D62" s="1" t="str">
        <f>IF(VLOOKUP(TableFields[Field],Columns[],3,0)&lt;&gt;"","'"&amp;VLOOKUP(TableFields[Field],Columns[],3,0)&amp;"'","")</f>
        <v>'LANGUAGE'</v>
      </c>
      <c r="E6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2" s="1" t="str">
        <f>IF(VLOOKUP(TableFields[Field],Columns[],5,0)=0,"","-&gt;"&amp;VLOOKUP(TableFields[Field],Columns[],5,0))</f>
        <v>-&gt;nullable()</v>
      </c>
      <c r="G62" s="1" t="str">
        <f>IF(VLOOKUP(TableFields[Field],Columns[],6,0)=0,"","-&gt;"&amp;VLOOKUP(TableFields[Field],Columns[],6,0))</f>
        <v/>
      </c>
      <c r="H62" s="1" t="str">
        <f>IF(VLOOKUP(TableFields[Field],Columns[],7,0)=0,"","-&gt;"&amp;VLOOKUP(TableFields[Field],Columns[],7,0))</f>
        <v/>
      </c>
      <c r="I62" s="1" t="str">
        <f>IF(VLOOKUP(TableFields[Field],Columns[],8,0)=0,"","-&gt;"&amp;VLOOKUP(TableFields[Field],Columns[],8,0))</f>
        <v/>
      </c>
      <c r="J62" s="1" t="str">
        <f>IF(VLOOKUP(TableFields[Field],Columns[],9,0)=0,"","-&gt;"&amp;VLOOKUP(TableFields[Field],Columns[],9,0))</f>
        <v/>
      </c>
      <c r="K62" s="1" t="str">
        <f>"$table-&gt;"&amp;TableFields[Type]&amp;TableFields[Name]&amp;TableFields[Arg2]&amp;TableFields[Method1]&amp;TableFields[Method2]&amp;TableFields[Method3]&amp;TableFields[Method4]&amp;TableFields[Method5]&amp;";"</f>
        <v>$table-&gt;char('LANGUAGE', '15')-&gt;nullable();</v>
      </c>
    </row>
    <row r="63" spans="1:11" x14ac:dyDescent="0.25">
      <c r="A63" s="1" t="s">
        <v>1085</v>
      </c>
      <c r="B63" s="1" t="s">
        <v>1238</v>
      </c>
      <c r="C63" s="1" t="str">
        <f>VLOOKUP(TableFields[Field],Columns[],2,0)&amp;"("</f>
        <v>string(</v>
      </c>
      <c r="D63" s="1" t="str">
        <f>IF(VLOOKUP(TableFields[Field],Columns[],3,0)&lt;&gt;"","'"&amp;VLOOKUP(TableFields[Field],Columns[],3,0)&amp;"'","")</f>
        <v>'CULTURE'</v>
      </c>
      <c r="E6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63" s="1" t="str">
        <f>IF(VLOOKUP(TableFields[Field],Columns[],5,0)=0,"","-&gt;"&amp;VLOOKUP(TableFields[Field],Columns[],5,0))</f>
        <v>-&gt;nullable()</v>
      </c>
      <c r="G63" s="1" t="str">
        <f>IF(VLOOKUP(TableFields[Field],Columns[],6,0)=0,"","-&gt;"&amp;VLOOKUP(TableFields[Field],Columns[],6,0))</f>
        <v/>
      </c>
      <c r="H63" s="1" t="str">
        <f>IF(VLOOKUP(TableFields[Field],Columns[],7,0)=0,"","-&gt;"&amp;VLOOKUP(TableFields[Field],Columns[],7,0))</f>
        <v/>
      </c>
      <c r="I63" s="1" t="str">
        <f>IF(VLOOKUP(TableFields[Field],Columns[],8,0)=0,"","-&gt;"&amp;VLOOKUP(TableFields[Field],Columns[],8,0))</f>
        <v/>
      </c>
      <c r="J63" s="1" t="str">
        <f>IF(VLOOKUP(TableFields[Field],Columns[],9,0)=0,"","-&gt;"&amp;VLOOKUP(TableFields[Field],Columns[],9,0))</f>
        <v/>
      </c>
      <c r="K63" s="1" t="str">
        <f>"$table-&gt;"&amp;TableFields[Type]&amp;TableFields[Name]&amp;TableFields[Arg2]&amp;TableFields[Method1]&amp;TableFields[Method2]&amp;TableFields[Method3]&amp;TableFields[Method4]&amp;TableFields[Method5]&amp;";"</f>
        <v>$table-&gt;string('CULTURE', '30')-&gt;nullable();</v>
      </c>
    </row>
    <row r="64" spans="1:11" x14ac:dyDescent="0.25">
      <c r="A64" s="1" t="s">
        <v>1085</v>
      </c>
      <c r="B64" s="1" t="s">
        <v>1240</v>
      </c>
      <c r="C64" s="1" t="str">
        <f>VLOOKUP(TableFields[Field],Columns[],2,0)&amp;"("</f>
        <v>enum(</v>
      </c>
      <c r="D64" s="1" t="str">
        <f>IF(VLOOKUP(TableFields[Field],Columns[],3,0)&lt;&gt;"","'"&amp;VLOOKUP(TableFields[Field],Columns[],3,0)&amp;"'","")</f>
        <v>'STOCKJVPOSTING'</v>
      </c>
      <c r="E6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4" s="1" t="str">
        <f>IF(VLOOKUP(TableFields[Field],Columns[],5,0)=0,"","-&gt;"&amp;VLOOKUP(TableFields[Field],Columns[],5,0))</f>
        <v>-&gt;nullable()</v>
      </c>
      <c r="G64" s="1" t="str">
        <f>IF(VLOOKUP(TableFields[Field],Columns[],6,0)=0,"","-&gt;"&amp;VLOOKUP(TableFields[Field],Columns[],6,0))</f>
        <v>-&gt;default('Monthly')</v>
      </c>
      <c r="H64" s="1" t="str">
        <f>IF(VLOOKUP(TableFields[Field],Columns[],7,0)=0,"","-&gt;"&amp;VLOOKUP(TableFields[Field],Columns[],7,0))</f>
        <v/>
      </c>
      <c r="I64" s="1" t="str">
        <f>IF(VLOOKUP(TableFields[Field],Columns[],8,0)=0,"","-&gt;"&amp;VLOOKUP(TableFields[Field],Columns[],8,0))</f>
        <v/>
      </c>
      <c r="J64" s="1" t="str">
        <f>IF(VLOOKUP(TableFields[Field],Columns[],9,0)=0,"","-&gt;"&amp;VLOOKUP(TableFields[Field],Columns[],9,0))</f>
        <v/>
      </c>
      <c r="K64" s="1" t="str">
        <f>"$table-&gt;"&amp;TableFields[Type]&amp;TableFields[Name]&amp;TableFields[Arg2]&amp;TableFields[Method1]&amp;TableFields[Method2]&amp;TableFields[Method3]&amp;TableFields[Method4]&amp;TableFields[Method5]&amp;";"</f>
        <v>$table-&gt;enum('STOCKJVPOSTING', ['Monthly','Quarterly','Half-Yearly','Annually'])-&gt;nullable()-&gt;default('Monthly');</v>
      </c>
    </row>
    <row r="65" spans="1:11" x14ac:dyDescent="0.25">
      <c r="A65" s="1" t="s">
        <v>1085</v>
      </c>
      <c r="B65" s="1" t="s">
        <v>1243</v>
      </c>
      <c r="C65" s="1" t="str">
        <f>VLOOKUP(TableFields[Field],Columns[],2,0)&amp;"("</f>
        <v>enum(</v>
      </c>
      <c r="D65" s="1" t="str">
        <f>IF(VLOOKUP(TableFields[Field],Columns[],3,0)&lt;&gt;"","'"&amp;VLOOKUP(TableFields[Field],Columns[],3,0)&amp;"'","")</f>
        <v>'PROFITJVPOSTING'</v>
      </c>
      <c r="E6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['Monthly','Quarterly','Half-Yearly','Annually'])</v>
      </c>
      <c r="F65" s="1" t="str">
        <f>IF(VLOOKUP(TableFields[Field],Columns[],5,0)=0,"","-&gt;"&amp;VLOOKUP(TableFields[Field],Columns[],5,0))</f>
        <v>-&gt;nullable()</v>
      </c>
      <c r="G65" s="1" t="str">
        <f>IF(VLOOKUP(TableFields[Field],Columns[],6,0)=0,"","-&gt;"&amp;VLOOKUP(TableFields[Field],Columns[],6,0))</f>
        <v>-&gt;default('Annually')</v>
      </c>
      <c r="H65" s="1" t="str">
        <f>IF(VLOOKUP(TableFields[Field],Columns[],7,0)=0,"","-&gt;"&amp;VLOOKUP(TableFields[Field],Columns[],7,0))</f>
        <v/>
      </c>
      <c r="I65" s="1" t="str">
        <f>IF(VLOOKUP(TableFields[Field],Columns[],8,0)=0,"","-&gt;"&amp;VLOOKUP(TableFields[Field],Columns[],8,0))</f>
        <v/>
      </c>
      <c r="J65" s="1" t="str">
        <f>IF(VLOOKUP(TableFields[Field],Columns[],9,0)=0,"","-&gt;"&amp;VLOOKUP(TableFields[Field],Columns[],9,0))</f>
        <v/>
      </c>
      <c r="K65" s="1" t="str">
        <f>"$table-&gt;"&amp;TableFields[Type]&amp;TableFields[Name]&amp;TableFields[Arg2]&amp;TableFields[Method1]&amp;TableFields[Method2]&amp;TableFields[Method3]&amp;TableFields[Method4]&amp;TableFields[Method5]&amp;";"</f>
        <v>$table-&gt;enum('PROFITJVPOSTING', ['Monthly','Quarterly','Half-Yearly','Annually'])-&gt;nullable()-&gt;default('Annually');</v>
      </c>
    </row>
    <row r="66" spans="1:11" x14ac:dyDescent="0.25">
      <c r="A66" s="1" t="s">
        <v>1085</v>
      </c>
      <c r="B66" s="1" t="s">
        <v>1246</v>
      </c>
      <c r="C66" s="1" t="str">
        <f>VLOOKUP(TableFields[Field],Columns[],2,0)&amp;"("</f>
        <v>enum(</v>
      </c>
      <c r="D66" s="1" t="str">
        <f>IF(VLOOKUP(TableFields[Field],Columns[],3,0)&lt;&gt;"","'"&amp;VLOOKUP(TableFields[Field],Columns[],3,0)&amp;"'","")</f>
        <v>'REPORTTITLE'</v>
      </c>
      <c r="E66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['CompanyName','BranchName','Branches'])</v>
      </c>
      <c r="F66" s="1" t="str">
        <f>IF(VLOOKUP(TableFields[Field],Columns[],5,0)=0,"","-&gt;"&amp;VLOOKUP(TableFields[Field],Columns[],5,0))</f>
        <v>-&gt;nullable()</v>
      </c>
      <c r="G66" s="1" t="str">
        <f>IF(VLOOKUP(TableFields[Field],Columns[],6,0)=0,"","-&gt;"&amp;VLOOKUP(TableFields[Field],Columns[],6,0))</f>
        <v>-&gt;default('CompanyName')</v>
      </c>
      <c r="H66" s="1" t="str">
        <f>IF(VLOOKUP(TableFields[Field],Columns[],7,0)=0,"","-&gt;"&amp;VLOOKUP(TableFields[Field],Columns[],7,0))</f>
        <v/>
      </c>
      <c r="I66" s="1" t="str">
        <f>IF(VLOOKUP(TableFields[Field],Columns[],8,0)=0,"","-&gt;"&amp;VLOOKUP(TableFields[Field],Columns[],8,0))</f>
        <v/>
      </c>
      <c r="J66" s="1" t="str">
        <f>IF(VLOOKUP(TableFields[Field],Columns[],9,0)=0,"","-&gt;"&amp;VLOOKUP(TableFields[Field],Columns[],9,0))</f>
        <v/>
      </c>
      <c r="K66" s="1" t="str">
        <f>"$table-&gt;"&amp;TableFields[Type]&amp;TableFields[Name]&amp;TableFields[Arg2]&amp;TableFields[Method1]&amp;TableFields[Method2]&amp;TableFields[Method3]&amp;TableFields[Method4]&amp;TableFields[Method5]&amp;";"</f>
        <v>$table-&gt;enum('REPORTTITLE', ['CompanyName','BranchName','Branches'])-&gt;nullable()-&gt;default('CompanyName');</v>
      </c>
    </row>
    <row r="67" spans="1:11" x14ac:dyDescent="0.25">
      <c r="A67" s="1" t="s">
        <v>1085</v>
      </c>
      <c r="B67" s="1" t="s">
        <v>1250</v>
      </c>
      <c r="C67" s="1" t="str">
        <f>VLOOKUP(TableFields[Field],Columns[],2,0)&amp;"("</f>
        <v>enum(</v>
      </c>
      <c r="D67" s="1" t="str">
        <f>IF(VLOOKUP(TableFields[Field],Columns[],3,0)&lt;&gt;"","'"&amp;VLOOKUP(TableFields[Field],Columns[],3,0)&amp;"'","")</f>
        <v>'PRINTLOG'</v>
      </c>
      <c r="E67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['None','Function','Report','All'])</v>
      </c>
      <c r="F67" s="1" t="str">
        <f>IF(VLOOKUP(TableFields[Field],Columns[],5,0)=0,"","-&gt;"&amp;VLOOKUP(TableFields[Field],Columns[],5,0))</f>
        <v>-&gt;nullable()</v>
      </c>
      <c r="G67" s="1" t="str">
        <f>IF(VLOOKUP(TableFields[Field],Columns[],6,0)=0,"","-&gt;"&amp;VLOOKUP(TableFields[Field],Columns[],6,0))</f>
        <v>-&gt;default('None')</v>
      </c>
      <c r="H67" s="1" t="str">
        <f>IF(VLOOKUP(TableFields[Field],Columns[],7,0)=0,"","-&gt;"&amp;VLOOKUP(TableFields[Field],Columns[],7,0))</f>
        <v/>
      </c>
      <c r="I67" s="1" t="str">
        <f>IF(VLOOKUP(TableFields[Field],Columns[],8,0)=0,"","-&gt;"&amp;VLOOKUP(TableFields[Field],Columns[],8,0))</f>
        <v/>
      </c>
      <c r="J67" s="1" t="str">
        <f>IF(VLOOKUP(TableFields[Field],Columns[],9,0)=0,"","-&gt;"&amp;VLOOKUP(TableFields[Field],Columns[],9,0))</f>
        <v/>
      </c>
      <c r="K67" s="1" t="str">
        <f>"$table-&gt;"&amp;TableFields[Type]&amp;TableFields[Name]&amp;TableFields[Arg2]&amp;TableFields[Method1]&amp;TableFields[Method2]&amp;TableFields[Method3]&amp;TableFields[Method4]&amp;TableFields[Method5]&amp;";"</f>
        <v>$table-&gt;enum('PRINTLOG', ['None','Function','Report','All'])-&gt;nullable()-&gt;default('None');</v>
      </c>
    </row>
    <row r="68" spans="1:11" x14ac:dyDescent="0.25">
      <c r="A68" s="1" t="s">
        <v>1085</v>
      </c>
      <c r="B68" s="1" t="s">
        <v>1253</v>
      </c>
      <c r="C68" s="1" t="str">
        <f>VLOOKUP(TableFields[Field],Columns[],2,0)&amp;"("</f>
        <v>enum(</v>
      </c>
      <c r="D68" s="1" t="str">
        <f>IF(VLOOKUP(TableFields[Field],Columns[],3,0)&lt;&gt;"","'"&amp;VLOOKUP(TableFields[Field],Columns[],3,0)&amp;"'","")</f>
        <v>'LOADIMAGEONSTARTUP'</v>
      </c>
      <c r="E68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68" s="1" t="str">
        <f>IF(VLOOKUP(TableFields[Field],Columns[],5,0)=0,"","-&gt;"&amp;VLOOKUP(TableFields[Field],Columns[],5,0))</f>
        <v>-&gt;nullable()</v>
      </c>
      <c r="G68" s="1" t="str">
        <f>IF(VLOOKUP(TableFields[Field],Columns[],6,0)=0,"","-&gt;"&amp;VLOOKUP(TableFields[Field],Columns[],6,0))</f>
        <v>-&gt;default('No')</v>
      </c>
      <c r="H68" s="1" t="str">
        <f>IF(VLOOKUP(TableFields[Field],Columns[],7,0)=0,"","-&gt;"&amp;VLOOKUP(TableFields[Field],Columns[],7,0))</f>
        <v/>
      </c>
      <c r="I68" s="1" t="str">
        <f>IF(VLOOKUP(TableFields[Field],Columns[],8,0)=0,"","-&gt;"&amp;VLOOKUP(TableFields[Field],Columns[],8,0))</f>
        <v/>
      </c>
      <c r="J68" s="1" t="str">
        <f>IF(VLOOKUP(TableFields[Field],Columns[],9,0)=0,"","-&gt;"&amp;VLOOKUP(TableFields[Field],Columns[],9,0))</f>
        <v/>
      </c>
      <c r="K68" s="1" t="str">
        <f>"$table-&gt;"&amp;TableFields[Type]&amp;TableFields[Name]&amp;TableFields[Arg2]&amp;TableFields[Method1]&amp;TableFields[Method2]&amp;TableFields[Method3]&amp;TableFields[Method4]&amp;TableFields[Method5]&amp;";"</f>
        <v>$table-&gt;enum('LOADIMAGEONSTARTUP', ['Yes','No'])-&gt;nullable()-&gt;default('No');</v>
      </c>
    </row>
    <row r="69" spans="1:11" x14ac:dyDescent="0.25">
      <c r="A69" s="1" t="s">
        <v>1085</v>
      </c>
      <c r="B69" s="1" t="s">
        <v>1255</v>
      </c>
      <c r="C69" s="1" t="str">
        <f>VLOOKUP(TableFields[Field],Columns[],2,0)&amp;"("</f>
        <v>char(</v>
      </c>
      <c r="D69" s="1" t="str">
        <f>IF(VLOOKUP(TableFields[Field],Columns[],3,0)&lt;&gt;"","'"&amp;VLOOKUP(TableFields[Field],Columns[],3,0)&amp;"'","")</f>
        <v>'THEME'</v>
      </c>
      <c r="E69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69" s="1" t="str">
        <f>IF(VLOOKUP(TableFields[Field],Columns[],5,0)=0,"","-&gt;"&amp;VLOOKUP(TableFields[Field],Columns[],5,0))</f>
        <v>-&gt;nullable()</v>
      </c>
      <c r="G69" s="1" t="str">
        <f>IF(VLOOKUP(TableFields[Field],Columns[],6,0)=0,"","-&gt;"&amp;VLOOKUP(TableFields[Field],Columns[],6,0))</f>
        <v/>
      </c>
      <c r="H69" s="1" t="str">
        <f>IF(VLOOKUP(TableFields[Field],Columns[],7,0)=0,"","-&gt;"&amp;VLOOKUP(TableFields[Field],Columns[],7,0))</f>
        <v/>
      </c>
      <c r="I69" s="1" t="str">
        <f>IF(VLOOKUP(TableFields[Field],Columns[],8,0)=0,"","-&gt;"&amp;VLOOKUP(TableFields[Field],Columns[],8,0))</f>
        <v/>
      </c>
      <c r="J69" s="1" t="str">
        <f>IF(VLOOKUP(TableFields[Field],Columns[],9,0)=0,"","-&gt;"&amp;VLOOKUP(TableFields[Field],Columns[],9,0))</f>
        <v/>
      </c>
      <c r="K69" s="1" t="str">
        <f>"$table-&gt;"&amp;TableFields[Type]&amp;TableFields[Name]&amp;TableFields[Arg2]&amp;TableFields[Method1]&amp;TableFields[Method2]&amp;TableFields[Method3]&amp;TableFields[Method4]&amp;TableFields[Method5]&amp;";"</f>
        <v>$table-&gt;char('THEME', '15')-&gt;nullable();</v>
      </c>
    </row>
    <row r="70" spans="1:11" x14ac:dyDescent="0.25">
      <c r="A70" s="1" t="s">
        <v>1085</v>
      </c>
      <c r="B70" s="1" t="s">
        <v>1257</v>
      </c>
      <c r="C70" s="1" t="str">
        <f>VLOOKUP(TableFields[Field],Columns[],2,0)&amp;"("</f>
        <v>enum(</v>
      </c>
      <c r="D70" s="1" t="str">
        <f>IF(VLOOKUP(TableFields[Field],Columns[],3,0)&lt;&gt;"","'"&amp;VLOOKUP(TableFields[Field],Columns[],3,0)&amp;"'","")</f>
        <v>'SERACHFROMBEGINNING'</v>
      </c>
      <c r="E70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0" s="1" t="str">
        <f>IF(VLOOKUP(TableFields[Field],Columns[],5,0)=0,"","-&gt;"&amp;VLOOKUP(TableFields[Field],Columns[],5,0))</f>
        <v>-&gt;nullable()</v>
      </c>
      <c r="G70" s="1" t="str">
        <f>IF(VLOOKUP(TableFields[Field],Columns[],6,0)=0,"","-&gt;"&amp;VLOOKUP(TableFields[Field],Columns[],6,0))</f>
        <v>-&gt;default('No')</v>
      </c>
      <c r="H70" s="1" t="str">
        <f>IF(VLOOKUP(TableFields[Field],Columns[],7,0)=0,"","-&gt;"&amp;VLOOKUP(TableFields[Field],Columns[],7,0))</f>
        <v/>
      </c>
      <c r="I70" s="1" t="str">
        <f>IF(VLOOKUP(TableFields[Field],Columns[],8,0)=0,"","-&gt;"&amp;VLOOKUP(TableFields[Field],Columns[],8,0))</f>
        <v/>
      </c>
      <c r="J70" s="1" t="str">
        <f>IF(VLOOKUP(TableFields[Field],Columns[],9,0)=0,"","-&gt;"&amp;VLOOKUP(TableFields[Field],Columns[],9,0))</f>
        <v/>
      </c>
      <c r="K70" s="1" t="str">
        <f>"$table-&gt;"&amp;TableFields[Type]&amp;TableFields[Name]&amp;TableFields[Arg2]&amp;TableFields[Method1]&amp;TableFields[Method2]&amp;TableFields[Method3]&amp;TableFields[Method4]&amp;TableFields[Method5]&amp;";"</f>
        <v>$table-&gt;enum('SERACHFROMBEGINNING', ['Yes','No'])-&gt;nullable()-&gt;default('No');</v>
      </c>
    </row>
    <row r="71" spans="1:11" x14ac:dyDescent="0.25">
      <c r="A71" s="1" t="s">
        <v>1085</v>
      </c>
      <c r="B71" s="1" t="s">
        <v>1259</v>
      </c>
      <c r="C71" s="1" t="str">
        <f>VLOOKUP(TableFields[Field],Columns[],2,0)&amp;"("</f>
        <v>enum(</v>
      </c>
      <c r="D71" s="1" t="str">
        <f>IF(VLOOKUP(TableFields[Field],Columns[],3,0)&lt;&gt;"","'"&amp;VLOOKUP(TableFields[Field],Columns[],3,0)&amp;"'","")</f>
        <v>'SEACHAUTOLOCK'</v>
      </c>
      <c r="E71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1" s="1" t="str">
        <f>IF(VLOOKUP(TableFields[Field],Columns[],5,0)=0,"","-&gt;"&amp;VLOOKUP(TableFields[Field],Columns[],5,0))</f>
        <v>-&gt;nullable()</v>
      </c>
      <c r="G71" s="1" t="str">
        <f>IF(VLOOKUP(TableFields[Field],Columns[],6,0)=0,"","-&gt;"&amp;VLOOKUP(TableFields[Field],Columns[],6,0))</f>
        <v>-&gt;default('Yes')</v>
      </c>
      <c r="H71" s="1" t="str">
        <f>IF(VLOOKUP(TableFields[Field],Columns[],7,0)=0,"","-&gt;"&amp;VLOOKUP(TableFields[Field],Columns[],7,0))</f>
        <v/>
      </c>
      <c r="I71" s="1" t="str">
        <f>IF(VLOOKUP(TableFields[Field],Columns[],8,0)=0,"","-&gt;"&amp;VLOOKUP(TableFields[Field],Columns[],8,0))</f>
        <v/>
      </c>
      <c r="J71" s="1" t="str">
        <f>IF(VLOOKUP(TableFields[Field],Columns[],9,0)=0,"","-&gt;"&amp;VLOOKUP(TableFields[Field],Columns[],9,0))</f>
        <v/>
      </c>
      <c r="K71" s="1" t="str">
        <f>"$table-&gt;"&amp;TableFields[Type]&amp;TableFields[Name]&amp;TableFields[Arg2]&amp;TableFields[Method1]&amp;TableFields[Method2]&amp;TableFields[Method3]&amp;TableFields[Method4]&amp;TableFields[Method5]&amp;";"</f>
        <v>$table-&gt;enum('SEACHAUTOLOCK', ['Yes','No'])-&gt;nullable()-&gt;default('Yes');</v>
      </c>
    </row>
    <row r="72" spans="1:11" x14ac:dyDescent="0.25">
      <c r="A72" s="1" t="s">
        <v>1085</v>
      </c>
      <c r="B72" s="1" t="s">
        <v>1261</v>
      </c>
      <c r="C72" s="1" t="str">
        <f>VLOOKUP(TableFields[Field],Columns[],2,0)&amp;"("</f>
        <v>enum(</v>
      </c>
      <c r="D72" s="1" t="str">
        <f>IF(VLOOKUP(TableFields[Field],Columns[],3,0)&lt;&gt;"","'"&amp;VLOOKUP(TableFields[Field],Columns[],3,0)&amp;"'","")</f>
        <v>'REMEMBERLASTSEARCH'</v>
      </c>
      <c r="E72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72" s="1" t="str">
        <f>IF(VLOOKUP(TableFields[Field],Columns[],5,0)=0,"","-&gt;"&amp;VLOOKUP(TableFields[Field],Columns[],5,0))</f>
        <v>-&gt;nullable()</v>
      </c>
      <c r="G72" s="1" t="str">
        <f>IF(VLOOKUP(TableFields[Field],Columns[],6,0)=0,"","-&gt;"&amp;VLOOKUP(TableFields[Field],Columns[],6,0))</f>
        <v>-&gt;default('No')</v>
      </c>
      <c r="H72" s="1" t="str">
        <f>IF(VLOOKUP(TableFields[Field],Columns[],7,0)=0,"","-&gt;"&amp;VLOOKUP(TableFields[Field],Columns[],7,0))</f>
        <v/>
      </c>
      <c r="I72" s="1" t="str">
        <f>IF(VLOOKUP(TableFields[Field],Columns[],8,0)=0,"","-&gt;"&amp;VLOOKUP(TableFields[Field],Columns[],8,0))</f>
        <v/>
      </c>
      <c r="J72" s="1" t="str">
        <f>IF(VLOOKUP(TableFields[Field],Columns[],9,0)=0,"","-&gt;"&amp;VLOOKUP(TableFields[Field],Columns[],9,0))</f>
        <v/>
      </c>
      <c r="K72" s="1" t="str">
        <f>"$table-&gt;"&amp;TableFields[Type]&amp;TableFields[Name]&amp;TableFields[Arg2]&amp;TableFields[Method1]&amp;TableFields[Method2]&amp;TableFields[Method3]&amp;TableFields[Method4]&amp;TableFields[Method5]&amp;";"</f>
        <v>$table-&gt;enum('REMEMBERLASTSEARCH', ['Yes','No'])-&gt;nullable()-&gt;default('No');</v>
      </c>
    </row>
    <row r="73" spans="1:11" x14ac:dyDescent="0.25">
      <c r="A73" s="1" t="s">
        <v>1085</v>
      </c>
      <c r="B73" s="1" t="s">
        <v>1263</v>
      </c>
      <c r="C73" s="1" t="str">
        <f>VLOOKUP(TableFields[Field],Columns[],2,0)&amp;"("</f>
        <v>string(</v>
      </c>
      <c r="D73" s="1" t="str">
        <f>IF(VLOOKUP(TableFields[Field],Columns[],3,0)&lt;&gt;"","'"&amp;VLOOKUP(TableFields[Field],Columns[],3,0)&amp;"'","")</f>
        <v>'DIGITALWALLETTEXT'</v>
      </c>
      <c r="E73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73" s="1" t="str">
        <f>IF(VLOOKUP(TableFields[Field],Columns[],5,0)=0,"","-&gt;"&amp;VLOOKUP(TableFields[Field],Columns[],5,0))</f>
        <v>-&gt;nullable()</v>
      </c>
      <c r="G73" s="1" t="str">
        <f>IF(VLOOKUP(TableFields[Field],Columns[],6,0)=0,"","-&gt;"&amp;VLOOKUP(TableFields[Field],Columns[],6,0))</f>
        <v>-&gt;default('eWallet')</v>
      </c>
      <c r="H73" s="1" t="str">
        <f>IF(VLOOKUP(TableFields[Field],Columns[],7,0)=0,"","-&gt;"&amp;VLOOKUP(TableFields[Field],Columns[],7,0))</f>
        <v/>
      </c>
      <c r="I73" s="1" t="str">
        <f>IF(VLOOKUP(TableFields[Field],Columns[],8,0)=0,"","-&gt;"&amp;VLOOKUP(TableFields[Field],Columns[],8,0))</f>
        <v/>
      </c>
      <c r="J73" s="1" t="str">
        <f>IF(VLOOKUP(TableFields[Field],Columns[],9,0)=0,"","-&gt;"&amp;VLOOKUP(TableFields[Field],Columns[],9,0))</f>
        <v/>
      </c>
      <c r="K73" s="1" t="str">
        <f>"$table-&gt;"&amp;TableFields[Type]&amp;TableFields[Name]&amp;TableFields[Arg2]&amp;TableFields[Method1]&amp;TableFields[Method2]&amp;TableFields[Method3]&amp;TableFields[Method4]&amp;TableFields[Method5]&amp;";"</f>
        <v>$table-&gt;string('DIGITALWALLETTEXT', '30')-&gt;nullable()-&gt;default('eWallet');</v>
      </c>
    </row>
    <row r="74" spans="1:11" x14ac:dyDescent="0.25">
      <c r="A74" s="1" t="s">
        <v>1085</v>
      </c>
      <c r="B74" s="1" t="s">
        <v>288</v>
      </c>
      <c r="C74" s="1" t="str">
        <f>VLOOKUP(TableFields[Field],Columns[],2,0)&amp;"("</f>
        <v>audit(</v>
      </c>
      <c r="D74" s="1" t="str">
        <f>IF(VLOOKUP(TableFields[Field],Columns[],3,0)&lt;&gt;"","'"&amp;VLOOKUP(TableFields[Field],Columns[],3,0)&amp;"'","")</f>
        <v/>
      </c>
      <c r="E74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4" s="1" t="str">
        <f>IF(VLOOKUP(TableFields[Field],Columns[],5,0)=0,"","-&gt;"&amp;VLOOKUP(TableFields[Field],Columns[],5,0))</f>
        <v/>
      </c>
      <c r="G74" s="1" t="str">
        <f>IF(VLOOKUP(TableFields[Field],Columns[],6,0)=0,"","-&gt;"&amp;VLOOKUP(TableFields[Field],Columns[],6,0))</f>
        <v/>
      </c>
      <c r="H74" s="1" t="str">
        <f>IF(VLOOKUP(TableFields[Field],Columns[],7,0)=0,"","-&gt;"&amp;VLOOKUP(TableFields[Field],Columns[],7,0))</f>
        <v/>
      </c>
      <c r="I74" s="1" t="str">
        <f>IF(VLOOKUP(TableFields[Field],Columns[],8,0)=0,"","-&gt;"&amp;VLOOKUP(TableFields[Field],Columns[],8,0))</f>
        <v/>
      </c>
      <c r="J74" s="1" t="str">
        <f>IF(VLOOKUP(TableFields[Field],Columns[],9,0)=0,"","-&gt;"&amp;VLOOKUP(TableFields[Field],Columns[],9,0))</f>
        <v/>
      </c>
      <c r="K74" s="1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75" spans="1:11" x14ac:dyDescent="0.25">
      <c r="A75" s="1" t="s">
        <v>758</v>
      </c>
      <c r="B75" s="1" t="s">
        <v>21</v>
      </c>
      <c r="C75" s="1" t="str">
        <f>VLOOKUP(TableFields[Field],Columns[],2,0)&amp;"("</f>
        <v>bigIncrements(</v>
      </c>
      <c r="D75" s="1" t="str">
        <f>IF(VLOOKUP(TableFields[Field],Columns[],3,0)&lt;&gt;"","'"&amp;VLOOKUP(TableFields[Field],Columns[],3,0)&amp;"'","")</f>
        <v>'id'</v>
      </c>
      <c r="E75" s="6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75" s="1" t="str">
        <f>IF(VLOOKUP(TableFields[Field],Columns[],5,0)=0,"","-&gt;"&amp;VLOOKUP(TableFields[Field],Columns[],5,0))</f>
        <v/>
      </c>
      <c r="G75" s="1" t="str">
        <f>IF(VLOOKUP(TableFields[Field],Columns[],6,0)=0,"","-&gt;"&amp;VLOOKUP(TableFields[Field],Columns[],6,0))</f>
        <v/>
      </c>
      <c r="H75" s="1" t="str">
        <f>IF(VLOOKUP(TableFields[Field],Columns[],7,0)=0,"","-&gt;"&amp;VLOOKUP(TableFields[Field],Columns[],7,0))</f>
        <v/>
      </c>
      <c r="I75" s="1" t="str">
        <f>IF(VLOOKUP(TableFields[Field],Columns[],8,0)=0,"","-&gt;"&amp;VLOOKUP(TableFields[Field],Columns[],8,0))</f>
        <v/>
      </c>
      <c r="J75" s="1" t="str">
        <f>IF(VLOOKUP(TableFields[Field],Columns[],9,0)=0,"","-&gt;"&amp;VLOOKUP(TableFields[Field],Columns[],9,0))</f>
        <v/>
      </c>
      <c r="K75" s="1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76" spans="1:11" x14ac:dyDescent="0.25">
      <c r="A76" s="1" t="s">
        <v>758</v>
      </c>
      <c r="B76" s="4" t="s">
        <v>769</v>
      </c>
      <c r="C76" s="4" t="str">
        <f>VLOOKUP(TableFields[Field],Columns[],2,0)&amp;"("</f>
        <v>char(</v>
      </c>
      <c r="D76" s="4" t="str">
        <f>IF(VLOOKUP(TableFields[Field],Columns[],3,0)&lt;&gt;"","'"&amp;VLOOKUP(TableFields[Field],Columns[],3,0)&amp;"'","")</f>
        <v>'code'</v>
      </c>
      <c r="E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76" s="4" t="str">
        <f>IF(VLOOKUP(TableFields[Field],Columns[],5,0)=0,"","-&gt;"&amp;VLOOKUP(TableFields[Field],Columns[],5,0))</f>
        <v>-&gt;nullable()</v>
      </c>
      <c r="G76" s="4" t="str">
        <f>IF(VLOOKUP(TableFields[Field],Columns[],6,0)=0,"","-&gt;"&amp;VLOOKUP(TableFields[Field],Columns[],6,0))</f>
        <v>-&gt;index()</v>
      </c>
      <c r="H76" s="4" t="str">
        <f>IF(VLOOKUP(TableFields[Field],Columns[],7,0)=0,"","-&gt;"&amp;VLOOKUP(TableFields[Field],Columns[],7,0))</f>
        <v/>
      </c>
      <c r="I76" s="4" t="str">
        <f>IF(VLOOKUP(TableFields[Field],Columns[],8,0)=0,"","-&gt;"&amp;VLOOKUP(TableFields[Field],Columns[],8,0))</f>
        <v/>
      </c>
      <c r="J76" s="4" t="str">
        <f>IF(VLOOKUP(TableFields[Field],Columns[],9,0)=0,"","-&gt;"&amp;VLOOKUP(TableFields[Field],Columns[],9,0))</f>
        <v/>
      </c>
      <c r="K76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77" spans="1:11" x14ac:dyDescent="0.25">
      <c r="A77" s="2" t="s">
        <v>758</v>
      </c>
      <c r="B77" s="4" t="s">
        <v>23</v>
      </c>
      <c r="C77" s="4" t="str">
        <f>VLOOKUP(TableFields[Field],Columns[],2,0)&amp;"("</f>
        <v>string(</v>
      </c>
      <c r="D77" s="4" t="str">
        <f>IF(VLOOKUP(TableFields[Field],Columns[],3,0)&lt;&gt;"","'"&amp;VLOOKUP(TableFields[Field],Columns[],3,0)&amp;"'","")</f>
        <v>'name'</v>
      </c>
      <c r="E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77" s="4" t="str">
        <f>IF(VLOOKUP(TableFields[Field],Columns[],5,0)=0,"","-&gt;"&amp;VLOOKUP(TableFields[Field],Columns[],5,0))</f>
        <v>-&gt;nullable()</v>
      </c>
      <c r="G77" s="4" t="str">
        <f>IF(VLOOKUP(TableFields[Field],Columns[],6,0)=0,"","-&gt;"&amp;VLOOKUP(TableFields[Field],Columns[],6,0))</f>
        <v>-&gt;index()</v>
      </c>
      <c r="H77" s="4" t="str">
        <f>IF(VLOOKUP(TableFields[Field],Columns[],7,0)=0,"","-&gt;"&amp;VLOOKUP(TableFields[Field],Columns[],7,0))</f>
        <v/>
      </c>
      <c r="I77" s="4" t="str">
        <f>IF(VLOOKUP(TableFields[Field],Columns[],8,0)=0,"","-&gt;"&amp;VLOOKUP(TableFields[Field],Columns[],8,0))</f>
        <v/>
      </c>
      <c r="J77" s="4" t="str">
        <f>IF(VLOOKUP(TableFields[Field],Columns[],9,0)=0,"","-&gt;"&amp;VLOOKUP(TableFields[Field],Columns[],9,0))</f>
        <v/>
      </c>
      <c r="K77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78" spans="1:11" x14ac:dyDescent="0.25">
      <c r="A78" s="2" t="s">
        <v>758</v>
      </c>
      <c r="B78" s="4" t="s">
        <v>773</v>
      </c>
      <c r="C78" s="4" t="str">
        <f>VLOOKUP(TableFields[Field],Columns[],2,0)&amp;"("</f>
        <v>enum(</v>
      </c>
      <c r="D78" s="4" t="str">
        <f>IF(VLOOKUP(TableFields[Field],Columns[],3,0)&lt;&gt;"","'"&amp;VLOOKUP(TableFields[Field],Columns[],3,0)&amp;"'","")</f>
        <v>'type'</v>
      </c>
      <c r="E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78" s="4" t="str">
        <f>IF(VLOOKUP(TableFields[Field],Columns[],5,0)=0,"","-&gt;"&amp;VLOOKUP(TableFields[Field],Columns[],5,0))</f>
        <v>-&gt;nullable()</v>
      </c>
      <c r="G78" s="4" t="str">
        <f>IF(VLOOKUP(TableFields[Field],Columns[],6,0)=0,"","-&gt;"&amp;VLOOKUP(TableFields[Field],Columns[],6,0))</f>
        <v>-&gt;default('Public')</v>
      </c>
      <c r="H78" s="4" t="str">
        <f>IF(VLOOKUP(TableFields[Field],Columns[],7,0)=0,"","-&gt;"&amp;VLOOKUP(TableFields[Field],Columns[],7,0))</f>
        <v/>
      </c>
      <c r="I78" s="4" t="str">
        <f>IF(VLOOKUP(TableFields[Field],Columns[],8,0)=0,"","-&gt;"&amp;VLOOKUP(TableFields[Field],Columns[],8,0))</f>
        <v/>
      </c>
      <c r="J78" s="4" t="str">
        <f>IF(VLOOKUP(TableFields[Field],Columns[],9,0)=0,"","-&gt;"&amp;VLOOKUP(TableFields[Field],Columns[],9,0))</f>
        <v/>
      </c>
      <c r="K78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79" spans="1:11" x14ac:dyDescent="0.25">
      <c r="A79" s="2" t="s">
        <v>758</v>
      </c>
      <c r="B79" s="4" t="s">
        <v>776</v>
      </c>
      <c r="C79" s="4" t="str">
        <f>VLOOKUP(TableFields[Field],Columns[],2,0)&amp;"("</f>
        <v>enum(</v>
      </c>
      <c r="D79" s="4" t="str">
        <f>IF(VLOOKUP(TableFields[Field],Columns[],3,0)&lt;&gt;"","'"&amp;VLOOKUP(TableFields[Field],Columns[],3,0)&amp;"'","")</f>
        <v>'status'</v>
      </c>
      <c r="E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79" s="4" t="str">
        <f>IF(VLOOKUP(TableFields[Field],Columns[],5,0)=0,"","-&gt;"&amp;VLOOKUP(TableFields[Field],Columns[],5,0))</f>
        <v>-&gt;nullable()</v>
      </c>
      <c r="G79" s="4" t="str">
        <f>IF(VLOOKUP(TableFields[Field],Columns[],6,0)=0,"","-&gt;"&amp;VLOOKUP(TableFields[Field],Columns[],6,0))</f>
        <v>-&gt;default('Active')</v>
      </c>
      <c r="H79" s="4" t="str">
        <f>IF(VLOOKUP(TableFields[Field],Columns[],7,0)=0,"","-&gt;"&amp;VLOOKUP(TableFields[Field],Columns[],7,0))</f>
        <v/>
      </c>
      <c r="I79" s="4" t="str">
        <f>IF(VLOOKUP(TableFields[Field],Columns[],8,0)=0,"","-&gt;"&amp;VLOOKUP(TableFields[Field],Columns[],8,0))</f>
        <v/>
      </c>
      <c r="J79" s="4" t="str">
        <f>IF(VLOOKUP(TableFields[Field],Columns[],9,0)=0,"","-&gt;"&amp;VLOOKUP(TableFields[Field],Columns[],9,0))</f>
        <v/>
      </c>
      <c r="K79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80" spans="1:11" x14ac:dyDescent="0.25">
      <c r="A80" s="2" t="s">
        <v>758</v>
      </c>
      <c r="B80" s="4" t="s">
        <v>288</v>
      </c>
      <c r="C80" s="4" t="str">
        <f>VLOOKUP(TableFields[Field],Columns[],2,0)&amp;"("</f>
        <v>audit(</v>
      </c>
      <c r="D80" s="4" t="str">
        <f>IF(VLOOKUP(TableFields[Field],Columns[],3,0)&lt;&gt;"","'"&amp;VLOOKUP(TableFields[Field],Columns[],3,0)&amp;"'","")</f>
        <v/>
      </c>
      <c r="E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0" s="4" t="str">
        <f>IF(VLOOKUP(TableFields[Field],Columns[],5,0)=0,"","-&gt;"&amp;VLOOKUP(TableFields[Field],Columns[],5,0))</f>
        <v/>
      </c>
      <c r="G80" s="4" t="str">
        <f>IF(VLOOKUP(TableFields[Field],Columns[],6,0)=0,"","-&gt;"&amp;VLOOKUP(TableFields[Field],Columns[],6,0))</f>
        <v/>
      </c>
      <c r="H80" s="4" t="str">
        <f>IF(VLOOKUP(TableFields[Field],Columns[],7,0)=0,"","-&gt;"&amp;VLOOKUP(TableFields[Field],Columns[],7,0))</f>
        <v/>
      </c>
      <c r="I80" s="4" t="str">
        <f>IF(VLOOKUP(TableFields[Field],Columns[],8,0)=0,"","-&gt;"&amp;VLOOKUP(TableFields[Field],Columns[],8,0))</f>
        <v/>
      </c>
      <c r="J80" s="4" t="str">
        <f>IF(VLOOKUP(TableFields[Field],Columns[],9,0)=0,"","-&gt;"&amp;VLOOKUP(TableFields[Field],Columns[],9,0))</f>
        <v/>
      </c>
      <c r="K8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1" spans="1:11" x14ac:dyDescent="0.25">
      <c r="A81" s="2" t="s">
        <v>755</v>
      </c>
      <c r="B81" s="4" t="s">
        <v>21</v>
      </c>
      <c r="C81" s="4" t="str">
        <f>VLOOKUP(TableFields[Field],Columns[],2,0)&amp;"("</f>
        <v>bigIncrements(</v>
      </c>
      <c r="D81" s="4" t="str">
        <f>IF(VLOOKUP(TableFields[Field],Columns[],3,0)&lt;&gt;"","'"&amp;VLOOKUP(TableFields[Field],Columns[],3,0)&amp;"'","")</f>
        <v>'id'</v>
      </c>
      <c r="E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1" s="4" t="str">
        <f>IF(VLOOKUP(TableFields[Field],Columns[],5,0)=0,"","-&gt;"&amp;VLOOKUP(TableFields[Field],Columns[],5,0))</f>
        <v/>
      </c>
      <c r="G81" s="4" t="str">
        <f>IF(VLOOKUP(TableFields[Field],Columns[],6,0)=0,"","-&gt;"&amp;VLOOKUP(TableFields[Field],Columns[],6,0))</f>
        <v/>
      </c>
      <c r="H81" s="4" t="str">
        <f>IF(VLOOKUP(TableFields[Field],Columns[],7,0)=0,"","-&gt;"&amp;VLOOKUP(TableFields[Field],Columns[],7,0))</f>
        <v/>
      </c>
      <c r="I81" s="4" t="str">
        <f>IF(VLOOKUP(TableFields[Field],Columns[],8,0)=0,"","-&gt;"&amp;VLOOKUP(TableFields[Field],Columns[],8,0))</f>
        <v/>
      </c>
      <c r="J81" s="4" t="str">
        <f>IF(VLOOKUP(TableFields[Field],Columns[],9,0)=0,"","-&gt;"&amp;VLOOKUP(TableFields[Field],Columns[],9,0))</f>
        <v/>
      </c>
      <c r="K8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2" spans="1:11" x14ac:dyDescent="0.25">
      <c r="A82" s="2" t="s">
        <v>755</v>
      </c>
      <c r="B82" s="4" t="s">
        <v>781</v>
      </c>
      <c r="C82" s="4" t="str">
        <f>VLOOKUP(TableFields[Field],Columns[],2,0)&amp;"("</f>
        <v>foreignCascade(</v>
      </c>
      <c r="D82" s="4" t="str">
        <f>IF(VLOOKUP(TableFields[Field],Columns[],3,0)&lt;&gt;"","'"&amp;VLOOKUP(TableFields[Field],Columns[],3,0)&amp;"'","")</f>
        <v>'area'</v>
      </c>
      <c r="E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82" s="4" t="str">
        <f>IF(VLOOKUP(TableFields[Field],Columns[],5,0)=0,"","-&gt;"&amp;VLOOKUP(TableFields[Field],Columns[],5,0))</f>
        <v/>
      </c>
      <c r="G82" s="4" t="str">
        <f>IF(VLOOKUP(TableFields[Field],Columns[],6,0)=0,"","-&gt;"&amp;VLOOKUP(TableFields[Field],Columns[],6,0))</f>
        <v/>
      </c>
      <c r="H82" s="4" t="str">
        <f>IF(VLOOKUP(TableFields[Field],Columns[],7,0)=0,"","-&gt;"&amp;VLOOKUP(TableFields[Field],Columns[],7,0))</f>
        <v/>
      </c>
      <c r="I82" s="4" t="str">
        <f>IF(VLOOKUP(TableFields[Field],Columns[],8,0)=0,"","-&gt;"&amp;VLOOKUP(TableFields[Field],Columns[],8,0))</f>
        <v/>
      </c>
      <c r="J82" s="4" t="str">
        <f>IF(VLOOKUP(TableFields[Field],Columns[],9,0)=0,"","-&gt;"&amp;VLOOKUP(TableFields[Field],Columns[],9,0))</f>
        <v/>
      </c>
      <c r="K8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83" spans="1:11" x14ac:dyDescent="0.25">
      <c r="A83" s="2" t="s">
        <v>755</v>
      </c>
      <c r="B83" s="4" t="s">
        <v>784</v>
      </c>
      <c r="C83" s="4" t="str">
        <f>VLOOKUP(TableFields[Field],Columns[],2,0)&amp;"("</f>
        <v>unsignedBigInteger(</v>
      </c>
      <c r="D83" s="4" t="str">
        <f>IF(VLOOKUP(TableFields[Field],Columns[],3,0)&lt;&gt;"","'"&amp;VLOOKUP(TableFields[Field],Columns[],3,0)&amp;"'","")</f>
        <v>'user'</v>
      </c>
      <c r="E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3" s="4" t="str">
        <f>IF(VLOOKUP(TableFields[Field],Columns[],5,0)=0,"","-&gt;"&amp;VLOOKUP(TableFields[Field],Columns[],5,0))</f>
        <v/>
      </c>
      <c r="G83" s="4" t="str">
        <f>IF(VLOOKUP(TableFields[Field],Columns[],6,0)=0,"","-&gt;"&amp;VLOOKUP(TableFields[Field],Columns[],6,0))</f>
        <v/>
      </c>
      <c r="H83" s="4" t="str">
        <f>IF(VLOOKUP(TableFields[Field],Columns[],7,0)=0,"","-&gt;"&amp;VLOOKUP(TableFields[Field],Columns[],7,0))</f>
        <v/>
      </c>
      <c r="I83" s="4" t="str">
        <f>IF(VLOOKUP(TableFields[Field],Columns[],8,0)=0,"","-&gt;"&amp;VLOOKUP(TableFields[Field],Columns[],8,0))</f>
        <v/>
      </c>
      <c r="J83" s="4" t="str">
        <f>IF(VLOOKUP(TableFields[Field],Columns[],9,0)=0,"","-&gt;"&amp;VLOOKUP(TableFields[Field],Columns[],9,0))</f>
        <v/>
      </c>
      <c r="K83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$table-&gt;unsignedBigInteger('user');</v>
      </c>
    </row>
    <row r="84" spans="1:11" x14ac:dyDescent="0.25">
      <c r="A84" s="2" t="s">
        <v>755</v>
      </c>
      <c r="B84" s="4" t="s">
        <v>288</v>
      </c>
      <c r="C84" s="4" t="str">
        <f>VLOOKUP(TableFields[Field],Columns[],2,0)&amp;"("</f>
        <v>audit(</v>
      </c>
      <c r="D84" s="4" t="str">
        <f>IF(VLOOKUP(TableFields[Field],Columns[],3,0)&lt;&gt;"","'"&amp;VLOOKUP(TableFields[Field],Columns[],3,0)&amp;"'","")</f>
        <v/>
      </c>
      <c r="E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4" s="4" t="str">
        <f>IF(VLOOKUP(TableFields[Field],Columns[],5,0)=0,"","-&gt;"&amp;VLOOKUP(TableFields[Field],Columns[],5,0))</f>
        <v/>
      </c>
      <c r="G84" s="4" t="str">
        <f>IF(VLOOKUP(TableFields[Field],Columns[],6,0)=0,"","-&gt;"&amp;VLOOKUP(TableFields[Field],Columns[],6,0))</f>
        <v/>
      </c>
      <c r="H84" s="4" t="str">
        <f>IF(VLOOKUP(TableFields[Field],Columns[],7,0)=0,"","-&gt;"&amp;VLOOKUP(TableFields[Field],Columns[],7,0))</f>
        <v/>
      </c>
      <c r="I84" s="4" t="str">
        <f>IF(VLOOKUP(TableFields[Field],Columns[],8,0)=0,"","-&gt;"&amp;VLOOKUP(TableFields[Field],Columns[],8,0))</f>
        <v/>
      </c>
      <c r="J84" s="4" t="str">
        <f>IF(VLOOKUP(TableFields[Field],Columns[],9,0)=0,"","-&gt;"&amp;VLOOKUP(TableFields[Field],Columns[],9,0))</f>
        <v/>
      </c>
      <c r="K84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85" spans="1:11" x14ac:dyDescent="0.25">
      <c r="A85" s="2" t="s">
        <v>755</v>
      </c>
      <c r="B85" s="4" t="s">
        <v>793</v>
      </c>
      <c r="C85" s="4" t="str">
        <f>VLOOKUP(TableFields[Field],Columns[],2,0)&amp;"("</f>
        <v>foreign(</v>
      </c>
      <c r="D85" s="4" t="str">
        <f>IF(VLOOKUP(TableFields[Field],Columns[],3,0)&lt;&gt;"","'"&amp;VLOOKUP(TableFields[Field],Columns[],3,0)&amp;"'","")</f>
        <v>'user'</v>
      </c>
      <c r="E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5" s="4" t="str">
        <f>IF(VLOOKUP(TableFields[Field],Columns[],5,0)=0,"","-&gt;"&amp;VLOOKUP(TableFields[Field],Columns[],5,0))</f>
        <v>-&gt;references('id')</v>
      </c>
      <c r="G85" s="4" t="str">
        <f>IF(VLOOKUP(TableFields[Field],Columns[],6,0)=0,"","-&gt;"&amp;VLOOKUP(TableFields[Field],Columns[],6,0))</f>
        <v>-&gt;on('users')</v>
      </c>
      <c r="H85" s="4" t="str">
        <f>IF(VLOOKUP(TableFields[Field],Columns[],7,0)=0,"","-&gt;"&amp;VLOOKUP(TableFields[Field],Columns[],7,0))</f>
        <v>-&gt;onUpdate('cascade')</v>
      </c>
      <c r="I85" s="4" t="str">
        <f>IF(VLOOKUP(TableFields[Field],Columns[],8,0)=0,"","-&gt;"&amp;VLOOKUP(TableFields[Field],Columns[],8,0))</f>
        <v>-&gt;onDelete('cascade')</v>
      </c>
      <c r="J85" s="4" t="str">
        <f>IF(VLOOKUP(TableFields[Field],Columns[],9,0)=0,"","-&gt;"&amp;VLOOKUP(TableFields[Field],Columns[],9,0))</f>
        <v/>
      </c>
      <c r="K85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$table-&gt;foreign('user')-&gt;references('id')-&gt;on('users')-&gt;onUpdate('cascade')-&gt;onDelete('cascade');</v>
      </c>
    </row>
    <row r="86" spans="1:11" x14ac:dyDescent="0.25">
      <c r="A86" s="2" t="s">
        <v>757</v>
      </c>
      <c r="B86" s="4" t="s">
        <v>21</v>
      </c>
      <c r="C86" s="4" t="str">
        <f>VLOOKUP(TableFields[Field],Columns[],2,0)&amp;"("</f>
        <v>bigIncrements(</v>
      </c>
      <c r="D86" s="4" t="str">
        <f>IF(VLOOKUP(TableFields[Field],Columns[],3,0)&lt;&gt;"","'"&amp;VLOOKUP(TableFields[Field],Columns[],3,0)&amp;"'","")</f>
        <v>'id'</v>
      </c>
      <c r="E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86" s="4" t="str">
        <f>IF(VLOOKUP(TableFields[Field],Columns[],5,0)=0,"","-&gt;"&amp;VLOOKUP(TableFields[Field],Columns[],5,0))</f>
        <v/>
      </c>
      <c r="G86" s="4" t="str">
        <f>IF(VLOOKUP(TableFields[Field],Columns[],6,0)=0,"","-&gt;"&amp;VLOOKUP(TableFields[Field],Columns[],6,0))</f>
        <v/>
      </c>
      <c r="H86" s="4" t="str">
        <f>IF(VLOOKUP(TableFields[Field],Columns[],7,0)=0,"","-&gt;"&amp;VLOOKUP(TableFields[Field],Columns[],7,0))</f>
        <v/>
      </c>
      <c r="I86" s="4" t="str">
        <f>IF(VLOOKUP(TableFields[Field],Columns[],8,0)=0,"","-&gt;"&amp;VLOOKUP(TableFields[Field],Columns[],8,0))</f>
        <v/>
      </c>
      <c r="J86" s="4" t="str">
        <f>IF(VLOOKUP(TableFields[Field],Columns[],9,0)=0,"","-&gt;"&amp;VLOOKUP(TableFields[Field],Columns[],9,0))</f>
        <v/>
      </c>
      <c r="K8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87" spans="1:11" x14ac:dyDescent="0.25">
      <c r="A87" s="2" t="s">
        <v>757</v>
      </c>
      <c r="B87" s="4" t="s">
        <v>791</v>
      </c>
      <c r="C87" s="4" t="str">
        <f>VLOOKUP(TableFields[Field],Columns[],2,0)&amp;"("</f>
        <v>char(</v>
      </c>
      <c r="D87" s="4" t="str">
        <f>IF(VLOOKUP(TableFields[Field],Columns[],3,0)&lt;&gt;"","'"&amp;VLOOKUP(TableFields[Field],Columns[],3,0)&amp;"'","")</f>
        <v>'catcode'</v>
      </c>
      <c r="E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7" s="4" t="str">
        <f>IF(VLOOKUP(TableFields[Field],Columns[],5,0)=0,"","-&gt;"&amp;VLOOKUP(TableFields[Field],Columns[],5,0))</f>
        <v>-&gt;nullable()</v>
      </c>
      <c r="G87" s="4" t="str">
        <f>IF(VLOOKUP(TableFields[Field],Columns[],6,0)=0,"","-&gt;"&amp;VLOOKUP(TableFields[Field],Columns[],6,0))</f>
        <v>-&gt;index()</v>
      </c>
      <c r="H87" s="4" t="str">
        <f>IF(VLOOKUP(TableFields[Field],Columns[],7,0)=0,"","-&gt;"&amp;VLOOKUP(TableFields[Field],Columns[],7,0))</f>
        <v/>
      </c>
      <c r="I87" s="4" t="str">
        <f>IF(VLOOKUP(TableFields[Field],Columns[],8,0)=0,"","-&gt;"&amp;VLOOKUP(TableFields[Field],Columns[],8,0))</f>
        <v/>
      </c>
      <c r="J87" s="4" t="str">
        <f>IF(VLOOKUP(TableFields[Field],Columns[],9,0)=0,"","-&gt;"&amp;VLOOKUP(TableFields[Field],Columns[],9,0))</f>
        <v/>
      </c>
      <c r="K87" s="4" t="str">
        <f>"$table-&gt;"&amp;TableFields[Type]&amp;TableFields[Name]&amp;TableFields[Arg2]&amp;TableFields[Method1]&amp;TableFields[Method2]&amp;TableFields[Method3]&amp;TableFields[Method4]&amp;TableFields[Method5]&amp;";"</f>
        <v>$table-&gt;char('catcode', '15')-&gt;nullable()-&gt;index();</v>
      </c>
    </row>
    <row r="88" spans="1:11" x14ac:dyDescent="0.25">
      <c r="A88" s="2" t="s">
        <v>757</v>
      </c>
      <c r="B88" s="4" t="s">
        <v>769</v>
      </c>
      <c r="C88" s="4" t="str">
        <f>VLOOKUP(TableFields[Field],Columns[],2,0)&amp;"("</f>
        <v>char(</v>
      </c>
      <c r="D88" s="4" t="str">
        <f>IF(VLOOKUP(TableFields[Field],Columns[],3,0)&lt;&gt;"","'"&amp;VLOOKUP(TableFields[Field],Columns[],3,0)&amp;"'","")</f>
        <v>'code'</v>
      </c>
      <c r="E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88" s="4" t="str">
        <f>IF(VLOOKUP(TableFields[Field],Columns[],5,0)=0,"","-&gt;"&amp;VLOOKUP(TableFields[Field],Columns[],5,0))</f>
        <v>-&gt;nullable()</v>
      </c>
      <c r="G88" s="4" t="str">
        <f>IF(VLOOKUP(TableFields[Field],Columns[],6,0)=0,"","-&gt;"&amp;VLOOKUP(TableFields[Field],Columns[],6,0))</f>
        <v>-&gt;index()</v>
      </c>
      <c r="H88" s="4" t="str">
        <f>IF(VLOOKUP(TableFields[Field],Columns[],7,0)=0,"","-&gt;"&amp;VLOOKUP(TableFields[Field],Columns[],7,0))</f>
        <v/>
      </c>
      <c r="I88" s="4" t="str">
        <f>IF(VLOOKUP(TableFields[Field],Columns[],8,0)=0,"","-&gt;"&amp;VLOOKUP(TableFields[Field],Columns[],8,0))</f>
        <v/>
      </c>
      <c r="J88" s="4" t="str">
        <f>IF(VLOOKUP(TableFields[Field],Columns[],9,0)=0,"","-&gt;"&amp;VLOOKUP(TableFields[Field],Columns[],9,0))</f>
        <v/>
      </c>
      <c r="K88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89" spans="1:11" x14ac:dyDescent="0.25">
      <c r="A89" s="2" t="s">
        <v>757</v>
      </c>
      <c r="B89" s="4" t="s">
        <v>23</v>
      </c>
      <c r="C89" s="4" t="str">
        <f>VLOOKUP(TableFields[Field],Columns[],2,0)&amp;"("</f>
        <v>string(</v>
      </c>
      <c r="D89" s="4" t="str">
        <f>IF(VLOOKUP(TableFields[Field],Columns[],3,0)&lt;&gt;"","'"&amp;VLOOKUP(TableFields[Field],Columns[],3,0)&amp;"'","")</f>
        <v>'name'</v>
      </c>
      <c r="E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89" s="4" t="str">
        <f>IF(VLOOKUP(TableFields[Field],Columns[],5,0)=0,"","-&gt;"&amp;VLOOKUP(TableFields[Field],Columns[],5,0))</f>
        <v>-&gt;nullable()</v>
      </c>
      <c r="G89" s="4" t="str">
        <f>IF(VLOOKUP(TableFields[Field],Columns[],6,0)=0,"","-&gt;"&amp;VLOOKUP(TableFields[Field],Columns[],6,0))</f>
        <v>-&gt;index()</v>
      </c>
      <c r="H89" s="4" t="str">
        <f>IF(VLOOKUP(TableFields[Field],Columns[],7,0)=0,"","-&gt;"&amp;VLOOKUP(TableFields[Field],Columns[],7,0))</f>
        <v/>
      </c>
      <c r="I89" s="4" t="str">
        <f>IF(VLOOKUP(TableFields[Field],Columns[],8,0)=0,"","-&gt;"&amp;VLOOKUP(TableFields[Field],Columns[],8,0))</f>
        <v/>
      </c>
      <c r="J89" s="4" t="str">
        <f>IF(VLOOKUP(TableFields[Field],Columns[],9,0)=0,"","-&gt;"&amp;VLOOKUP(TableFields[Field],Columns[],9,0))</f>
        <v/>
      </c>
      <c r="K8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90" spans="1:11" x14ac:dyDescent="0.25">
      <c r="A90" s="2" t="s">
        <v>757</v>
      </c>
      <c r="B90" s="4" t="s">
        <v>886</v>
      </c>
      <c r="C90" s="4" t="str">
        <f>VLOOKUP(TableFields[Field],Columns[],2,0)&amp;"("</f>
        <v>char(</v>
      </c>
      <c r="D90" s="4" t="str">
        <f>IF(VLOOKUP(TableFields[Field],Columns[],3,0)&lt;&gt;"","'"&amp;VLOOKUP(TableFields[Field],Columns[],3,0)&amp;"'","")</f>
        <v>'cocode'</v>
      </c>
      <c r="E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90" s="4" t="str">
        <f>IF(VLOOKUP(TableFields[Field],Columns[],5,0)=0,"","-&gt;"&amp;VLOOKUP(TableFields[Field],Columns[],5,0))</f>
        <v>-&gt;nullable()</v>
      </c>
      <c r="G90" s="4" t="str">
        <f>IF(VLOOKUP(TableFields[Field],Columns[],6,0)=0,"","-&gt;"&amp;VLOOKUP(TableFields[Field],Columns[],6,0))</f>
        <v>-&gt;index()</v>
      </c>
      <c r="H90" s="4" t="str">
        <f>IF(VLOOKUP(TableFields[Field],Columns[],7,0)=0,"","-&gt;"&amp;VLOOKUP(TableFields[Field],Columns[],7,0))</f>
        <v/>
      </c>
      <c r="I90" s="4" t="str">
        <f>IF(VLOOKUP(TableFields[Field],Columns[],8,0)=0,"","-&gt;"&amp;VLOOKUP(TableFields[Field],Columns[],8,0))</f>
        <v/>
      </c>
      <c r="J90" s="4" t="str">
        <f>IF(VLOOKUP(TableFields[Field],Columns[],9,0)=0,"","-&gt;"&amp;VLOOKUP(TableFields[Field],Columns[],9,0))</f>
        <v/>
      </c>
      <c r="K9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91" spans="1:11" x14ac:dyDescent="0.25">
      <c r="A91" s="2" t="s">
        <v>757</v>
      </c>
      <c r="B91" s="4" t="s">
        <v>1780</v>
      </c>
      <c r="C91" s="4" t="str">
        <f>VLOOKUP(TableFields[Field],Columns[],2,0)&amp;"("</f>
        <v>string(</v>
      </c>
      <c r="D91" s="4" t="str">
        <f>IF(VLOOKUP(TableFields[Field],Columns[],3,0)&lt;&gt;"","'"&amp;VLOOKUP(TableFields[Field],Columns[],3,0)&amp;"'","")</f>
        <v>'co_abr'</v>
      </c>
      <c r="E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1" s="4" t="str">
        <f>IF(VLOOKUP(TableFields[Field],Columns[],5,0)=0,"","-&gt;"&amp;VLOOKUP(TableFields[Field],Columns[],5,0))</f>
        <v>-&gt;nullable()</v>
      </c>
      <c r="G91" s="4" t="str">
        <f>IF(VLOOKUP(TableFields[Field],Columns[],6,0)=0,"","-&gt;"&amp;VLOOKUP(TableFields[Field],Columns[],6,0))</f>
        <v/>
      </c>
      <c r="H91" s="4" t="str">
        <f>IF(VLOOKUP(TableFields[Field],Columns[],7,0)=0,"","-&gt;"&amp;VLOOKUP(TableFields[Field],Columns[],7,0))</f>
        <v/>
      </c>
      <c r="I91" s="4" t="str">
        <f>IF(VLOOKUP(TableFields[Field],Columns[],8,0)=0,"","-&gt;"&amp;VLOOKUP(TableFields[Field],Columns[],8,0))</f>
        <v/>
      </c>
      <c r="J91" s="4" t="str">
        <f>IF(VLOOKUP(TableFields[Field],Columns[],9,0)=0,"","-&gt;"&amp;VLOOKUP(TableFields[Field],Columns[],9,0))</f>
        <v/>
      </c>
      <c r="K91" s="4" t="str">
        <f>"$table-&gt;"&amp;TableFields[Type]&amp;TableFields[Name]&amp;TableFields[Arg2]&amp;TableFields[Method1]&amp;TableFields[Method2]&amp;TableFields[Method3]&amp;TableFields[Method4]&amp;TableFields[Method5]&amp;";"</f>
        <v>$table-&gt;string('co_abr', '15')-&gt;nullable();</v>
      </c>
    </row>
    <row r="92" spans="1:11" x14ac:dyDescent="0.25">
      <c r="A92" s="2" t="s">
        <v>757</v>
      </c>
      <c r="B92" s="4" t="s">
        <v>887</v>
      </c>
      <c r="C92" s="4" t="str">
        <f>VLOOKUP(TableFields[Field],Columns[],2,0)&amp;"("</f>
        <v>char(</v>
      </c>
      <c r="D92" s="4" t="str">
        <f>IF(VLOOKUP(TableFields[Field],Columns[],3,0)&lt;&gt;"","'"&amp;VLOOKUP(TableFields[Field],Columns[],3,0)&amp;"'","")</f>
        <v>'brcode'</v>
      </c>
      <c r="E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'6')</v>
      </c>
      <c r="F92" s="4" t="str">
        <f>IF(VLOOKUP(TableFields[Field],Columns[],5,0)=0,"","-&gt;"&amp;VLOOKUP(TableFields[Field],Columns[],5,0))</f>
        <v>-&gt;nullable()</v>
      </c>
      <c r="G92" s="4" t="str">
        <f>IF(VLOOKUP(TableFields[Field],Columns[],6,0)=0,"","-&gt;"&amp;VLOOKUP(TableFields[Field],Columns[],6,0))</f>
        <v>-&gt;index()</v>
      </c>
      <c r="H92" s="4" t="str">
        <f>IF(VLOOKUP(TableFields[Field],Columns[],7,0)=0,"","-&gt;"&amp;VLOOKUP(TableFields[Field],Columns[],7,0))</f>
        <v/>
      </c>
      <c r="I92" s="4" t="str">
        <f>IF(VLOOKUP(TableFields[Field],Columns[],8,0)=0,"","-&gt;"&amp;VLOOKUP(TableFields[Field],Columns[],8,0))</f>
        <v/>
      </c>
      <c r="J92" s="4" t="str">
        <f>IF(VLOOKUP(TableFields[Field],Columns[],9,0)=0,"","-&gt;"&amp;VLOOKUP(TableFields[Field],Columns[],9,0))</f>
        <v/>
      </c>
      <c r="K9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'6')-&gt;nullable()-&gt;index();</v>
      </c>
    </row>
    <row r="93" spans="1:11" x14ac:dyDescent="0.25">
      <c r="A93" s="2" t="s">
        <v>757</v>
      </c>
      <c r="B93" s="4" t="s">
        <v>1781</v>
      </c>
      <c r="C93" s="4" t="str">
        <f>VLOOKUP(TableFields[Field],Columns[],2,0)&amp;"("</f>
        <v>string(</v>
      </c>
      <c r="D93" s="4" t="str">
        <f>IF(VLOOKUP(TableFields[Field],Columns[],3,0)&lt;&gt;"","'"&amp;VLOOKUP(TableFields[Field],Columns[],3,0)&amp;"'","")</f>
        <v>'br_abr'</v>
      </c>
      <c r="E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3" s="4" t="str">
        <f>IF(VLOOKUP(TableFields[Field],Columns[],5,0)=0,"","-&gt;"&amp;VLOOKUP(TableFields[Field],Columns[],5,0))</f>
        <v>-&gt;nullable()</v>
      </c>
      <c r="G93" s="4" t="str">
        <f>IF(VLOOKUP(TableFields[Field],Columns[],6,0)=0,"","-&gt;"&amp;VLOOKUP(TableFields[Field],Columns[],6,0))</f>
        <v/>
      </c>
      <c r="H93" s="4" t="str">
        <f>IF(VLOOKUP(TableFields[Field],Columns[],7,0)=0,"","-&gt;"&amp;VLOOKUP(TableFields[Field],Columns[],7,0))</f>
        <v/>
      </c>
      <c r="I93" s="4" t="str">
        <f>IF(VLOOKUP(TableFields[Field],Columns[],8,0)=0,"","-&gt;"&amp;VLOOKUP(TableFields[Field],Columns[],8,0))</f>
        <v/>
      </c>
      <c r="J93" s="4" t="str">
        <f>IF(VLOOKUP(TableFields[Field],Columns[],9,0)=0,"","-&gt;"&amp;VLOOKUP(TableFields[Field],Columns[],9,0))</f>
        <v/>
      </c>
      <c r="K93" s="4" t="str">
        <f>"$table-&gt;"&amp;TableFields[Type]&amp;TableFields[Name]&amp;TableFields[Arg2]&amp;TableFields[Method1]&amp;TableFields[Method2]&amp;TableFields[Method3]&amp;TableFields[Method4]&amp;TableFields[Method5]&amp;";"</f>
        <v>$table-&gt;string('br_abr', '15')-&gt;nullable();</v>
      </c>
    </row>
    <row r="94" spans="1:11" x14ac:dyDescent="0.25">
      <c r="A94" s="2" t="s">
        <v>757</v>
      </c>
      <c r="B94" s="4" t="s">
        <v>1844</v>
      </c>
      <c r="C94" s="4" t="str">
        <f>VLOOKUP(TableFields[Field],Columns[],2,0)&amp;"("</f>
        <v>string(</v>
      </c>
      <c r="D94" s="4" t="str">
        <f>IF(VLOOKUP(TableFields[Field],Columns[],3,0)&lt;&gt;"","'"&amp;VLOOKUP(TableFields[Field],Columns[],3,0)&amp;"'","")</f>
        <v>'currency'</v>
      </c>
      <c r="E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4" s="4" t="str">
        <f>IF(VLOOKUP(TableFields[Field],Columns[],5,0)=0,"","-&gt;"&amp;VLOOKUP(TableFields[Field],Columns[],5,0))</f>
        <v>-&gt;nullable()</v>
      </c>
      <c r="G94" s="4" t="str">
        <f>IF(VLOOKUP(TableFields[Field],Columns[],6,0)=0,"","-&gt;"&amp;VLOOKUP(TableFields[Field],Columns[],6,0))</f>
        <v/>
      </c>
      <c r="H94" s="4" t="str">
        <f>IF(VLOOKUP(TableFields[Field],Columns[],7,0)=0,"","-&gt;"&amp;VLOOKUP(TableFields[Field],Columns[],7,0))</f>
        <v/>
      </c>
      <c r="I94" s="4" t="str">
        <f>IF(VLOOKUP(TableFields[Field],Columns[],8,0)=0,"","-&gt;"&amp;VLOOKUP(TableFields[Field],Columns[],8,0))</f>
        <v/>
      </c>
      <c r="J94" s="4" t="str">
        <f>IF(VLOOKUP(TableFields[Field],Columns[],9,0)=0,"","-&gt;"&amp;VLOOKUP(TableFields[Field],Columns[],9,0))</f>
        <v/>
      </c>
      <c r="K94" s="4" t="str">
        <f>"$table-&gt;"&amp;TableFields[Type]&amp;TableFields[Name]&amp;TableFields[Arg2]&amp;TableFields[Method1]&amp;TableFields[Method2]&amp;TableFields[Method3]&amp;TableFields[Method4]&amp;TableFields[Method5]&amp;";"</f>
        <v>$table-&gt;string('currency', '15')-&gt;nullable();</v>
      </c>
    </row>
    <row r="95" spans="1:11" x14ac:dyDescent="0.25">
      <c r="A95" s="2" t="s">
        <v>757</v>
      </c>
      <c r="B95" s="4" t="s">
        <v>773</v>
      </c>
      <c r="C95" s="4" t="str">
        <f>VLOOKUP(TableFields[Field],Columns[],2,0)&amp;"("</f>
        <v>enum(</v>
      </c>
      <c r="D95" s="4" t="str">
        <f>IF(VLOOKUP(TableFields[Field],Columns[],3,0)&lt;&gt;"","'"&amp;VLOOKUP(TableFields[Field],Columns[],3,0)&amp;"'","")</f>
        <v>'type'</v>
      </c>
      <c r="E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95" s="4" t="str">
        <f>IF(VLOOKUP(TableFields[Field],Columns[],5,0)=0,"","-&gt;"&amp;VLOOKUP(TableFields[Field],Columns[],5,0))</f>
        <v>-&gt;nullable()</v>
      </c>
      <c r="G95" s="4" t="str">
        <f>IF(VLOOKUP(TableFields[Field],Columns[],6,0)=0,"","-&gt;"&amp;VLOOKUP(TableFields[Field],Columns[],6,0))</f>
        <v>-&gt;default('Public')</v>
      </c>
      <c r="H95" s="4" t="str">
        <f>IF(VLOOKUP(TableFields[Field],Columns[],7,0)=0,"","-&gt;"&amp;VLOOKUP(TableFields[Field],Columns[],7,0))</f>
        <v/>
      </c>
      <c r="I95" s="4" t="str">
        <f>IF(VLOOKUP(TableFields[Field],Columns[],8,0)=0,"","-&gt;"&amp;VLOOKUP(TableFields[Field],Columns[],8,0))</f>
        <v/>
      </c>
      <c r="J95" s="4" t="str">
        <f>IF(VLOOKUP(TableFields[Field],Columns[],9,0)=0,"","-&gt;"&amp;VLOOKUP(TableFields[Field],Columns[],9,0))</f>
        <v/>
      </c>
      <c r="K9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96" spans="1:11" x14ac:dyDescent="0.25">
      <c r="A96" s="2" t="s">
        <v>757</v>
      </c>
      <c r="B96" s="4" t="s">
        <v>776</v>
      </c>
      <c r="C96" s="4" t="str">
        <f>VLOOKUP(TableFields[Field],Columns[],2,0)&amp;"("</f>
        <v>enum(</v>
      </c>
      <c r="D96" s="4" t="str">
        <f>IF(VLOOKUP(TableFields[Field],Columns[],3,0)&lt;&gt;"","'"&amp;VLOOKUP(TableFields[Field],Columns[],3,0)&amp;"'","")</f>
        <v>'status'</v>
      </c>
      <c r="E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96" s="4" t="str">
        <f>IF(VLOOKUP(TableFields[Field],Columns[],5,0)=0,"","-&gt;"&amp;VLOOKUP(TableFields[Field],Columns[],5,0))</f>
        <v>-&gt;nullable()</v>
      </c>
      <c r="G96" s="4" t="str">
        <f>IF(VLOOKUP(TableFields[Field],Columns[],6,0)=0,"","-&gt;"&amp;VLOOKUP(TableFields[Field],Columns[],6,0))</f>
        <v>-&gt;default('Active')</v>
      </c>
      <c r="H96" s="4" t="str">
        <f>IF(VLOOKUP(TableFields[Field],Columns[],7,0)=0,"","-&gt;"&amp;VLOOKUP(TableFields[Field],Columns[],7,0))</f>
        <v/>
      </c>
      <c r="I96" s="4" t="str">
        <f>IF(VLOOKUP(TableFields[Field],Columns[],8,0)=0,"","-&gt;"&amp;VLOOKUP(TableFields[Field],Columns[],8,0))</f>
        <v/>
      </c>
      <c r="J96" s="4" t="str">
        <f>IF(VLOOKUP(TableFields[Field],Columns[],9,0)=0,"","-&gt;"&amp;VLOOKUP(TableFields[Field],Columns[],9,0))</f>
        <v/>
      </c>
      <c r="K9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97" spans="1:11" x14ac:dyDescent="0.25">
      <c r="A97" s="2" t="s">
        <v>757</v>
      </c>
      <c r="B97" s="4" t="s">
        <v>288</v>
      </c>
      <c r="C97" s="4" t="str">
        <f>VLOOKUP(TableFields[Field],Columns[],2,0)&amp;"("</f>
        <v>audit(</v>
      </c>
      <c r="D97" s="4" t="str">
        <f>IF(VLOOKUP(TableFields[Field],Columns[],3,0)&lt;&gt;"","'"&amp;VLOOKUP(TableFields[Field],Columns[],3,0)&amp;"'","")</f>
        <v/>
      </c>
      <c r="E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7" s="4" t="str">
        <f>IF(VLOOKUP(TableFields[Field],Columns[],5,0)=0,"","-&gt;"&amp;VLOOKUP(TableFields[Field],Columns[],5,0))</f>
        <v/>
      </c>
      <c r="G97" s="4" t="str">
        <f>IF(VLOOKUP(TableFields[Field],Columns[],6,0)=0,"","-&gt;"&amp;VLOOKUP(TableFields[Field],Columns[],6,0))</f>
        <v/>
      </c>
      <c r="H97" s="4" t="str">
        <f>IF(VLOOKUP(TableFields[Field],Columns[],7,0)=0,"","-&gt;"&amp;VLOOKUP(TableFields[Field],Columns[],7,0))</f>
        <v/>
      </c>
      <c r="I97" s="4" t="str">
        <f>IF(VLOOKUP(TableFields[Field],Columns[],8,0)=0,"","-&gt;"&amp;VLOOKUP(TableFields[Field],Columns[],8,0))</f>
        <v/>
      </c>
      <c r="J97" s="4" t="str">
        <f>IF(VLOOKUP(TableFields[Field],Columns[],9,0)=0,"","-&gt;"&amp;VLOOKUP(TableFields[Field],Columns[],9,0))</f>
        <v/>
      </c>
      <c r="K9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98" spans="1:11" x14ac:dyDescent="0.25">
      <c r="A98" s="4" t="s">
        <v>861</v>
      </c>
      <c r="B98" s="4" t="s">
        <v>21</v>
      </c>
      <c r="C98" s="4" t="str">
        <f>VLOOKUP(TableFields[Field],Columns[],2,0)&amp;"("</f>
        <v>bigIncrements(</v>
      </c>
      <c r="D98" s="4" t="str">
        <f>IF(VLOOKUP(TableFields[Field],Columns[],3,0)&lt;&gt;"","'"&amp;VLOOKUP(TableFields[Field],Columns[],3,0)&amp;"'","")</f>
        <v>'id'</v>
      </c>
      <c r="E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98" s="4" t="str">
        <f>IF(VLOOKUP(TableFields[Field],Columns[],5,0)=0,"","-&gt;"&amp;VLOOKUP(TableFields[Field],Columns[],5,0))</f>
        <v/>
      </c>
      <c r="G98" s="4" t="str">
        <f>IF(VLOOKUP(TableFields[Field],Columns[],6,0)=0,"","-&gt;"&amp;VLOOKUP(TableFields[Field],Columns[],6,0))</f>
        <v/>
      </c>
      <c r="H98" s="4" t="str">
        <f>IF(VLOOKUP(TableFields[Field],Columns[],7,0)=0,"","-&gt;"&amp;VLOOKUP(TableFields[Field],Columns[],7,0))</f>
        <v/>
      </c>
      <c r="I98" s="4" t="str">
        <f>IF(VLOOKUP(TableFields[Field],Columns[],8,0)=0,"","-&gt;"&amp;VLOOKUP(TableFields[Field],Columns[],8,0))</f>
        <v/>
      </c>
      <c r="J98" s="4" t="str">
        <f>IF(VLOOKUP(TableFields[Field],Columns[],9,0)=0,"","-&gt;"&amp;VLOOKUP(TableFields[Field],Columns[],9,0))</f>
        <v/>
      </c>
      <c r="K9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99" spans="1:11" x14ac:dyDescent="0.25">
      <c r="A99" s="4" t="s">
        <v>861</v>
      </c>
      <c r="B99" s="4" t="s">
        <v>769</v>
      </c>
      <c r="C99" s="4" t="str">
        <f>VLOOKUP(TableFields[Field],Columns[],2,0)&amp;"("</f>
        <v>char(</v>
      </c>
      <c r="D99" s="4" t="str">
        <f>IF(VLOOKUP(TableFields[Field],Columns[],3,0)&lt;&gt;"","'"&amp;VLOOKUP(TableFields[Field],Columns[],3,0)&amp;"'","")</f>
        <v>'code'</v>
      </c>
      <c r="E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99" s="4" t="str">
        <f>IF(VLOOKUP(TableFields[Field],Columns[],5,0)=0,"","-&gt;"&amp;VLOOKUP(TableFields[Field],Columns[],5,0))</f>
        <v>-&gt;nullable()</v>
      </c>
      <c r="G99" s="4" t="str">
        <f>IF(VLOOKUP(TableFields[Field],Columns[],6,0)=0,"","-&gt;"&amp;VLOOKUP(TableFields[Field],Columns[],6,0))</f>
        <v>-&gt;index()</v>
      </c>
      <c r="H99" s="4" t="str">
        <f>IF(VLOOKUP(TableFields[Field],Columns[],7,0)=0,"","-&gt;"&amp;VLOOKUP(TableFields[Field],Columns[],7,0))</f>
        <v/>
      </c>
      <c r="I99" s="4" t="str">
        <f>IF(VLOOKUP(TableFields[Field],Columns[],8,0)=0,"","-&gt;"&amp;VLOOKUP(TableFields[Field],Columns[],8,0))</f>
        <v/>
      </c>
      <c r="J99" s="4" t="str">
        <f>IF(VLOOKUP(TableFields[Field],Columns[],9,0)=0,"","-&gt;"&amp;VLOOKUP(TableFields[Field],Columns[],9,0))</f>
        <v/>
      </c>
      <c r="K9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00" spans="1:11" x14ac:dyDescent="0.25">
      <c r="A100" s="4" t="s">
        <v>861</v>
      </c>
      <c r="B100" s="4" t="s">
        <v>1779</v>
      </c>
      <c r="C100" s="4" t="str">
        <f>VLOOKUP(TableFields[Field],Columns[],2,0)&amp;"("</f>
        <v>string(</v>
      </c>
      <c r="D100" s="4" t="str">
        <f>IF(VLOOKUP(TableFields[Field],Columns[],3,0)&lt;&gt;"","'"&amp;VLOOKUP(TableFields[Field],Columns[],3,0)&amp;"'","")</f>
        <v>'abr'</v>
      </c>
      <c r="E1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0" s="4" t="str">
        <f>IF(VLOOKUP(TableFields[Field],Columns[],5,0)=0,"","-&gt;"&amp;VLOOKUP(TableFields[Field],Columns[],5,0))</f>
        <v>-&gt;nullable()</v>
      </c>
      <c r="G100" s="4" t="str">
        <f>IF(VLOOKUP(TableFields[Field],Columns[],6,0)=0,"","-&gt;"&amp;VLOOKUP(TableFields[Field],Columns[],6,0))</f>
        <v/>
      </c>
      <c r="H100" s="4" t="str">
        <f>IF(VLOOKUP(TableFields[Field],Columns[],7,0)=0,"","-&gt;"&amp;VLOOKUP(TableFields[Field],Columns[],7,0))</f>
        <v/>
      </c>
      <c r="I100" s="4" t="str">
        <f>IF(VLOOKUP(TableFields[Field],Columns[],8,0)=0,"","-&gt;"&amp;VLOOKUP(TableFields[Field],Columns[],8,0))</f>
        <v/>
      </c>
      <c r="J100" s="4" t="str">
        <f>IF(VLOOKUP(TableFields[Field],Columns[],9,0)=0,"","-&gt;"&amp;VLOOKUP(TableFields[Field],Columns[],9,0))</f>
        <v/>
      </c>
      <c r="K100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01" spans="1:11" x14ac:dyDescent="0.25">
      <c r="A101" s="4" t="s">
        <v>861</v>
      </c>
      <c r="B101" s="4" t="s">
        <v>1809</v>
      </c>
      <c r="C101" s="4" t="str">
        <f>VLOOKUP(TableFields[Field],Columns[],2,0)&amp;"("</f>
        <v>char(</v>
      </c>
      <c r="D101" s="4" t="str">
        <f>IF(VLOOKUP(TableFields[Field],Columns[],3,0)&lt;&gt;"","'"&amp;VLOOKUP(TableFields[Field],Columns[],3,0)&amp;"'","")</f>
        <v>'category'</v>
      </c>
      <c r="E1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1" s="4" t="str">
        <f>IF(VLOOKUP(TableFields[Field],Columns[],5,0)=0,"","-&gt;"&amp;VLOOKUP(TableFields[Field],Columns[],5,0))</f>
        <v>-&gt;nullable()</v>
      </c>
      <c r="G101" s="4" t="str">
        <f>IF(VLOOKUP(TableFields[Field],Columns[],6,0)=0,"","-&gt;"&amp;VLOOKUP(TableFields[Field],Columns[],6,0))</f>
        <v>-&gt;index()</v>
      </c>
      <c r="H101" s="4" t="str">
        <f>IF(VLOOKUP(TableFields[Field],Columns[],7,0)=0,"","-&gt;"&amp;VLOOKUP(TableFields[Field],Columns[],7,0))</f>
        <v/>
      </c>
      <c r="I101" s="4" t="str">
        <f>IF(VLOOKUP(TableFields[Field],Columns[],8,0)=0,"","-&gt;"&amp;VLOOKUP(TableFields[Field],Columns[],8,0))</f>
        <v/>
      </c>
      <c r="J101" s="4" t="str">
        <f>IF(VLOOKUP(TableFields[Field],Columns[],9,0)=0,"","-&gt;"&amp;VLOOKUP(TableFields[Field],Columns[],9,0))</f>
        <v/>
      </c>
      <c r="K101" s="4" t="str">
        <f>"$table-&gt;"&amp;TableFields[Type]&amp;TableFields[Name]&amp;TableFields[Arg2]&amp;TableFields[Method1]&amp;TableFields[Method2]&amp;TableFields[Method3]&amp;TableFields[Method4]&amp;TableFields[Method5]&amp;";"</f>
        <v>$table-&gt;char('category', '15')-&gt;nullable()-&gt;index();</v>
      </c>
    </row>
    <row r="102" spans="1:11" x14ac:dyDescent="0.25">
      <c r="A102" s="4" t="s">
        <v>861</v>
      </c>
      <c r="B102" s="4" t="s">
        <v>1810</v>
      </c>
      <c r="C102" s="4" t="str">
        <f>VLOOKUP(TableFields[Field],Columns[],2,0)&amp;"("</f>
        <v>string(</v>
      </c>
      <c r="D102" s="4" t="str">
        <f>IF(VLOOKUP(TableFields[Field],Columns[],3,0)&lt;&gt;"","'"&amp;VLOOKUP(TableFields[Field],Columns[],3,0)&amp;"'","")</f>
        <v>'wtype'</v>
      </c>
      <c r="E1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2" s="4" t="str">
        <f>IF(VLOOKUP(TableFields[Field],Columns[],5,0)=0,"","-&gt;"&amp;VLOOKUP(TableFields[Field],Columns[],5,0))</f>
        <v>-&gt;nullable()</v>
      </c>
      <c r="G102" s="4" t="str">
        <f>IF(VLOOKUP(TableFields[Field],Columns[],6,0)=0,"","-&gt;"&amp;VLOOKUP(TableFields[Field],Columns[],6,0))</f>
        <v>-&gt;index()</v>
      </c>
      <c r="H102" s="4" t="str">
        <f>IF(VLOOKUP(TableFields[Field],Columns[],7,0)=0,"","-&gt;"&amp;VLOOKUP(TableFields[Field],Columns[],7,0))</f>
        <v/>
      </c>
      <c r="I102" s="4" t="str">
        <f>IF(VLOOKUP(TableFields[Field],Columns[],8,0)=0,"","-&gt;"&amp;VLOOKUP(TableFields[Field],Columns[],8,0))</f>
        <v/>
      </c>
      <c r="J102" s="4" t="str">
        <f>IF(VLOOKUP(TableFields[Field],Columns[],9,0)=0,"","-&gt;"&amp;VLOOKUP(TableFields[Field],Columns[],9,0))</f>
        <v/>
      </c>
      <c r="K102" s="4" t="str">
        <f>"$table-&gt;"&amp;TableFields[Type]&amp;TableFields[Name]&amp;TableFields[Arg2]&amp;TableFields[Method1]&amp;TableFields[Method2]&amp;TableFields[Method3]&amp;TableFields[Method4]&amp;TableFields[Method5]&amp;";"</f>
        <v>$table-&gt;string('wtype', '30')-&gt;nullable()-&gt;index();</v>
      </c>
    </row>
    <row r="103" spans="1:11" x14ac:dyDescent="0.25">
      <c r="A103" s="4" t="s">
        <v>861</v>
      </c>
      <c r="B103" s="4" t="s">
        <v>862</v>
      </c>
      <c r="C103" s="4" t="str">
        <f>VLOOKUP(TableFields[Field],Columns[],2,0)&amp;"("</f>
        <v>string(</v>
      </c>
      <c r="D103" s="4" t="str">
        <f>IF(VLOOKUP(TableFields[Field],Columns[],3,0)&lt;&gt;"","'"&amp;VLOOKUP(TableFields[Field],Columns[],3,0)&amp;"'","")</f>
        <v>'format'</v>
      </c>
      <c r="E1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03" s="4" t="str">
        <f>IF(VLOOKUP(TableFields[Field],Columns[],5,0)=0,"","-&gt;"&amp;VLOOKUP(TableFields[Field],Columns[],5,0))</f>
        <v>-&gt;nullable()</v>
      </c>
      <c r="G103" s="4" t="str">
        <f>IF(VLOOKUP(TableFields[Field],Columns[],6,0)=0,"","-&gt;"&amp;VLOOKUP(TableFields[Field],Columns[],6,0))</f>
        <v>-&gt;default('[BR][FN]-[FY]-[AI]')</v>
      </c>
      <c r="H103" s="4" t="str">
        <f>IF(VLOOKUP(TableFields[Field],Columns[],7,0)=0,"","-&gt;"&amp;VLOOKUP(TableFields[Field],Columns[],7,0))</f>
        <v/>
      </c>
      <c r="I103" s="4" t="str">
        <f>IF(VLOOKUP(TableFields[Field],Columns[],8,0)=0,"","-&gt;"&amp;VLOOKUP(TableFields[Field],Columns[],8,0))</f>
        <v/>
      </c>
      <c r="J103" s="4" t="str">
        <f>IF(VLOOKUP(TableFields[Field],Columns[],9,0)=0,"","-&gt;"&amp;VLOOKUP(TableFields[Field],Columns[],9,0))</f>
        <v/>
      </c>
      <c r="K103" s="4" t="str">
        <f>"$table-&gt;"&amp;TableFields[Type]&amp;TableFields[Name]&amp;TableFields[Arg2]&amp;TableFields[Method1]&amp;TableFields[Method2]&amp;TableFields[Method3]&amp;TableFields[Method4]&amp;TableFields[Method5]&amp;";"</f>
        <v>$table-&gt;string('format', '30')-&gt;nullable()-&gt;default('[BR][FN]-[FY]-[AI]');</v>
      </c>
    </row>
    <row r="104" spans="1:11" x14ac:dyDescent="0.25">
      <c r="A104" s="4" t="s">
        <v>861</v>
      </c>
      <c r="B104" s="4" t="s">
        <v>865</v>
      </c>
      <c r="C104" s="4" t="str">
        <f>VLOOKUP(TableFields[Field],Columns[],2,0)&amp;"("</f>
        <v>decimal(</v>
      </c>
      <c r="D104" s="4" t="str">
        <f>IF(VLOOKUP(TableFields[Field],Columns[],3,0)&lt;&gt;"","'"&amp;VLOOKUP(TableFields[Field],Columns[],3,0)&amp;"'","")</f>
        <v>'digit_length'</v>
      </c>
      <c r="E1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104" s="4" t="str">
        <f>IF(VLOOKUP(TableFields[Field],Columns[],5,0)=0,"","-&gt;"&amp;VLOOKUP(TableFields[Field],Columns[],5,0))</f>
        <v>-&gt;default(4)</v>
      </c>
      <c r="G104" s="4" t="str">
        <f>IF(VLOOKUP(TableFields[Field],Columns[],6,0)=0,"","-&gt;"&amp;VLOOKUP(TableFields[Field],Columns[],6,0))</f>
        <v/>
      </c>
      <c r="H104" s="4" t="str">
        <f>IF(VLOOKUP(TableFields[Field],Columns[],7,0)=0,"","-&gt;"&amp;VLOOKUP(TableFields[Field],Columns[],7,0))</f>
        <v/>
      </c>
      <c r="I104" s="4" t="str">
        <f>IF(VLOOKUP(TableFields[Field],Columns[],8,0)=0,"","-&gt;"&amp;VLOOKUP(TableFields[Field],Columns[],8,0))</f>
        <v/>
      </c>
      <c r="J104" s="4" t="str">
        <f>IF(VLOOKUP(TableFields[Field],Columns[],9,0)=0,"","-&gt;"&amp;VLOOKUP(TableFields[Field],Columns[],9,0))</f>
        <v/>
      </c>
      <c r="K104" s="4" t="str">
        <f>"$table-&gt;"&amp;TableFields[Type]&amp;TableFields[Name]&amp;TableFields[Arg2]&amp;TableFields[Method1]&amp;TableFields[Method2]&amp;TableFields[Method3]&amp;TableFields[Method4]&amp;TableFields[Method5]&amp;";"</f>
        <v>$table-&gt;decimal('digit_length', 2,0)-&gt;default(4);</v>
      </c>
    </row>
    <row r="105" spans="1:11" x14ac:dyDescent="0.25">
      <c r="A105" s="4" t="s">
        <v>861</v>
      </c>
      <c r="B105" s="4" t="s">
        <v>833</v>
      </c>
      <c r="C105" s="4" t="str">
        <f>VLOOKUP(TableFields[Field],Columns[],2,0)&amp;"("</f>
        <v>enum(</v>
      </c>
      <c r="D105" s="4" t="str">
        <f>IF(VLOOKUP(TableFields[Field],Columns[],3,0)&lt;&gt;"","'"&amp;VLOOKUP(TableFields[Field],Columns[],3,0)&amp;"'","")</f>
        <v>'direction'</v>
      </c>
      <c r="E1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05" s="4" t="str">
        <f>IF(VLOOKUP(TableFields[Field],Columns[],5,0)=0,"","-&gt;"&amp;VLOOKUP(TableFields[Field],Columns[],5,0))</f>
        <v>-&gt;default('Out')</v>
      </c>
      <c r="G105" s="4" t="str">
        <f>IF(VLOOKUP(TableFields[Field],Columns[],6,0)=0,"","-&gt;"&amp;VLOOKUP(TableFields[Field],Columns[],6,0))</f>
        <v/>
      </c>
      <c r="H105" s="4" t="str">
        <f>IF(VLOOKUP(TableFields[Field],Columns[],7,0)=0,"","-&gt;"&amp;VLOOKUP(TableFields[Field],Columns[],7,0))</f>
        <v/>
      </c>
      <c r="I105" s="4" t="str">
        <f>IF(VLOOKUP(TableFields[Field],Columns[],8,0)=0,"","-&gt;"&amp;VLOOKUP(TableFields[Field],Columns[],8,0))</f>
        <v/>
      </c>
      <c r="J105" s="4" t="str">
        <f>IF(VLOOKUP(TableFields[Field],Columns[],9,0)=0,"","-&gt;"&amp;VLOOKUP(TableFields[Field],Columns[],9,0))</f>
        <v/>
      </c>
      <c r="K105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06" spans="1:11" x14ac:dyDescent="0.25">
      <c r="A106" s="4" t="s">
        <v>861</v>
      </c>
      <c r="B106" s="4" t="s">
        <v>930</v>
      </c>
      <c r="C106" s="4" t="str">
        <f>VLOOKUP(TableFields[Field],Columns[],2,0)&amp;"("</f>
        <v>char(</v>
      </c>
      <c r="D106" s="4" t="str">
        <f>IF(VLOOKUP(TableFields[Field],Columns[],3,0)&lt;&gt;"","'"&amp;VLOOKUP(TableFields[Field],Columns[],3,0)&amp;"'","")</f>
        <v>'default_account'</v>
      </c>
      <c r="E1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06" s="4" t="str">
        <f>IF(VLOOKUP(TableFields[Field],Columns[],5,0)=0,"","-&gt;"&amp;VLOOKUP(TableFields[Field],Columns[],5,0))</f>
        <v>-&gt;nullable()</v>
      </c>
      <c r="G106" s="4" t="str">
        <f>IF(VLOOKUP(TableFields[Field],Columns[],6,0)=0,"","-&gt;"&amp;VLOOKUP(TableFields[Field],Columns[],6,0))</f>
        <v/>
      </c>
      <c r="H106" s="4" t="str">
        <f>IF(VLOOKUP(TableFields[Field],Columns[],7,0)=0,"","-&gt;"&amp;VLOOKUP(TableFields[Field],Columns[],7,0))</f>
        <v/>
      </c>
      <c r="I106" s="4" t="str">
        <f>IF(VLOOKUP(TableFields[Field],Columns[],8,0)=0,"","-&gt;"&amp;VLOOKUP(TableFields[Field],Columns[],8,0))</f>
        <v/>
      </c>
      <c r="J106" s="4" t="str">
        <f>IF(VLOOKUP(TableFields[Field],Columns[],9,0)=0,"","-&gt;"&amp;VLOOKUP(TableFields[Field],Columns[],9,0))</f>
        <v/>
      </c>
      <c r="K106" s="4" t="str">
        <f>"$table-&gt;"&amp;TableFields[Type]&amp;TableFields[Name]&amp;TableFields[Arg2]&amp;TableFields[Method1]&amp;TableFields[Method2]&amp;TableFields[Method3]&amp;TableFields[Method4]&amp;TableFields[Method5]&amp;";"</f>
        <v>$table-&gt;char('default_account', '15')-&gt;nullable();</v>
      </c>
    </row>
    <row r="107" spans="1:11" x14ac:dyDescent="0.25">
      <c r="A107" s="4" t="s">
        <v>861</v>
      </c>
      <c r="B107" s="4" t="s">
        <v>932</v>
      </c>
      <c r="C107" s="4" t="str">
        <f>VLOOKUP(TableFields[Field],Columns[],2,0)&amp;"("</f>
        <v>enum(</v>
      </c>
      <c r="D107" s="4" t="str">
        <f>IF(VLOOKUP(TableFields[Field],Columns[],3,0)&lt;&gt;"","'"&amp;VLOOKUP(TableFields[Field],Columns[],3,0)&amp;"'","")</f>
        <v>'tax'</v>
      </c>
      <c r="E1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7" s="4" t="str">
        <f>IF(VLOOKUP(TableFields[Field],Columns[],5,0)=0,"","-&gt;"&amp;VLOOKUP(TableFields[Field],Columns[],5,0))</f>
        <v>-&gt;nullable()</v>
      </c>
      <c r="G107" s="4" t="str">
        <f>IF(VLOOKUP(TableFields[Field],Columns[],6,0)=0,"","-&gt;"&amp;VLOOKUP(TableFields[Field],Columns[],6,0))</f>
        <v>-&gt;default('No')</v>
      </c>
      <c r="H107" s="4" t="str">
        <f>IF(VLOOKUP(TableFields[Field],Columns[],7,0)=0,"","-&gt;"&amp;VLOOKUP(TableFields[Field],Columns[],7,0))</f>
        <v/>
      </c>
      <c r="I107" s="4" t="str">
        <f>IF(VLOOKUP(TableFields[Field],Columns[],8,0)=0,"","-&gt;"&amp;VLOOKUP(TableFields[Field],Columns[],8,0))</f>
        <v/>
      </c>
      <c r="J107" s="4" t="str">
        <f>IF(VLOOKUP(TableFields[Field],Columns[],9,0)=0,"","-&gt;"&amp;VLOOKUP(TableFields[Field],Columns[],9,0))</f>
        <v/>
      </c>
      <c r="K107" s="4" t="str">
        <f>"$table-&gt;"&amp;TableFields[Type]&amp;TableFields[Name]&amp;TableFields[Arg2]&amp;TableFields[Method1]&amp;TableFields[Method2]&amp;TableFields[Method3]&amp;TableFields[Method4]&amp;TableFields[Method5]&amp;";"</f>
        <v>$table-&gt;enum('tax', ['Yes','No'])-&gt;nullable()-&gt;default('No');</v>
      </c>
    </row>
    <row r="108" spans="1:11" x14ac:dyDescent="0.25">
      <c r="A108" s="4" t="s">
        <v>861</v>
      </c>
      <c r="B108" s="4" t="s">
        <v>933</v>
      </c>
      <c r="C108" s="4" t="str">
        <f>VLOOKUP(TableFields[Field],Columns[],2,0)&amp;"("</f>
        <v>enum(</v>
      </c>
      <c r="D108" s="4" t="str">
        <f>IF(VLOOKUP(TableFields[Field],Columns[],3,0)&lt;&gt;"","'"&amp;VLOOKUP(TableFields[Field],Columns[],3,0)&amp;"'","")</f>
        <v>'taxselection'</v>
      </c>
      <c r="E1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['Tax01','Tax02','Select','Account','Auto'])</v>
      </c>
      <c r="F108" s="4" t="str">
        <f>IF(VLOOKUP(TableFields[Field],Columns[],5,0)=0,"","-&gt;"&amp;VLOOKUP(TableFields[Field],Columns[],5,0))</f>
        <v>-&gt;nullable()</v>
      </c>
      <c r="G108" s="4" t="str">
        <f>IF(VLOOKUP(TableFields[Field],Columns[],6,0)=0,"","-&gt;"&amp;VLOOKUP(TableFields[Field],Columns[],6,0))</f>
        <v>-&gt;default('Tax01')</v>
      </c>
      <c r="H108" s="4" t="str">
        <f>IF(VLOOKUP(TableFields[Field],Columns[],7,0)=0,"","-&gt;"&amp;VLOOKUP(TableFields[Field],Columns[],7,0))</f>
        <v/>
      </c>
      <c r="I108" s="4" t="str">
        <f>IF(VLOOKUP(TableFields[Field],Columns[],8,0)=0,"","-&gt;"&amp;VLOOKUP(TableFields[Field],Columns[],8,0))</f>
        <v/>
      </c>
      <c r="J108" s="4" t="str">
        <f>IF(VLOOKUP(TableFields[Field],Columns[],9,0)=0,"","-&gt;"&amp;VLOOKUP(TableFields[Field],Columns[],9,0))</f>
        <v/>
      </c>
      <c r="K108" s="4" t="str">
        <f>"$table-&gt;"&amp;TableFields[Type]&amp;TableFields[Name]&amp;TableFields[Arg2]&amp;TableFields[Method1]&amp;TableFields[Method2]&amp;TableFields[Method3]&amp;TableFields[Method4]&amp;TableFields[Method5]&amp;";"</f>
        <v>$table-&gt;enum('taxselection', ['Tax01','Tax02','Select','Account','Auto'])-&gt;nullable()-&gt;default('Tax01');</v>
      </c>
    </row>
    <row r="109" spans="1:11" x14ac:dyDescent="0.25">
      <c r="A109" s="4" t="s">
        <v>861</v>
      </c>
      <c r="B109" s="4" t="s">
        <v>935</v>
      </c>
      <c r="C109" s="4" t="str">
        <f>VLOOKUP(TableFields[Field],Columns[],2,0)&amp;"("</f>
        <v>enum(</v>
      </c>
      <c r="D109" s="4" t="str">
        <f>IF(VLOOKUP(TableFields[Field],Columns[],3,0)&lt;&gt;"","'"&amp;VLOOKUP(TableFields[Field],Columns[],3,0)&amp;"'","")</f>
        <v>'taxunique'</v>
      </c>
      <c r="E1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09" s="4" t="str">
        <f>IF(VLOOKUP(TableFields[Field],Columns[],5,0)=0,"","-&gt;"&amp;VLOOKUP(TableFields[Field],Columns[],5,0))</f>
        <v>-&gt;nullable()</v>
      </c>
      <c r="G109" s="4" t="str">
        <f>IF(VLOOKUP(TableFields[Field],Columns[],6,0)=0,"","-&gt;"&amp;VLOOKUP(TableFields[Field],Columns[],6,0))</f>
        <v>-&gt;default('No')</v>
      </c>
      <c r="H109" s="4" t="str">
        <f>IF(VLOOKUP(TableFields[Field],Columns[],7,0)=0,"","-&gt;"&amp;VLOOKUP(TableFields[Field],Columns[],7,0))</f>
        <v/>
      </c>
      <c r="I109" s="4" t="str">
        <f>IF(VLOOKUP(TableFields[Field],Columns[],8,0)=0,"","-&gt;"&amp;VLOOKUP(TableFields[Field],Columns[],8,0))</f>
        <v/>
      </c>
      <c r="J109" s="4" t="str">
        <f>IF(VLOOKUP(TableFields[Field],Columns[],9,0)=0,"","-&gt;"&amp;VLOOKUP(TableFields[Field],Columns[],9,0))</f>
        <v/>
      </c>
      <c r="K109" s="4" t="str">
        <f>"$table-&gt;"&amp;TableFields[Type]&amp;TableFields[Name]&amp;TableFields[Arg2]&amp;TableFields[Method1]&amp;TableFields[Method2]&amp;TableFields[Method3]&amp;TableFields[Method4]&amp;TableFields[Method5]&amp;";"</f>
        <v>$table-&gt;enum('taxunique', ['Yes','No'])-&gt;nullable()-&gt;default('No');</v>
      </c>
    </row>
    <row r="110" spans="1:11" x14ac:dyDescent="0.25">
      <c r="A110" s="4" t="s">
        <v>861</v>
      </c>
      <c r="B110" s="4" t="s">
        <v>937</v>
      </c>
      <c r="C110" s="4" t="str">
        <f>VLOOKUP(TableFields[Field],Columns[],2,0)&amp;"("</f>
        <v>enum(</v>
      </c>
      <c r="D110" s="4" t="str">
        <f>IF(VLOOKUP(TableFields[Field],Columns[],3,0)&lt;&gt;"","'"&amp;VLOOKUP(TableFields[Field],Columns[],3,0)&amp;"'","")</f>
        <v>'ratewithtax'</v>
      </c>
      <c r="E1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110" s="4" t="str">
        <f>IF(VLOOKUP(TableFields[Field],Columns[],5,0)=0,"","-&gt;"&amp;VLOOKUP(TableFields[Field],Columns[],5,0))</f>
        <v>-&gt;nullable()</v>
      </c>
      <c r="G110" s="4" t="str">
        <f>IF(VLOOKUP(TableFields[Field],Columns[],6,0)=0,"","-&gt;"&amp;VLOOKUP(TableFields[Field],Columns[],6,0))</f>
        <v>-&gt;default('No')</v>
      </c>
      <c r="H110" s="4" t="str">
        <f>IF(VLOOKUP(TableFields[Field],Columns[],7,0)=0,"","-&gt;"&amp;VLOOKUP(TableFields[Field],Columns[],7,0))</f>
        <v/>
      </c>
      <c r="I110" s="4" t="str">
        <f>IF(VLOOKUP(TableFields[Field],Columns[],8,0)=0,"","-&gt;"&amp;VLOOKUP(TableFields[Field],Columns[],8,0))</f>
        <v/>
      </c>
      <c r="J110" s="4" t="str">
        <f>IF(VLOOKUP(TableFields[Field],Columns[],9,0)=0,"","-&gt;"&amp;VLOOKUP(TableFields[Field],Columns[],9,0))</f>
        <v/>
      </c>
      <c r="K110" s="4" t="str">
        <f>"$table-&gt;"&amp;TableFields[Type]&amp;TableFields[Name]&amp;TableFields[Arg2]&amp;TableFields[Method1]&amp;TableFields[Method2]&amp;TableFields[Method3]&amp;TableFields[Method4]&amp;TableFields[Method5]&amp;";"</f>
        <v>$table-&gt;enum('ratewithtax', ['Yes','No'])-&gt;nullable()-&gt;default('No');</v>
      </c>
    </row>
    <row r="111" spans="1:11" x14ac:dyDescent="0.25">
      <c r="A111" s="4" t="s">
        <v>861</v>
      </c>
      <c r="B111" s="4" t="s">
        <v>938</v>
      </c>
      <c r="C111" s="4" t="str">
        <f>VLOOKUP(TableFields[Field],Columns[],2,0)&amp;"("</f>
        <v>enum(</v>
      </c>
      <c r="D111" s="4" t="str">
        <f>IF(VLOOKUP(TableFields[Field],Columns[],3,0)&lt;&gt;"","'"&amp;VLOOKUP(TableFields[Field],Columns[],3,0)&amp;"'","")</f>
        <v>'discount01'</v>
      </c>
      <c r="E1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1" s="4" t="str">
        <f>IF(VLOOKUP(TableFields[Field],Columns[],5,0)=0,"","-&gt;"&amp;VLOOKUP(TableFields[Field],Columns[],5,0))</f>
        <v>-&gt;nullable()</v>
      </c>
      <c r="G111" s="4" t="str">
        <f>IF(VLOOKUP(TableFields[Field],Columns[],6,0)=0,"","-&gt;"&amp;VLOOKUP(TableFields[Field],Columns[],6,0))</f>
        <v>-&gt;default('NotRequired')</v>
      </c>
      <c r="H111" s="4" t="str">
        <f>IF(VLOOKUP(TableFields[Field],Columns[],7,0)=0,"","-&gt;"&amp;VLOOKUP(TableFields[Field],Columns[],7,0))</f>
        <v/>
      </c>
      <c r="I111" s="4" t="str">
        <f>IF(VLOOKUP(TableFields[Field],Columns[],8,0)=0,"","-&gt;"&amp;VLOOKUP(TableFields[Field],Columns[],8,0))</f>
        <v/>
      </c>
      <c r="J111" s="4" t="str">
        <f>IF(VLOOKUP(TableFields[Field],Columns[],9,0)=0,"","-&gt;"&amp;VLOOKUP(TableFields[Field],Columns[],9,0))</f>
        <v/>
      </c>
      <c r="K111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$table-&gt;enum('discount01', ['NotRequired','Amount','Percentage'])-&gt;nullable()-&gt;default('NotRequired');</v>
      </c>
    </row>
    <row r="112" spans="1:11" x14ac:dyDescent="0.25">
      <c r="A112" s="4" t="s">
        <v>861</v>
      </c>
      <c r="B112" s="4" t="s">
        <v>939</v>
      </c>
      <c r="C112" s="4" t="str">
        <f>VLOOKUP(TableFields[Field],Columns[],2,0)&amp;"("</f>
        <v>enum(</v>
      </c>
      <c r="D112" s="4" t="str">
        <f>IF(VLOOKUP(TableFields[Field],Columns[],3,0)&lt;&gt;"","'"&amp;VLOOKUP(TableFields[Field],Columns[],3,0)&amp;"'","")</f>
        <v>'discount02'</v>
      </c>
      <c r="E1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2" s="4" t="str">
        <f>IF(VLOOKUP(TableFields[Field],Columns[],5,0)=0,"","-&gt;"&amp;VLOOKUP(TableFields[Field],Columns[],5,0))</f>
        <v>-&gt;nullable()</v>
      </c>
      <c r="G112" s="4" t="str">
        <f>IF(VLOOKUP(TableFields[Field],Columns[],6,0)=0,"","-&gt;"&amp;VLOOKUP(TableFields[Field],Columns[],6,0))</f>
        <v>-&gt;default('NotRequired')</v>
      </c>
      <c r="H112" s="4" t="str">
        <f>IF(VLOOKUP(TableFields[Field],Columns[],7,0)=0,"","-&gt;"&amp;VLOOKUP(TableFields[Field],Columns[],7,0))</f>
        <v/>
      </c>
      <c r="I112" s="4" t="str">
        <f>IF(VLOOKUP(TableFields[Field],Columns[],8,0)=0,"","-&gt;"&amp;VLOOKUP(TableFields[Field],Columns[],8,0))</f>
        <v/>
      </c>
      <c r="J112" s="4" t="str">
        <f>IF(VLOOKUP(TableFields[Field],Columns[],9,0)=0,"","-&gt;"&amp;VLOOKUP(TableFields[Field],Columns[],9,0))</f>
        <v/>
      </c>
      <c r="K112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$table-&gt;enum('discount02', ['NotRequired','Amount','Percentage'])-&gt;nullable()-&gt;default('NotRequired');</v>
      </c>
    </row>
    <row r="113" spans="1:11" x14ac:dyDescent="0.25">
      <c r="A113" s="4" t="s">
        <v>861</v>
      </c>
      <c r="B113" s="4" t="s">
        <v>940</v>
      </c>
      <c r="C113" s="4" t="str">
        <f>VLOOKUP(TableFields[Field],Columns[],2,0)&amp;"("</f>
        <v>enum(</v>
      </c>
      <c r="D113" s="4" t="str">
        <f>IF(VLOOKUP(TableFields[Field],Columns[],3,0)&lt;&gt;"","'"&amp;VLOOKUP(TableFields[Field],Columns[],3,0)&amp;"'","")</f>
        <v>'discount02base'</v>
      </c>
      <c r="E1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['Net','Gross'])</v>
      </c>
      <c r="F113" s="4" t="str">
        <f>IF(VLOOKUP(TableFields[Field],Columns[],5,0)=0,"","-&gt;"&amp;VLOOKUP(TableFields[Field],Columns[],5,0))</f>
        <v>-&gt;nullable()</v>
      </c>
      <c r="G113" s="4" t="str">
        <f>IF(VLOOKUP(TableFields[Field],Columns[],6,0)=0,"","-&gt;"&amp;VLOOKUP(TableFields[Field],Columns[],6,0))</f>
        <v>-&gt;default('Net')</v>
      </c>
      <c r="H113" s="4" t="str">
        <f>IF(VLOOKUP(TableFields[Field],Columns[],7,0)=0,"","-&gt;"&amp;VLOOKUP(TableFields[Field],Columns[],7,0))</f>
        <v/>
      </c>
      <c r="I113" s="4" t="str">
        <f>IF(VLOOKUP(TableFields[Field],Columns[],8,0)=0,"","-&gt;"&amp;VLOOKUP(TableFields[Field],Columns[],8,0))</f>
        <v/>
      </c>
      <c r="J113" s="4" t="str">
        <f>IF(VLOOKUP(TableFields[Field],Columns[],9,0)=0,"","-&gt;"&amp;VLOOKUP(TableFields[Field],Columns[],9,0))</f>
        <v/>
      </c>
      <c r="K11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$table-&gt;enum('discount02base', ['Net','Gross'])-&gt;nullable()-&gt;default('Net');</v>
      </c>
    </row>
    <row r="114" spans="1:11" x14ac:dyDescent="0.25">
      <c r="A114" s="4" t="s">
        <v>861</v>
      </c>
      <c r="B114" s="4" t="s">
        <v>941</v>
      </c>
      <c r="C114" s="4" t="str">
        <f>VLOOKUP(TableFields[Field],Columns[],2,0)&amp;"("</f>
        <v>enum(</v>
      </c>
      <c r="D114" s="4" t="str">
        <f>IF(VLOOKUP(TableFields[Field],Columns[],3,0)&lt;&gt;"","'"&amp;VLOOKUP(TableFields[Field],Columns[],3,0)&amp;"'","")</f>
        <v>'discount03'</v>
      </c>
      <c r="E1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['NotRequired','Amount','Percentage'])</v>
      </c>
      <c r="F114" s="4" t="str">
        <f>IF(VLOOKUP(TableFields[Field],Columns[],5,0)=0,"","-&gt;"&amp;VLOOKUP(TableFields[Field],Columns[],5,0))</f>
        <v>-&gt;nullable()</v>
      </c>
      <c r="G114" s="4" t="str">
        <f>IF(VLOOKUP(TableFields[Field],Columns[],6,0)=0,"","-&gt;"&amp;VLOOKUP(TableFields[Field],Columns[],6,0))</f>
        <v>-&gt;default('NotRequired')</v>
      </c>
      <c r="H114" s="4" t="str">
        <f>IF(VLOOKUP(TableFields[Field],Columns[],7,0)=0,"","-&gt;"&amp;VLOOKUP(TableFields[Field],Columns[],7,0))</f>
        <v/>
      </c>
      <c r="I114" s="4" t="str">
        <f>IF(VLOOKUP(TableFields[Field],Columns[],8,0)=0,"","-&gt;"&amp;VLOOKUP(TableFields[Field],Columns[],8,0))</f>
        <v/>
      </c>
      <c r="J114" s="4" t="str">
        <f>IF(VLOOKUP(TableFields[Field],Columns[],9,0)=0,"","-&gt;"&amp;VLOOKUP(TableFields[Field],Columns[],9,0))</f>
        <v/>
      </c>
      <c r="K114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$table-&gt;enum('discount03', ['NotRequired','Amount','Percentage'])-&gt;nullable()-&gt;default('NotRequired');</v>
      </c>
    </row>
    <row r="115" spans="1:11" x14ac:dyDescent="0.25">
      <c r="A115" s="4" t="s">
        <v>861</v>
      </c>
      <c r="B115" s="4" t="s">
        <v>942</v>
      </c>
      <c r="C115" s="4" t="str">
        <f>VLOOKUP(TableFields[Field],Columns[],2,0)&amp;"("</f>
        <v>enum(</v>
      </c>
      <c r="D115" s="4" t="str">
        <f>IF(VLOOKUP(TableFields[Field],Columns[],3,0)&lt;&gt;"","'"&amp;VLOOKUP(TableFields[Field],Columns[],3,0)&amp;"'","")</f>
        <v>'discountmode'</v>
      </c>
      <c r="E1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['None','PriceList','Custom','Buy_nX_Get_mY','Account','User','Branch'])</v>
      </c>
      <c r="F115" s="4" t="str">
        <f>IF(VLOOKUP(TableFields[Field],Columns[],5,0)=0,"","-&gt;"&amp;VLOOKUP(TableFields[Field],Columns[],5,0))</f>
        <v>-&gt;nullable()</v>
      </c>
      <c r="G115" s="4" t="str">
        <f>IF(VLOOKUP(TableFields[Field],Columns[],6,0)=0,"","-&gt;"&amp;VLOOKUP(TableFields[Field],Columns[],6,0))</f>
        <v>-&gt;default('None')</v>
      </c>
      <c r="H115" s="4" t="str">
        <f>IF(VLOOKUP(TableFields[Field],Columns[],7,0)=0,"","-&gt;"&amp;VLOOKUP(TableFields[Field],Columns[],7,0))</f>
        <v/>
      </c>
      <c r="I115" s="4" t="str">
        <f>IF(VLOOKUP(TableFields[Field],Columns[],8,0)=0,"","-&gt;"&amp;VLOOKUP(TableFields[Field],Columns[],8,0))</f>
        <v/>
      </c>
      <c r="J115" s="4" t="str">
        <f>IF(VLOOKUP(TableFields[Field],Columns[],9,0)=0,"","-&gt;"&amp;VLOOKUP(TableFields[Field],Columns[],9,0))</f>
        <v/>
      </c>
      <c r="K11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$table-&gt;enum('discountmode', ['None','PriceList','Custom','Buy_nX_Get_mY','Account','User','Branch'])-&gt;nullable()-&gt;default('None');</v>
      </c>
    </row>
    <row r="116" spans="1:11" x14ac:dyDescent="0.25">
      <c r="A116" s="4" t="s">
        <v>861</v>
      </c>
      <c r="B116" s="4" t="s">
        <v>943</v>
      </c>
      <c r="C116" s="4" t="str">
        <f>VLOOKUP(TableFields[Field],Columns[],2,0)&amp;"("</f>
        <v>char(</v>
      </c>
      <c r="D116" s="4" t="str">
        <f>IF(VLOOKUP(TableFields[Field],Columns[],3,0)&lt;&gt;"","'"&amp;VLOOKUP(TableFields[Field],Columns[],3,0)&amp;"'","")</f>
        <v>'discount'</v>
      </c>
      <c r="E1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6" s="4" t="str">
        <f>IF(VLOOKUP(TableFields[Field],Columns[],5,0)=0,"","-&gt;"&amp;VLOOKUP(TableFields[Field],Columns[],5,0))</f>
        <v>-&gt;nullable()</v>
      </c>
      <c r="G116" s="4" t="str">
        <f>IF(VLOOKUP(TableFields[Field],Columns[],6,0)=0,"","-&gt;"&amp;VLOOKUP(TableFields[Field],Columns[],6,0))</f>
        <v/>
      </c>
      <c r="H116" s="4" t="str">
        <f>IF(VLOOKUP(TableFields[Field],Columns[],7,0)=0,"","-&gt;"&amp;VLOOKUP(TableFields[Field],Columns[],7,0))</f>
        <v/>
      </c>
      <c r="I116" s="4" t="str">
        <f>IF(VLOOKUP(TableFields[Field],Columns[],8,0)=0,"","-&gt;"&amp;VLOOKUP(TableFields[Field],Columns[],8,0))</f>
        <v/>
      </c>
      <c r="J116" s="4" t="str">
        <f>IF(VLOOKUP(TableFields[Field],Columns[],9,0)=0,"","-&gt;"&amp;VLOOKUP(TableFields[Field],Columns[],9,0))</f>
        <v/>
      </c>
      <c r="K116" s="4" t="str">
        <f>"$table-&gt;"&amp;TableFields[Type]&amp;TableFields[Name]&amp;TableFields[Arg2]&amp;TableFields[Method1]&amp;TableFields[Method2]&amp;TableFields[Method3]&amp;TableFields[Method4]&amp;TableFields[Method5]&amp;";"</f>
        <v>$table-&gt;char('discount', '15')-&gt;nullable();</v>
      </c>
    </row>
    <row r="117" spans="1:11" x14ac:dyDescent="0.25">
      <c r="A117" s="4" t="s">
        <v>861</v>
      </c>
      <c r="B117" s="4" t="s">
        <v>288</v>
      </c>
      <c r="C117" s="4" t="str">
        <f>VLOOKUP(TableFields[Field],Columns[],2,0)&amp;"("</f>
        <v>audit(</v>
      </c>
      <c r="D117" s="4" t="str">
        <f>IF(VLOOKUP(TableFields[Field],Columns[],3,0)&lt;&gt;"","'"&amp;VLOOKUP(TableFields[Field],Columns[],3,0)&amp;"'","")</f>
        <v/>
      </c>
      <c r="E1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7" s="4" t="str">
        <f>IF(VLOOKUP(TableFields[Field],Columns[],5,0)=0,"","-&gt;"&amp;VLOOKUP(TableFields[Field],Columns[],5,0))</f>
        <v/>
      </c>
      <c r="G117" s="4" t="str">
        <f>IF(VLOOKUP(TableFields[Field],Columns[],6,0)=0,"","-&gt;"&amp;VLOOKUP(TableFields[Field],Columns[],6,0))</f>
        <v/>
      </c>
      <c r="H117" s="4" t="str">
        <f>IF(VLOOKUP(TableFields[Field],Columns[],7,0)=0,"","-&gt;"&amp;VLOOKUP(TableFields[Field],Columns[],7,0))</f>
        <v/>
      </c>
      <c r="I117" s="4" t="str">
        <f>IF(VLOOKUP(TableFields[Field],Columns[],8,0)=0,"","-&gt;"&amp;VLOOKUP(TableFields[Field],Columns[],8,0))</f>
        <v/>
      </c>
      <c r="J117" s="4" t="str">
        <f>IF(VLOOKUP(TableFields[Field],Columns[],9,0)=0,"","-&gt;"&amp;VLOOKUP(TableFields[Field],Columns[],9,0))</f>
        <v/>
      </c>
      <c r="K11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18" spans="1:11" x14ac:dyDescent="0.25">
      <c r="A118" s="4" t="s">
        <v>901</v>
      </c>
      <c r="B118" s="4" t="s">
        <v>21</v>
      </c>
      <c r="C118" s="4" t="str">
        <f>VLOOKUP(TableFields[Field],Columns[],2,0)&amp;"("</f>
        <v>bigIncrements(</v>
      </c>
      <c r="D118" s="4" t="str">
        <f>IF(VLOOKUP(TableFields[Field],Columns[],3,0)&lt;&gt;"","'"&amp;VLOOKUP(TableFields[Field],Columns[],3,0)&amp;"'","")</f>
        <v>'id'</v>
      </c>
      <c r="E1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18" s="4" t="str">
        <f>IF(VLOOKUP(TableFields[Field],Columns[],5,0)=0,"","-&gt;"&amp;VLOOKUP(TableFields[Field],Columns[],5,0))</f>
        <v/>
      </c>
      <c r="G118" s="4" t="str">
        <f>IF(VLOOKUP(TableFields[Field],Columns[],6,0)=0,"","-&gt;"&amp;VLOOKUP(TableFields[Field],Columns[],6,0))</f>
        <v/>
      </c>
      <c r="H118" s="4" t="str">
        <f>IF(VLOOKUP(TableFields[Field],Columns[],7,0)=0,"","-&gt;"&amp;VLOOKUP(TableFields[Field],Columns[],7,0))</f>
        <v/>
      </c>
      <c r="I118" s="4" t="str">
        <f>IF(VLOOKUP(TableFields[Field],Columns[],8,0)=0,"","-&gt;"&amp;VLOOKUP(TableFields[Field],Columns[],8,0))</f>
        <v/>
      </c>
      <c r="J118" s="4" t="str">
        <f>IF(VLOOKUP(TableFields[Field],Columns[],9,0)=0,"","-&gt;"&amp;VLOOKUP(TableFields[Field],Columns[],9,0))</f>
        <v/>
      </c>
      <c r="K11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19" spans="1:11" x14ac:dyDescent="0.25">
      <c r="A119" s="4" t="s">
        <v>901</v>
      </c>
      <c r="B119" s="4" t="s">
        <v>769</v>
      </c>
      <c r="C119" s="4" t="str">
        <f>VLOOKUP(TableFields[Field],Columns[],2,0)&amp;"("</f>
        <v>char(</v>
      </c>
      <c r="D119" s="4" t="str">
        <f>IF(VLOOKUP(TableFields[Field],Columns[],3,0)&lt;&gt;"","'"&amp;VLOOKUP(TableFields[Field],Columns[],3,0)&amp;"'","")</f>
        <v>'code'</v>
      </c>
      <c r="E1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19" s="4" t="str">
        <f>IF(VLOOKUP(TableFields[Field],Columns[],5,0)=0,"","-&gt;"&amp;VLOOKUP(TableFields[Field],Columns[],5,0))</f>
        <v>-&gt;nullable()</v>
      </c>
      <c r="G119" s="4" t="str">
        <f>IF(VLOOKUP(TableFields[Field],Columns[],6,0)=0,"","-&gt;"&amp;VLOOKUP(TableFields[Field],Columns[],6,0))</f>
        <v>-&gt;index()</v>
      </c>
      <c r="H119" s="4" t="str">
        <f>IF(VLOOKUP(TableFields[Field],Columns[],7,0)=0,"","-&gt;"&amp;VLOOKUP(TableFields[Field],Columns[],7,0))</f>
        <v/>
      </c>
      <c r="I119" s="4" t="str">
        <f>IF(VLOOKUP(TableFields[Field],Columns[],8,0)=0,"","-&gt;"&amp;VLOOKUP(TableFields[Field],Columns[],8,0))</f>
        <v/>
      </c>
      <c r="J119" s="4" t="str">
        <f>IF(VLOOKUP(TableFields[Field],Columns[],9,0)=0,"","-&gt;"&amp;VLOOKUP(TableFields[Field],Columns[],9,0))</f>
        <v/>
      </c>
      <c r="K119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20" spans="1:11" x14ac:dyDescent="0.25">
      <c r="A120" s="4" t="s">
        <v>901</v>
      </c>
      <c r="B120" s="4" t="s">
        <v>886</v>
      </c>
      <c r="C120" s="4" t="str">
        <f>VLOOKUP(TableFields[Field],Columns[],2,0)&amp;"("</f>
        <v>char(</v>
      </c>
      <c r="D120" s="4" t="str">
        <f>IF(VLOOKUP(TableFields[Field],Columns[],3,0)&lt;&gt;"","'"&amp;VLOOKUP(TableFields[Field],Columns[],3,0)&amp;"'","")</f>
        <v>'cocode'</v>
      </c>
      <c r="E1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20" s="4" t="str">
        <f>IF(VLOOKUP(TableFields[Field],Columns[],5,0)=0,"","-&gt;"&amp;VLOOKUP(TableFields[Field],Columns[],5,0))</f>
        <v>-&gt;nullable()</v>
      </c>
      <c r="G120" s="4" t="str">
        <f>IF(VLOOKUP(TableFields[Field],Columns[],6,0)=0,"","-&gt;"&amp;VLOOKUP(TableFields[Field],Columns[],6,0))</f>
        <v>-&gt;index()</v>
      </c>
      <c r="H120" s="4" t="str">
        <f>IF(VLOOKUP(TableFields[Field],Columns[],7,0)=0,"","-&gt;"&amp;VLOOKUP(TableFields[Field],Columns[],7,0))</f>
        <v/>
      </c>
      <c r="I120" s="4" t="str">
        <f>IF(VLOOKUP(TableFields[Field],Columns[],8,0)=0,"","-&gt;"&amp;VLOOKUP(TableFields[Field],Columns[],8,0))</f>
        <v/>
      </c>
      <c r="J120" s="4" t="str">
        <f>IF(VLOOKUP(TableFields[Field],Columns[],9,0)=0,"","-&gt;"&amp;VLOOKUP(TableFields[Field],Columns[],9,0))</f>
        <v/>
      </c>
      <c r="K120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'5')-&gt;nullable()-&gt;index();</v>
      </c>
    </row>
    <row r="121" spans="1:11" x14ac:dyDescent="0.25">
      <c r="A121" s="4" t="s">
        <v>901</v>
      </c>
      <c r="B121" s="4" t="s">
        <v>23</v>
      </c>
      <c r="C121" s="4" t="str">
        <f>VLOOKUP(TableFields[Field],Columns[],2,0)&amp;"("</f>
        <v>string(</v>
      </c>
      <c r="D121" s="4" t="str">
        <f>IF(VLOOKUP(TableFields[Field],Columns[],3,0)&lt;&gt;"","'"&amp;VLOOKUP(TableFields[Field],Columns[],3,0)&amp;"'","")</f>
        <v>'name'</v>
      </c>
      <c r="E1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21" s="4" t="str">
        <f>IF(VLOOKUP(TableFields[Field],Columns[],5,0)=0,"","-&gt;"&amp;VLOOKUP(TableFields[Field],Columns[],5,0))</f>
        <v>-&gt;nullable()</v>
      </c>
      <c r="G121" s="4" t="str">
        <f>IF(VLOOKUP(TableFields[Field],Columns[],6,0)=0,"","-&gt;"&amp;VLOOKUP(TableFields[Field],Columns[],6,0))</f>
        <v>-&gt;index()</v>
      </c>
      <c r="H121" s="4" t="str">
        <f>IF(VLOOKUP(TableFields[Field],Columns[],7,0)=0,"","-&gt;"&amp;VLOOKUP(TableFields[Field],Columns[],7,0))</f>
        <v/>
      </c>
      <c r="I121" s="4" t="str">
        <f>IF(VLOOKUP(TableFields[Field],Columns[],8,0)=0,"","-&gt;"&amp;VLOOKUP(TableFields[Field],Columns[],8,0))</f>
        <v/>
      </c>
      <c r="J121" s="4" t="str">
        <f>IF(VLOOKUP(TableFields[Field],Columns[],9,0)=0,"","-&gt;"&amp;VLOOKUP(TableFields[Field],Columns[],9,0))</f>
        <v/>
      </c>
      <c r="K121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22" spans="1:11" x14ac:dyDescent="0.25">
      <c r="A122" s="4" t="s">
        <v>901</v>
      </c>
      <c r="B122" s="4" t="s">
        <v>1779</v>
      </c>
      <c r="C122" s="4" t="str">
        <f>VLOOKUP(TableFields[Field],Columns[],2,0)&amp;"("</f>
        <v>string(</v>
      </c>
      <c r="D122" s="4" t="str">
        <f>IF(VLOOKUP(TableFields[Field],Columns[],3,0)&lt;&gt;"","'"&amp;VLOOKUP(TableFields[Field],Columns[],3,0)&amp;"'","")</f>
        <v>'abr'</v>
      </c>
      <c r="E1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22" s="4" t="str">
        <f>IF(VLOOKUP(TableFields[Field],Columns[],5,0)=0,"","-&gt;"&amp;VLOOKUP(TableFields[Field],Columns[],5,0))</f>
        <v>-&gt;nullable()</v>
      </c>
      <c r="G122" s="4" t="str">
        <f>IF(VLOOKUP(TableFields[Field],Columns[],6,0)=0,"","-&gt;"&amp;VLOOKUP(TableFields[Field],Columns[],6,0))</f>
        <v/>
      </c>
      <c r="H122" s="4" t="str">
        <f>IF(VLOOKUP(TableFields[Field],Columns[],7,0)=0,"","-&gt;"&amp;VLOOKUP(TableFields[Field],Columns[],7,0))</f>
        <v/>
      </c>
      <c r="I122" s="4" t="str">
        <f>IF(VLOOKUP(TableFields[Field],Columns[],8,0)=0,"","-&gt;"&amp;VLOOKUP(TableFields[Field],Columns[],8,0))</f>
        <v/>
      </c>
      <c r="J122" s="4" t="str">
        <f>IF(VLOOKUP(TableFields[Field],Columns[],9,0)=0,"","-&gt;"&amp;VLOOKUP(TableFields[Field],Columns[],9,0))</f>
        <v/>
      </c>
      <c r="K122" s="4" t="str">
        <f>"$table-&gt;"&amp;TableFields[Type]&amp;TableFields[Name]&amp;TableFields[Arg2]&amp;TableFields[Method1]&amp;TableFields[Method2]&amp;TableFields[Method3]&amp;TableFields[Method4]&amp;TableFields[Method5]&amp;";"</f>
        <v>$table-&gt;string('abr', '15')-&gt;nullable();</v>
      </c>
    </row>
    <row r="123" spans="1:11" x14ac:dyDescent="0.25">
      <c r="A123" s="4" t="s">
        <v>901</v>
      </c>
      <c r="B123" s="4" t="s">
        <v>902</v>
      </c>
      <c r="C123" s="4" t="str">
        <f>VLOOKUP(TableFields[Field],Columns[],2,0)&amp;"("</f>
        <v>datetime(</v>
      </c>
      <c r="D123" s="4" t="str">
        <f>IF(VLOOKUP(TableFields[Field],Columns[],3,0)&lt;&gt;"","'"&amp;VLOOKUP(TableFields[Field],Columns[],3,0)&amp;"'","")</f>
        <v>'start_date'</v>
      </c>
      <c r="E1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3" s="4" t="str">
        <f>IF(VLOOKUP(TableFields[Field],Columns[],5,0)=0,"","-&gt;"&amp;VLOOKUP(TableFields[Field],Columns[],5,0))</f>
        <v>-&gt;nullable()</v>
      </c>
      <c r="G123" s="4" t="str">
        <f>IF(VLOOKUP(TableFields[Field],Columns[],6,0)=0,"","-&gt;"&amp;VLOOKUP(TableFields[Field],Columns[],6,0))</f>
        <v/>
      </c>
      <c r="H123" s="4" t="str">
        <f>IF(VLOOKUP(TableFields[Field],Columns[],7,0)=0,"","-&gt;"&amp;VLOOKUP(TableFields[Field],Columns[],7,0))</f>
        <v/>
      </c>
      <c r="I123" s="4" t="str">
        <f>IF(VLOOKUP(TableFields[Field],Columns[],8,0)=0,"","-&gt;"&amp;VLOOKUP(TableFields[Field],Columns[],8,0))</f>
        <v/>
      </c>
      <c r="J123" s="4" t="str">
        <f>IF(VLOOKUP(TableFields[Field],Columns[],9,0)=0,"","-&gt;"&amp;VLOOKUP(TableFields[Field],Columns[],9,0))</f>
        <v/>
      </c>
      <c r="K123" s="4" t="str">
        <f>"$table-&gt;"&amp;TableFields[Type]&amp;TableFields[Name]&amp;TableFields[Arg2]&amp;TableFields[Method1]&amp;TableFields[Method2]&amp;TableFields[Method3]&amp;TableFields[Method4]&amp;TableFields[Method5]&amp;";"</f>
        <v>$table-&gt;datetime('start_date')-&gt;nullable();</v>
      </c>
    </row>
    <row r="124" spans="1:11" x14ac:dyDescent="0.25">
      <c r="A124" s="4" t="s">
        <v>901</v>
      </c>
      <c r="B124" s="4" t="s">
        <v>904</v>
      </c>
      <c r="C124" s="4" t="str">
        <f>VLOOKUP(TableFields[Field],Columns[],2,0)&amp;"("</f>
        <v>datetime(</v>
      </c>
      <c r="D124" s="4" t="str">
        <f>IF(VLOOKUP(TableFields[Field],Columns[],3,0)&lt;&gt;"","'"&amp;VLOOKUP(TableFields[Field],Columns[],3,0)&amp;"'","")</f>
        <v>'end_date'</v>
      </c>
      <c r="E1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4" s="4" t="str">
        <f>IF(VLOOKUP(TableFields[Field],Columns[],5,0)=0,"","-&gt;"&amp;VLOOKUP(TableFields[Field],Columns[],5,0))</f>
        <v>-&gt;nullable()</v>
      </c>
      <c r="G124" s="4" t="str">
        <f>IF(VLOOKUP(TableFields[Field],Columns[],6,0)=0,"","-&gt;"&amp;VLOOKUP(TableFields[Field],Columns[],6,0))</f>
        <v/>
      </c>
      <c r="H124" s="4" t="str">
        <f>IF(VLOOKUP(TableFields[Field],Columns[],7,0)=0,"","-&gt;"&amp;VLOOKUP(TableFields[Field],Columns[],7,0))</f>
        <v/>
      </c>
      <c r="I124" s="4" t="str">
        <f>IF(VLOOKUP(TableFields[Field],Columns[],8,0)=0,"","-&gt;"&amp;VLOOKUP(TableFields[Field],Columns[],8,0))</f>
        <v/>
      </c>
      <c r="J124" s="4" t="str">
        <f>IF(VLOOKUP(TableFields[Field],Columns[],9,0)=0,"","-&gt;"&amp;VLOOKUP(TableFields[Field],Columns[],9,0))</f>
        <v/>
      </c>
      <c r="K124" s="4" t="str">
        <f>"$table-&gt;"&amp;TableFields[Type]&amp;TableFields[Name]&amp;TableFields[Arg2]&amp;TableFields[Method1]&amp;TableFields[Method2]&amp;TableFields[Method3]&amp;TableFields[Method4]&amp;TableFields[Method5]&amp;";"</f>
        <v>$table-&gt;datetime('end_date')-&gt;nullable();</v>
      </c>
    </row>
    <row r="125" spans="1:11" x14ac:dyDescent="0.25">
      <c r="A125" s="4" t="s">
        <v>901</v>
      </c>
      <c r="B125" s="4" t="s">
        <v>906</v>
      </c>
      <c r="C125" s="4" t="str">
        <f>VLOOKUP(TableFields[Field],Columns[],2,0)&amp;"("</f>
        <v>enum(</v>
      </c>
      <c r="D125" s="4" t="str">
        <f>IF(VLOOKUP(TableFields[Field],Columns[],3,0)&lt;&gt;"","'"&amp;VLOOKUP(TableFields[Field],Columns[],3,0)&amp;"'","")</f>
        <v>'status'</v>
      </c>
      <c r="E1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['ReadWrite','ReadOnly','Inactive'])</v>
      </c>
      <c r="F125" s="4" t="str">
        <f>IF(VLOOKUP(TableFields[Field],Columns[],5,0)=0,"","-&gt;"&amp;VLOOKUP(TableFields[Field],Columns[],5,0))</f>
        <v>-&gt;default('ReadWrite')</v>
      </c>
      <c r="G125" s="4" t="str">
        <f>IF(VLOOKUP(TableFields[Field],Columns[],6,0)=0,"","-&gt;"&amp;VLOOKUP(TableFields[Field],Columns[],6,0))</f>
        <v>-&gt;nullable()</v>
      </c>
      <c r="H125" s="4" t="str">
        <f>IF(VLOOKUP(TableFields[Field],Columns[],7,0)=0,"","-&gt;"&amp;VLOOKUP(TableFields[Field],Columns[],7,0))</f>
        <v/>
      </c>
      <c r="I125" s="4" t="str">
        <f>IF(VLOOKUP(TableFields[Field],Columns[],8,0)=0,"","-&gt;"&amp;VLOOKUP(TableFields[Field],Columns[],8,0))</f>
        <v/>
      </c>
      <c r="J125" s="4" t="str">
        <f>IF(VLOOKUP(TableFields[Field],Columns[],9,0)=0,"","-&gt;"&amp;VLOOKUP(TableFields[Field],Columns[],9,0))</f>
        <v/>
      </c>
      <c r="K12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['ReadWrite','ReadOnly','Inactive'])-&gt;default('ReadWrite')-&gt;nullable();</v>
      </c>
    </row>
    <row r="126" spans="1:11" x14ac:dyDescent="0.25">
      <c r="A126" s="4" t="s">
        <v>901</v>
      </c>
      <c r="B126" s="4" t="s">
        <v>288</v>
      </c>
      <c r="C126" s="4" t="str">
        <f>VLOOKUP(TableFields[Field],Columns[],2,0)&amp;"("</f>
        <v>audit(</v>
      </c>
      <c r="D126" s="4" t="str">
        <f>IF(VLOOKUP(TableFields[Field],Columns[],3,0)&lt;&gt;"","'"&amp;VLOOKUP(TableFields[Field],Columns[],3,0)&amp;"'","")</f>
        <v/>
      </c>
      <c r="E1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6" s="4" t="str">
        <f>IF(VLOOKUP(TableFields[Field],Columns[],5,0)=0,"","-&gt;"&amp;VLOOKUP(TableFields[Field],Columns[],5,0))</f>
        <v/>
      </c>
      <c r="G126" s="4" t="str">
        <f>IF(VLOOKUP(TableFields[Field],Columns[],6,0)=0,"","-&gt;"&amp;VLOOKUP(TableFields[Field],Columns[],6,0))</f>
        <v/>
      </c>
      <c r="H126" s="4" t="str">
        <f>IF(VLOOKUP(TableFields[Field],Columns[],7,0)=0,"","-&gt;"&amp;VLOOKUP(TableFields[Field],Columns[],7,0))</f>
        <v/>
      </c>
      <c r="I126" s="4" t="str">
        <f>IF(VLOOKUP(TableFields[Field],Columns[],8,0)=0,"","-&gt;"&amp;VLOOKUP(TableFields[Field],Columns[],8,0))</f>
        <v/>
      </c>
      <c r="J126" s="4" t="str">
        <f>IF(VLOOKUP(TableFields[Field],Columns[],9,0)=0,"","-&gt;"&amp;VLOOKUP(TableFields[Field],Columns[],9,0))</f>
        <v/>
      </c>
      <c r="K12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27" spans="1:11" x14ac:dyDescent="0.25">
      <c r="A127" s="2" t="s">
        <v>759</v>
      </c>
      <c r="B127" s="4" t="s">
        <v>21</v>
      </c>
      <c r="C127" s="4" t="str">
        <f>VLOOKUP(TableFields[Field],Columns[],2,0)&amp;"("</f>
        <v>bigIncrements(</v>
      </c>
      <c r="D127" s="4" t="str">
        <f>IF(VLOOKUP(TableFields[Field],Columns[],3,0)&lt;&gt;"","'"&amp;VLOOKUP(TableFields[Field],Columns[],3,0)&amp;"'","")</f>
        <v>'id'</v>
      </c>
      <c r="E1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27" s="4" t="str">
        <f>IF(VLOOKUP(TableFields[Field],Columns[],5,0)=0,"","-&gt;"&amp;VLOOKUP(TableFields[Field],Columns[],5,0))</f>
        <v/>
      </c>
      <c r="G127" s="4" t="str">
        <f>IF(VLOOKUP(TableFields[Field],Columns[],6,0)=0,"","-&gt;"&amp;VLOOKUP(TableFields[Field],Columns[],6,0))</f>
        <v/>
      </c>
      <c r="H127" s="4" t="str">
        <f>IF(VLOOKUP(TableFields[Field],Columns[],7,0)=0,"","-&gt;"&amp;VLOOKUP(TableFields[Field],Columns[],7,0))</f>
        <v/>
      </c>
      <c r="I127" s="4" t="str">
        <f>IF(VLOOKUP(TableFields[Field],Columns[],8,0)=0,"","-&gt;"&amp;VLOOKUP(TableFields[Field],Columns[],8,0))</f>
        <v/>
      </c>
      <c r="J127" s="4" t="str">
        <f>IF(VLOOKUP(TableFields[Field],Columns[],9,0)=0,"","-&gt;"&amp;VLOOKUP(TableFields[Field],Columns[],9,0))</f>
        <v/>
      </c>
      <c r="K12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28" spans="1:11" x14ac:dyDescent="0.25">
      <c r="A128" s="2" t="s">
        <v>759</v>
      </c>
      <c r="B128" s="4" t="s">
        <v>900</v>
      </c>
      <c r="C128" s="4" t="str">
        <f>VLOOKUP(TableFields[Field],Columns[],2,0)&amp;"("</f>
        <v>foreignCascade(</v>
      </c>
      <c r="D128" s="4" t="str">
        <f>IF(VLOOKUP(TableFields[Field],Columns[],3,0)&lt;&gt;"","'"&amp;VLOOKUP(TableFields[Field],Columns[],3,0)&amp;"'","")</f>
        <v>'user'</v>
      </c>
      <c r="E1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28" s="4" t="str">
        <f>IF(VLOOKUP(TableFields[Field],Columns[],5,0)=0,"","-&gt;"&amp;VLOOKUP(TableFields[Field],Columns[],5,0))</f>
        <v/>
      </c>
      <c r="G128" s="4" t="str">
        <f>IF(VLOOKUP(TableFields[Field],Columns[],6,0)=0,"","-&gt;"&amp;VLOOKUP(TableFields[Field],Columns[],6,0))</f>
        <v/>
      </c>
      <c r="H128" s="4" t="str">
        <f>IF(VLOOKUP(TableFields[Field],Columns[],7,0)=0,"","-&gt;"&amp;VLOOKUP(TableFields[Field],Columns[],7,0))</f>
        <v/>
      </c>
      <c r="I128" s="4" t="str">
        <f>IF(VLOOKUP(TableFields[Field],Columns[],8,0)=0,"","-&gt;"&amp;VLOOKUP(TableFields[Field],Columns[],8,0))</f>
        <v/>
      </c>
      <c r="J128" s="4" t="str">
        <f>IF(VLOOKUP(TableFields[Field],Columns[],9,0)=0,"","-&gt;"&amp;VLOOKUP(TableFields[Field],Columns[],9,0))</f>
        <v/>
      </c>
      <c r="K12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129" spans="1:11" x14ac:dyDescent="0.25">
      <c r="A129" s="2" t="s">
        <v>759</v>
      </c>
      <c r="B129" s="4" t="s">
        <v>792</v>
      </c>
      <c r="C129" s="4" t="str">
        <f>VLOOKUP(TableFields[Field],Columns[],2,0)&amp;"("</f>
        <v>foreignCascade(</v>
      </c>
      <c r="D129" s="4" t="str">
        <f>IF(VLOOKUP(TableFields[Field],Columns[],3,0)&lt;&gt;"","'"&amp;VLOOKUP(TableFields[Field],Columns[],3,0)&amp;"'","")</f>
        <v>'store'</v>
      </c>
      <c r="E1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29" s="4" t="str">
        <f>IF(VLOOKUP(TableFields[Field],Columns[],5,0)=0,"","-&gt;"&amp;VLOOKUP(TableFields[Field],Columns[],5,0))</f>
        <v/>
      </c>
      <c r="G129" s="4" t="str">
        <f>IF(VLOOKUP(TableFields[Field],Columns[],6,0)=0,"","-&gt;"&amp;VLOOKUP(TableFields[Field],Columns[],6,0))</f>
        <v/>
      </c>
      <c r="H129" s="4" t="str">
        <f>IF(VLOOKUP(TableFields[Field],Columns[],7,0)=0,"","-&gt;"&amp;VLOOKUP(TableFields[Field],Columns[],7,0))</f>
        <v/>
      </c>
      <c r="I129" s="4" t="str">
        <f>IF(VLOOKUP(TableFields[Field],Columns[],8,0)=0,"","-&gt;"&amp;VLOOKUP(TableFields[Field],Columns[],8,0))</f>
        <v/>
      </c>
      <c r="J129" s="4" t="str">
        <f>IF(VLOOKUP(TableFields[Field],Columns[],9,0)=0,"","-&gt;"&amp;VLOOKUP(TableFields[Field],Columns[],9,0))</f>
        <v/>
      </c>
      <c r="K12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30" spans="1:11" x14ac:dyDescent="0.25">
      <c r="A130" s="2" t="s">
        <v>759</v>
      </c>
      <c r="B130" s="4" t="s">
        <v>781</v>
      </c>
      <c r="C130" s="4" t="str">
        <f>VLOOKUP(TableFields[Field],Columns[],2,0)&amp;"("</f>
        <v>foreignCascade(</v>
      </c>
      <c r="D130" s="4" t="str">
        <f>IF(VLOOKUP(TableFields[Field],Columns[],3,0)&lt;&gt;"","'"&amp;VLOOKUP(TableFields[Field],Columns[],3,0)&amp;"'","")</f>
        <v>'area'</v>
      </c>
      <c r="E1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'areas')</v>
      </c>
      <c r="F130" s="4" t="str">
        <f>IF(VLOOKUP(TableFields[Field],Columns[],5,0)=0,"","-&gt;"&amp;VLOOKUP(TableFields[Field],Columns[],5,0))</f>
        <v/>
      </c>
      <c r="G130" s="4" t="str">
        <f>IF(VLOOKUP(TableFields[Field],Columns[],6,0)=0,"","-&gt;"&amp;VLOOKUP(TableFields[Field],Columns[],6,0))</f>
        <v/>
      </c>
      <c r="H130" s="4" t="str">
        <f>IF(VLOOKUP(TableFields[Field],Columns[],7,0)=0,"","-&gt;"&amp;VLOOKUP(TableFields[Field],Columns[],7,0))</f>
        <v/>
      </c>
      <c r="I130" s="4" t="str">
        <f>IF(VLOOKUP(TableFields[Field],Columns[],8,0)=0,"","-&gt;"&amp;VLOOKUP(TableFields[Field],Columns[],8,0))</f>
        <v/>
      </c>
      <c r="J130" s="4" t="str">
        <f>IF(VLOOKUP(TableFields[Field],Columns[],9,0)=0,"","-&gt;"&amp;VLOOKUP(TableFields[Field],Columns[],9,0))</f>
        <v/>
      </c>
      <c r="K13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$table-&gt;foreignCascade('area', 'areas');</v>
      </c>
    </row>
    <row r="131" spans="1:11" x14ac:dyDescent="0.25">
      <c r="A131" s="2" t="s">
        <v>759</v>
      </c>
      <c r="B131" s="4" t="s">
        <v>776</v>
      </c>
      <c r="C131" s="4" t="str">
        <f>VLOOKUP(TableFields[Field],Columns[],2,0)&amp;"("</f>
        <v>enum(</v>
      </c>
      <c r="D131" s="4" t="str">
        <f>IF(VLOOKUP(TableFields[Field],Columns[],3,0)&lt;&gt;"","'"&amp;VLOOKUP(TableFields[Field],Columns[],3,0)&amp;"'","")</f>
        <v>'status'</v>
      </c>
      <c r="E1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31" s="4" t="str">
        <f>IF(VLOOKUP(TableFields[Field],Columns[],5,0)=0,"","-&gt;"&amp;VLOOKUP(TableFields[Field],Columns[],5,0))</f>
        <v>-&gt;nullable()</v>
      </c>
      <c r="G131" s="4" t="str">
        <f>IF(VLOOKUP(TableFields[Field],Columns[],6,0)=0,"","-&gt;"&amp;VLOOKUP(TableFields[Field],Columns[],6,0))</f>
        <v>-&gt;default('Active')</v>
      </c>
      <c r="H131" s="4" t="str">
        <f>IF(VLOOKUP(TableFields[Field],Columns[],7,0)=0,"","-&gt;"&amp;VLOOKUP(TableFields[Field],Columns[],7,0))</f>
        <v/>
      </c>
      <c r="I131" s="4" t="str">
        <f>IF(VLOOKUP(TableFields[Field],Columns[],8,0)=0,"","-&gt;"&amp;VLOOKUP(TableFields[Field],Columns[],8,0))</f>
        <v/>
      </c>
      <c r="J131" s="4" t="str">
        <f>IF(VLOOKUP(TableFields[Field],Columns[],9,0)=0,"","-&gt;"&amp;VLOOKUP(TableFields[Field],Columns[],9,0))</f>
        <v/>
      </c>
      <c r="K13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32" spans="1:11" x14ac:dyDescent="0.25">
      <c r="A132" s="2" t="s">
        <v>759</v>
      </c>
      <c r="B132" s="4" t="s">
        <v>288</v>
      </c>
      <c r="C132" s="4" t="str">
        <f>VLOOKUP(TableFields[Field],Columns[],2,0)&amp;"("</f>
        <v>audit(</v>
      </c>
      <c r="D132" s="4" t="str">
        <f>IF(VLOOKUP(TableFields[Field],Columns[],3,0)&lt;&gt;"","'"&amp;VLOOKUP(TableFields[Field],Columns[],3,0)&amp;"'","")</f>
        <v/>
      </c>
      <c r="E1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2" s="4" t="str">
        <f>IF(VLOOKUP(TableFields[Field],Columns[],5,0)=0,"","-&gt;"&amp;VLOOKUP(TableFields[Field],Columns[],5,0))</f>
        <v/>
      </c>
      <c r="G132" s="4" t="str">
        <f>IF(VLOOKUP(TableFields[Field],Columns[],6,0)=0,"","-&gt;"&amp;VLOOKUP(TableFields[Field],Columns[],6,0))</f>
        <v/>
      </c>
      <c r="H132" s="4" t="str">
        <f>IF(VLOOKUP(TableFields[Field],Columns[],7,0)=0,"","-&gt;"&amp;VLOOKUP(TableFields[Field],Columns[],7,0))</f>
        <v/>
      </c>
      <c r="I132" s="4" t="str">
        <f>IF(VLOOKUP(TableFields[Field],Columns[],8,0)=0,"","-&gt;"&amp;VLOOKUP(TableFields[Field],Columns[],8,0))</f>
        <v/>
      </c>
      <c r="J132" s="4" t="str">
        <f>IF(VLOOKUP(TableFields[Field],Columns[],9,0)=0,"","-&gt;"&amp;VLOOKUP(TableFields[Field],Columns[],9,0))</f>
        <v/>
      </c>
      <c r="K13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33" spans="1:11" x14ac:dyDescent="0.25">
      <c r="A133" s="4" t="s">
        <v>760</v>
      </c>
      <c r="B133" s="4" t="s">
        <v>21</v>
      </c>
      <c r="C133" s="4" t="str">
        <f>VLOOKUP(TableFields[Field],Columns[],2,0)&amp;"("</f>
        <v>bigIncrements(</v>
      </c>
      <c r="D133" s="4" t="str">
        <f>IF(VLOOKUP(TableFields[Field],Columns[],3,0)&lt;&gt;"","'"&amp;VLOOKUP(TableFields[Field],Columns[],3,0)&amp;"'","")</f>
        <v>'id'</v>
      </c>
      <c r="E1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33" s="4" t="str">
        <f>IF(VLOOKUP(TableFields[Field],Columns[],5,0)=0,"","-&gt;"&amp;VLOOKUP(TableFields[Field],Columns[],5,0))</f>
        <v/>
      </c>
      <c r="G133" s="4" t="str">
        <f>IF(VLOOKUP(TableFields[Field],Columns[],6,0)=0,"","-&gt;"&amp;VLOOKUP(TableFields[Field],Columns[],6,0))</f>
        <v/>
      </c>
      <c r="H133" s="4" t="str">
        <f>IF(VLOOKUP(TableFields[Field],Columns[],7,0)=0,"","-&gt;"&amp;VLOOKUP(TableFields[Field],Columns[],7,0))</f>
        <v/>
      </c>
      <c r="I133" s="4" t="str">
        <f>IF(VLOOKUP(TableFields[Field],Columns[],8,0)=0,"","-&gt;"&amp;VLOOKUP(TableFields[Field],Columns[],8,0))</f>
        <v/>
      </c>
      <c r="J133" s="4" t="str">
        <f>IF(VLOOKUP(TableFields[Field],Columns[],9,0)=0,"","-&gt;"&amp;VLOOKUP(TableFields[Field],Columns[],9,0))</f>
        <v/>
      </c>
      <c r="K13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34" spans="1:11" x14ac:dyDescent="0.25">
      <c r="A134" s="4" t="s">
        <v>760</v>
      </c>
      <c r="B134" s="4" t="s">
        <v>821</v>
      </c>
      <c r="C134" s="4" t="str">
        <f>VLOOKUP(TableFields[Field],Columns[],2,0)&amp;"("</f>
        <v>char(</v>
      </c>
      <c r="D134" s="4" t="str">
        <f>IF(VLOOKUP(TableFields[Field],Columns[],3,0)&lt;&gt;"","'"&amp;VLOOKUP(TableFields[Field],Columns[],3,0)&amp;"'","")</f>
        <v>'code'</v>
      </c>
      <c r="E1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4" s="4" t="str">
        <f>IF(VLOOKUP(TableFields[Field],Columns[],5,0)=0,"","-&gt;"&amp;VLOOKUP(TableFields[Field],Columns[],5,0))</f>
        <v>-&gt;nullable()</v>
      </c>
      <c r="G134" s="4" t="str">
        <f>IF(VLOOKUP(TableFields[Field],Columns[],6,0)=0,"","-&gt;"&amp;VLOOKUP(TableFields[Field],Columns[],6,0))</f>
        <v>-&gt;index()</v>
      </c>
      <c r="H134" s="4" t="str">
        <f>IF(VLOOKUP(TableFields[Field],Columns[],7,0)=0,"","-&gt;"&amp;VLOOKUP(TableFields[Field],Columns[],7,0))</f>
        <v/>
      </c>
      <c r="I134" s="4" t="str">
        <f>IF(VLOOKUP(TableFields[Field],Columns[],8,0)=0,"","-&gt;"&amp;VLOOKUP(TableFields[Field],Columns[],8,0))</f>
        <v/>
      </c>
      <c r="J134" s="4" t="str">
        <f>IF(VLOOKUP(TableFields[Field],Columns[],9,0)=0,"","-&gt;"&amp;VLOOKUP(TableFields[Field],Columns[],9,0))</f>
        <v/>
      </c>
      <c r="K134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'30')-&gt;nullable()-&gt;index();</v>
      </c>
    </row>
    <row r="135" spans="1:11" x14ac:dyDescent="0.25">
      <c r="A135" s="4" t="s">
        <v>760</v>
      </c>
      <c r="B135" s="4" t="s">
        <v>23</v>
      </c>
      <c r="C135" s="4" t="str">
        <f>VLOOKUP(TableFields[Field],Columns[],2,0)&amp;"("</f>
        <v>string(</v>
      </c>
      <c r="D135" s="4" t="str">
        <f>IF(VLOOKUP(TableFields[Field],Columns[],3,0)&lt;&gt;"","'"&amp;VLOOKUP(TableFields[Field],Columns[],3,0)&amp;"'","")</f>
        <v>'name'</v>
      </c>
      <c r="E1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35" s="4" t="str">
        <f>IF(VLOOKUP(TableFields[Field],Columns[],5,0)=0,"","-&gt;"&amp;VLOOKUP(TableFields[Field],Columns[],5,0))</f>
        <v>-&gt;nullable()</v>
      </c>
      <c r="G135" s="4" t="str">
        <f>IF(VLOOKUP(TableFields[Field],Columns[],6,0)=0,"","-&gt;"&amp;VLOOKUP(TableFields[Field],Columns[],6,0))</f>
        <v>-&gt;index()</v>
      </c>
      <c r="H135" s="4" t="str">
        <f>IF(VLOOKUP(TableFields[Field],Columns[],7,0)=0,"","-&gt;"&amp;VLOOKUP(TableFields[Field],Columns[],7,0))</f>
        <v/>
      </c>
      <c r="I135" s="4" t="str">
        <f>IF(VLOOKUP(TableFields[Field],Columns[],8,0)=0,"","-&gt;"&amp;VLOOKUP(TableFields[Field],Columns[],8,0))</f>
        <v/>
      </c>
      <c r="J135" s="4" t="str">
        <f>IF(VLOOKUP(TableFields[Field],Columns[],9,0)=0,"","-&gt;"&amp;VLOOKUP(TableFields[Field],Columns[],9,0))</f>
        <v/>
      </c>
      <c r="K135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36" spans="1:11" x14ac:dyDescent="0.25">
      <c r="A136" s="4" t="s">
        <v>760</v>
      </c>
      <c r="B136" s="4" t="s">
        <v>818</v>
      </c>
      <c r="C136" s="4" t="str">
        <f>VLOOKUP(TableFields[Field],Columns[],2,0)&amp;"("</f>
        <v>char(</v>
      </c>
      <c r="D136" s="4" t="str">
        <f>IF(VLOOKUP(TableFields[Field],Columns[],3,0)&lt;&gt;"","'"&amp;VLOOKUP(TableFields[Field],Columns[],3,0)&amp;"'","")</f>
        <v>'uom'</v>
      </c>
      <c r="E1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36" s="4" t="str">
        <f>IF(VLOOKUP(TableFields[Field],Columns[],5,0)=0,"","-&gt;"&amp;VLOOKUP(TableFields[Field],Columns[],5,0))</f>
        <v>-&gt;nullable()</v>
      </c>
      <c r="G136" s="4" t="str">
        <f>IF(VLOOKUP(TableFields[Field],Columns[],6,0)=0,"","-&gt;"&amp;VLOOKUP(TableFields[Field],Columns[],6,0))</f>
        <v/>
      </c>
      <c r="H136" s="4" t="str">
        <f>IF(VLOOKUP(TableFields[Field],Columns[],7,0)=0,"","-&gt;"&amp;VLOOKUP(TableFields[Field],Columns[],7,0))</f>
        <v/>
      </c>
      <c r="I136" s="4" t="str">
        <f>IF(VLOOKUP(TableFields[Field],Columns[],8,0)=0,"","-&gt;"&amp;VLOOKUP(TableFields[Field],Columns[],8,0))</f>
        <v/>
      </c>
      <c r="J136" s="4" t="str">
        <f>IF(VLOOKUP(TableFields[Field],Columns[],9,0)=0,"","-&gt;"&amp;VLOOKUP(TableFields[Field],Columns[],9,0))</f>
        <v/>
      </c>
      <c r="K136" s="4" t="str">
        <f>"$table-&gt;"&amp;TableFields[Type]&amp;TableFields[Name]&amp;TableFields[Arg2]&amp;TableFields[Method1]&amp;TableFields[Method2]&amp;TableFields[Method3]&amp;TableFields[Method4]&amp;TableFields[Method5]&amp;";"</f>
        <v>$table-&gt;char('uom', '15')-&gt;nullable();</v>
      </c>
    </row>
    <row r="137" spans="1:11" x14ac:dyDescent="0.25">
      <c r="A137" s="4" t="s">
        <v>760</v>
      </c>
      <c r="B137" s="4" t="s">
        <v>819</v>
      </c>
      <c r="C137" s="4" t="str">
        <f>VLOOKUP(TableFields[Field],Columns[],2,0)&amp;"("</f>
        <v>char(</v>
      </c>
      <c r="D137" s="4" t="str">
        <f>IF(VLOOKUP(TableFields[Field],Columns[],3,0)&lt;&gt;"","'"&amp;VLOOKUP(TableFields[Field],Columns[],3,0)&amp;"'","")</f>
        <v>'partcode'</v>
      </c>
      <c r="E1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37" s="4" t="str">
        <f>IF(VLOOKUP(TableFields[Field],Columns[],5,0)=0,"","-&gt;"&amp;VLOOKUP(TableFields[Field],Columns[],5,0))</f>
        <v>-&gt;nullable()</v>
      </c>
      <c r="G137" s="4" t="str">
        <f>IF(VLOOKUP(TableFields[Field],Columns[],6,0)=0,"","-&gt;"&amp;VLOOKUP(TableFields[Field],Columns[],6,0))</f>
        <v/>
      </c>
      <c r="H137" s="4" t="str">
        <f>IF(VLOOKUP(TableFields[Field],Columns[],7,0)=0,"","-&gt;"&amp;VLOOKUP(TableFields[Field],Columns[],7,0))</f>
        <v/>
      </c>
      <c r="I137" s="4" t="str">
        <f>IF(VLOOKUP(TableFields[Field],Columns[],8,0)=0,"","-&gt;"&amp;VLOOKUP(TableFields[Field],Columns[],8,0))</f>
        <v/>
      </c>
      <c r="J137" s="4" t="str">
        <f>IF(VLOOKUP(TableFields[Field],Columns[],9,0)=0,"","-&gt;"&amp;VLOOKUP(TableFields[Field],Columns[],9,0))</f>
        <v/>
      </c>
      <c r="K137" s="4" t="str">
        <f>"$table-&gt;"&amp;TableFields[Type]&amp;TableFields[Name]&amp;TableFields[Arg2]&amp;TableFields[Method1]&amp;TableFields[Method2]&amp;TableFields[Method3]&amp;TableFields[Method4]&amp;TableFields[Method5]&amp;";"</f>
        <v>$table-&gt;char('partcode', '30')-&gt;nullable();</v>
      </c>
    </row>
    <row r="138" spans="1:11" x14ac:dyDescent="0.25">
      <c r="A138" s="4" t="s">
        <v>760</v>
      </c>
      <c r="B138" s="4" t="s">
        <v>820</v>
      </c>
      <c r="C138" s="4" t="str">
        <f>VLOOKUP(TableFields[Field],Columns[],2,0)&amp;"("</f>
        <v>string(</v>
      </c>
      <c r="D138" s="4" t="str">
        <f>IF(VLOOKUP(TableFields[Field],Columns[],3,0)&lt;&gt;"","'"&amp;VLOOKUP(TableFields[Field],Columns[],3,0)&amp;"'","")</f>
        <v>'barcode'</v>
      </c>
      <c r="E1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'128')</v>
      </c>
      <c r="F138" s="4" t="str">
        <f>IF(VLOOKUP(TableFields[Field],Columns[],5,0)=0,"","-&gt;"&amp;VLOOKUP(TableFields[Field],Columns[],5,0))</f>
        <v>-&gt;nullable()</v>
      </c>
      <c r="G138" s="4" t="str">
        <f>IF(VLOOKUP(TableFields[Field],Columns[],6,0)=0,"","-&gt;"&amp;VLOOKUP(TableFields[Field],Columns[],6,0))</f>
        <v/>
      </c>
      <c r="H138" s="4" t="str">
        <f>IF(VLOOKUP(TableFields[Field],Columns[],7,0)=0,"","-&gt;"&amp;VLOOKUP(TableFields[Field],Columns[],7,0))</f>
        <v/>
      </c>
      <c r="I138" s="4" t="str">
        <f>IF(VLOOKUP(TableFields[Field],Columns[],8,0)=0,"","-&gt;"&amp;VLOOKUP(TableFields[Field],Columns[],8,0))</f>
        <v/>
      </c>
      <c r="J138" s="4" t="str">
        <f>IF(VLOOKUP(TableFields[Field],Columns[],9,0)=0,"","-&gt;"&amp;VLOOKUP(TableFields[Field],Columns[],9,0))</f>
        <v/>
      </c>
      <c r="K138" s="4" t="str">
        <f>"$table-&gt;"&amp;TableFields[Type]&amp;TableFields[Name]&amp;TableFields[Arg2]&amp;TableFields[Method1]&amp;TableFields[Method2]&amp;TableFields[Method3]&amp;TableFields[Method4]&amp;TableFields[Method5]&amp;";"</f>
        <v>$table-&gt;string('barcode', '128')-&gt;nullable();</v>
      </c>
    </row>
    <row r="139" spans="1:11" x14ac:dyDescent="0.25">
      <c r="A139" s="4" t="s">
        <v>760</v>
      </c>
      <c r="B139" s="4" t="s">
        <v>797</v>
      </c>
      <c r="C139" s="5" t="str">
        <f>VLOOKUP(TableFields[Field],Columns[],2,0)&amp;"("</f>
        <v>string(</v>
      </c>
      <c r="D139" s="5" t="str">
        <f>IF(VLOOKUP(TableFields[Field],Columns[],3,0)&lt;&gt;"","'"&amp;VLOOKUP(TableFields[Field],Columns[],3,0)&amp;"'","")</f>
        <v>'narration'</v>
      </c>
      <c r="E139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39" s="5" t="str">
        <f>IF(VLOOKUP(TableFields[Field],Columns[],5,0)=0,"","-&gt;"&amp;VLOOKUP(TableFields[Field],Columns[],5,0))</f>
        <v>-&gt;nullable()</v>
      </c>
      <c r="G139" s="5" t="str">
        <f>IF(VLOOKUP(TableFields[Field],Columns[],6,0)=0,"","-&gt;"&amp;VLOOKUP(TableFields[Field],Columns[],6,0))</f>
        <v/>
      </c>
      <c r="H139" s="5" t="str">
        <f>IF(VLOOKUP(TableFields[Field],Columns[],7,0)=0,"","-&gt;"&amp;VLOOKUP(TableFields[Field],Columns[],7,0))</f>
        <v/>
      </c>
      <c r="I139" s="5" t="str">
        <f>IF(VLOOKUP(TableFields[Field],Columns[],8,0)=0,"","-&gt;"&amp;VLOOKUP(TableFields[Field],Columns[],8,0))</f>
        <v/>
      </c>
      <c r="J139" s="5" t="str">
        <f>IF(VLOOKUP(TableFields[Field],Columns[],9,0)=0,"","-&gt;"&amp;VLOOKUP(TableFields[Field],Columns[],9,0))</f>
        <v/>
      </c>
      <c r="K139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'1024')-&gt;nullable();</v>
      </c>
    </row>
    <row r="140" spans="1:11" x14ac:dyDescent="0.25">
      <c r="A140" s="4" t="s">
        <v>760</v>
      </c>
      <c r="B140" s="4" t="s">
        <v>799</v>
      </c>
      <c r="C140" s="5" t="str">
        <f>VLOOKUP(TableFields[Field],Columns[],2,0)&amp;"("</f>
        <v>string(</v>
      </c>
      <c r="D140" s="5" t="str">
        <f>IF(VLOOKUP(TableFields[Field],Columns[],3,0)&lt;&gt;"","'"&amp;VLOOKUP(TableFields[Field],Columns[],3,0)&amp;"'","")</f>
        <v>'narration2'</v>
      </c>
      <c r="E140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140" s="5" t="str">
        <f>IF(VLOOKUP(TableFields[Field],Columns[],5,0)=0,"","-&gt;"&amp;VLOOKUP(TableFields[Field],Columns[],5,0))</f>
        <v>-&gt;nullable()</v>
      </c>
      <c r="G140" s="5" t="str">
        <f>IF(VLOOKUP(TableFields[Field],Columns[],6,0)=0,"","-&gt;"&amp;VLOOKUP(TableFields[Field],Columns[],6,0))</f>
        <v/>
      </c>
      <c r="H140" s="5" t="str">
        <f>IF(VLOOKUP(TableFields[Field],Columns[],7,0)=0,"","-&gt;"&amp;VLOOKUP(TableFields[Field],Columns[],7,0))</f>
        <v/>
      </c>
      <c r="I140" s="5" t="str">
        <f>IF(VLOOKUP(TableFields[Field],Columns[],8,0)=0,"","-&gt;"&amp;VLOOKUP(TableFields[Field],Columns[],8,0))</f>
        <v/>
      </c>
      <c r="J140" s="5" t="str">
        <f>IF(VLOOKUP(TableFields[Field],Columns[],9,0)=0,"","-&gt;"&amp;VLOOKUP(TableFields[Field],Columns[],9,0))</f>
        <v/>
      </c>
      <c r="K140" s="5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'1024')-&gt;nullable();</v>
      </c>
    </row>
    <row r="141" spans="1:11" x14ac:dyDescent="0.25">
      <c r="A141" s="4" t="s">
        <v>760</v>
      </c>
      <c r="B141" s="4" t="s">
        <v>1845</v>
      </c>
      <c r="C141" s="5" t="str">
        <f>VLOOKUP(TableFields[Field],Columns[],2,0)&amp;"("</f>
        <v>decimal(</v>
      </c>
      <c r="D141" s="5" t="str">
        <f>IF(VLOOKUP(TableFields[Field],Columns[],3,0)&lt;&gt;"","'"&amp;VLOOKUP(TableFields[Field],Columns[],3,0)&amp;"'","")</f>
        <v>'taxfactor'</v>
      </c>
      <c r="E141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1" s="5" t="str">
        <f>IF(VLOOKUP(TableFields[Field],Columns[],5,0)=0,"","-&gt;"&amp;VLOOKUP(TableFields[Field],Columns[],5,0))</f>
        <v>-&gt;default('0')</v>
      </c>
      <c r="G141" s="5" t="str">
        <f>IF(VLOOKUP(TableFields[Field],Columns[],6,0)=0,"","-&gt;"&amp;VLOOKUP(TableFields[Field],Columns[],6,0))</f>
        <v/>
      </c>
      <c r="H141" s="5" t="str">
        <f>IF(VLOOKUP(TableFields[Field],Columns[],7,0)=0,"","-&gt;"&amp;VLOOKUP(TableFields[Field],Columns[],7,0))</f>
        <v/>
      </c>
      <c r="I141" s="5" t="str">
        <f>IF(VLOOKUP(TableFields[Field],Columns[],8,0)=0,"","-&gt;"&amp;VLOOKUP(TableFields[Field],Columns[],8,0))</f>
        <v/>
      </c>
      <c r="J141" s="5" t="str">
        <f>IF(VLOOKUP(TableFields[Field],Columns[],9,0)=0,"","-&gt;"&amp;VLOOKUP(TableFields[Field],Columns[],9,0))</f>
        <v/>
      </c>
      <c r="K141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$table-&gt;decimal('taxfactor', 30,10)-&gt;default('0');</v>
      </c>
    </row>
    <row r="142" spans="1:11" x14ac:dyDescent="0.25">
      <c r="A142" s="4" t="s">
        <v>760</v>
      </c>
      <c r="B142" s="4" t="s">
        <v>1847</v>
      </c>
      <c r="C142" s="5" t="str">
        <f>VLOOKUP(TableFields[Field],Columns[],2,0)&amp;"("</f>
        <v>decimal(</v>
      </c>
      <c r="D142" s="5" t="str">
        <f>IF(VLOOKUP(TableFields[Field],Columns[],3,0)&lt;&gt;"","'"&amp;VLOOKUP(TableFields[Field],Columns[],3,0)&amp;"'","")</f>
        <v>'subtaxfactor'</v>
      </c>
      <c r="E142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2" s="5" t="str">
        <f>IF(VLOOKUP(TableFields[Field],Columns[],5,0)=0,"","-&gt;"&amp;VLOOKUP(TableFields[Field],Columns[],5,0))</f>
        <v>-&gt;default('0')</v>
      </c>
      <c r="G142" s="5" t="str">
        <f>IF(VLOOKUP(TableFields[Field],Columns[],6,0)=0,"","-&gt;"&amp;VLOOKUP(TableFields[Field],Columns[],6,0))</f>
        <v/>
      </c>
      <c r="H142" s="5" t="str">
        <f>IF(VLOOKUP(TableFields[Field],Columns[],7,0)=0,"","-&gt;"&amp;VLOOKUP(TableFields[Field],Columns[],7,0))</f>
        <v/>
      </c>
      <c r="I142" s="5" t="str">
        <f>IF(VLOOKUP(TableFields[Field],Columns[],8,0)=0,"","-&gt;"&amp;VLOOKUP(TableFields[Field],Columns[],8,0))</f>
        <v/>
      </c>
      <c r="J142" s="5" t="str">
        <f>IF(VLOOKUP(TableFields[Field],Columns[],9,0)=0,"","-&gt;"&amp;VLOOKUP(TableFields[Field],Columns[],9,0))</f>
        <v/>
      </c>
      <c r="K142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$table-&gt;decimal('subtaxfactor', 30,10)-&gt;default('0');</v>
      </c>
    </row>
    <row r="143" spans="1:11" x14ac:dyDescent="0.25">
      <c r="A143" s="4" t="s">
        <v>760</v>
      </c>
      <c r="B143" s="4" t="s">
        <v>1846</v>
      </c>
      <c r="C143" s="5" t="str">
        <f>VLOOKUP(TableFields[Field],Columns[],2,0)&amp;"("</f>
        <v>decimal(</v>
      </c>
      <c r="D143" s="5" t="str">
        <f>IF(VLOOKUP(TableFields[Field],Columns[],3,0)&lt;&gt;"","'"&amp;VLOOKUP(TableFields[Field],Columns[],3,0)&amp;"'","")</f>
        <v>'taxfactor02'</v>
      </c>
      <c r="E14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3" s="5" t="str">
        <f>IF(VLOOKUP(TableFields[Field],Columns[],5,0)=0,"","-&gt;"&amp;VLOOKUP(TableFields[Field],Columns[],5,0))</f>
        <v>-&gt;default('0')</v>
      </c>
      <c r="G143" s="5" t="str">
        <f>IF(VLOOKUP(TableFields[Field],Columns[],6,0)=0,"","-&gt;"&amp;VLOOKUP(TableFields[Field],Columns[],6,0))</f>
        <v/>
      </c>
      <c r="H143" s="5" t="str">
        <f>IF(VLOOKUP(TableFields[Field],Columns[],7,0)=0,"","-&gt;"&amp;VLOOKUP(TableFields[Field],Columns[],7,0))</f>
        <v/>
      </c>
      <c r="I143" s="5" t="str">
        <f>IF(VLOOKUP(TableFields[Field],Columns[],8,0)=0,"","-&gt;"&amp;VLOOKUP(TableFields[Field],Columns[],8,0))</f>
        <v/>
      </c>
      <c r="J143" s="5" t="str">
        <f>IF(VLOOKUP(TableFields[Field],Columns[],9,0)=0,"","-&gt;"&amp;VLOOKUP(TableFields[Field],Columns[],9,0))</f>
        <v/>
      </c>
      <c r="K143" s="5" t="str">
        <f>"$table-&gt;"&amp;TableFields[Type]&amp;TableFields[Name]&amp;TableFields[Arg2]&amp;TableFields[Method1]&amp;TableFields[Method2]&amp;TableFields[Method3]&amp;TableFields[Method4]&amp;TableFields[Method5]&amp;";"</f>
        <v>$table-&gt;decimal('taxfactor02', 30,10)-&gt;default('0');</v>
      </c>
    </row>
    <row r="144" spans="1:11" x14ac:dyDescent="0.25">
      <c r="A144" s="4" t="s">
        <v>760</v>
      </c>
      <c r="B144" s="4" t="s">
        <v>1848</v>
      </c>
      <c r="C144" s="5" t="str">
        <f>VLOOKUP(TableFields[Field],Columns[],2,0)&amp;"("</f>
        <v>decimal(</v>
      </c>
      <c r="D144" s="5" t="str">
        <f>IF(VLOOKUP(TableFields[Field],Columns[],3,0)&lt;&gt;"","'"&amp;VLOOKUP(TableFields[Field],Columns[],3,0)&amp;"'","")</f>
        <v>'subtaxfactor02'</v>
      </c>
      <c r="E14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44" s="5" t="str">
        <f>IF(VLOOKUP(TableFields[Field],Columns[],5,0)=0,"","-&gt;"&amp;VLOOKUP(TableFields[Field],Columns[],5,0))</f>
        <v>-&gt;default('0')</v>
      </c>
      <c r="G144" s="5" t="str">
        <f>IF(VLOOKUP(TableFields[Field],Columns[],6,0)=0,"","-&gt;"&amp;VLOOKUP(TableFields[Field],Columns[],6,0))</f>
        <v/>
      </c>
      <c r="H144" s="5" t="str">
        <f>IF(VLOOKUP(TableFields[Field],Columns[],7,0)=0,"","-&gt;"&amp;VLOOKUP(TableFields[Field],Columns[],7,0))</f>
        <v/>
      </c>
      <c r="I144" s="5" t="str">
        <f>IF(VLOOKUP(TableFields[Field],Columns[],8,0)=0,"","-&gt;"&amp;VLOOKUP(TableFields[Field],Columns[],8,0))</f>
        <v/>
      </c>
      <c r="J144" s="5" t="str">
        <f>IF(VLOOKUP(TableFields[Field],Columns[],9,0)=0,"","-&gt;"&amp;VLOOKUP(TableFields[Field],Columns[],9,0))</f>
        <v/>
      </c>
      <c r="K144" s="5" t="str">
        <f>"$table-&gt;"&amp;TableFields[Type]&amp;TableFields[Name]&amp;TableFields[Arg2]&amp;TableFields[Method1]&amp;TableFields[Method2]&amp;TableFields[Method3]&amp;TableFields[Method4]&amp;TableFields[Method5]&amp;";"</f>
        <v>$table-&gt;decimal('subtaxfactor02', 30,10)-&gt;default('0');</v>
      </c>
    </row>
    <row r="145" spans="1:11" x14ac:dyDescent="0.25">
      <c r="A145" s="4" t="s">
        <v>760</v>
      </c>
      <c r="B145" s="4" t="s">
        <v>773</v>
      </c>
      <c r="C145" s="4" t="str">
        <f>VLOOKUP(TableFields[Field],Columns[],2,0)&amp;"("</f>
        <v>enum(</v>
      </c>
      <c r="D145" s="4" t="str">
        <f>IF(VLOOKUP(TableFields[Field],Columns[],3,0)&lt;&gt;"","'"&amp;VLOOKUP(TableFields[Field],Columns[],3,0)&amp;"'","")</f>
        <v>'type'</v>
      </c>
      <c r="E1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['Public','Protected','System'])</v>
      </c>
      <c r="F145" s="4" t="str">
        <f>IF(VLOOKUP(TableFields[Field],Columns[],5,0)=0,"","-&gt;"&amp;VLOOKUP(TableFields[Field],Columns[],5,0))</f>
        <v>-&gt;nullable()</v>
      </c>
      <c r="G145" s="4" t="str">
        <f>IF(VLOOKUP(TableFields[Field],Columns[],6,0)=0,"","-&gt;"&amp;VLOOKUP(TableFields[Field],Columns[],6,0))</f>
        <v>-&gt;default('Public')</v>
      </c>
      <c r="H145" s="4" t="str">
        <f>IF(VLOOKUP(TableFields[Field],Columns[],7,0)=0,"","-&gt;"&amp;VLOOKUP(TableFields[Field],Columns[],7,0))</f>
        <v/>
      </c>
      <c r="I145" s="4" t="str">
        <f>IF(VLOOKUP(TableFields[Field],Columns[],8,0)=0,"","-&gt;"&amp;VLOOKUP(TableFields[Field],Columns[],8,0))</f>
        <v/>
      </c>
      <c r="J145" s="4" t="str">
        <f>IF(VLOOKUP(TableFields[Field],Columns[],9,0)=0,"","-&gt;"&amp;VLOOKUP(TableFields[Field],Columns[],9,0))</f>
        <v/>
      </c>
      <c r="K145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['Public','Protected','System'])-&gt;nullable()-&gt;default('Public');</v>
      </c>
    </row>
    <row r="146" spans="1:11" x14ac:dyDescent="0.25">
      <c r="A146" s="4" t="s">
        <v>760</v>
      </c>
      <c r="B146" s="4" t="s">
        <v>776</v>
      </c>
      <c r="C146" s="4" t="str">
        <f>VLOOKUP(TableFields[Field],Columns[],2,0)&amp;"("</f>
        <v>enum(</v>
      </c>
      <c r="D146" s="4" t="str">
        <f>IF(VLOOKUP(TableFields[Field],Columns[],3,0)&lt;&gt;"","'"&amp;VLOOKUP(TableFields[Field],Columns[],3,0)&amp;"'","")</f>
        <v>'status'</v>
      </c>
      <c r="E1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46" s="4" t="str">
        <f>IF(VLOOKUP(TableFields[Field],Columns[],5,0)=0,"","-&gt;"&amp;VLOOKUP(TableFields[Field],Columns[],5,0))</f>
        <v>-&gt;nullable()</v>
      </c>
      <c r="G146" s="4" t="str">
        <f>IF(VLOOKUP(TableFields[Field],Columns[],6,0)=0,"","-&gt;"&amp;VLOOKUP(TableFields[Field],Columns[],6,0))</f>
        <v>-&gt;default('Active')</v>
      </c>
      <c r="H146" s="4" t="str">
        <f>IF(VLOOKUP(TableFields[Field],Columns[],7,0)=0,"","-&gt;"&amp;VLOOKUP(TableFields[Field],Columns[],7,0))</f>
        <v/>
      </c>
      <c r="I146" s="4" t="str">
        <f>IF(VLOOKUP(TableFields[Field],Columns[],8,0)=0,"","-&gt;"&amp;VLOOKUP(TableFields[Field],Columns[],8,0))</f>
        <v/>
      </c>
      <c r="J146" s="4" t="str">
        <f>IF(VLOOKUP(TableFields[Field],Columns[],9,0)=0,"","-&gt;"&amp;VLOOKUP(TableFields[Field],Columns[],9,0))</f>
        <v/>
      </c>
      <c r="K14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47" spans="1:11" x14ac:dyDescent="0.25">
      <c r="A147" s="4" t="s">
        <v>760</v>
      </c>
      <c r="B147" s="4" t="s">
        <v>288</v>
      </c>
      <c r="C147" s="4" t="str">
        <f>VLOOKUP(TableFields[Field],Columns[],2,0)&amp;"("</f>
        <v>audit(</v>
      </c>
      <c r="D147" s="4" t="str">
        <f>IF(VLOOKUP(TableFields[Field],Columns[],3,0)&lt;&gt;"","'"&amp;VLOOKUP(TableFields[Field],Columns[],3,0)&amp;"'","")</f>
        <v/>
      </c>
      <c r="E1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7" s="4" t="str">
        <f>IF(VLOOKUP(TableFields[Field],Columns[],5,0)=0,"","-&gt;"&amp;VLOOKUP(TableFields[Field],Columns[],5,0))</f>
        <v/>
      </c>
      <c r="G147" s="4" t="str">
        <f>IF(VLOOKUP(TableFields[Field],Columns[],6,0)=0,"","-&gt;"&amp;VLOOKUP(TableFields[Field],Columns[],6,0))</f>
        <v/>
      </c>
      <c r="H147" s="4" t="str">
        <f>IF(VLOOKUP(TableFields[Field],Columns[],7,0)=0,"","-&gt;"&amp;VLOOKUP(TableFields[Field],Columns[],7,0))</f>
        <v/>
      </c>
      <c r="I147" s="4" t="str">
        <f>IF(VLOOKUP(TableFields[Field],Columns[],8,0)=0,"","-&gt;"&amp;VLOOKUP(TableFields[Field],Columns[],8,0))</f>
        <v/>
      </c>
      <c r="J147" s="4" t="str">
        <f>IF(VLOOKUP(TableFields[Field],Columns[],9,0)=0,"","-&gt;"&amp;VLOOKUP(TableFields[Field],Columns[],9,0))</f>
        <v/>
      </c>
      <c r="K14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48" spans="1:11" x14ac:dyDescent="0.25">
      <c r="A148" s="4" t="s">
        <v>762</v>
      </c>
      <c r="B148" s="4" t="s">
        <v>21</v>
      </c>
      <c r="C148" s="4" t="str">
        <f>VLOOKUP(TableFields[Field],Columns[],2,0)&amp;"("</f>
        <v>bigIncrements(</v>
      </c>
      <c r="D148" s="4" t="str">
        <f>IF(VLOOKUP(TableFields[Field],Columns[],3,0)&lt;&gt;"","'"&amp;VLOOKUP(TableFields[Field],Columns[],3,0)&amp;"'","")</f>
        <v>'id'</v>
      </c>
      <c r="E1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48" s="4" t="str">
        <f>IF(VLOOKUP(TableFields[Field],Columns[],5,0)=0,"","-&gt;"&amp;VLOOKUP(TableFields[Field],Columns[],5,0))</f>
        <v/>
      </c>
      <c r="G148" s="4" t="str">
        <f>IF(VLOOKUP(TableFields[Field],Columns[],6,0)=0,"","-&gt;"&amp;VLOOKUP(TableFields[Field],Columns[],6,0))</f>
        <v/>
      </c>
      <c r="H148" s="4" t="str">
        <f>IF(VLOOKUP(TableFields[Field],Columns[],7,0)=0,"","-&gt;"&amp;VLOOKUP(TableFields[Field],Columns[],7,0))</f>
        <v/>
      </c>
      <c r="I148" s="4" t="str">
        <f>IF(VLOOKUP(TableFields[Field],Columns[],8,0)=0,"","-&gt;"&amp;VLOOKUP(TableFields[Field],Columns[],8,0))</f>
        <v/>
      </c>
      <c r="J148" s="4" t="str">
        <f>IF(VLOOKUP(TableFields[Field],Columns[],9,0)=0,"","-&gt;"&amp;VLOOKUP(TableFields[Field],Columns[],9,0))</f>
        <v/>
      </c>
      <c r="K14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49" spans="1:11" x14ac:dyDescent="0.25">
      <c r="A149" s="4" t="s">
        <v>762</v>
      </c>
      <c r="B149" s="4" t="s">
        <v>792</v>
      </c>
      <c r="C149" s="4" t="str">
        <f>VLOOKUP(TableFields[Field],Columns[],2,0)&amp;"("</f>
        <v>foreignCascade(</v>
      </c>
      <c r="D149" s="4" t="str">
        <f>IF(VLOOKUP(TableFields[Field],Columns[],3,0)&lt;&gt;"","'"&amp;VLOOKUP(TableFields[Field],Columns[],3,0)&amp;"'","")</f>
        <v>'store'</v>
      </c>
      <c r="E1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49" s="4" t="str">
        <f>IF(VLOOKUP(TableFields[Field],Columns[],5,0)=0,"","-&gt;"&amp;VLOOKUP(TableFields[Field],Columns[],5,0))</f>
        <v/>
      </c>
      <c r="G149" s="4" t="str">
        <f>IF(VLOOKUP(TableFields[Field],Columns[],6,0)=0,"","-&gt;"&amp;VLOOKUP(TableFields[Field],Columns[],6,0))</f>
        <v/>
      </c>
      <c r="H149" s="4" t="str">
        <f>IF(VLOOKUP(TableFields[Field],Columns[],7,0)=0,"","-&gt;"&amp;VLOOKUP(TableFields[Field],Columns[],7,0))</f>
        <v/>
      </c>
      <c r="I149" s="4" t="str">
        <f>IF(VLOOKUP(TableFields[Field],Columns[],8,0)=0,"","-&gt;"&amp;VLOOKUP(TableFields[Field],Columns[],8,0))</f>
        <v/>
      </c>
      <c r="J149" s="4" t="str">
        <f>IF(VLOOKUP(TableFields[Field],Columns[],9,0)=0,"","-&gt;"&amp;VLOOKUP(TableFields[Field],Columns[],9,0))</f>
        <v/>
      </c>
      <c r="K14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$table-&gt;foreignCascade('store', 'stores');</v>
      </c>
    </row>
    <row r="150" spans="1:11" x14ac:dyDescent="0.25">
      <c r="A150" s="4" t="s">
        <v>762</v>
      </c>
      <c r="B150" s="4" t="s">
        <v>823</v>
      </c>
      <c r="C150" s="4" t="str">
        <f>VLOOKUP(TableFields[Field],Columns[],2,0)&amp;"("</f>
        <v>foreignCascade(</v>
      </c>
      <c r="D150" s="4" t="str">
        <f>IF(VLOOKUP(TableFields[Field],Columns[],3,0)&lt;&gt;"","'"&amp;VLOOKUP(TableFields[Field],Columns[],3,0)&amp;"'","")</f>
        <v>'product'</v>
      </c>
      <c r="E1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0" s="4" t="str">
        <f>IF(VLOOKUP(TableFields[Field],Columns[],5,0)=0,"","-&gt;"&amp;VLOOKUP(TableFields[Field],Columns[],5,0))</f>
        <v/>
      </c>
      <c r="G150" s="4" t="str">
        <f>IF(VLOOKUP(TableFields[Field],Columns[],6,0)=0,"","-&gt;"&amp;VLOOKUP(TableFields[Field],Columns[],6,0))</f>
        <v/>
      </c>
      <c r="H150" s="4" t="str">
        <f>IF(VLOOKUP(TableFields[Field],Columns[],7,0)=0,"","-&gt;"&amp;VLOOKUP(TableFields[Field],Columns[],7,0))</f>
        <v/>
      </c>
      <c r="I150" s="4" t="str">
        <f>IF(VLOOKUP(TableFields[Field],Columns[],8,0)=0,"","-&gt;"&amp;VLOOKUP(TableFields[Field],Columns[],8,0))</f>
        <v/>
      </c>
      <c r="J150" s="4" t="str">
        <f>IF(VLOOKUP(TableFields[Field],Columns[],9,0)=0,"","-&gt;"&amp;VLOOKUP(TableFields[Field],Columns[],9,0))</f>
        <v/>
      </c>
      <c r="K15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51" spans="1:11" x14ac:dyDescent="0.25">
      <c r="A151" s="4" t="s">
        <v>762</v>
      </c>
      <c r="B151" s="4" t="s">
        <v>288</v>
      </c>
      <c r="C151" s="4" t="str">
        <f>VLOOKUP(TableFields[Field],Columns[],2,0)&amp;"("</f>
        <v>audit(</v>
      </c>
      <c r="D151" s="4" t="str">
        <f>IF(VLOOKUP(TableFields[Field],Columns[],3,0)&lt;&gt;"","'"&amp;VLOOKUP(TableFields[Field],Columns[],3,0)&amp;"'","")</f>
        <v/>
      </c>
      <c r="E1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1" s="4" t="str">
        <f>IF(VLOOKUP(TableFields[Field],Columns[],5,0)=0,"","-&gt;"&amp;VLOOKUP(TableFields[Field],Columns[],5,0))</f>
        <v/>
      </c>
      <c r="G151" s="4" t="str">
        <f>IF(VLOOKUP(TableFields[Field],Columns[],6,0)=0,"","-&gt;"&amp;VLOOKUP(TableFields[Field],Columns[],6,0))</f>
        <v/>
      </c>
      <c r="H151" s="4" t="str">
        <f>IF(VLOOKUP(TableFields[Field],Columns[],7,0)=0,"","-&gt;"&amp;VLOOKUP(TableFields[Field],Columns[],7,0))</f>
        <v/>
      </c>
      <c r="I151" s="4" t="str">
        <f>IF(VLOOKUP(TableFields[Field],Columns[],8,0)=0,"","-&gt;"&amp;VLOOKUP(TableFields[Field],Columns[],8,0))</f>
        <v/>
      </c>
      <c r="J151" s="4" t="str">
        <f>IF(VLOOKUP(TableFields[Field],Columns[],9,0)=0,"","-&gt;"&amp;VLOOKUP(TableFields[Field],Columns[],9,0))</f>
        <v/>
      </c>
      <c r="K15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2" spans="1:11" x14ac:dyDescent="0.25">
      <c r="A152" s="4" t="s">
        <v>763</v>
      </c>
      <c r="B152" s="4" t="s">
        <v>21</v>
      </c>
      <c r="C152" s="4" t="str">
        <f>VLOOKUP(TableFields[Field],Columns[],2,0)&amp;"("</f>
        <v>bigIncrements(</v>
      </c>
      <c r="D152" s="4" t="str">
        <f>IF(VLOOKUP(TableFields[Field],Columns[],3,0)&lt;&gt;"","'"&amp;VLOOKUP(TableFields[Field],Columns[],3,0)&amp;"'","")</f>
        <v>'id'</v>
      </c>
      <c r="E1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2" s="4" t="str">
        <f>IF(VLOOKUP(TableFields[Field],Columns[],5,0)=0,"","-&gt;"&amp;VLOOKUP(TableFields[Field],Columns[],5,0))</f>
        <v/>
      </c>
      <c r="G152" s="4" t="str">
        <f>IF(VLOOKUP(TableFields[Field],Columns[],6,0)=0,"","-&gt;"&amp;VLOOKUP(TableFields[Field],Columns[],6,0))</f>
        <v/>
      </c>
      <c r="H152" s="4" t="str">
        <f>IF(VLOOKUP(TableFields[Field],Columns[],7,0)=0,"","-&gt;"&amp;VLOOKUP(TableFields[Field],Columns[],7,0))</f>
        <v/>
      </c>
      <c r="I152" s="4" t="str">
        <f>IF(VLOOKUP(TableFields[Field],Columns[],8,0)=0,"","-&gt;"&amp;VLOOKUP(TableFields[Field],Columns[],8,0))</f>
        <v/>
      </c>
      <c r="J152" s="4" t="str">
        <f>IF(VLOOKUP(TableFields[Field],Columns[],9,0)=0,"","-&gt;"&amp;VLOOKUP(TableFields[Field],Columns[],9,0))</f>
        <v/>
      </c>
      <c r="K15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3" spans="1:11" x14ac:dyDescent="0.25">
      <c r="A153" s="4" t="s">
        <v>763</v>
      </c>
      <c r="B153" s="4" t="s">
        <v>769</v>
      </c>
      <c r="C153" s="4" t="str">
        <f>VLOOKUP(TableFields[Field],Columns[],2,0)&amp;"("</f>
        <v>char(</v>
      </c>
      <c r="D153" s="4" t="str">
        <f>IF(VLOOKUP(TableFields[Field],Columns[],3,0)&lt;&gt;"","'"&amp;VLOOKUP(TableFields[Field],Columns[],3,0)&amp;"'","")</f>
        <v>'code'</v>
      </c>
      <c r="E1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153" s="4" t="str">
        <f>IF(VLOOKUP(TableFields[Field],Columns[],5,0)=0,"","-&gt;"&amp;VLOOKUP(TableFields[Field],Columns[],5,0))</f>
        <v>-&gt;nullable()</v>
      </c>
      <c r="G153" s="4" t="str">
        <f>IF(VLOOKUP(TableFields[Field],Columns[],6,0)=0,"","-&gt;"&amp;VLOOKUP(TableFields[Field],Columns[],6,0))</f>
        <v>-&gt;index()</v>
      </c>
      <c r="H153" s="4" t="str">
        <f>IF(VLOOKUP(TableFields[Field],Columns[],7,0)=0,"","-&gt;"&amp;VLOOKUP(TableFields[Field],Columns[],7,0))</f>
        <v/>
      </c>
      <c r="I153" s="4" t="str">
        <f>IF(VLOOKUP(TableFields[Field],Columns[],8,0)=0,"","-&gt;"&amp;VLOOKUP(TableFields[Field],Columns[],8,0))</f>
        <v/>
      </c>
      <c r="J153" s="4" t="str">
        <f>IF(VLOOKUP(TableFields[Field],Columns[],9,0)=0,"","-&gt;"&amp;VLOOKUP(TableFields[Field],Columns[],9,0))</f>
        <v/>
      </c>
      <c r="K153" s="4" t="str">
        <f>"$table-&gt;"&amp;TableFields[Type]&amp;TableFields[Name]&amp;TableFields[Arg2]&amp;TableFields[Method1]&amp;TableFields[Method2]&amp;TableFields[Method3]&amp;TableFields[Method4]&amp;TableFields[Method5]&amp;";"</f>
        <v>$table-&gt;char('code', '15')-&gt;nullable()-&gt;index();</v>
      </c>
    </row>
    <row r="154" spans="1:11" x14ac:dyDescent="0.25">
      <c r="A154" s="4" t="s">
        <v>763</v>
      </c>
      <c r="B154" s="4" t="s">
        <v>23</v>
      </c>
      <c r="C154" s="4" t="str">
        <f>VLOOKUP(TableFields[Field],Columns[],2,0)&amp;"("</f>
        <v>string(</v>
      </c>
      <c r="D154" s="4" t="str">
        <f>IF(VLOOKUP(TableFields[Field],Columns[],3,0)&lt;&gt;"","'"&amp;VLOOKUP(TableFields[Field],Columns[],3,0)&amp;"'","")</f>
        <v>'name'</v>
      </c>
      <c r="E1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54" s="4" t="str">
        <f>IF(VLOOKUP(TableFields[Field],Columns[],5,0)=0,"","-&gt;"&amp;VLOOKUP(TableFields[Field],Columns[],5,0))</f>
        <v>-&gt;nullable()</v>
      </c>
      <c r="G154" s="4" t="str">
        <f>IF(VLOOKUP(TableFields[Field],Columns[],6,0)=0,"","-&gt;"&amp;VLOOKUP(TableFields[Field],Columns[],6,0))</f>
        <v>-&gt;index()</v>
      </c>
      <c r="H154" s="4" t="str">
        <f>IF(VLOOKUP(TableFields[Field],Columns[],7,0)=0,"","-&gt;"&amp;VLOOKUP(TableFields[Field],Columns[],7,0))</f>
        <v/>
      </c>
      <c r="I154" s="4" t="str">
        <f>IF(VLOOKUP(TableFields[Field],Columns[],8,0)=0,"","-&gt;"&amp;VLOOKUP(TableFields[Field],Columns[],8,0))</f>
        <v/>
      </c>
      <c r="J154" s="4" t="str">
        <f>IF(VLOOKUP(TableFields[Field],Columns[],9,0)=0,"","-&gt;"&amp;VLOOKUP(TableFields[Field],Columns[],9,0))</f>
        <v/>
      </c>
      <c r="K154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55" spans="1:11" x14ac:dyDescent="0.25">
      <c r="A155" s="4" t="s">
        <v>763</v>
      </c>
      <c r="B155" s="4" t="s">
        <v>776</v>
      </c>
      <c r="C155" s="4" t="str">
        <f>VLOOKUP(TableFields[Field],Columns[],2,0)&amp;"("</f>
        <v>enum(</v>
      </c>
      <c r="D155" s="4" t="str">
        <f>IF(VLOOKUP(TableFields[Field],Columns[],3,0)&lt;&gt;"","'"&amp;VLOOKUP(TableFields[Field],Columns[],3,0)&amp;"'","")</f>
        <v>'status'</v>
      </c>
      <c r="E1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55" s="4" t="str">
        <f>IF(VLOOKUP(TableFields[Field],Columns[],5,0)=0,"","-&gt;"&amp;VLOOKUP(TableFields[Field],Columns[],5,0))</f>
        <v>-&gt;nullable()</v>
      </c>
      <c r="G155" s="4" t="str">
        <f>IF(VLOOKUP(TableFields[Field],Columns[],6,0)=0,"","-&gt;"&amp;VLOOKUP(TableFields[Field],Columns[],6,0))</f>
        <v>-&gt;default('Active')</v>
      </c>
      <c r="H155" s="4" t="str">
        <f>IF(VLOOKUP(TableFields[Field],Columns[],7,0)=0,"","-&gt;"&amp;VLOOKUP(TableFields[Field],Columns[],7,0))</f>
        <v/>
      </c>
      <c r="I155" s="4" t="str">
        <f>IF(VLOOKUP(TableFields[Field],Columns[],8,0)=0,"","-&gt;"&amp;VLOOKUP(TableFields[Field],Columns[],8,0))</f>
        <v/>
      </c>
      <c r="J155" s="4" t="str">
        <f>IF(VLOOKUP(TableFields[Field],Columns[],9,0)=0,"","-&gt;"&amp;VLOOKUP(TableFields[Field],Columns[],9,0))</f>
        <v/>
      </c>
      <c r="K155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56" spans="1:11" x14ac:dyDescent="0.25">
      <c r="A156" s="4" t="s">
        <v>763</v>
      </c>
      <c r="B156" s="4" t="s">
        <v>288</v>
      </c>
      <c r="C156" s="4" t="str">
        <f>VLOOKUP(TableFields[Field],Columns[],2,0)&amp;"("</f>
        <v>audit(</v>
      </c>
      <c r="D156" s="4" t="str">
        <f>IF(VLOOKUP(TableFields[Field],Columns[],3,0)&lt;&gt;"","'"&amp;VLOOKUP(TableFields[Field],Columns[],3,0)&amp;"'","")</f>
        <v/>
      </c>
      <c r="E1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6" s="4" t="str">
        <f>IF(VLOOKUP(TableFields[Field],Columns[],5,0)=0,"","-&gt;"&amp;VLOOKUP(TableFields[Field],Columns[],5,0))</f>
        <v/>
      </c>
      <c r="G156" s="4" t="str">
        <f>IF(VLOOKUP(TableFields[Field],Columns[],6,0)=0,"","-&gt;"&amp;VLOOKUP(TableFields[Field],Columns[],6,0))</f>
        <v/>
      </c>
      <c r="H156" s="4" t="str">
        <f>IF(VLOOKUP(TableFields[Field],Columns[],7,0)=0,"","-&gt;"&amp;VLOOKUP(TableFields[Field],Columns[],7,0))</f>
        <v/>
      </c>
      <c r="I156" s="4" t="str">
        <f>IF(VLOOKUP(TableFields[Field],Columns[],8,0)=0,"","-&gt;"&amp;VLOOKUP(TableFields[Field],Columns[],8,0))</f>
        <v/>
      </c>
      <c r="J156" s="4" t="str">
        <f>IF(VLOOKUP(TableFields[Field],Columns[],9,0)=0,"","-&gt;"&amp;VLOOKUP(TableFields[Field],Columns[],9,0))</f>
        <v/>
      </c>
      <c r="K15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57" spans="1:11" x14ac:dyDescent="0.25">
      <c r="A157" s="4" t="s">
        <v>764</v>
      </c>
      <c r="B157" s="4" t="s">
        <v>21</v>
      </c>
      <c r="C157" s="4" t="str">
        <f>VLOOKUP(TableFields[Field],Columns[],2,0)&amp;"("</f>
        <v>bigIncrements(</v>
      </c>
      <c r="D157" s="4" t="str">
        <f>IF(VLOOKUP(TableFields[Field],Columns[],3,0)&lt;&gt;"","'"&amp;VLOOKUP(TableFields[Field],Columns[],3,0)&amp;"'","")</f>
        <v>'id'</v>
      </c>
      <c r="E1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57" s="4" t="str">
        <f>IF(VLOOKUP(TableFields[Field],Columns[],5,0)=0,"","-&gt;"&amp;VLOOKUP(TableFields[Field],Columns[],5,0))</f>
        <v/>
      </c>
      <c r="G157" s="4" t="str">
        <f>IF(VLOOKUP(TableFields[Field],Columns[],6,0)=0,"","-&gt;"&amp;VLOOKUP(TableFields[Field],Columns[],6,0))</f>
        <v/>
      </c>
      <c r="H157" s="4" t="str">
        <f>IF(VLOOKUP(TableFields[Field],Columns[],7,0)=0,"","-&gt;"&amp;VLOOKUP(TableFields[Field],Columns[],7,0))</f>
        <v/>
      </c>
      <c r="I157" s="4" t="str">
        <f>IF(VLOOKUP(TableFields[Field],Columns[],8,0)=0,"","-&gt;"&amp;VLOOKUP(TableFields[Field],Columns[],8,0))</f>
        <v/>
      </c>
      <c r="J157" s="4" t="str">
        <f>IF(VLOOKUP(TableFields[Field],Columns[],9,0)=0,"","-&gt;"&amp;VLOOKUP(TableFields[Field],Columns[],9,0))</f>
        <v/>
      </c>
      <c r="K157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58" spans="1:11" x14ac:dyDescent="0.25">
      <c r="A158" s="4" t="s">
        <v>764</v>
      </c>
      <c r="B158" s="4" t="s">
        <v>822</v>
      </c>
      <c r="C158" s="4" t="str">
        <f>VLOOKUP(TableFields[Field],Columns[],2,0)&amp;"("</f>
        <v>foreignCascade(</v>
      </c>
      <c r="D158" s="4" t="str">
        <f>IF(VLOOKUP(TableFields[Field],Columns[],3,0)&lt;&gt;"","'"&amp;VLOOKUP(TableFields[Field],Columns[],3,0)&amp;"'","")</f>
        <v>'pricelist'</v>
      </c>
      <c r="E1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'pricelist')</v>
      </c>
      <c r="F158" s="4" t="str">
        <f>IF(VLOOKUP(TableFields[Field],Columns[],5,0)=0,"","-&gt;"&amp;VLOOKUP(TableFields[Field],Columns[],5,0))</f>
        <v/>
      </c>
      <c r="G158" s="4" t="str">
        <f>IF(VLOOKUP(TableFields[Field],Columns[],6,0)=0,"","-&gt;"&amp;VLOOKUP(TableFields[Field],Columns[],6,0))</f>
        <v/>
      </c>
      <c r="H158" s="4" t="str">
        <f>IF(VLOOKUP(TableFields[Field],Columns[],7,0)=0,"","-&gt;"&amp;VLOOKUP(TableFields[Field],Columns[],7,0))</f>
        <v/>
      </c>
      <c r="I158" s="4" t="str">
        <f>IF(VLOOKUP(TableFields[Field],Columns[],8,0)=0,"","-&gt;"&amp;VLOOKUP(TableFields[Field],Columns[],8,0))</f>
        <v/>
      </c>
      <c r="J158" s="4" t="str">
        <f>IF(VLOOKUP(TableFields[Field],Columns[],9,0)=0,"","-&gt;"&amp;VLOOKUP(TableFields[Field],Columns[],9,0))</f>
        <v/>
      </c>
      <c r="K158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$table-&gt;foreignCascade('pricelist', 'pricelist');</v>
      </c>
    </row>
    <row r="159" spans="1:11" x14ac:dyDescent="0.25">
      <c r="A159" s="4" t="s">
        <v>764</v>
      </c>
      <c r="B159" s="4" t="s">
        <v>823</v>
      </c>
      <c r="C159" s="4" t="str">
        <f>VLOOKUP(TableFields[Field],Columns[],2,0)&amp;"("</f>
        <v>foreignCascade(</v>
      </c>
      <c r="D159" s="4" t="str">
        <f>IF(VLOOKUP(TableFields[Field],Columns[],3,0)&lt;&gt;"","'"&amp;VLOOKUP(TableFields[Field],Columns[],3,0)&amp;"'","")</f>
        <v>'product'</v>
      </c>
      <c r="E1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59" s="4" t="str">
        <f>IF(VLOOKUP(TableFields[Field],Columns[],5,0)=0,"","-&gt;"&amp;VLOOKUP(TableFields[Field],Columns[],5,0))</f>
        <v/>
      </c>
      <c r="G159" s="4" t="str">
        <f>IF(VLOOKUP(TableFields[Field],Columns[],6,0)=0,"","-&gt;"&amp;VLOOKUP(TableFields[Field],Columns[],6,0))</f>
        <v/>
      </c>
      <c r="H159" s="4" t="str">
        <f>IF(VLOOKUP(TableFields[Field],Columns[],7,0)=0,"","-&gt;"&amp;VLOOKUP(TableFields[Field],Columns[],7,0))</f>
        <v/>
      </c>
      <c r="I159" s="4" t="str">
        <f>IF(VLOOKUP(TableFields[Field],Columns[],8,0)=0,"","-&gt;"&amp;VLOOKUP(TableFields[Field],Columns[],8,0))</f>
        <v/>
      </c>
      <c r="J159" s="4" t="str">
        <f>IF(VLOOKUP(TableFields[Field],Columns[],9,0)=0,"","-&gt;"&amp;VLOOKUP(TableFields[Field],Columns[],9,0))</f>
        <v/>
      </c>
      <c r="K15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$table-&gt;foreignCascade('product', 'products');</v>
      </c>
    </row>
    <row r="160" spans="1:11" x14ac:dyDescent="0.25">
      <c r="A160" s="4" t="s">
        <v>764</v>
      </c>
      <c r="B160" s="4" t="s">
        <v>825</v>
      </c>
      <c r="C160" s="4" t="str">
        <f>VLOOKUP(TableFields[Field],Columns[],2,0)&amp;"("</f>
        <v>decimal(</v>
      </c>
      <c r="D160" s="4" t="str">
        <f>IF(VLOOKUP(TableFields[Field],Columns[],3,0)&lt;&gt;"","'"&amp;VLOOKUP(TableFields[Field],Columns[],3,0)&amp;"'","")</f>
        <v>'price'</v>
      </c>
      <c r="E1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0" s="4" t="str">
        <f>IF(VLOOKUP(TableFields[Field],Columns[],5,0)=0,"","-&gt;"&amp;VLOOKUP(TableFields[Field],Columns[],5,0))</f>
        <v>-&gt;default(0)</v>
      </c>
      <c r="G160" s="4" t="str">
        <f>IF(VLOOKUP(TableFields[Field],Columns[],6,0)=0,"","-&gt;"&amp;VLOOKUP(TableFields[Field],Columns[],6,0))</f>
        <v/>
      </c>
      <c r="H160" s="4" t="str">
        <f>IF(VLOOKUP(TableFields[Field],Columns[],7,0)=0,"","-&gt;"&amp;VLOOKUP(TableFields[Field],Columns[],7,0))</f>
        <v/>
      </c>
      <c r="I160" s="4" t="str">
        <f>IF(VLOOKUP(TableFields[Field],Columns[],8,0)=0,"","-&gt;"&amp;VLOOKUP(TableFields[Field],Columns[],8,0))</f>
        <v/>
      </c>
      <c r="J160" s="4" t="str">
        <f>IF(VLOOKUP(TableFields[Field],Columns[],9,0)=0,"","-&gt;"&amp;VLOOKUP(TableFields[Field],Columns[],9,0))</f>
        <v/>
      </c>
      <c r="K160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$table-&gt;decimal('price', 30,10)-&gt;default(0);</v>
      </c>
    </row>
    <row r="161" spans="1:11" x14ac:dyDescent="0.25">
      <c r="A161" s="4" t="s">
        <v>764</v>
      </c>
      <c r="B161" s="4" t="s">
        <v>826</v>
      </c>
      <c r="C161" s="4" t="str">
        <f>VLOOKUP(TableFields[Field],Columns[],2,0)&amp;"("</f>
        <v>decimal(</v>
      </c>
      <c r="D161" s="4" t="str">
        <f>IF(VLOOKUP(TableFields[Field],Columns[],3,0)&lt;&gt;"","'"&amp;VLOOKUP(TableFields[Field],Columns[],3,0)&amp;"'","")</f>
        <v>'price_min'</v>
      </c>
      <c r="E1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1" s="4" t="str">
        <f>IF(VLOOKUP(TableFields[Field],Columns[],5,0)=0,"","-&gt;"&amp;VLOOKUP(TableFields[Field],Columns[],5,0))</f>
        <v>-&gt;default(0)</v>
      </c>
      <c r="G161" s="4" t="str">
        <f>IF(VLOOKUP(TableFields[Field],Columns[],6,0)=0,"","-&gt;"&amp;VLOOKUP(TableFields[Field],Columns[],6,0))</f>
        <v/>
      </c>
      <c r="H161" s="4" t="str">
        <f>IF(VLOOKUP(TableFields[Field],Columns[],7,0)=0,"","-&gt;"&amp;VLOOKUP(TableFields[Field],Columns[],7,0))</f>
        <v/>
      </c>
      <c r="I161" s="4" t="str">
        <f>IF(VLOOKUP(TableFields[Field],Columns[],8,0)=0,"","-&gt;"&amp;VLOOKUP(TableFields[Field],Columns[],8,0))</f>
        <v/>
      </c>
      <c r="J161" s="4" t="str">
        <f>IF(VLOOKUP(TableFields[Field],Columns[],9,0)=0,"","-&gt;"&amp;VLOOKUP(TableFields[Field],Columns[],9,0))</f>
        <v/>
      </c>
      <c r="K161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$table-&gt;decimal('price_min', 30,10)-&gt;default(0);</v>
      </c>
    </row>
    <row r="162" spans="1:11" x14ac:dyDescent="0.25">
      <c r="A162" s="4" t="s">
        <v>764</v>
      </c>
      <c r="B162" s="4" t="s">
        <v>827</v>
      </c>
      <c r="C162" s="4" t="str">
        <f>VLOOKUP(TableFields[Field],Columns[],2,0)&amp;"("</f>
        <v>decimal(</v>
      </c>
      <c r="D162" s="4" t="str">
        <f>IF(VLOOKUP(TableFields[Field],Columns[],3,0)&lt;&gt;"","'"&amp;VLOOKUP(TableFields[Field],Columns[],3,0)&amp;"'","")</f>
        <v>'price_max'</v>
      </c>
      <c r="E1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62" s="4" t="str">
        <f>IF(VLOOKUP(TableFields[Field],Columns[],5,0)=0,"","-&gt;"&amp;VLOOKUP(TableFields[Field],Columns[],5,0))</f>
        <v>-&gt;default(0)</v>
      </c>
      <c r="G162" s="4" t="str">
        <f>IF(VLOOKUP(TableFields[Field],Columns[],6,0)=0,"","-&gt;"&amp;VLOOKUP(TableFields[Field],Columns[],6,0))</f>
        <v/>
      </c>
      <c r="H162" s="4" t="str">
        <f>IF(VLOOKUP(TableFields[Field],Columns[],7,0)=0,"","-&gt;"&amp;VLOOKUP(TableFields[Field],Columns[],7,0))</f>
        <v/>
      </c>
      <c r="I162" s="4" t="str">
        <f>IF(VLOOKUP(TableFields[Field],Columns[],8,0)=0,"","-&gt;"&amp;VLOOKUP(TableFields[Field],Columns[],8,0))</f>
        <v/>
      </c>
      <c r="J162" s="4" t="str">
        <f>IF(VLOOKUP(TableFields[Field],Columns[],9,0)=0,"","-&gt;"&amp;VLOOKUP(TableFields[Field],Columns[],9,0))</f>
        <v/>
      </c>
      <c r="K162" s="4" t="str">
        <f>"$table-&gt;"&amp;TableFields[Type]&amp;TableFields[Name]&amp;TableFields[Arg2]&amp;TableFields[Method1]&amp;TableFields[Method2]&amp;TableFields[Method3]&amp;TableFields[Method4]&amp;TableFields[Method5]&amp;";"</f>
        <v>$table-&gt;decimal('price_max', 30,10)-&gt;default(0);</v>
      </c>
    </row>
    <row r="163" spans="1:11" x14ac:dyDescent="0.25">
      <c r="A163" s="4" t="s">
        <v>764</v>
      </c>
      <c r="B163" s="4" t="s">
        <v>879</v>
      </c>
      <c r="C163" s="4" t="str">
        <f>VLOOKUP(TableFields[Field],Columns[],2,0)&amp;"("</f>
        <v>enum(</v>
      </c>
      <c r="D163" s="4" t="str">
        <f>IF(VLOOKUP(TableFields[Field],Columns[],3,0)&lt;&gt;"","'"&amp;VLOOKUP(TableFields[Field],Columns[],3,0)&amp;"'","")</f>
        <v>'discount1_type'</v>
      </c>
      <c r="E1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3" s="4" t="str">
        <f>IF(VLOOKUP(TableFields[Field],Columns[],5,0)=0,"","-&gt;"&amp;VLOOKUP(TableFields[Field],Columns[],5,0))</f>
        <v>-&gt;default('Amount')</v>
      </c>
      <c r="G163" s="4" t="str">
        <f>IF(VLOOKUP(TableFields[Field],Columns[],6,0)=0,"","-&gt;"&amp;VLOOKUP(TableFields[Field],Columns[],6,0))</f>
        <v/>
      </c>
      <c r="H163" s="4" t="str">
        <f>IF(VLOOKUP(TableFields[Field],Columns[],7,0)=0,"","-&gt;"&amp;VLOOKUP(TableFields[Field],Columns[],7,0))</f>
        <v/>
      </c>
      <c r="I163" s="4" t="str">
        <f>IF(VLOOKUP(TableFields[Field],Columns[],8,0)=0,"","-&gt;"&amp;VLOOKUP(TableFields[Field],Columns[],8,0))</f>
        <v/>
      </c>
      <c r="J163" s="4" t="str">
        <f>IF(VLOOKUP(TableFields[Field],Columns[],9,0)=0,"","-&gt;"&amp;VLOOKUP(TableFields[Field],Columns[],9,0))</f>
        <v/>
      </c>
      <c r="K163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$table-&gt;enum('discount1_type', ['Amount','Percentage'])-&gt;default('Amount');</v>
      </c>
    </row>
    <row r="164" spans="1:11" x14ac:dyDescent="0.25">
      <c r="A164" s="4" t="s">
        <v>764</v>
      </c>
      <c r="B164" s="4" t="s">
        <v>884</v>
      </c>
      <c r="C164" s="4" t="str">
        <f>VLOOKUP(TableFields[Field],Columns[],2,0)&amp;"("</f>
        <v>decimal(</v>
      </c>
      <c r="D164" s="4" t="str">
        <f>IF(VLOOKUP(TableFields[Field],Columns[],3,0)&lt;&gt;"","'"&amp;VLOOKUP(TableFields[Field],Columns[],3,0)&amp;"'","")</f>
        <v>'discount1_quantity'</v>
      </c>
      <c r="E1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4" s="4" t="str">
        <f>IF(VLOOKUP(TableFields[Field],Columns[],5,0)=0,"","-&gt;"&amp;VLOOKUP(TableFields[Field],Columns[],5,0))</f>
        <v>-&gt;default(0)</v>
      </c>
      <c r="G164" s="4" t="str">
        <f>IF(VLOOKUP(TableFields[Field],Columns[],6,0)=0,"","-&gt;"&amp;VLOOKUP(TableFields[Field],Columns[],6,0))</f>
        <v/>
      </c>
      <c r="H164" s="4" t="str">
        <f>IF(VLOOKUP(TableFields[Field],Columns[],7,0)=0,"","-&gt;"&amp;VLOOKUP(TableFields[Field],Columns[],7,0))</f>
        <v/>
      </c>
      <c r="I164" s="4" t="str">
        <f>IF(VLOOKUP(TableFields[Field],Columns[],8,0)=0,"","-&gt;"&amp;VLOOKUP(TableFields[Field],Columns[],8,0))</f>
        <v/>
      </c>
      <c r="J164" s="4" t="str">
        <f>IF(VLOOKUP(TableFields[Field],Columns[],9,0)=0,"","-&gt;"&amp;VLOOKUP(TableFields[Field],Columns[],9,0))</f>
        <v/>
      </c>
      <c r="K164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$table-&gt;decimal('discount1_quantity', 5,2)-&gt;default(0);</v>
      </c>
    </row>
    <row r="165" spans="1:11" x14ac:dyDescent="0.25">
      <c r="A165" s="4" t="s">
        <v>764</v>
      </c>
      <c r="B165" s="4" t="s">
        <v>880</v>
      </c>
      <c r="C165" s="4" t="str">
        <f>VLOOKUP(TableFields[Field],Columns[],2,0)&amp;"("</f>
        <v>enum(</v>
      </c>
      <c r="D165" s="4" t="str">
        <f>IF(VLOOKUP(TableFields[Field],Columns[],3,0)&lt;&gt;"","'"&amp;VLOOKUP(TableFields[Field],Columns[],3,0)&amp;"'","")</f>
        <v>'discount2_type'</v>
      </c>
      <c r="E1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['Amount','Percentage'])</v>
      </c>
      <c r="F165" s="4" t="str">
        <f>IF(VLOOKUP(TableFields[Field],Columns[],5,0)=0,"","-&gt;"&amp;VLOOKUP(TableFields[Field],Columns[],5,0))</f>
        <v>-&gt;default('Amount')</v>
      </c>
      <c r="G165" s="4" t="str">
        <f>IF(VLOOKUP(TableFields[Field],Columns[],6,0)=0,"","-&gt;"&amp;VLOOKUP(TableFields[Field],Columns[],6,0))</f>
        <v/>
      </c>
      <c r="H165" s="4" t="str">
        <f>IF(VLOOKUP(TableFields[Field],Columns[],7,0)=0,"","-&gt;"&amp;VLOOKUP(TableFields[Field],Columns[],7,0))</f>
        <v/>
      </c>
      <c r="I165" s="4" t="str">
        <f>IF(VLOOKUP(TableFields[Field],Columns[],8,0)=0,"","-&gt;"&amp;VLOOKUP(TableFields[Field],Columns[],8,0))</f>
        <v/>
      </c>
      <c r="J165" s="4" t="str">
        <f>IF(VLOOKUP(TableFields[Field],Columns[],9,0)=0,"","-&gt;"&amp;VLOOKUP(TableFields[Field],Columns[],9,0))</f>
        <v/>
      </c>
      <c r="K165" s="4" t="str">
        <f>"$table-&gt;"&amp;TableFields[Type]&amp;TableFields[Name]&amp;TableFields[Arg2]&amp;TableFields[Method1]&amp;TableFields[Method2]&amp;TableFields[Method3]&amp;TableFields[Method4]&amp;TableFields[Method5]&amp;";"</f>
        <v>$table-&gt;enum('discount2_type', ['Amount','Percentage'])-&gt;default('Amount');</v>
      </c>
    </row>
    <row r="166" spans="1:11" x14ac:dyDescent="0.25">
      <c r="A166" s="4" t="s">
        <v>764</v>
      </c>
      <c r="B166" s="4" t="s">
        <v>885</v>
      </c>
      <c r="C166" s="4" t="str">
        <f>VLOOKUP(TableFields[Field],Columns[],2,0)&amp;"("</f>
        <v>decimal(</v>
      </c>
      <c r="D166" s="4" t="str">
        <f>IF(VLOOKUP(TableFields[Field],Columns[],3,0)&lt;&gt;"","'"&amp;VLOOKUP(TableFields[Field],Columns[],3,0)&amp;"'","")</f>
        <v>'discount2_quantity'</v>
      </c>
      <c r="E1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5,2)</v>
      </c>
      <c r="F166" s="4" t="str">
        <f>IF(VLOOKUP(TableFields[Field],Columns[],5,0)=0,"","-&gt;"&amp;VLOOKUP(TableFields[Field],Columns[],5,0))</f>
        <v>-&gt;default(0)</v>
      </c>
      <c r="G166" s="4" t="str">
        <f>IF(VLOOKUP(TableFields[Field],Columns[],6,0)=0,"","-&gt;"&amp;VLOOKUP(TableFields[Field],Columns[],6,0))</f>
        <v/>
      </c>
      <c r="H166" s="4" t="str">
        <f>IF(VLOOKUP(TableFields[Field],Columns[],7,0)=0,"","-&gt;"&amp;VLOOKUP(TableFields[Field],Columns[],7,0))</f>
        <v/>
      </c>
      <c r="I166" s="4" t="str">
        <f>IF(VLOOKUP(TableFields[Field],Columns[],8,0)=0,"","-&gt;"&amp;VLOOKUP(TableFields[Field],Columns[],8,0))</f>
        <v/>
      </c>
      <c r="J166" s="4" t="str">
        <f>IF(VLOOKUP(TableFields[Field],Columns[],9,0)=0,"","-&gt;"&amp;VLOOKUP(TableFields[Field],Columns[],9,0))</f>
        <v/>
      </c>
      <c r="K166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$table-&gt;decimal('discount2_quantity', 5,2)-&gt;default(0);</v>
      </c>
    </row>
    <row r="167" spans="1:11" x14ac:dyDescent="0.25">
      <c r="A167" s="4" t="s">
        <v>764</v>
      </c>
      <c r="B167" s="4" t="s">
        <v>288</v>
      </c>
      <c r="C167" s="4" t="str">
        <f>VLOOKUP(TableFields[Field],Columns[],2,0)&amp;"("</f>
        <v>audit(</v>
      </c>
      <c r="D167" s="4" t="str">
        <f>IF(VLOOKUP(TableFields[Field],Columns[],3,0)&lt;&gt;"","'"&amp;VLOOKUP(TableFields[Field],Columns[],3,0)&amp;"'","")</f>
        <v/>
      </c>
      <c r="E1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7" s="4" t="str">
        <f>IF(VLOOKUP(TableFields[Field],Columns[],5,0)=0,"","-&gt;"&amp;VLOOKUP(TableFields[Field],Columns[],5,0))</f>
        <v/>
      </c>
      <c r="G167" s="4" t="str">
        <f>IF(VLOOKUP(TableFields[Field],Columns[],6,0)=0,"","-&gt;"&amp;VLOOKUP(TableFields[Field],Columns[],6,0))</f>
        <v/>
      </c>
      <c r="H167" s="4" t="str">
        <f>IF(VLOOKUP(TableFields[Field],Columns[],7,0)=0,"","-&gt;"&amp;VLOOKUP(TableFields[Field],Columns[],7,0))</f>
        <v/>
      </c>
      <c r="I167" s="4" t="str">
        <f>IF(VLOOKUP(TableFields[Field],Columns[],8,0)=0,"","-&gt;"&amp;VLOOKUP(TableFields[Field],Columns[],8,0))</f>
        <v/>
      </c>
      <c r="J167" s="4" t="str">
        <f>IF(VLOOKUP(TableFields[Field],Columns[],9,0)=0,"","-&gt;"&amp;VLOOKUP(TableFields[Field],Columns[],9,0))</f>
        <v/>
      </c>
      <c r="K16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68" spans="1:11" x14ac:dyDescent="0.25">
      <c r="A168" s="4" t="s">
        <v>839</v>
      </c>
      <c r="B168" s="4" t="s">
        <v>21</v>
      </c>
      <c r="C168" s="4" t="str">
        <f>VLOOKUP(TableFields[Field],Columns[],2,0)&amp;"("</f>
        <v>bigIncrements(</v>
      </c>
      <c r="D168" s="4" t="str">
        <f>IF(VLOOKUP(TableFields[Field],Columns[],3,0)&lt;&gt;"","'"&amp;VLOOKUP(TableFields[Field],Columns[],3,0)&amp;"'","")</f>
        <v>'id'</v>
      </c>
      <c r="E1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68" s="4" t="str">
        <f>IF(VLOOKUP(TableFields[Field],Columns[],5,0)=0,"","-&gt;"&amp;VLOOKUP(TableFields[Field],Columns[],5,0))</f>
        <v/>
      </c>
      <c r="G168" s="4" t="str">
        <f>IF(VLOOKUP(TableFields[Field],Columns[],6,0)=0,"","-&gt;"&amp;VLOOKUP(TableFields[Field],Columns[],6,0))</f>
        <v/>
      </c>
      <c r="H168" s="4" t="str">
        <f>IF(VLOOKUP(TableFields[Field],Columns[],7,0)=0,"","-&gt;"&amp;VLOOKUP(TableFields[Field],Columns[],7,0))</f>
        <v/>
      </c>
      <c r="I168" s="4" t="str">
        <f>IF(VLOOKUP(TableFields[Field],Columns[],8,0)=0,"","-&gt;"&amp;VLOOKUP(TableFields[Field],Columns[],8,0))</f>
        <v/>
      </c>
      <c r="J168" s="4" t="str">
        <f>IF(VLOOKUP(TableFields[Field],Columns[],9,0)=0,"","-&gt;"&amp;VLOOKUP(TableFields[Field],Columns[],9,0))</f>
        <v/>
      </c>
      <c r="K16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69" spans="1:11" x14ac:dyDescent="0.25">
      <c r="A169" s="4" t="s">
        <v>839</v>
      </c>
      <c r="B169" s="4" t="s">
        <v>23</v>
      </c>
      <c r="C169" s="4" t="str">
        <f>VLOOKUP(TableFields[Field],Columns[],2,0)&amp;"("</f>
        <v>string(</v>
      </c>
      <c r="D169" s="4" t="str">
        <f>IF(VLOOKUP(TableFields[Field],Columns[],3,0)&lt;&gt;"","'"&amp;VLOOKUP(TableFields[Field],Columns[],3,0)&amp;"'","")</f>
        <v>'name'</v>
      </c>
      <c r="E1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69" s="4" t="str">
        <f>IF(VLOOKUP(TableFields[Field],Columns[],5,0)=0,"","-&gt;"&amp;VLOOKUP(TableFields[Field],Columns[],5,0))</f>
        <v>-&gt;nullable()</v>
      </c>
      <c r="G169" s="4" t="str">
        <f>IF(VLOOKUP(TableFields[Field],Columns[],6,0)=0,"","-&gt;"&amp;VLOOKUP(TableFields[Field],Columns[],6,0))</f>
        <v>-&gt;index()</v>
      </c>
      <c r="H169" s="4" t="str">
        <f>IF(VLOOKUP(TableFields[Field],Columns[],7,0)=0,"","-&gt;"&amp;VLOOKUP(TableFields[Field],Columns[],7,0))</f>
        <v/>
      </c>
      <c r="I169" s="4" t="str">
        <f>IF(VLOOKUP(TableFields[Field],Columns[],8,0)=0,"","-&gt;"&amp;VLOOKUP(TableFields[Field],Columns[],8,0))</f>
        <v/>
      </c>
      <c r="J169" s="4" t="str">
        <f>IF(VLOOKUP(TableFields[Field],Columns[],9,0)=0,"","-&gt;"&amp;VLOOKUP(TableFields[Field],Columns[],9,0))</f>
        <v/>
      </c>
      <c r="K169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0" spans="1:11" x14ac:dyDescent="0.25">
      <c r="A170" s="4" t="s">
        <v>839</v>
      </c>
      <c r="B170" s="4" t="s">
        <v>776</v>
      </c>
      <c r="C170" s="4" t="str">
        <f>VLOOKUP(TableFields[Field],Columns[],2,0)&amp;"("</f>
        <v>enum(</v>
      </c>
      <c r="D170" s="4" t="str">
        <f>IF(VLOOKUP(TableFields[Field],Columns[],3,0)&lt;&gt;"","'"&amp;VLOOKUP(TableFields[Field],Columns[],3,0)&amp;"'","")</f>
        <v>'status'</v>
      </c>
      <c r="E1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0" s="4" t="str">
        <f>IF(VLOOKUP(TableFields[Field],Columns[],5,0)=0,"","-&gt;"&amp;VLOOKUP(TableFields[Field],Columns[],5,0))</f>
        <v>-&gt;nullable()</v>
      </c>
      <c r="G170" s="4" t="str">
        <f>IF(VLOOKUP(TableFields[Field],Columns[],6,0)=0,"","-&gt;"&amp;VLOOKUP(TableFields[Field],Columns[],6,0))</f>
        <v>-&gt;default('Active')</v>
      </c>
      <c r="H170" s="4" t="str">
        <f>IF(VLOOKUP(TableFields[Field],Columns[],7,0)=0,"","-&gt;"&amp;VLOOKUP(TableFields[Field],Columns[],7,0))</f>
        <v/>
      </c>
      <c r="I170" s="4" t="str">
        <f>IF(VLOOKUP(TableFields[Field],Columns[],8,0)=0,"","-&gt;"&amp;VLOOKUP(TableFields[Field],Columns[],8,0))</f>
        <v/>
      </c>
      <c r="J170" s="4" t="str">
        <f>IF(VLOOKUP(TableFields[Field],Columns[],9,0)=0,"","-&gt;"&amp;VLOOKUP(TableFields[Field],Columns[],9,0))</f>
        <v/>
      </c>
      <c r="K170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1" spans="1:11" x14ac:dyDescent="0.25">
      <c r="A171" s="4" t="s">
        <v>839</v>
      </c>
      <c r="B171" s="4" t="s">
        <v>288</v>
      </c>
      <c r="C171" s="4" t="str">
        <f>VLOOKUP(TableFields[Field],Columns[],2,0)&amp;"("</f>
        <v>audit(</v>
      </c>
      <c r="D171" s="4" t="str">
        <f>IF(VLOOKUP(TableFields[Field],Columns[],3,0)&lt;&gt;"","'"&amp;VLOOKUP(TableFields[Field],Columns[],3,0)&amp;"'","")</f>
        <v/>
      </c>
      <c r="E1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1" s="4" t="str">
        <f>IF(VLOOKUP(TableFields[Field],Columns[],5,0)=0,"","-&gt;"&amp;VLOOKUP(TableFields[Field],Columns[],5,0))</f>
        <v/>
      </c>
      <c r="G171" s="4" t="str">
        <f>IF(VLOOKUP(TableFields[Field],Columns[],6,0)=0,"","-&gt;"&amp;VLOOKUP(TableFields[Field],Columns[],6,0))</f>
        <v/>
      </c>
      <c r="H171" s="4" t="str">
        <f>IF(VLOOKUP(TableFields[Field],Columns[],7,0)=0,"","-&gt;"&amp;VLOOKUP(TableFields[Field],Columns[],7,0))</f>
        <v/>
      </c>
      <c r="I171" s="4" t="str">
        <f>IF(VLOOKUP(TableFields[Field],Columns[],8,0)=0,"","-&gt;"&amp;VLOOKUP(TableFields[Field],Columns[],8,0))</f>
        <v/>
      </c>
      <c r="J171" s="4" t="str">
        <f>IF(VLOOKUP(TableFields[Field],Columns[],9,0)=0,"","-&gt;"&amp;VLOOKUP(TableFields[Field],Columns[],9,0))</f>
        <v/>
      </c>
      <c r="K1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2" spans="1:11" x14ac:dyDescent="0.25">
      <c r="A172" s="4" t="s">
        <v>846</v>
      </c>
      <c r="B172" s="4" t="s">
        <v>21</v>
      </c>
      <c r="C172" s="4" t="str">
        <f>VLOOKUP(TableFields[Field],Columns[],2,0)&amp;"("</f>
        <v>bigIncrements(</v>
      </c>
      <c r="D172" s="4" t="str">
        <f>IF(VLOOKUP(TableFields[Field],Columns[],3,0)&lt;&gt;"","'"&amp;VLOOKUP(TableFields[Field],Columns[],3,0)&amp;"'","")</f>
        <v>'id'</v>
      </c>
      <c r="E1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2" s="4" t="str">
        <f>IF(VLOOKUP(TableFields[Field],Columns[],5,0)=0,"","-&gt;"&amp;VLOOKUP(TableFields[Field],Columns[],5,0))</f>
        <v/>
      </c>
      <c r="G172" s="4" t="str">
        <f>IF(VLOOKUP(TableFields[Field],Columns[],6,0)=0,"","-&gt;"&amp;VLOOKUP(TableFields[Field],Columns[],6,0))</f>
        <v/>
      </c>
      <c r="H172" s="4" t="str">
        <f>IF(VLOOKUP(TableFields[Field],Columns[],7,0)=0,"","-&gt;"&amp;VLOOKUP(TableFields[Field],Columns[],7,0))</f>
        <v/>
      </c>
      <c r="I172" s="4" t="str">
        <f>IF(VLOOKUP(TableFields[Field],Columns[],8,0)=0,"","-&gt;"&amp;VLOOKUP(TableFields[Field],Columns[],8,0))</f>
        <v/>
      </c>
      <c r="J172" s="4" t="str">
        <f>IF(VLOOKUP(TableFields[Field],Columns[],9,0)=0,"","-&gt;"&amp;VLOOKUP(TableFields[Field],Columns[],9,0))</f>
        <v/>
      </c>
      <c r="K1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3" spans="1:11" x14ac:dyDescent="0.25">
      <c r="A173" s="4" t="s">
        <v>846</v>
      </c>
      <c r="B173" s="4" t="s">
        <v>23</v>
      </c>
      <c r="C173" s="4" t="str">
        <f>VLOOKUP(TableFields[Field],Columns[],2,0)&amp;"("</f>
        <v>string(</v>
      </c>
      <c r="D173" s="4" t="str">
        <f>IF(VLOOKUP(TableFields[Field],Columns[],3,0)&lt;&gt;"","'"&amp;VLOOKUP(TableFields[Field],Columns[],3,0)&amp;"'","")</f>
        <v>'name'</v>
      </c>
      <c r="E1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173" s="4" t="str">
        <f>IF(VLOOKUP(TableFields[Field],Columns[],5,0)=0,"","-&gt;"&amp;VLOOKUP(TableFields[Field],Columns[],5,0))</f>
        <v>-&gt;nullable()</v>
      </c>
      <c r="G173" s="4" t="str">
        <f>IF(VLOOKUP(TableFields[Field],Columns[],6,0)=0,"","-&gt;"&amp;VLOOKUP(TableFields[Field],Columns[],6,0))</f>
        <v>-&gt;index()</v>
      </c>
      <c r="H173" s="4" t="str">
        <f>IF(VLOOKUP(TableFields[Field],Columns[],7,0)=0,"","-&gt;"&amp;VLOOKUP(TableFields[Field],Columns[],7,0))</f>
        <v/>
      </c>
      <c r="I173" s="4" t="str">
        <f>IF(VLOOKUP(TableFields[Field],Columns[],8,0)=0,"","-&gt;"&amp;VLOOKUP(TableFields[Field],Columns[],8,0))</f>
        <v/>
      </c>
      <c r="J173" s="4" t="str">
        <f>IF(VLOOKUP(TableFields[Field],Columns[],9,0)=0,"","-&gt;"&amp;VLOOKUP(TableFields[Field],Columns[],9,0))</f>
        <v/>
      </c>
      <c r="K1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174" spans="1:11" x14ac:dyDescent="0.25">
      <c r="A174" s="4" t="s">
        <v>846</v>
      </c>
      <c r="B174" s="4" t="s">
        <v>776</v>
      </c>
      <c r="C174" s="4" t="str">
        <f>VLOOKUP(TableFields[Field],Columns[],2,0)&amp;"("</f>
        <v>enum(</v>
      </c>
      <c r="D174" s="4" t="str">
        <f>IF(VLOOKUP(TableFields[Field],Columns[],3,0)&lt;&gt;"","'"&amp;VLOOKUP(TableFields[Field],Columns[],3,0)&amp;"'","")</f>
        <v>'status'</v>
      </c>
      <c r="E1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74" s="4" t="str">
        <f>IF(VLOOKUP(TableFields[Field],Columns[],5,0)=0,"","-&gt;"&amp;VLOOKUP(TableFields[Field],Columns[],5,0))</f>
        <v>-&gt;nullable()</v>
      </c>
      <c r="G174" s="4" t="str">
        <f>IF(VLOOKUP(TableFields[Field],Columns[],6,0)=0,"","-&gt;"&amp;VLOOKUP(TableFields[Field],Columns[],6,0))</f>
        <v>-&gt;default('Active')</v>
      </c>
      <c r="H174" s="4" t="str">
        <f>IF(VLOOKUP(TableFields[Field],Columns[],7,0)=0,"","-&gt;"&amp;VLOOKUP(TableFields[Field],Columns[],7,0))</f>
        <v/>
      </c>
      <c r="I174" s="4" t="str">
        <f>IF(VLOOKUP(TableFields[Field],Columns[],8,0)=0,"","-&gt;"&amp;VLOOKUP(TableFields[Field],Columns[],8,0))</f>
        <v/>
      </c>
      <c r="J174" s="4" t="str">
        <f>IF(VLOOKUP(TableFields[Field],Columns[],9,0)=0,"","-&gt;"&amp;VLOOKUP(TableFields[Field],Columns[],9,0))</f>
        <v/>
      </c>
      <c r="K174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75" spans="1:11" x14ac:dyDescent="0.25">
      <c r="A175" s="4" t="s">
        <v>846</v>
      </c>
      <c r="B175" s="4" t="s">
        <v>288</v>
      </c>
      <c r="C175" s="4" t="str">
        <f>VLOOKUP(TableFields[Field],Columns[],2,0)&amp;"("</f>
        <v>audit(</v>
      </c>
      <c r="D175" s="4" t="str">
        <f>IF(VLOOKUP(TableFields[Field],Columns[],3,0)&lt;&gt;"","'"&amp;VLOOKUP(TableFields[Field],Columns[],3,0)&amp;"'","")</f>
        <v/>
      </c>
      <c r="E1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5" s="4" t="str">
        <f>IF(VLOOKUP(TableFields[Field],Columns[],5,0)=0,"","-&gt;"&amp;VLOOKUP(TableFields[Field],Columns[],5,0))</f>
        <v/>
      </c>
      <c r="G175" s="4" t="str">
        <f>IF(VLOOKUP(TableFields[Field],Columns[],6,0)=0,"","-&gt;"&amp;VLOOKUP(TableFields[Field],Columns[],6,0))</f>
        <v/>
      </c>
      <c r="H175" s="4" t="str">
        <f>IF(VLOOKUP(TableFields[Field],Columns[],7,0)=0,"","-&gt;"&amp;VLOOKUP(TableFields[Field],Columns[],7,0))</f>
        <v/>
      </c>
      <c r="I175" s="4" t="str">
        <f>IF(VLOOKUP(TableFields[Field],Columns[],8,0)=0,"","-&gt;"&amp;VLOOKUP(TableFields[Field],Columns[],8,0))</f>
        <v/>
      </c>
      <c r="J175" s="4" t="str">
        <f>IF(VLOOKUP(TableFields[Field],Columns[],9,0)=0,"","-&gt;"&amp;VLOOKUP(TableFields[Field],Columns[],9,0))</f>
        <v/>
      </c>
      <c r="K175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76" spans="1:11" x14ac:dyDescent="0.25">
      <c r="A176" s="4" t="s">
        <v>765</v>
      </c>
      <c r="B176" s="4" t="s">
        <v>21</v>
      </c>
      <c r="C176" s="4" t="str">
        <f>VLOOKUP(TableFields[Field],Columns[],2,0)&amp;"("</f>
        <v>bigIncrements(</v>
      </c>
      <c r="D176" s="4" t="str">
        <f>IF(VLOOKUP(TableFields[Field],Columns[],3,0)&lt;&gt;"","'"&amp;VLOOKUP(TableFields[Field],Columns[],3,0)&amp;"'","")</f>
        <v>'id'</v>
      </c>
      <c r="E1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76" s="4" t="str">
        <f>IF(VLOOKUP(TableFields[Field],Columns[],5,0)=0,"","-&gt;"&amp;VLOOKUP(TableFields[Field],Columns[],5,0))</f>
        <v/>
      </c>
      <c r="G176" s="4" t="str">
        <f>IF(VLOOKUP(TableFields[Field],Columns[],6,0)=0,"","-&gt;"&amp;VLOOKUP(TableFields[Field],Columns[],6,0))</f>
        <v/>
      </c>
      <c r="H176" s="4" t="str">
        <f>IF(VLOOKUP(TableFields[Field],Columns[],7,0)=0,"","-&gt;"&amp;VLOOKUP(TableFields[Field],Columns[],7,0))</f>
        <v/>
      </c>
      <c r="I176" s="4" t="str">
        <f>IF(VLOOKUP(TableFields[Field],Columns[],8,0)=0,"","-&gt;"&amp;VLOOKUP(TableFields[Field],Columns[],8,0))</f>
        <v/>
      </c>
      <c r="J176" s="4" t="str">
        <f>IF(VLOOKUP(TableFields[Field],Columns[],9,0)=0,"","-&gt;"&amp;VLOOKUP(TableFields[Field],Columns[],9,0))</f>
        <v/>
      </c>
      <c r="K176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77" spans="1:11" x14ac:dyDescent="0.25">
      <c r="A177" s="4" t="s">
        <v>765</v>
      </c>
      <c r="B177" s="4" t="s">
        <v>1701</v>
      </c>
      <c r="C177" s="4" t="str">
        <f>VLOOKUP(TableFields[Field],Columns[],2,0)&amp;"("</f>
        <v>char(</v>
      </c>
      <c r="D177" s="4" t="str">
        <f>IF(VLOOKUP(TableFields[Field],Columns[],3,0)&lt;&gt;"","'"&amp;VLOOKUP(TableFields[Field],Columns[],3,0)&amp;"'","")</f>
        <v>'_ref'</v>
      </c>
      <c r="E1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77" s="4" t="str">
        <f>IF(VLOOKUP(TableFields[Field],Columns[],5,0)=0,"","-&gt;"&amp;VLOOKUP(TableFields[Field],Columns[],5,0))</f>
        <v>-&gt;nullable()</v>
      </c>
      <c r="G177" s="4" t="str">
        <f>IF(VLOOKUP(TableFields[Field],Columns[],6,0)=0,"","-&gt;"&amp;VLOOKUP(TableFields[Field],Columns[],6,0))</f>
        <v>-&gt;index()</v>
      </c>
      <c r="H177" s="4" t="str">
        <f>IF(VLOOKUP(TableFields[Field],Columns[],7,0)=0,"","-&gt;"&amp;VLOOKUP(TableFields[Field],Columns[],7,0))</f>
        <v/>
      </c>
      <c r="I177" s="4" t="str">
        <f>IF(VLOOKUP(TableFields[Field],Columns[],8,0)=0,"","-&gt;"&amp;VLOOKUP(TableFields[Field],Columns[],8,0))</f>
        <v/>
      </c>
      <c r="J177" s="4" t="str">
        <f>IF(VLOOKUP(TableFields[Field],Columns[],9,0)=0,"","-&gt;"&amp;VLOOKUP(TableFields[Field],Columns[],9,0))</f>
        <v/>
      </c>
      <c r="K177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78" spans="1:11" x14ac:dyDescent="0.25">
      <c r="A178" s="4" t="s">
        <v>765</v>
      </c>
      <c r="B178" s="4" t="s">
        <v>831</v>
      </c>
      <c r="C178" s="4" t="str">
        <f>VLOOKUP(TableFields[Field],Columns[],2,0)&amp;"("</f>
        <v>foreignNullable(</v>
      </c>
      <c r="D178" s="4" t="str">
        <f>IF(VLOOKUP(TableFields[Field],Columns[],3,0)&lt;&gt;"","'"&amp;VLOOKUP(TableFields[Field],Columns[],3,0)&amp;"'","")</f>
        <v>'store'</v>
      </c>
      <c r="E1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178" s="4" t="str">
        <f>IF(VLOOKUP(TableFields[Field],Columns[],5,0)=0,"","-&gt;"&amp;VLOOKUP(TableFields[Field],Columns[],5,0))</f>
        <v/>
      </c>
      <c r="G178" s="4" t="str">
        <f>IF(VLOOKUP(TableFields[Field],Columns[],6,0)=0,"","-&gt;"&amp;VLOOKUP(TableFields[Field],Columns[],6,0))</f>
        <v/>
      </c>
      <c r="H178" s="4" t="str">
        <f>IF(VLOOKUP(TableFields[Field],Columns[],7,0)=0,"","-&gt;"&amp;VLOOKUP(TableFields[Field],Columns[],7,0))</f>
        <v/>
      </c>
      <c r="I178" s="4" t="str">
        <f>IF(VLOOKUP(TableFields[Field],Columns[],8,0)=0,"","-&gt;"&amp;VLOOKUP(TableFields[Field],Columns[],8,0))</f>
        <v/>
      </c>
      <c r="J178" s="4" t="str">
        <f>IF(VLOOKUP(TableFields[Field],Columns[],9,0)=0,"","-&gt;"&amp;VLOOKUP(TableFields[Field],Columns[],9,0))</f>
        <v/>
      </c>
      <c r="K17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179" spans="1:11" x14ac:dyDescent="0.25">
      <c r="A179" s="4" t="s">
        <v>765</v>
      </c>
      <c r="B179" s="4" t="s">
        <v>832</v>
      </c>
      <c r="C179" s="4" t="str">
        <f>VLOOKUP(TableFields[Field],Columns[],2,0)&amp;"("</f>
        <v>foreignNullable(</v>
      </c>
      <c r="D179" s="4" t="str">
        <f>IF(VLOOKUP(TableFields[Field],Columns[],3,0)&lt;&gt;"","'"&amp;VLOOKUP(TableFields[Field],Columns[],3,0)&amp;"'","")</f>
        <v>'product'</v>
      </c>
      <c r="E1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179" s="4" t="str">
        <f>IF(VLOOKUP(TableFields[Field],Columns[],5,0)=0,"","-&gt;"&amp;VLOOKUP(TableFields[Field],Columns[],5,0))</f>
        <v/>
      </c>
      <c r="G179" s="4" t="str">
        <f>IF(VLOOKUP(TableFields[Field],Columns[],6,0)=0,"","-&gt;"&amp;VLOOKUP(TableFields[Field],Columns[],6,0))</f>
        <v/>
      </c>
      <c r="H179" s="4" t="str">
        <f>IF(VLOOKUP(TableFields[Field],Columns[],7,0)=0,"","-&gt;"&amp;VLOOKUP(TableFields[Field],Columns[],7,0))</f>
        <v/>
      </c>
      <c r="I179" s="4" t="str">
        <f>IF(VLOOKUP(TableFields[Field],Columns[],8,0)=0,"","-&gt;"&amp;VLOOKUP(TableFields[Field],Columns[],8,0))</f>
        <v/>
      </c>
      <c r="J179" s="4" t="str">
        <f>IF(VLOOKUP(TableFields[Field],Columns[],9,0)=0,"","-&gt;"&amp;VLOOKUP(TableFields[Field],Columns[],9,0))</f>
        <v/>
      </c>
      <c r="K179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180" spans="1:11" x14ac:dyDescent="0.25">
      <c r="A180" s="4" t="s">
        <v>765</v>
      </c>
      <c r="B180" s="4" t="s">
        <v>833</v>
      </c>
      <c r="C180" s="4" t="str">
        <f>VLOOKUP(TableFields[Field],Columns[],2,0)&amp;"("</f>
        <v>enum(</v>
      </c>
      <c r="D180" s="4" t="str">
        <f>IF(VLOOKUP(TableFields[Field],Columns[],3,0)&lt;&gt;"","'"&amp;VLOOKUP(TableFields[Field],Columns[],3,0)&amp;"'","")</f>
        <v>'direction'</v>
      </c>
      <c r="E1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['Out','In'])</v>
      </c>
      <c r="F180" s="4" t="str">
        <f>IF(VLOOKUP(TableFields[Field],Columns[],5,0)=0,"","-&gt;"&amp;VLOOKUP(TableFields[Field],Columns[],5,0))</f>
        <v>-&gt;default('Out')</v>
      </c>
      <c r="G180" s="4" t="str">
        <f>IF(VLOOKUP(TableFields[Field],Columns[],6,0)=0,"","-&gt;"&amp;VLOOKUP(TableFields[Field],Columns[],6,0))</f>
        <v/>
      </c>
      <c r="H180" s="4" t="str">
        <f>IF(VLOOKUP(TableFields[Field],Columns[],7,0)=0,"","-&gt;"&amp;VLOOKUP(TableFields[Field],Columns[],7,0))</f>
        <v/>
      </c>
      <c r="I180" s="4" t="str">
        <f>IF(VLOOKUP(TableFields[Field],Columns[],8,0)=0,"","-&gt;"&amp;VLOOKUP(TableFields[Field],Columns[],8,0))</f>
        <v/>
      </c>
      <c r="J180" s="4" t="str">
        <f>IF(VLOOKUP(TableFields[Field],Columns[],9,0)=0,"","-&gt;"&amp;VLOOKUP(TableFields[Field],Columns[],9,0))</f>
        <v/>
      </c>
      <c r="K180" s="4" t="str">
        <f>"$table-&gt;"&amp;TableFields[Type]&amp;TableFields[Name]&amp;TableFields[Arg2]&amp;TableFields[Method1]&amp;TableFields[Method2]&amp;TableFields[Method3]&amp;TableFields[Method4]&amp;TableFields[Method5]&amp;";"</f>
        <v>$table-&gt;enum('direction', ['Out','In'])-&gt;default('Out');</v>
      </c>
    </row>
    <row r="181" spans="1:11" x14ac:dyDescent="0.25">
      <c r="A181" s="4" t="s">
        <v>765</v>
      </c>
      <c r="B181" s="4" t="s">
        <v>837</v>
      </c>
      <c r="C181" s="4" t="str">
        <f>VLOOKUP(TableFields[Field],Columns[],2,0)&amp;"("</f>
        <v>decimal(</v>
      </c>
      <c r="D181" s="4" t="str">
        <f>IF(VLOOKUP(TableFields[Field],Columns[],3,0)&lt;&gt;"","'"&amp;VLOOKUP(TableFields[Field],Columns[],3,0)&amp;"'","")</f>
        <v>'quantity'</v>
      </c>
      <c r="E1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181" s="4" t="str">
        <f>IF(VLOOKUP(TableFields[Field],Columns[],5,0)=0,"","-&gt;"&amp;VLOOKUP(TableFields[Field],Columns[],5,0))</f>
        <v>-&gt;default(1)</v>
      </c>
      <c r="G181" s="4" t="str">
        <f>IF(VLOOKUP(TableFields[Field],Columns[],6,0)=0,"","-&gt;"&amp;VLOOKUP(TableFields[Field],Columns[],6,0))</f>
        <v/>
      </c>
      <c r="H181" s="4" t="str">
        <f>IF(VLOOKUP(TableFields[Field],Columns[],7,0)=0,"","-&gt;"&amp;VLOOKUP(TableFields[Field],Columns[],7,0))</f>
        <v/>
      </c>
      <c r="I181" s="4" t="str">
        <f>IF(VLOOKUP(TableFields[Field],Columns[],8,0)=0,"","-&gt;"&amp;VLOOKUP(TableFields[Field],Columns[],8,0))</f>
        <v/>
      </c>
      <c r="J181" s="4" t="str">
        <f>IF(VLOOKUP(TableFields[Field],Columns[],9,0)=0,"","-&gt;"&amp;VLOOKUP(TableFields[Field],Columns[],9,0))</f>
        <v/>
      </c>
      <c r="K181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182" spans="1:11" x14ac:dyDescent="0.25">
      <c r="A182" s="4" t="s">
        <v>765</v>
      </c>
      <c r="B182" s="4" t="s">
        <v>876</v>
      </c>
      <c r="C182" s="4" t="str">
        <f>VLOOKUP(TableFields[Field],Columns[],2,0)&amp;"("</f>
        <v>unsignedBigInteger(</v>
      </c>
      <c r="D182" s="4" t="str">
        <f>IF(VLOOKUP(TableFields[Field],Columns[],3,0)&lt;&gt;"","'"&amp;VLOOKUP(TableFields[Field],Columns[],3,0)&amp;"'","")</f>
        <v>'user'</v>
      </c>
      <c r="E1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2" s="4" t="str">
        <f>IF(VLOOKUP(TableFields[Field],Columns[],5,0)=0,"","-&gt;"&amp;VLOOKUP(TableFields[Field],Columns[],5,0))</f>
        <v>-&gt;nullable()</v>
      </c>
      <c r="G182" s="4" t="str">
        <f>IF(VLOOKUP(TableFields[Field],Columns[],6,0)=0,"","-&gt;"&amp;VLOOKUP(TableFields[Field],Columns[],6,0))</f>
        <v/>
      </c>
      <c r="H182" s="4" t="str">
        <f>IF(VLOOKUP(TableFields[Field],Columns[],7,0)=0,"","-&gt;"&amp;VLOOKUP(TableFields[Field],Columns[],7,0))</f>
        <v/>
      </c>
      <c r="I182" s="4" t="str">
        <f>IF(VLOOKUP(TableFields[Field],Columns[],8,0)=0,"","-&gt;"&amp;VLOOKUP(TableFields[Field],Columns[],8,0))</f>
        <v/>
      </c>
      <c r="J182" s="4" t="str">
        <f>IF(VLOOKUP(TableFields[Field],Columns[],9,0)=0,"","-&gt;"&amp;VLOOKUP(TableFields[Field],Columns[],9,0))</f>
        <v/>
      </c>
      <c r="K182" s="4" t="str">
        <f>"$table-&gt;"&amp;TableFields[Type]&amp;TableFields[Name]&amp;TableFields[Arg2]&amp;TableFields[Method1]&amp;TableFields[Method2]&amp;TableFields[Method3]&amp;TableFields[Method4]&amp;TableFields[Method5]&amp;";"</f>
        <v>$table-&gt;unsignedBigInteger('user')-&gt;nullable();</v>
      </c>
    </row>
    <row r="183" spans="1:11" x14ac:dyDescent="0.25">
      <c r="A183" s="4" t="s">
        <v>765</v>
      </c>
      <c r="B183" s="4" t="s">
        <v>840</v>
      </c>
      <c r="C183" s="4" t="str">
        <f>VLOOKUP(TableFields[Field],Columns[],2,0)&amp;"("</f>
        <v>foreignNullable(</v>
      </c>
      <c r="D183" s="4" t="str">
        <f>IF(VLOOKUP(TableFields[Field],Columns[],3,0)&lt;&gt;"","'"&amp;VLOOKUP(TableFields[Field],Columns[],3,0)&amp;"'","")</f>
        <v>'nature'</v>
      </c>
      <c r="E1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'product_transaction_natures')</v>
      </c>
      <c r="F183" s="4" t="str">
        <f>IF(VLOOKUP(TableFields[Field],Columns[],5,0)=0,"","-&gt;"&amp;VLOOKUP(TableFields[Field],Columns[],5,0))</f>
        <v/>
      </c>
      <c r="G183" s="4" t="str">
        <f>IF(VLOOKUP(TableFields[Field],Columns[],6,0)=0,"","-&gt;"&amp;VLOOKUP(TableFields[Field],Columns[],6,0))</f>
        <v/>
      </c>
      <c r="H183" s="4" t="str">
        <f>IF(VLOOKUP(TableFields[Field],Columns[],7,0)=0,"","-&gt;"&amp;VLOOKUP(TableFields[Field],Columns[],7,0))</f>
        <v/>
      </c>
      <c r="I183" s="4" t="str">
        <f>IF(VLOOKUP(TableFields[Field],Columns[],8,0)=0,"","-&gt;"&amp;VLOOKUP(TableFields[Field],Columns[],8,0))</f>
        <v/>
      </c>
      <c r="J183" s="4" t="str">
        <f>IF(VLOOKUP(TableFields[Field],Columns[],9,0)=0,"","-&gt;"&amp;VLOOKUP(TableFields[Field],Columns[],9,0))</f>
        <v/>
      </c>
      <c r="K183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$table-&gt;foreignNullable('nature', 'product_transaction_natures');</v>
      </c>
    </row>
    <row r="184" spans="1:11" x14ac:dyDescent="0.25">
      <c r="A184" s="4" t="s">
        <v>765</v>
      </c>
      <c r="B184" s="4" t="s">
        <v>842</v>
      </c>
      <c r="C184" s="4" t="str">
        <f>VLOOKUP(TableFields[Field],Columns[],2,0)&amp;"("</f>
        <v>timestamp(</v>
      </c>
      <c r="D184" s="4" t="str">
        <f>IF(VLOOKUP(TableFields[Field],Columns[],3,0)&lt;&gt;"","'"&amp;VLOOKUP(TableFields[Field],Columns[],3,0)&amp;"'","")</f>
        <v>'date'</v>
      </c>
      <c r="E1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4" s="4" t="str">
        <f>IF(VLOOKUP(TableFields[Field],Columns[],5,0)=0,"","-&gt;"&amp;VLOOKUP(TableFields[Field],Columns[],5,0))</f>
        <v>-&gt;default(DB::raw('CURRENT_TIMESTAMP'))</v>
      </c>
      <c r="G184" s="4" t="str">
        <f>IF(VLOOKUP(TableFields[Field],Columns[],6,0)=0,"","-&gt;"&amp;VLOOKUP(TableFields[Field],Columns[],6,0))</f>
        <v/>
      </c>
      <c r="H184" s="4" t="str">
        <f>IF(VLOOKUP(TableFields[Field],Columns[],7,0)=0,"","-&gt;"&amp;VLOOKUP(TableFields[Field],Columns[],7,0))</f>
        <v/>
      </c>
      <c r="I184" s="4" t="str">
        <f>IF(VLOOKUP(TableFields[Field],Columns[],8,0)=0,"","-&gt;"&amp;VLOOKUP(TableFields[Field],Columns[],8,0))</f>
        <v/>
      </c>
      <c r="J184" s="4" t="str">
        <f>IF(VLOOKUP(TableFields[Field],Columns[],9,0)=0,"","-&gt;"&amp;VLOOKUP(TableFields[Field],Columns[],9,0))</f>
        <v/>
      </c>
      <c r="K184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85" spans="1:11" x14ac:dyDescent="0.25">
      <c r="A185" s="4" t="s">
        <v>765</v>
      </c>
      <c r="B185" s="4" t="s">
        <v>847</v>
      </c>
      <c r="C185" s="4" t="str">
        <f>VLOOKUP(TableFields[Field],Columns[],2,0)&amp;"("</f>
        <v>foreignNullable(</v>
      </c>
      <c r="D185" s="4" t="str">
        <f>IF(VLOOKUP(TableFields[Field],Columns[],3,0)&lt;&gt;"","'"&amp;VLOOKUP(TableFields[Field],Columns[],3,0)&amp;"'","")</f>
        <v>'type'</v>
      </c>
      <c r="E1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'product_transaction_types')</v>
      </c>
      <c r="F185" s="4" t="str">
        <f>IF(VLOOKUP(TableFields[Field],Columns[],5,0)=0,"","-&gt;"&amp;VLOOKUP(TableFields[Field],Columns[],5,0))</f>
        <v/>
      </c>
      <c r="G185" s="4" t="str">
        <f>IF(VLOOKUP(TableFields[Field],Columns[],6,0)=0,"","-&gt;"&amp;VLOOKUP(TableFields[Field],Columns[],6,0))</f>
        <v/>
      </c>
      <c r="H185" s="4" t="str">
        <f>IF(VLOOKUP(TableFields[Field],Columns[],7,0)=0,"","-&gt;"&amp;VLOOKUP(TableFields[Field],Columns[],7,0))</f>
        <v/>
      </c>
      <c r="I185" s="4" t="str">
        <f>IF(VLOOKUP(TableFields[Field],Columns[],8,0)=0,"","-&gt;"&amp;VLOOKUP(TableFields[Field],Columns[],8,0))</f>
        <v/>
      </c>
      <c r="J185" s="4" t="str">
        <f>IF(VLOOKUP(TableFields[Field],Columns[],9,0)=0,"","-&gt;"&amp;VLOOKUP(TableFields[Field],Columns[],9,0))</f>
        <v/>
      </c>
      <c r="K18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$table-&gt;foreignNullable('type', 'product_transaction_types');</v>
      </c>
    </row>
    <row r="186" spans="1:11" x14ac:dyDescent="0.25">
      <c r="A186" s="4" t="s">
        <v>765</v>
      </c>
      <c r="B186" s="4" t="s">
        <v>776</v>
      </c>
      <c r="C186" s="4" t="str">
        <f>VLOOKUP(TableFields[Field],Columns[],2,0)&amp;"("</f>
        <v>enum(</v>
      </c>
      <c r="D186" s="4" t="str">
        <f>IF(VLOOKUP(TableFields[Field],Columns[],3,0)&lt;&gt;"","'"&amp;VLOOKUP(TableFields[Field],Columns[],3,0)&amp;"'","")</f>
        <v>'status'</v>
      </c>
      <c r="E1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86" s="4" t="str">
        <f>IF(VLOOKUP(TableFields[Field],Columns[],5,0)=0,"","-&gt;"&amp;VLOOKUP(TableFields[Field],Columns[],5,0))</f>
        <v>-&gt;nullable()</v>
      </c>
      <c r="G186" s="4" t="str">
        <f>IF(VLOOKUP(TableFields[Field],Columns[],6,0)=0,"","-&gt;"&amp;VLOOKUP(TableFields[Field],Columns[],6,0))</f>
        <v>-&gt;default('Active')</v>
      </c>
      <c r="H186" s="4" t="str">
        <f>IF(VLOOKUP(TableFields[Field],Columns[],7,0)=0,"","-&gt;"&amp;VLOOKUP(TableFields[Field],Columns[],7,0))</f>
        <v/>
      </c>
      <c r="I186" s="4" t="str">
        <f>IF(VLOOKUP(TableFields[Field],Columns[],8,0)=0,"","-&gt;"&amp;VLOOKUP(TableFields[Field],Columns[],8,0))</f>
        <v/>
      </c>
      <c r="J186" s="4" t="str">
        <f>IF(VLOOKUP(TableFields[Field],Columns[],9,0)=0,"","-&gt;"&amp;VLOOKUP(TableFields[Field],Columns[],9,0))</f>
        <v/>
      </c>
      <c r="K18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87" spans="1:11" x14ac:dyDescent="0.25">
      <c r="A187" s="4" t="s">
        <v>765</v>
      </c>
      <c r="B187" s="4" t="s">
        <v>288</v>
      </c>
      <c r="C187" s="4" t="str">
        <f>VLOOKUP(TableFields[Field],Columns[],2,0)&amp;"("</f>
        <v>audit(</v>
      </c>
      <c r="D187" s="4" t="str">
        <f>IF(VLOOKUP(TableFields[Field],Columns[],3,0)&lt;&gt;"","'"&amp;VLOOKUP(TableFields[Field],Columns[],3,0)&amp;"'","")</f>
        <v/>
      </c>
      <c r="E1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7" s="4" t="str">
        <f>IF(VLOOKUP(TableFields[Field],Columns[],5,0)=0,"","-&gt;"&amp;VLOOKUP(TableFields[Field],Columns[],5,0))</f>
        <v/>
      </c>
      <c r="G187" s="4" t="str">
        <f>IF(VLOOKUP(TableFields[Field],Columns[],6,0)=0,"","-&gt;"&amp;VLOOKUP(TableFields[Field],Columns[],6,0))</f>
        <v/>
      </c>
      <c r="H187" s="4" t="str">
        <f>IF(VLOOKUP(TableFields[Field],Columns[],7,0)=0,"","-&gt;"&amp;VLOOKUP(TableFields[Field],Columns[],7,0))</f>
        <v/>
      </c>
      <c r="I187" s="4" t="str">
        <f>IF(VLOOKUP(TableFields[Field],Columns[],8,0)=0,"","-&gt;"&amp;VLOOKUP(TableFields[Field],Columns[],8,0))</f>
        <v/>
      </c>
      <c r="J187" s="4" t="str">
        <f>IF(VLOOKUP(TableFields[Field],Columns[],9,0)=0,"","-&gt;"&amp;VLOOKUP(TableFields[Field],Columns[],9,0))</f>
        <v/>
      </c>
      <c r="K18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188" spans="1:11" x14ac:dyDescent="0.25">
      <c r="A188" s="4" t="s">
        <v>765</v>
      </c>
      <c r="B188" s="4" t="s">
        <v>877</v>
      </c>
      <c r="C188" s="4" t="str">
        <f>VLOOKUP(TableFields[Field],Columns[],2,0)&amp;"("</f>
        <v>foreign(</v>
      </c>
      <c r="D188" s="4" t="str">
        <f>IF(VLOOKUP(TableFields[Field],Columns[],3,0)&lt;&gt;"","'"&amp;VLOOKUP(TableFields[Field],Columns[],3,0)&amp;"'","")</f>
        <v>'user'</v>
      </c>
      <c r="E1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8" s="4" t="str">
        <f>IF(VLOOKUP(TableFields[Field],Columns[],5,0)=0,"","-&gt;"&amp;VLOOKUP(TableFields[Field],Columns[],5,0))</f>
        <v>-&gt;references('id')</v>
      </c>
      <c r="G188" s="4" t="str">
        <f>IF(VLOOKUP(TableFields[Field],Columns[],6,0)=0,"","-&gt;"&amp;VLOOKUP(TableFields[Field],Columns[],6,0))</f>
        <v>-&gt;on('users')</v>
      </c>
      <c r="H188" s="4" t="str">
        <f>IF(VLOOKUP(TableFields[Field],Columns[],7,0)=0,"","-&gt;"&amp;VLOOKUP(TableFields[Field],Columns[],7,0))</f>
        <v>-&gt;onUpdate('cascade')</v>
      </c>
      <c r="I188" s="4" t="str">
        <f>IF(VLOOKUP(TableFields[Field],Columns[],8,0)=0,"","-&gt;"&amp;VLOOKUP(TableFields[Field],Columns[],8,0))</f>
        <v>-&gt;onDelete('set null')</v>
      </c>
      <c r="J188" s="4" t="str">
        <f>IF(VLOOKUP(TableFields[Field],Columns[],9,0)=0,"","-&gt;"&amp;VLOOKUP(TableFields[Field],Columns[],9,0))</f>
        <v/>
      </c>
      <c r="K188" s="4" t="str">
        <f>"$table-&gt;"&amp;TableFields[Type]&amp;TableFields[Name]&amp;TableFields[Arg2]&amp;TableFields[Method1]&amp;TableFields[Method2]&amp;TableFields[Method3]&amp;TableFields[Method4]&amp;TableFields[Method5]&amp;";"</f>
        <v>$table-&gt;foreign('user')-&gt;references('id')-&gt;on('users')-&gt;onUpdate('cascade')-&gt;onDelete('set null');</v>
      </c>
    </row>
    <row r="189" spans="1:11" x14ac:dyDescent="0.25">
      <c r="A189" s="4" t="s">
        <v>909</v>
      </c>
      <c r="B189" s="4" t="s">
        <v>21</v>
      </c>
      <c r="C189" s="4" t="str">
        <f>VLOOKUP(TableFields[Field],Columns[],2,0)&amp;"("</f>
        <v>bigIncrements(</v>
      </c>
      <c r="D189" s="4" t="str">
        <f>IF(VLOOKUP(TableFields[Field],Columns[],3,0)&lt;&gt;"","'"&amp;VLOOKUP(TableFields[Field],Columns[],3,0)&amp;"'","")</f>
        <v>'id'</v>
      </c>
      <c r="E1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89" s="4" t="str">
        <f>IF(VLOOKUP(TableFields[Field],Columns[],5,0)=0,"","-&gt;"&amp;VLOOKUP(TableFields[Field],Columns[],5,0))</f>
        <v/>
      </c>
      <c r="G189" s="4" t="str">
        <f>IF(VLOOKUP(TableFields[Field],Columns[],6,0)=0,"","-&gt;"&amp;VLOOKUP(TableFields[Field],Columns[],6,0))</f>
        <v/>
      </c>
      <c r="H189" s="4" t="str">
        <f>IF(VLOOKUP(TableFields[Field],Columns[],7,0)=0,"","-&gt;"&amp;VLOOKUP(TableFields[Field],Columns[],7,0))</f>
        <v/>
      </c>
      <c r="I189" s="4" t="str">
        <f>IF(VLOOKUP(TableFields[Field],Columns[],8,0)=0,"","-&gt;"&amp;VLOOKUP(TableFields[Field],Columns[],8,0))</f>
        <v/>
      </c>
      <c r="J189" s="4" t="str">
        <f>IF(VLOOKUP(TableFields[Field],Columns[],9,0)=0,"","-&gt;"&amp;VLOOKUP(TableFields[Field],Columns[],9,0))</f>
        <v/>
      </c>
      <c r="K18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190" spans="1:11" x14ac:dyDescent="0.25">
      <c r="A190" s="4" t="s">
        <v>909</v>
      </c>
      <c r="B190" s="4" t="s">
        <v>1701</v>
      </c>
      <c r="C190" s="4" t="str">
        <f>VLOOKUP(TableFields[Field],Columns[],2,0)&amp;"("</f>
        <v>char(</v>
      </c>
      <c r="D190" s="4" t="str">
        <f>IF(VLOOKUP(TableFields[Field],Columns[],3,0)&lt;&gt;"","'"&amp;VLOOKUP(TableFields[Field],Columns[],3,0)&amp;"'","")</f>
        <v>'_ref'</v>
      </c>
      <c r="E1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190" s="4" t="str">
        <f>IF(VLOOKUP(TableFields[Field],Columns[],5,0)=0,"","-&gt;"&amp;VLOOKUP(TableFields[Field],Columns[],5,0))</f>
        <v>-&gt;nullable()</v>
      </c>
      <c r="G190" s="4" t="str">
        <f>IF(VLOOKUP(TableFields[Field],Columns[],6,0)=0,"","-&gt;"&amp;VLOOKUP(TableFields[Field],Columns[],6,0))</f>
        <v>-&gt;index()</v>
      </c>
      <c r="H190" s="4" t="str">
        <f>IF(VLOOKUP(TableFields[Field],Columns[],7,0)=0,"","-&gt;"&amp;VLOOKUP(TableFields[Field],Columns[],7,0))</f>
        <v/>
      </c>
      <c r="I190" s="4" t="str">
        <f>IF(VLOOKUP(TableFields[Field],Columns[],8,0)=0,"","-&gt;"&amp;VLOOKUP(TableFields[Field],Columns[],8,0))</f>
        <v/>
      </c>
      <c r="J190" s="4" t="str">
        <f>IF(VLOOKUP(TableFields[Field],Columns[],9,0)=0,"","-&gt;"&amp;VLOOKUP(TableFields[Field],Columns[],9,0))</f>
        <v/>
      </c>
      <c r="K19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191" spans="1:11" x14ac:dyDescent="0.25">
      <c r="A191" s="4" t="s">
        <v>909</v>
      </c>
      <c r="B191" s="4" t="s">
        <v>911</v>
      </c>
      <c r="C191" s="4" t="str">
        <f>VLOOKUP(TableFields[Field],Columns[],2,0)&amp;"("</f>
        <v>foreignNullable(</v>
      </c>
      <c r="D191" s="4" t="str">
        <f>IF(VLOOKUP(TableFields[Field],Columns[],3,0)&lt;&gt;"","'"&amp;VLOOKUP(TableFields[Field],Columns[],3,0)&amp;"'","")</f>
        <v>'user'</v>
      </c>
      <c r="E1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1" s="4" t="str">
        <f>IF(VLOOKUP(TableFields[Field],Columns[],5,0)=0,"","-&gt;"&amp;VLOOKUP(TableFields[Field],Columns[],5,0))</f>
        <v/>
      </c>
      <c r="G191" s="4" t="str">
        <f>IF(VLOOKUP(TableFields[Field],Columns[],6,0)=0,"","-&gt;"&amp;VLOOKUP(TableFields[Field],Columns[],6,0))</f>
        <v/>
      </c>
      <c r="H191" s="4" t="str">
        <f>IF(VLOOKUP(TableFields[Field],Columns[],7,0)=0,"","-&gt;"&amp;VLOOKUP(TableFields[Field],Columns[],7,0))</f>
        <v/>
      </c>
      <c r="I191" s="4" t="str">
        <f>IF(VLOOKUP(TableFields[Field],Columns[],8,0)=0,"","-&gt;"&amp;VLOOKUP(TableFields[Field],Columns[],8,0))</f>
        <v/>
      </c>
      <c r="J191" s="4" t="str">
        <f>IF(VLOOKUP(TableFields[Field],Columns[],9,0)=0,"","-&gt;"&amp;VLOOKUP(TableFields[Field],Columns[],9,0))</f>
        <v/>
      </c>
      <c r="K19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192" spans="1:11" x14ac:dyDescent="0.25">
      <c r="A192" s="4" t="s">
        <v>909</v>
      </c>
      <c r="B192" s="4" t="s">
        <v>848</v>
      </c>
      <c r="C192" s="4" t="str">
        <f>VLOOKUP(TableFields[Field],Columns[],2,0)&amp;"("</f>
        <v>char(</v>
      </c>
      <c r="D192" s="4" t="str">
        <f>IF(VLOOKUP(TableFields[Field],Columns[],3,0)&lt;&gt;"","'"&amp;VLOOKUP(TableFields[Field],Columns[],3,0)&amp;"'","")</f>
        <v>'docno'</v>
      </c>
      <c r="E1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192" s="4" t="str">
        <f>IF(VLOOKUP(TableFields[Field],Columns[],5,0)=0,"","-&gt;"&amp;VLOOKUP(TableFields[Field],Columns[],5,0))</f>
        <v>-&gt;nullable()</v>
      </c>
      <c r="G192" s="4" t="str">
        <f>IF(VLOOKUP(TableFields[Field],Columns[],6,0)=0,"","-&gt;"&amp;VLOOKUP(TableFields[Field],Columns[],6,0))</f>
        <v>-&gt;index()</v>
      </c>
      <c r="H192" s="4" t="str">
        <f>IF(VLOOKUP(TableFields[Field],Columns[],7,0)=0,"","-&gt;"&amp;VLOOKUP(TableFields[Field],Columns[],7,0))</f>
        <v/>
      </c>
      <c r="I192" s="4" t="str">
        <f>IF(VLOOKUP(TableFields[Field],Columns[],8,0)=0,"","-&gt;"&amp;VLOOKUP(TableFields[Field],Columns[],8,0))</f>
        <v/>
      </c>
      <c r="J192" s="4" t="str">
        <f>IF(VLOOKUP(TableFields[Field],Columns[],9,0)=0,"","-&gt;"&amp;VLOOKUP(TableFields[Field],Columns[],9,0))</f>
        <v/>
      </c>
      <c r="K19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193" spans="1:11" x14ac:dyDescent="0.25">
      <c r="A193" s="4" t="s">
        <v>909</v>
      </c>
      <c r="B193" s="4" t="s">
        <v>842</v>
      </c>
      <c r="C193" s="4" t="str">
        <f>VLOOKUP(TableFields[Field],Columns[],2,0)&amp;"("</f>
        <v>timestamp(</v>
      </c>
      <c r="D193" s="4" t="str">
        <f>IF(VLOOKUP(TableFields[Field],Columns[],3,0)&lt;&gt;"","'"&amp;VLOOKUP(TableFields[Field],Columns[],3,0)&amp;"'","")</f>
        <v>'date'</v>
      </c>
      <c r="E19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3" s="4" t="str">
        <f>IF(VLOOKUP(TableFields[Field],Columns[],5,0)=0,"","-&gt;"&amp;VLOOKUP(TableFields[Field],Columns[],5,0))</f>
        <v>-&gt;default(DB::raw('CURRENT_TIMESTAMP'))</v>
      </c>
      <c r="G193" s="4" t="str">
        <f>IF(VLOOKUP(TableFields[Field],Columns[],6,0)=0,"","-&gt;"&amp;VLOOKUP(TableFields[Field],Columns[],6,0))</f>
        <v/>
      </c>
      <c r="H193" s="4" t="str">
        <f>IF(VLOOKUP(TableFields[Field],Columns[],7,0)=0,"","-&gt;"&amp;VLOOKUP(TableFields[Field],Columns[],7,0))</f>
        <v/>
      </c>
      <c r="I193" s="4" t="str">
        <f>IF(VLOOKUP(TableFields[Field],Columns[],8,0)=0,"","-&gt;"&amp;VLOOKUP(TableFields[Field],Columns[],8,0))</f>
        <v/>
      </c>
      <c r="J193" s="4" t="str">
        <f>IF(VLOOKUP(TableFields[Field],Columns[],9,0)=0,"","-&gt;"&amp;VLOOKUP(TableFields[Field],Columns[],9,0))</f>
        <v/>
      </c>
      <c r="K19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194" spans="1:11" x14ac:dyDescent="0.25">
      <c r="A194" s="4" t="s">
        <v>909</v>
      </c>
      <c r="B194" s="4" t="s">
        <v>963</v>
      </c>
      <c r="C194" s="4" t="str">
        <f>VLOOKUP(TableFields[Field],Columns[],2,0)&amp;"("</f>
        <v>foreignNullable(</v>
      </c>
      <c r="D194" s="4" t="str">
        <f>IF(VLOOKUP(TableFields[Field],Columns[],3,0)&lt;&gt;"","'"&amp;VLOOKUP(TableFields[Field],Columns[],3,0)&amp;"'","")</f>
        <v>'customer'</v>
      </c>
      <c r="E19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194" s="4" t="str">
        <f>IF(VLOOKUP(TableFields[Field],Columns[],5,0)=0,"","-&gt;"&amp;VLOOKUP(TableFields[Field],Columns[],5,0))</f>
        <v/>
      </c>
      <c r="G194" s="4" t="str">
        <f>IF(VLOOKUP(TableFields[Field],Columns[],6,0)=0,"","-&gt;"&amp;VLOOKUP(TableFields[Field],Columns[],6,0))</f>
        <v/>
      </c>
      <c r="H194" s="4" t="str">
        <f>IF(VLOOKUP(TableFields[Field],Columns[],7,0)=0,"","-&gt;"&amp;VLOOKUP(TableFields[Field],Columns[],7,0))</f>
        <v/>
      </c>
      <c r="I194" s="4" t="str">
        <f>IF(VLOOKUP(TableFields[Field],Columns[],8,0)=0,"","-&gt;"&amp;VLOOKUP(TableFields[Field],Columns[],8,0))</f>
        <v/>
      </c>
      <c r="J194" s="4" t="str">
        <f>IF(VLOOKUP(TableFields[Field],Columns[],9,0)=0,"","-&gt;"&amp;VLOOKUP(TableFields[Field],Columns[],9,0))</f>
        <v/>
      </c>
      <c r="K19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195" spans="1:11" x14ac:dyDescent="0.25">
      <c r="A195" s="4" t="s">
        <v>909</v>
      </c>
      <c r="B195" s="4" t="s">
        <v>916</v>
      </c>
      <c r="C195" s="4" t="str">
        <f>VLOOKUP(TableFields[Field],Columns[],2,0)&amp;"("</f>
        <v>char(</v>
      </c>
      <c r="D195" s="4" t="str">
        <f>IF(VLOOKUP(TableFields[Field],Columns[],3,0)&lt;&gt;"","'"&amp;VLOOKUP(TableFields[Field],Columns[],3,0)&amp;"'","")</f>
        <v>'fycode'</v>
      </c>
      <c r="E1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5" s="4" t="str">
        <f>IF(VLOOKUP(TableFields[Field],Columns[],5,0)=0,"","-&gt;"&amp;VLOOKUP(TableFields[Field],Columns[],5,0))</f>
        <v>-&gt;nullable()</v>
      </c>
      <c r="G195" s="4" t="str">
        <f>IF(VLOOKUP(TableFields[Field],Columns[],6,0)=0,"","-&gt;"&amp;VLOOKUP(TableFields[Field],Columns[],6,0))</f>
        <v>-&gt;index()</v>
      </c>
      <c r="H195" s="4" t="str">
        <f>IF(VLOOKUP(TableFields[Field],Columns[],7,0)=0,"","-&gt;"&amp;VLOOKUP(TableFields[Field],Columns[],7,0))</f>
        <v/>
      </c>
      <c r="I195" s="4" t="str">
        <f>IF(VLOOKUP(TableFields[Field],Columns[],8,0)=0,"","-&gt;"&amp;VLOOKUP(TableFields[Field],Columns[],8,0))</f>
        <v/>
      </c>
      <c r="J195" s="4" t="str">
        <f>IF(VLOOKUP(TableFields[Field],Columns[],9,0)=0,"","-&gt;"&amp;VLOOKUP(TableFields[Field],Columns[],9,0))</f>
        <v/>
      </c>
      <c r="K195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196" spans="1:11" x14ac:dyDescent="0.25">
      <c r="A196" s="4" t="s">
        <v>909</v>
      </c>
      <c r="B196" s="4" t="s">
        <v>869</v>
      </c>
      <c r="C196" s="4" t="str">
        <f>VLOOKUP(TableFields[Field],Columns[],2,0)&amp;"("</f>
        <v>char(</v>
      </c>
      <c r="D196" s="4" t="str">
        <f>IF(VLOOKUP(TableFields[Field],Columns[],3,0)&lt;&gt;"","'"&amp;VLOOKUP(TableFields[Field],Columns[],3,0)&amp;"'","")</f>
        <v>'fncode'</v>
      </c>
      <c r="E1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196" s="4" t="str">
        <f>IF(VLOOKUP(TableFields[Field],Columns[],5,0)=0,"","-&gt;"&amp;VLOOKUP(TableFields[Field],Columns[],5,0))</f>
        <v>-&gt;nullable()</v>
      </c>
      <c r="G196" s="4" t="str">
        <f>IF(VLOOKUP(TableFields[Field],Columns[],6,0)=0,"","-&gt;"&amp;VLOOKUP(TableFields[Field],Columns[],6,0))</f>
        <v>-&gt;index()</v>
      </c>
      <c r="H196" s="4" t="str">
        <f>IF(VLOOKUP(TableFields[Field],Columns[],7,0)=0,"","-&gt;"&amp;VLOOKUP(TableFields[Field],Columns[],7,0))</f>
        <v/>
      </c>
      <c r="I196" s="4" t="str">
        <f>IF(VLOOKUP(TableFields[Field],Columns[],8,0)=0,"","-&gt;"&amp;VLOOKUP(TableFields[Field],Columns[],8,0))</f>
        <v/>
      </c>
      <c r="J196" s="4" t="str">
        <f>IF(VLOOKUP(TableFields[Field],Columns[],9,0)=0,"","-&gt;"&amp;VLOOKUP(TableFields[Field],Columns[],9,0))</f>
        <v/>
      </c>
      <c r="K196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197" spans="1:11" x14ac:dyDescent="0.25">
      <c r="A197" s="4" t="s">
        <v>909</v>
      </c>
      <c r="B197" s="4" t="s">
        <v>1782</v>
      </c>
      <c r="C197" s="4" t="str">
        <f>VLOOKUP(TableFields[Field],Columns[],2,0)&amp;"("</f>
        <v>enum(</v>
      </c>
      <c r="D197" s="4" t="str">
        <f>IF(VLOOKUP(TableFields[Field],Columns[],3,0)&lt;&gt;"","'"&amp;VLOOKUP(TableFields[Field],Columns[],3,0)&amp;"'","")</f>
        <v>'payment_type'</v>
      </c>
      <c r="E1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197" s="4" t="str">
        <f>IF(VLOOKUP(TableFields[Field],Columns[],5,0)=0,"","-&gt;"&amp;VLOOKUP(TableFields[Field],Columns[],5,0))</f>
        <v>-&gt;nullable()</v>
      </c>
      <c r="G197" s="4" t="str">
        <f>IF(VLOOKUP(TableFields[Field],Columns[],6,0)=0,"","-&gt;"&amp;VLOOKUP(TableFields[Field],Columns[],6,0))</f>
        <v>-&gt;default('Cash')</v>
      </c>
      <c r="H197" s="4" t="str">
        <f>IF(VLOOKUP(TableFields[Field],Columns[],7,0)=0,"","-&gt;"&amp;VLOOKUP(TableFields[Field],Columns[],7,0))</f>
        <v/>
      </c>
      <c r="I197" s="4" t="str">
        <f>IF(VLOOKUP(TableFields[Field],Columns[],8,0)=0,"","-&gt;"&amp;VLOOKUP(TableFields[Field],Columns[],8,0))</f>
        <v/>
      </c>
      <c r="J197" s="4" t="str">
        <f>IF(VLOOKUP(TableFields[Field],Columns[],9,0)=0,"","-&gt;"&amp;VLOOKUP(TableFields[Field],Columns[],9,0))</f>
        <v/>
      </c>
      <c r="K197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198" spans="1:11" x14ac:dyDescent="0.25">
      <c r="A198" s="4" t="s">
        <v>909</v>
      </c>
      <c r="B198" s="4" t="s">
        <v>776</v>
      </c>
      <c r="C198" s="4" t="str">
        <f>VLOOKUP(TableFields[Field],Columns[],2,0)&amp;"("</f>
        <v>enum(</v>
      </c>
      <c r="D198" s="4" t="str">
        <f>IF(VLOOKUP(TableFields[Field],Columns[],3,0)&lt;&gt;"","'"&amp;VLOOKUP(TableFields[Field],Columns[],3,0)&amp;"'","")</f>
        <v>'status'</v>
      </c>
      <c r="E19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198" s="4" t="str">
        <f>IF(VLOOKUP(TableFields[Field],Columns[],5,0)=0,"","-&gt;"&amp;VLOOKUP(TableFields[Field],Columns[],5,0))</f>
        <v>-&gt;nullable()</v>
      </c>
      <c r="G198" s="4" t="str">
        <f>IF(VLOOKUP(TableFields[Field],Columns[],6,0)=0,"","-&gt;"&amp;VLOOKUP(TableFields[Field],Columns[],6,0))</f>
        <v>-&gt;default('Active')</v>
      </c>
      <c r="H198" s="4" t="str">
        <f>IF(VLOOKUP(TableFields[Field],Columns[],7,0)=0,"","-&gt;"&amp;VLOOKUP(TableFields[Field],Columns[],7,0))</f>
        <v/>
      </c>
      <c r="I198" s="4" t="str">
        <f>IF(VLOOKUP(TableFields[Field],Columns[],8,0)=0,"","-&gt;"&amp;VLOOKUP(TableFields[Field],Columns[],8,0))</f>
        <v/>
      </c>
      <c r="J198" s="4" t="str">
        <f>IF(VLOOKUP(TableFields[Field],Columns[],9,0)=0,"","-&gt;"&amp;VLOOKUP(TableFields[Field],Columns[],9,0))</f>
        <v/>
      </c>
      <c r="K19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199" spans="1:11" x14ac:dyDescent="0.25">
      <c r="A199" s="4" t="s">
        <v>909</v>
      </c>
      <c r="B199" s="4" t="s">
        <v>288</v>
      </c>
      <c r="C199" s="4" t="str">
        <f>VLOOKUP(TableFields[Field],Columns[],2,0)&amp;"("</f>
        <v>audit(</v>
      </c>
      <c r="D199" s="4" t="str">
        <f>IF(VLOOKUP(TableFields[Field],Columns[],3,0)&lt;&gt;"","'"&amp;VLOOKUP(TableFields[Field],Columns[],3,0)&amp;"'","")</f>
        <v/>
      </c>
      <c r="E1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199" s="4" t="str">
        <f>IF(VLOOKUP(TableFields[Field],Columns[],5,0)=0,"","-&gt;"&amp;VLOOKUP(TableFields[Field],Columns[],5,0))</f>
        <v/>
      </c>
      <c r="G199" s="4" t="str">
        <f>IF(VLOOKUP(TableFields[Field],Columns[],6,0)=0,"","-&gt;"&amp;VLOOKUP(TableFields[Field],Columns[],6,0))</f>
        <v/>
      </c>
      <c r="H199" s="4" t="str">
        <f>IF(VLOOKUP(TableFields[Field],Columns[],7,0)=0,"","-&gt;"&amp;VLOOKUP(TableFields[Field],Columns[],7,0))</f>
        <v/>
      </c>
      <c r="I199" s="4" t="str">
        <f>IF(VLOOKUP(TableFields[Field],Columns[],8,0)=0,"","-&gt;"&amp;VLOOKUP(TableFields[Field],Columns[],8,0))</f>
        <v/>
      </c>
      <c r="J199" s="4" t="str">
        <f>IF(VLOOKUP(TableFields[Field],Columns[],9,0)=0,"","-&gt;"&amp;VLOOKUP(TableFields[Field],Columns[],9,0))</f>
        <v/>
      </c>
      <c r="K19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00" spans="1:11" x14ac:dyDescent="0.25">
      <c r="A200" s="4" t="s">
        <v>910</v>
      </c>
      <c r="B200" s="4" t="s">
        <v>21</v>
      </c>
      <c r="C200" s="4" t="str">
        <f>VLOOKUP(TableFields[Field],Columns[],2,0)&amp;"("</f>
        <v>bigIncrements(</v>
      </c>
      <c r="D200" s="4" t="str">
        <f>IF(VLOOKUP(TableFields[Field],Columns[],3,0)&lt;&gt;"","'"&amp;VLOOKUP(TableFields[Field],Columns[],3,0)&amp;"'","")</f>
        <v>'id'</v>
      </c>
      <c r="E2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0" s="4" t="str">
        <f>IF(VLOOKUP(TableFields[Field],Columns[],5,0)=0,"","-&gt;"&amp;VLOOKUP(TableFields[Field],Columns[],5,0))</f>
        <v/>
      </c>
      <c r="G200" s="4" t="str">
        <f>IF(VLOOKUP(TableFields[Field],Columns[],6,0)=0,"","-&gt;"&amp;VLOOKUP(TableFields[Field],Columns[],6,0))</f>
        <v/>
      </c>
      <c r="H200" s="4" t="str">
        <f>IF(VLOOKUP(TableFields[Field],Columns[],7,0)=0,"","-&gt;"&amp;VLOOKUP(TableFields[Field],Columns[],7,0))</f>
        <v/>
      </c>
      <c r="I200" s="4" t="str">
        <f>IF(VLOOKUP(TableFields[Field],Columns[],8,0)=0,"","-&gt;"&amp;VLOOKUP(TableFields[Field],Columns[],8,0))</f>
        <v/>
      </c>
      <c r="J200" s="4" t="str">
        <f>IF(VLOOKUP(TableFields[Field],Columns[],9,0)=0,"","-&gt;"&amp;VLOOKUP(TableFields[Field],Columns[],9,0))</f>
        <v/>
      </c>
      <c r="K20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01" spans="1:11" x14ac:dyDescent="0.25">
      <c r="A201" s="4" t="s">
        <v>910</v>
      </c>
      <c r="B201" s="4" t="s">
        <v>912</v>
      </c>
      <c r="C201" s="4" t="str">
        <f>VLOOKUP(TableFields[Field],Columns[],2,0)&amp;"("</f>
        <v>foreignCascade(</v>
      </c>
      <c r="D201" s="4" t="str">
        <f>IF(VLOOKUP(TableFields[Field],Columns[],3,0)&lt;&gt;"","'"&amp;VLOOKUP(TableFields[Field],Columns[],3,0)&amp;"'","")</f>
        <v>'transaction'</v>
      </c>
      <c r="E2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01" s="4" t="str">
        <f>IF(VLOOKUP(TableFields[Field],Columns[],5,0)=0,"","-&gt;"&amp;VLOOKUP(TableFields[Field],Columns[],5,0))</f>
        <v/>
      </c>
      <c r="G201" s="4" t="str">
        <f>IF(VLOOKUP(TableFields[Field],Columns[],6,0)=0,"","-&gt;"&amp;VLOOKUP(TableFields[Field],Columns[],6,0))</f>
        <v/>
      </c>
      <c r="H201" s="4" t="str">
        <f>IF(VLOOKUP(TableFields[Field],Columns[],7,0)=0,"","-&gt;"&amp;VLOOKUP(TableFields[Field],Columns[],7,0))</f>
        <v/>
      </c>
      <c r="I201" s="4" t="str">
        <f>IF(VLOOKUP(TableFields[Field],Columns[],8,0)=0,"","-&gt;"&amp;VLOOKUP(TableFields[Field],Columns[],8,0))</f>
        <v/>
      </c>
      <c r="J201" s="4" t="str">
        <f>IF(VLOOKUP(TableFields[Field],Columns[],9,0)=0,"","-&gt;"&amp;VLOOKUP(TableFields[Field],Columns[],9,0))</f>
        <v/>
      </c>
      <c r="K201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$table-&gt;foreignCascade('transaction', 'transactions');</v>
      </c>
    </row>
    <row r="202" spans="1:11" x14ac:dyDescent="0.25">
      <c r="A202" s="4" t="s">
        <v>910</v>
      </c>
      <c r="B202" s="4" t="s">
        <v>852</v>
      </c>
      <c r="C202" s="4" t="str">
        <f>VLOOKUP(TableFields[Field],Columns[],2,0)&amp;"("</f>
        <v>foreignCascade(</v>
      </c>
      <c r="D202" s="4" t="str">
        <f>IF(VLOOKUP(TableFields[Field],Columns[],3,0)&lt;&gt;"","'"&amp;VLOOKUP(TableFields[Field],Columns[],3,0)&amp;"'","")</f>
        <v>'spt'</v>
      </c>
      <c r="E2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'store_product_transactions')</v>
      </c>
      <c r="F202" s="4" t="str">
        <f>IF(VLOOKUP(TableFields[Field],Columns[],5,0)=0,"","-&gt;"&amp;VLOOKUP(TableFields[Field],Columns[],5,0))</f>
        <v/>
      </c>
      <c r="G202" s="4" t="str">
        <f>IF(VLOOKUP(TableFields[Field],Columns[],6,0)=0,"","-&gt;"&amp;VLOOKUP(TableFields[Field],Columns[],6,0))</f>
        <v/>
      </c>
      <c r="H202" s="4" t="str">
        <f>IF(VLOOKUP(TableFields[Field],Columns[],7,0)=0,"","-&gt;"&amp;VLOOKUP(TableFields[Field],Columns[],7,0))</f>
        <v/>
      </c>
      <c r="I202" s="4" t="str">
        <f>IF(VLOOKUP(TableFields[Field],Columns[],8,0)=0,"","-&gt;"&amp;VLOOKUP(TableFields[Field],Columns[],8,0))</f>
        <v/>
      </c>
      <c r="J202" s="4" t="str">
        <f>IF(VLOOKUP(TableFields[Field],Columns[],9,0)=0,"","-&gt;"&amp;VLOOKUP(TableFields[Field],Columns[],9,0))</f>
        <v/>
      </c>
      <c r="K202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$table-&gt;foreignCascade('spt', 'store_product_transactions');</v>
      </c>
    </row>
    <row r="203" spans="1:11" x14ac:dyDescent="0.25">
      <c r="A203" s="4" t="s">
        <v>910</v>
      </c>
      <c r="B203" s="4" t="s">
        <v>979</v>
      </c>
      <c r="C203" s="4" t="str">
        <f>VLOOKUP(TableFields[Field],Columns[],2,0)&amp;"("</f>
        <v>decimal(</v>
      </c>
      <c r="D203" s="4" t="str">
        <f>IF(VLOOKUP(TableFields[Field],Columns[],3,0)&lt;&gt;"","'"&amp;VLOOKUP(TableFields[Field],Columns[],3,0)&amp;"'","")</f>
        <v>'amount'</v>
      </c>
      <c r="E20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3" s="4" t="str">
        <f>IF(VLOOKUP(TableFields[Field],Columns[],5,0)=0,"","-&gt;"&amp;VLOOKUP(TableFields[Field],Columns[],5,0))</f>
        <v>-&gt;default(0)</v>
      </c>
      <c r="G203" s="4" t="str">
        <f>IF(VLOOKUP(TableFields[Field],Columns[],6,0)=0,"","-&gt;"&amp;VLOOKUP(TableFields[Field],Columns[],6,0))</f>
        <v/>
      </c>
      <c r="H203" s="4" t="str">
        <f>IF(VLOOKUP(TableFields[Field],Columns[],7,0)=0,"","-&gt;"&amp;VLOOKUP(TableFields[Field],Columns[],7,0))</f>
        <v/>
      </c>
      <c r="I203" s="4" t="str">
        <f>IF(VLOOKUP(TableFields[Field],Columns[],8,0)=0,"","-&gt;"&amp;VLOOKUP(TableFields[Field],Columns[],8,0))</f>
        <v/>
      </c>
      <c r="J203" s="4" t="str">
        <f>IF(VLOOKUP(TableFields[Field],Columns[],9,0)=0,"","-&gt;"&amp;VLOOKUP(TableFields[Field],Columns[],9,0))</f>
        <v/>
      </c>
      <c r="K203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04" spans="1:11" x14ac:dyDescent="0.25">
      <c r="A204" s="4" t="s">
        <v>910</v>
      </c>
      <c r="B204" s="4" t="s">
        <v>914</v>
      </c>
      <c r="C204" s="4" t="str">
        <f>VLOOKUP(TableFields[Field],Columns[],2,0)&amp;"("</f>
        <v>decimal(</v>
      </c>
      <c r="D204" s="4" t="str">
        <f>IF(VLOOKUP(TableFields[Field],Columns[],3,0)&lt;&gt;"","'"&amp;VLOOKUP(TableFields[Field],Columns[],3,0)&amp;"'","")</f>
        <v>'tax'</v>
      </c>
      <c r="E2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4" s="4" t="str">
        <f>IF(VLOOKUP(TableFields[Field],Columns[],5,0)=0,"","-&gt;"&amp;VLOOKUP(TableFields[Field],Columns[],5,0))</f>
        <v>-&gt;default(0)</v>
      </c>
      <c r="G204" s="4" t="str">
        <f>IF(VLOOKUP(TableFields[Field],Columns[],6,0)=0,"","-&gt;"&amp;VLOOKUP(TableFields[Field],Columns[],6,0))</f>
        <v/>
      </c>
      <c r="H204" s="4" t="str">
        <f>IF(VLOOKUP(TableFields[Field],Columns[],7,0)=0,"","-&gt;"&amp;VLOOKUP(TableFields[Field],Columns[],7,0))</f>
        <v/>
      </c>
      <c r="I204" s="4" t="str">
        <f>IF(VLOOKUP(TableFields[Field],Columns[],8,0)=0,"","-&gt;"&amp;VLOOKUP(TableFields[Field],Columns[],8,0))</f>
        <v/>
      </c>
      <c r="J204" s="4" t="str">
        <f>IF(VLOOKUP(TableFields[Field],Columns[],9,0)=0,"","-&gt;"&amp;VLOOKUP(TableFields[Field],Columns[],9,0))</f>
        <v/>
      </c>
      <c r="K204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05" spans="1:11" x14ac:dyDescent="0.25">
      <c r="A205" s="4" t="s">
        <v>910</v>
      </c>
      <c r="B205" s="4" t="s">
        <v>926</v>
      </c>
      <c r="C205" s="4" t="str">
        <f>VLOOKUP(TableFields[Field],Columns[],2,0)&amp;"("</f>
        <v>decimal(</v>
      </c>
      <c r="D205" s="4" t="str">
        <f>IF(VLOOKUP(TableFields[Field],Columns[],3,0)&lt;&gt;"","'"&amp;VLOOKUP(TableFields[Field],Columns[],3,0)&amp;"'","")</f>
        <v>'discount'</v>
      </c>
      <c r="E2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5" s="4" t="str">
        <f>IF(VLOOKUP(TableFields[Field],Columns[],5,0)=0,"","-&gt;"&amp;VLOOKUP(TableFields[Field],Columns[],5,0))</f>
        <v>-&gt;default(0)</v>
      </c>
      <c r="G205" s="4" t="str">
        <f>IF(VLOOKUP(TableFields[Field],Columns[],6,0)=0,"","-&gt;"&amp;VLOOKUP(TableFields[Field],Columns[],6,0))</f>
        <v/>
      </c>
      <c r="H205" s="4" t="str">
        <f>IF(VLOOKUP(TableFields[Field],Columns[],7,0)=0,"","-&gt;"&amp;VLOOKUP(TableFields[Field],Columns[],7,0))</f>
        <v/>
      </c>
      <c r="I205" s="4" t="str">
        <f>IF(VLOOKUP(TableFields[Field],Columns[],8,0)=0,"","-&gt;"&amp;VLOOKUP(TableFields[Field],Columns[],8,0))</f>
        <v/>
      </c>
      <c r="J205" s="4" t="str">
        <f>IF(VLOOKUP(TableFields[Field],Columns[],9,0)=0,"","-&gt;"&amp;VLOOKUP(TableFields[Field],Columns[],9,0))</f>
        <v/>
      </c>
      <c r="K205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06" spans="1:11" x14ac:dyDescent="0.25">
      <c r="A206" s="4" t="s">
        <v>910</v>
      </c>
      <c r="B206" s="4" t="s">
        <v>915</v>
      </c>
      <c r="C206" s="4" t="str">
        <f>VLOOKUP(TableFields[Field],Columns[],2,0)&amp;"("</f>
        <v>decimal(</v>
      </c>
      <c r="D206" s="4" t="str">
        <f>IF(VLOOKUP(TableFields[Field],Columns[],3,0)&lt;&gt;"","'"&amp;VLOOKUP(TableFields[Field],Columns[],3,0)&amp;"'","")</f>
        <v>'total'</v>
      </c>
      <c r="E2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06" s="4" t="str">
        <f>IF(VLOOKUP(TableFields[Field],Columns[],5,0)=0,"","-&gt;"&amp;VLOOKUP(TableFields[Field],Columns[],5,0))</f>
        <v>-&gt;default(0)</v>
      </c>
      <c r="G206" s="4" t="str">
        <f>IF(VLOOKUP(TableFields[Field],Columns[],6,0)=0,"","-&gt;"&amp;VLOOKUP(TableFields[Field],Columns[],6,0))</f>
        <v/>
      </c>
      <c r="H206" s="4" t="str">
        <f>IF(VLOOKUP(TableFields[Field],Columns[],7,0)=0,"","-&gt;"&amp;VLOOKUP(TableFields[Field],Columns[],7,0))</f>
        <v/>
      </c>
      <c r="I206" s="4" t="str">
        <f>IF(VLOOKUP(TableFields[Field],Columns[],8,0)=0,"","-&gt;"&amp;VLOOKUP(TableFields[Field],Columns[],8,0))</f>
        <v/>
      </c>
      <c r="J206" s="4" t="str">
        <f>IF(VLOOKUP(TableFields[Field],Columns[],9,0)=0,"","-&gt;"&amp;VLOOKUP(TableFields[Field],Columns[],9,0))</f>
        <v/>
      </c>
      <c r="K206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07" spans="1:11" x14ac:dyDescent="0.25">
      <c r="A207" s="4" t="s">
        <v>910</v>
      </c>
      <c r="B207" s="4" t="s">
        <v>1734</v>
      </c>
      <c r="C207" s="4" t="str">
        <f>VLOOKUP(TableFields[Field],Columns[],2,0)&amp;"("</f>
        <v>char(</v>
      </c>
      <c r="D207" s="4" t="str">
        <f>IF(VLOOKUP(TableFields[Field],Columns[],3,0)&lt;&gt;"","'"&amp;VLOOKUP(TableFields[Field],Columns[],3,0)&amp;"'","")</f>
        <v>'_ref_trans'</v>
      </c>
      <c r="E2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7" s="4" t="str">
        <f>IF(VLOOKUP(TableFields[Field],Columns[],5,0)=0,"","-&gt;"&amp;VLOOKUP(TableFields[Field],Columns[],5,0))</f>
        <v>-&gt;nullable()</v>
      </c>
      <c r="G207" s="4" t="str">
        <f>IF(VLOOKUP(TableFields[Field],Columns[],6,0)=0,"","-&gt;"&amp;VLOOKUP(TableFields[Field],Columns[],6,0))</f>
        <v>-&gt;index()</v>
      </c>
      <c r="H207" s="4" t="str">
        <f>IF(VLOOKUP(TableFields[Field],Columns[],7,0)=0,"","-&gt;"&amp;VLOOKUP(TableFields[Field],Columns[],7,0))</f>
        <v/>
      </c>
      <c r="I207" s="4" t="str">
        <f>IF(VLOOKUP(TableFields[Field],Columns[],8,0)=0,"","-&gt;"&amp;VLOOKUP(TableFields[Field],Columns[],8,0))</f>
        <v/>
      </c>
      <c r="J207" s="4" t="str">
        <f>IF(VLOOKUP(TableFields[Field],Columns[],9,0)=0,"","-&gt;"&amp;VLOOKUP(TableFields[Field],Columns[],9,0))</f>
        <v/>
      </c>
      <c r="K207" s="4" t="str">
        <f>"$table-&gt;"&amp;TableFields[Type]&amp;TableFields[Name]&amp;TableFields[Arg2]&amp;TableFields[Method1]&amp;TableFields[Method2]&amp;TableFields[Method3]&amp;TableFields[Method4]&amp;TableFields[Method5]&amp;";"</f>
        <v>$table-&gt;char('_ref_trans', '30')-&gt;nullable()-&gt;index();</v>
      </c>
    </row>
    <row r="208" spans="1:11" x14ac:dyDescent="0.25">
      <c r="A208" s="4" t="s">
        <v>910</v>
      </c>
      <c r="B208" s="4" t="s">
        <v>1735</v>
      </c>
      <c r="C208" s="4" t="str">
        <f>VLOOKUP(TableFields[Field],Columns[],2,0)&amp;"("</f>
        <v>char(</v>
      </c>
      <c r="D208" s="4" t="str">
        <f>IF(VLOOKUP(TableFields[Field],Columns[],3,0)&lt;&gt;"","'"&amp;VLOOKUP(TableFields[Field],Columns[],3,0)&amp;"'","")</f>
        <v>'_ref_spt'</v>
      </c>
      <c r="E2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08" s="4" t="str">
        <f>IF(VLOOKUP(TableFields[Field],Columns[],5,0)=0,"","-&gt;"&amp;VLOOKUP(TableFields[Field],Columns[],5,0))</f>
        <v>-&gt;nullable()</v>
      </c>
      <c r="G208" s="4" t="str">
        <f>IF(VLOOKUP(TableFields[Field],Columns[],6,0)=0,"","-&gt;"&amp;VLOOKUP(TableFields[Field],Columns[],6,0))</f>
        <v>-&gt;index()</v>
      </c>
      <c r="H208" s="4" t="str">
        <f>IF(VLOOKUP(TableFields[Field],Columns[],7,0)=0,"","-&gt;"&amp;VLOOKUP(TableFields[Field],Columns[],7,0))</f>
        <v/>
      </c>
      <c r="I208" s="4" t="str">
        <f>IF(VLOOKUP(TableFields[Field],Columns[],8,0)=0,"","-&gt;"&amp;VLOOKUP(TableFields[Field],Columns[],8,0))</f>
        <v/>
      </c>
      <c r="J208" s="4" t="str">
        <f>IF(VLOOKUP(TableFields[Field],Columns[],9,0)=0,"","-&gt;"&amp;VLOOKUP(TableFields[Field],Columns[],9,0))</f>
        <v/>
      </c>
      <c r="K208" s="4" t="str">
        <f>"$table-&gt;"&amp;TableFields[Type]&amp;TableFields[Name]&amp;TableFields[Arg2]&amp;TableFields[Method1]&amp;TableFields[Method2]&amp;TableFields[Method3]&amp;TableFields[Method4]&amp;TableFields[Method5]&amp;";"</f>
        <v>$table-&gt;char('_ref_spt', '30')-&gt;nullable()-&gt;index();</v>
      </c>
    </row>
    <row r="209" spans="1:11" x14ac:dyDescent="0.25">
      <c r="A209" s="4" t="s">
        <v>910</v>
      </c>
      <c r="B209" s="4" t="s">
        <v>288</v>
      </c>
      <c r="C209" s="4" t="str">
        <f>VLOOKUP(TableFields[Field],Columns[],2,0)&amp;"("</f>
        <v>audit(</v>
      </c>
      <c r="D209" s="4" t="str">
        <f>IF(VLOOKUP(TableFields[Field],Columns[],3,0)&lt;&gt;"","'"&amp;VLOOKUP(TableFields[Field],Columns[],3,0)&amp;"'","")</f>
        <v/>
      </c>
      <c r="E2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09" s="4" t="str">
        <f>IF(VLOOKUP(TableFields[Field],Columns[],5,0)=0,"","-&gt;"&amp;VLOOKUP(TableFields[Field],Columns[],5,0))</f>
        <v/>
      </c>
      <c r="G209" s="4" t="str">
        <f>IF(VLOOKUP(TableFields[Field],Columns[],6,0)=0,"","-&gt;"&amp;VLOOKUP(TableFields[Field],Columns[],6,0))</f>
        <v/>
      </c>
      <c r="H209" s="4" t="str">
        <f>IF(VLOOKUP(TableFields[Field],Columns[],7,0)=0,"","-&gt;"&amp;VLOOKUP(TableFields[Field],Columns[],7,0))</f>
        <v/>
      </c>
      <c r="I209" s="4" t="str">
        <f>IF(VLOOKUP(TableFields[Field],Columns[],8,0)=0,"","-&gt;"&amp;VLOOKUP(TableFields[Field],Columns[],8,0))</f>
        <v/>
      </c>
      <c r="J209" s="4" t="str">
        <f>IF(VLOOKUP(TableFields[Field],Columns[],9,0)=0,"","-&gt;"&amp;VLOOKUP(TableFields[Field],Columns[],9,0))</f>
        <v/>
      </c>
      <c r="K2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10" spans="1:11" x14ac:dyDescent="0.25">
      <c r="A210" s="4" t="s">
        <v>1066</v>
      </c>
      <c r="B210" s="4" t="s">
        <v>21</v>
      </c>
      <c r="C210" s="4" t="str">
        <f>VLOOKUP(TableFields[Field],Columns[],2,0)&amp;"("</f>
        <v>bigIncrements(</v>
      </c>
      <c r="D210" s="4" t="str">
        <f>IF(VLOOKUP(TableFields[Field],Columns[],3,0)&lt;&gt;"","'"&amp;VLOOKUP(TableFields[Field],Columns[],3,0)&amp;"'","")</f>
        <v>'id'</v>
      </c>
      <c r="E2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0" s="4" t="str">
        <f>IF(VLOOKUP(TableFields[Field],Columns[],5,0)=0,"","-&gt;"&amp;VLOOKUP(TableFields[Field],Columns[],5,0))</f>
        <v/>
      </c>
      <c r="G210" s="4" t="str">
        <f>IF(VLOOKUP(TableFields[Field],Columns[],6,0)=0,"","-&gt;"&amp;VLOOKUP(TableFields[Field],Columns[],6,0))</f>
        <v/>
      </c>
      <c r="H210" s="4" t="str">
        <f>IF(VLOOKUP(TableFields[Field],Columns[],7,0)=0,"","-&gt;"&amp;VLOOKUP(TableFields[Field],Columns[],7,0))</f>
        <v/>
      </c>
      <c r="I210" s="4" t="str">
        <f>IF(VLOOKUP(TableFields[Field],Columns[],8,0)=0,"","-&gt;"&amp;VLOOKUP(TableFields[Field],Columns[],8,0))</f>
        <v/>
      </c>
      <c r="J210" s="4" t="str">
        <f>IF(VLOOKUP(TableFields[Field],Columns[],9,0)=0,"","-&gt;"&amp;VLOOKUP(TableFields[Field],Columns[],9,0))</f>
        <v/>
      </c>
      <c r="K2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11" spans="1:11" x14ac:dyDescent="0.25">
      <c r="A211" s="4" t="s">
        <v>1066</v>
      </c>
      <c r="B211" s="4" t="s">
        <v>984</v>
      </c>
      <c r="C211" s="4" t="str">
        <f>VLOOKUP(TableFields[Field],Columns[],2,0)&amp;"("</f>
        <v>char(</v>
      </c>
      <c r="D211" s="4" t="str">
        <f>IF(VLOOKUP(TableFields[Field],Columns[],3,0)&lt;&gt;"","'"&amp;VLOOKUP(TableFields[Field],Columns[],3,0)&amp;"'","")</f>
        <v>'COCODE'</v>
      </c>
      <c r="E2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1" s="4" t="str">
        <f>IF(VLOOKUP(TableFields[Field],Columns[],5,0)=0,"","-&gt;"&amp;VLOOKUP(TableFields[Field],Columns[],5,0))</f>
        <v>-&gt;nullable()</v>
      </c>
      <c r="G211" s="4" t="str">
        <f>IF(VLOOKUP(TableFields[Field],Columns[],6,0)=0,"","-&gt;"&amp;VLOOKUP(TableFields[Field],Columns[],6,0))</f>
        <v/>
      </c>
      <c r="H211" s="4" t="str">
        <f>IF(VLOOKUP(TableFields[Field],Columns[],7,0)=0,"","-&gt;"&amp;VLOOKUP(TableFields[Field],Columns[],7,0))</f>
        <v/>
      </c>
      <c r="I211" s="4" t="str">
        <f>IF(VLOOKUP(TableFields[Field],Columns[],8,0)=0,"","-&gt;"&amp;VLOOKUP(TableFields[Field],Columns[],8,0))</f>
        <v/>
      </c>
      <c r="J211" s="4" t="str">
        <f>IF(VLOOKUP(TableFields[Field],Columns[],9,0)=0,"","-&gt;"&amp;VLOOKUP(TableFields[Field],Columns[],9,0))</f>
        <v/>
      </c>
      <c r="K211" s="4" t="str">
        <f>"$table-&gt;"&amp;TableFields[Type]&amp;TableFields[Name]&amp;TableFields[Arg2]&amp;TableFields[Method1]&amp;TableFields[Method2]&amp;TableFields[Method3]&amp;TableFields[Method4]&amp;TableFields[Method5]&amp;";"</f>
        <v>$table-&gt;char('COCODE', '5')-&gt;nullable();</v>
      </c>
    </row>
    <row r="212" spans="1:11" x14ac:dyDescent="0.25">
      <c r="A212" s="4" t="s">
        <v>1066</v>
      </c>
      <c r="B212" s="4" t="s">
        <v>986</v>
      </c>
      <c r="C212" s="4" t="str">
        <f>VLOOKUP(TableFields[Field],Columns[],2,0)&amp;"("</f>
        <v>char(</v>
      </c>
      <c r="D212" s="4" t="str">
        <f>IF(VLOOKUP(TableFields[Field],Columns[],3,0)&lt;&gt;"","'"&amp;VLOOKUP(TableFields[Field],Columns[],3,0)&amp;"'","")</f>
        <v>'BRCODE'</v>
      </c>
      <c r="E2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2" s="4" t="str">
        <f>IF(VLOOKUP(TableFields[Field],Columns[],5,0)=0,"","-&gt;"&amp;VLOOKUP(TableFields[Field],Columns[],5,0))</f>
        <v>-&gt;nullable()</v>
      </c>
      <c r="G212" s="4" t="str">
        <f>IF(VLOOKUP(TableFields[Field],Columns[],6,0)=0,"","-&gt;"&amp;VLOOKUP(TableFields[Field],Columns[],6,0))</f>
        <v/>
      </c>
      <c r="H212" s="4" t="str">
        <f>IF(VLOOKUP(TableFields[Field],Columns[],7,0)=0,"","-&gt;"&amp;VLOOKUP(TableFields[Field],Columns[],7,0))</f>
        <v/>
      </c>
      <c r="I212" s="4" t="str">
        <f>IF(VLOOKUP(TableFields[Field],Columns[],8,0)=0,"","-&gt;"&amp;VLOOKUP(TableFields[Field],Columns[],8,0))</f>
        <v/>
      </c>
      <c r="J212" s="4" t="str">
        <f>IF(VLOOKUP(TableFields[Field],Columns[],9,0)=0,"","-&gt;"&amp;VLOOKUP(TableFields[Field],Columns[],9,0))</f>
        <v/>
      </c>
      <c r="K212" s="4" t="str">
        <f>"$table-&gt;"&amp;TableFields[Type]&amp;TableFields[Name]&amp;TableFields[Arg2]&amp;TableFields[Method1]&amp;TableFields[Method2]&amp;TableFields[Method3]&amp;TableFields[Method4]&amp;TableFields[Method5]&amp;";"</f>
        <v>$table-&gt;char('BRCODE', '5')-&gt;nullable();</v>
      </c>
    </row>
    <row r="213" spans="1:11" x14ac:dyDescent="0.25">
      <c r="A213" s="4" t="s">
        <v>1066</v>
      </c>
      <c r="B213" s="4" t="s">
        <v>988</v>
      </c>
      <c r="C213" s="4" t="str">
        <f>VLOOKUP(TableFields[Field],Columns[],2,0)&amp;"("</f>
        <v>char(</v>
      </c>
      <c r="D213" s="4" t="str">
        <f>IF(VLOOKUP(TableFields[Field],Columns[],3,0)&lt;&gt;"","'"&amp;VLOOKUP(TableFields[Field],Columns[],3,0)&amp;"'","")</f>
        <v>'FYCODE'</v>
      </c>
      <c r="E2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3" s="4" t="str">
        <f>IF(VLOOKUP(TableFields[Field],Columns[],5,0)=0,"","-&gt;"&amp;VLOOKUP(TableFields[Field],Columns[],5,0))</f>
        <v>-&gt;nullable()</v>
      </c>
      <c r="G213" s="4" t="str">
        <f>IF(VLOOKUP(TableFields[Field],Columns[],6,0)=0,"","-&gt;"&amp;VLOOKUP(TableFields[Field],Columns[],6,0))</f>
        <v/>
      </c>
      <c r="H213" s="4" t="str">
        <f>IF(VLOOKUP(TableFields[Field],Columns[],7,0)=0,"","-&gt;"&amp;VLOOKUP(TableFields[Field],Columns[],7,0))</f>
        <v/>
      </c>
      <c r="I213" s="4" t="str">
        <f>IF(VLOOKUP(TableFields[Field],Columns[],8,0)=0,"","-&gt;"&amp;VLOOKUP(TableFields[Field],Columns[],8,0))</f>
        <v/>
      </c>
      <c r="J213" s="4" t="str">
        <f>IF(VLOOKUP(TableFields[Field],Columns[],9,0)=0,"","-&gt;"&amp;VLOOKUP(TableFields[Field],Columns[],9,0))</f>
        <v/>
      </c>
      <c r="K213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'5')-&gt;nullable();</v>
      </c>
    </row>
    <row r="214" spans="1:11" x14ac:dyDescent="0.25">
      <c r="A214" s="4" t="s">
        <v>1066</v>
      </c>
      <c r="B214" s="4" t="s">
        <v>990</v>
      </c>
      <c r="C214" s="4" t="str">
        <f>VLOOKUP(TableFields[Field],Columns[],2,0)&amp;"("</f>
        <v>char(</v>
      </c>
      <c r="D214" s="4" t="str">
        <f>IF(VLOOKUP(TableFields[Field],Columns[],3,0)&lt;&gt;"","'"&amp;VLOOKUP(TableFields[Field],Columns[],3,0)&amp;"'","")</f>
        <v>'FNCODE'</v>
      </c>
      <c r="E2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4" s="4" t="str">
        <f>IF(VLOOKUP(TableFields[Field],Columns[],5,0)=0,"","-&gt;"&amp;VLOOKUP(TableFields[Field],Columns[],5,0))</f>
        <v>-&gt;nullable()</v>
      </c>
      <c r="G214" s="4" t="str">
        <f>IF(VLOOKUP(TableFields[Field],Columns[],6,0)=0,"","-&gt;"&amp;VLOOKUP(TableFields[Field],Columns[],6,0))</f>
        <v/>
      </c>
      <c r="H214" s="4" t="str">
        <f>IF(VLOOKUP(TableFields[Field],Columns[],7,0)=0,"","-&gt;"&amp;VLOOKUP(TableFields[Field],Columns[],7,0))</f>
        <v/>
      </c>
      <c r="I214" s="4" t="str">
        <f>IF(VLOOKUP(TableFields[Field],Columns[],8,0)=0,"","-&gt;"&amp;VLOOKUP(TableFields[Field],Columns[],8,0))</f>
        <v/>
      </c>
      <c r="J214" s="4" t="str">
        <f>IF(VLOOKUP(TableFields[Field],Columns[],9,0)=0,"","-&gt;"&amp;VLOOKUP(TableFields[Field],Columns[],9,0))</f>
        <v/>
      </c>
      <c r="K214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'5')-&gt;nullable();</v>
      </c>
    </row>
    <row r="215" spans="1:11" x14ac:dyDescent="0.25">
      <c r="A215" s="4" t="s">
        <v>1066</v>
      </c>
      <c r="B215" s="4" t="s">
        <v>992</v>
      </c>
      <c r="C215" s="4" t="str">
        <f>VLOOKUP(TableFields[Field],Columns[],2,0)&amp;"("</f>
        <v>char(</v>
      </c>
      <c r="D215" s="4" t="str">
        <f>IF(VLOOKUP(TableFields[Field],Columns[],3,0)&lt;&gt;"","'"&amp;VLOOKUP(TableFields[Field],Columns[],3,0)&amp;"'","")</f>
        <v>'DOCNO'</v>
      </c>
      <c r="E2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15" s="4" t="str">
        <f>IF(VLOOKUP(TableFields[Field],Columns[],5,0)=0,"","-&gt;"&amp;VLOOKUP(TableFields[Field],Columns[],5,0))</f>
        <v>-&gt;nullable()</v>
      </c>
      <c r="G215" s="4" t="str">
        <f>IF(VLOOKUP(TableFields[Field],Columns[],6,0)=0,"","-&gt;"&amp;VLOOKUP(TableFields[Field],Columns[],6,0))</f>
        <v/>
      </c>
      <c r="H215" s="4" t="str">
        <f>IF(VLOOKUP(TableFields[Field],Columns[],7,0)=0,"","-&gt;"&amp;VLOOKUP(TableFields[Field],Columns[],7,0))</f>
        <v/>
      </c>
      <c r="I215" s="4" t="str">
        <f>IF(VLOOKUP(TableFields[Field],Columns[],8,0)=0,"","-&gt;"&amp;VLOOKUP(TableFields[Field],Columns[],8,0))</f>
        <v/>
      </c>
      <c r="J215" s="4" t="str">
        <f>IF(VLOOKUP(TableFields[Field],Columns[],9,0)=0,"","-&gt;"&amp;VLOOKUP(TableFields[Field],Columns[],9,0))</f>
        <v/>
      </c>
      <c r="K21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'20')-&gt;nullable();</v>
      </c>
    </row>
    <row r="216" spans="1:11" x14ac:dyDescent="0.25">
      <c r="A216" s="4" t="s">
        <v>1066</v>
      </c>
      <c r="B216" s="4" t="s">
        <v>994</v>
      </c>
      <c r="C216" s="4" t="str">
        <f>VLOOKUP(TableFields[Field],Columns[],2,0)&amp;"("</f>
        <v>decimal(</v>
      </c>
      <c r="D216" s="4" t="str">
        <f>IF(VLOOKUP(TableFields[Field],Columns[],3,0)&lt;&gt;"","'"&amp;VLOOKUP(TableFields[Field],Columns[],3,0)&amp;"'","")</f>
        <v>'SRNO'</v>
      </c>
      <c r="E2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16" s="4" t="str">
        <f>IF(VLOOKUP(TableFields[Field],Columns[],5,0)=0,"","-&gt;"&amp;VLOOKUP(TableFields[Field],Columns[],5,0))</f>
        <v>-&gt;nullable()</v>
      </c>
      <c r="G216" s="4" t="str">
        <f>IF(VLOOKUP(TableFields[Field],Columns[],6,0)=0,"","-&gt;"&amp;VLOOKUP(TableFields[Field],Columns[],6,0))</f>
        <v/>
      </c>
      <c r="H216" s="4" t="str">
        <f>IF(VLOOKUP(TableFields[Field],Columns[],7,0)=0,"","-&gt;"&amp;VLOOKUP(TableFields[Field],Columns[],7,0))</f>
        <v/>
      </c>
      <c r="I216" s="4" t="str">
        <f>IF(VLOOKUP(TableFields[Field],Columns[],8,0)=0,"","-&gt;"&amp;VLOOKUP(TableFields[Field],Columns[],8,0))</f>
        <v/>
      </c>
      <c r="J216" s="4" t="str">
        <f>IF(VLOOKUP(TableFields[Field],Columns[],9,0)=0,"","-&gt;"&amp;VLOOKUP(TableFields[Field],Columns[],9,0))</f>
        <v/>
      </c>
      <c r="K216" s="4" t="str">
        <f>"$table-&gt;"&amp;TableFields[Type]&amp;TableFields[Name]&amp;TableFields[Arg2]&amp;TableFields[Method1]&amp;TableFields[Method2]&amp;TableFields[Method3]&amp;TableFields[Method4]&amp;TableFields[Method5]&amp;";"</f>
        <v>$table-&gt;decimal('SRNO', 10,0)-&gt;nullable();</v>
      </c>
    </row>
    <row r="217" spans="1:11" x14ac:dyDescent="0.25">
      <c r="A217" s="4" t="s">
        <v>1066</v>
      </c>
      <c r="B217" s="4" t="s">
        <v>1069</v>
      </c>
      <c r="C217" s="4" t="str">
        <f>VLOOKUP(TableFields[Field],Columns[],2,0)&amp;"("</f>
        <v>decimal(</v>
      </c>
      <c r="D217" s="4" t="str">
        <f>IF(VLOOKUP(TableFields[Field],Columns[],3,0)&lt;&gt;"","'"&amp;VLOOKUP(TableFields[Field],Columns[],3,0)&amp;"'","")</f>
        <v>'SLNO'</v>
      </c>
      <c r="E21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17" s="4" t="str">
        <f>IF(VLOOKUP(TableFields[Field],Columns[],5,0)=0,"","-&gt;"&amp;VLOOKUP(TableFields[Field],Columns[],5,0))</f>
        <v>-&gt;nullable()</v>
      </c>
      <c r="G217" s="4" t="str">
        <f>IF(VLOOKUP(TableFields[Field],Columns[],6,0)=0,"","-&gt;"&amp;VLOOKUP(TableFields[Field],Columns[],6,0))</f>
        <v/>
      </c>
      <c r="H217" s="4" t="str">
        <f>IF(VLOOKUP(TableFields[Field],Columns[],7,0)=0,"","-&gt;"&amp;VLOOKUP(TableFields[Field],Columns[],7,0))</f>
        <v/>
      </c>
      <c r="I217" s="4" t="str">
        <f>IF(VLOOKUP(TableFields[Field],Columns[],8,0)=0,"","-&gt;"&amp;VLOOKUP(TableFields[Field],Columns[],8,0))</f>
        <v/>
      </c>
      <c r="J217" s="4" t="str">
        <f>IF(VLOOKUP(TableFields[Field],Columns[],9,0)=0,"","-&gt;"&amp;VLOOKUP(TableFields[Field],Columns[],9,0))</f>
        <v/>
      </c>
      <c r="K217" s="4" t="str">
        <f>"$table-&gt;"&amp;TableFields[Type]&amp;TableFields[Name]&amp;TableFields[Arg2]&amp;TableFields[Method1]&amp;TableFields[Method2]&amp;TableFields[Method3]&amp;TableFields[Method4]&amp;TableFields[Method5]&amp;";"</f>
        <v>$table-&gt;decimal('SLNO', 10,0 )-&gt;nullable();</v>
      </c>
    </row>
    <row r="218" spans="1:11" x14ac:dyDescent="0.25">
      <c r="A218" s="4" t="s">
        <v>1066</v>
      </c>
      <c r="B218" s="4" t="s">
        <v>998</v>
      </c>
      <c r="C218" s="4" t="str">
        <f>VLOOKUP(TableFields[Field],Columns[],2,0)&amp;"("</f>
        <v>datetime(</v>
      </c>
      <c r="D218" s="4" t="str">
        <f>IF(VLOOKUP(TableFields[Field],Columns[],3,0)&lt;&gt;"","'"&amp;VLOOKUP(TableFields[Field],Columns[],3,0)&amp;"'","")</f>
        <v>'DOCDATE'</v>
      </c>
      <c r="E21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18" s="4" t="str">
        <f>IF(VLOOKUP(TableFields[Field],Columns[],5,0)=0,"","-&gt;"&amp;VLOOKUP(TableFields[Field],Columns[],5,0))</f>
        <v>-&gt;nullable()</v>
      </c>
      <c r="G218" s="4" t="str">
        <f>IF(VLOOKUP(TableFields[Field],Columns[],6,0)=0,"","-&gt;"&amp;VLOOKUP(TableFields[Field],Columns[],6,0))</f>
        <v/>
      </c>
      <c r="H218" s="4" t="str">
        <f>IF(VLOOKUP(TableFields[Field],Columns[],7,0)=0,"","-&gt;"&amp;VLOOKUP(TableFields[Field],Columns[],7,0))</f>
        <v/>
      </c>
      <c r="I218" s="4" t="str">
        <f>IF(VLOOKUP(TableFields[Field],Columns[],8,0)=0,"","-&gt;"&amp;VLOOKUP(TableFields[Field],Columns[],8,0))</f>
        <v/>
      </c>
      <c r="J218" s="4" t="str">
        <f>IF(VLOOKUP(TableFields[Field],Columns[],9,0)=0,"","-&gt;"&amp;VLOOKUP(TableFields[Field],Columns[],9,0))</f>
        <v/>
      </c>
      <c r="K218" s="4" t="str">
        <f>"$table-&gt;"&amp;TableFields[Type]&amp;TableFields[Name]&amp;TableFields[Arg2]&amp;TableFields[Method1]&amp;TableFields[Method2]&amp;TableFields[Method3]&amp;TableFields[Method4]&amp;TableFields[Method5]&amp;";"</f>
        <v>$table-&gt;datetime('DOCDATE')-&gt;nullable();</v>
      </c>
    </row>
    <row r="219" spans="1:11" x14ac:dyDescent="0.25">
      <c r="A219" s="4" t="s">
        <v>1066</v>
      </c>
      <c r="B219" s="4" t="s">
        <v>1000</v>
      </c>
      <c r="C219" s="4" t="str">
        <f>VLOOKUP(TableFields[Field],Columns[],2,0)&amp;"("</f>
        <v>char(</v>
      </c>
      <c r="D219" s="4" t="str">
        <f>IF(VLOOKUP(TableFields[Field],Columns[],3,0)&lt;&gt;"","'"&amp;VLOOKUP(TableFields[Field],Columns[],3,0)&amp;"'","")</f>
        <v>'CO'</v>
      </c>
      <c r="E21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19" s="4" t="str">
        <f>IF(VLOOKUP(TableFields[Field],Columns[],5,0)=0,"","-&gt;"&amp;VLOOKUP(TableFields[Field],Columns[],5,0))</f>
        <v>-&gt;nullable()</v>
      </c>
      <c r="G219" s="4" t="str">
        <f>IF(VLOOKUP(TableFields[Field],Columns[],6,0)=0,"","-&gt;"&amp;VLOOKUP(TableFields[Field],Columns[],6,0))</f>
        <v/>
      </c>
      <c r="H219" s="4" t="str">
        <f>IF(VLOOKUP(TableFields[Field],Columns[],7,0)=0,"","-&gt;"&amp;VLOOKUP(TableFields[Field],Columns[],7,0))</f>
        <v/>
      </c>
      <c r="I219" s="4" t="str">
        <f>IF(VLOOKUP(TableFields[Field],Columns[],8,0)=0,"","-&gt;"&amp;VLOOKUP(TableFields[Field],Columns[],8,0))</f>
        <v/>
      </c>
      <c r="J219" s="4" t="str">
        <f>IF(VLOOKUP(TableFields[Field],Columns[],9,0)=0,"","-&gt;"&amp;VLOOKUP(TableFields[Field],Columns[],9,0))</f>
        <v/>
      </c>
      <c r="K219" s="4" t="str">
        <f>"$table-&gt;"&amp;TableFields[Type]&amp;TableFields[Name]&amp;TableFields[Arg2]&amp;TableFields[Method1]&amp;TableFields[Method2]&amp;TableFields[Method3]&amp;TableFields[Method4]&amp;TableFields[Method5]&amp;";"</f>
        <v>$table-&gt;char('CO', '5')-&gt;nullable();</v>
      </c>
    </row>
    <row r="220" spans="1:11" x14ac:dyDescent="0.25">
      <c r="A220" s="4" t="s">
        <v>1066</v>
      </c>
      <c r="B220" s="4" t="s">
        <v>1002</v>
      </c>
      <c r="C220" s="4" t="str">
        <f>VLOOKUP(TableFields[Field],Columns[],2,0)&amp;"("</f>
        <v>char(</v>
      </c>
      <c r="D220" s="4" t="str">
        <f>IF(VLOOKUP(TableFields[Field],Columns[],3,0)&lt;&gt;"","'"&amp;VLOOKUP(TableFields[Field],Columns[],3,0)&amp;"'","")</f>
        <v>'BR'</v>
      </c>
      <c r="E22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0" s="4" t="str">
        <f>IF(VLOOKUP(TableFields[Field],Columns[],5,0)=0,"","-&gt;"&amp;VLOOKUP(TableFields[Field],Columns[],5,0))</f>
        <v>-&gt;nullable()</v>
      </c>
      <c r="G220" s="4" t="str">
        <f>IF(VLOOKUP(TableFields[Field],Columns[],6,0)=0,"","-&gt;"&amp;VLOOKUP(TableFields[Field],Columns[],6,0))</f>
        <v/>
      </c>
      <c r="H220" s="4" t="str">
        <f>IF(VLOOKUP(TableFields[Field],Columns[],7,0)=0,"","-&gt;"&amp;VLOOKUP(TableFields[Field],Columns[],7,0))</f>
        <v/>
      </c>
      <c r="I220" s="4" t="str">
        <f>IF(VLOOKUP(TableFields[Field],Columns[],8,0)=0,"","-&gt;"&amp;VLOOKUP(TableFields[Field],Columns[],8,0))</f>
        <v/>
      </c>
      <c r="J220" s="4" t="str">
        <f>IF(VLOOKUP(TableFields[Field],Columns[],9,0)=0,"","-&gt;"&amp;VLOOKUP(TableFields[Field],Columns[],9,0))</f>
        <v/>
      </c>
      <c r="K220" s="4" t="str">
        <f>"$table-&gt;"&amp;TableFields[Type]&amp;TableFields[Name]&amp;TableFields[Arg2]&amp;TableFields[Method1]&amp;TableFields[Method2]&amp;TableFields[Method3]&amp;TableFields[Method4]&amp;TableFields[Method5]&amp;";"</f>
        <v>$table-&gt;char('BR', '5')-&gt;nullable();</v>
      </c>
    </row>
    <row r="221" spans="1:11" x14ac:dyDescent="0.25">
      <c r="A221" s="4" t="s">
        <v>1066</v>
      </c>
      <c r="B221" s="4" t="s">
        <v>1004</v>
      </c>
      <c r="C221" s="4" t="str">
        <f>VLOOKUP(TableFields[Field],Columns[],2,0)&amp;"("</f>
        <v>char(</v>
      </c>
      <c r="D221" s="4" t="str">
        <f>IF(VLOOKUP(TableFields[Field],Columns[],3,0)&lt;&gt;"","'"&amp;VLOOKUP(TableFields[Field],Columns[],3,0)&amp;"'","")</f>
        <v>'ACCCODE'</v>
      </c>
      <c r="E22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'15')</v>
      </c>
      <c r="F221" s="4" t="str">
        <f>IF(VLOOKUP(TableFields[Field],Columns[],5,0)=0,"","-&gt;"&amp;VLOOKUP(TableFields[Field],Columns[],5,0))</f>
        <v>-&gt;nullable()</v>
      </c>
      <c r="G221" s="4" t="str">
        <f>IF(VLOOKUP(TableFields[Field],Columns[],6,0)=0,"","-&gt;"&amp;VLOOKUP(TableFields[Field],Columns[],6,0))</f>
        <v/>
      </c>
      <c r="H221" s="4" t="str">
        <f>IF(VLOOKUP(TableFields[Field],Columns[],7,0)=0,"","-&gt;"&amp;VLOOKUP(TableFields[Field],Columns[],7,0))</f>
        <v/>
      </c>
      <c r="I221" s="4" t="str">
        <f>IF(VLOOKUP(TableFields[Field],Columns[],8,0)=0,"","-&gt;"&amp;VLOOKUP(TableFields[Field],Columns[],8,0))</f>
        <v/>
      </c>
      <c r="J221" s="4" t="str">
        <f>IF(VLOOKUP(TableFields[Field],Columns[],9,0)=0,"","-&gt;"&amp;VLOOKUP(TableFields[Field],Columns[],9,0))</f>
        <v/>
      </c>
      <c r="K221" s="4" t="str">
        <f>"$table-&gt;"&amp;TableFields[Type]&amp;TableFields[Name]&amp;TableFields[Arg2]&amp;TableFields[Method1]&amp;TableFields[Method2]&amp;TableFields[Method3]&amp;TableFields[Method4]&amp;TableFields[Method5]&amp;";"</f>
        <v>$table-&gt;char('ACCCODE', '15')-&gt;nullable();</v>
      </c>
    </row>
    <row r="222" spans="1:11" x14ac:dyDescent="0.25">
      <c r="A222" s="4" t="s">
        <v>1066</v>
      </c>
      <c r="B222" s="4" t="s">
        <v>1071</v>
      </c>
      <c r="C222" s="4" t="str">
        <f>VLOOKUP(TableFields[Field],Columns[],2,0)&amp;"("</f>
        <v>string(</v>
      </c>
      <c r="D222" s="4" t="str">
        <f>IF(VLOOKUP(TableFields[Field],Columns[],3,0)&lt;&gt;"","'"&amp;VLOOKUP(TableFields[Field],Columns[],3,0)&amp;"'","")</f>
        <v>'REFNO'</v>
      </c>
      <c r="E22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22" s="4" t="str">
        <f>IF(VLOOKUP(TableFields[Field],Columns[],5,0)=0,"","-&gt;"&amp;VLOOKUP(TableFields[Field],Columns[],5,0))</f>
        <v>-&gt;nullable()</v>
      </c>
      <c r="G222" s="4" t="str">
        <f>IF(VLOOKUP(TableFields[Field],Columns[],6,0)=0,"","-&gt;"&amp;VLOOKUP(TableFields[Field],Columns[],6,0))</f>
        <v/>
      </c>
      <c r="H222" s="4" t="str">
        <f>IF(VLOOKUP(TableFields[Field],Columns[],7,0)=0,"","-&gt;"&amp;VLOOKUP(TableFields[Field],Columns[],7,0))</f>
        <v/>
      </c>
      <c r="I222" s="4" t="str">
        <f>IF(VLOOKUP(TableFields[Field],Columns[],8,0)=0,"","-&gt;"&amp;VLOOKUP(TableFields[Field],Columns[],8,0))</f>
        <v/>
      </c>
      <c r="J222" s="4" t="str">
        <f>IF(VLOOKUP(TableFields[Field],Columns[],9,0)=0,"","-&gt;"&amp;VLOOKUP(TableFields[Field],Columns[],9,0))</f>
        <v/>
      </c>
      <c r="K222" s="4" t="str">
        <f>"$table-&gt;"&amp;TableFields[Type]&amp;TableFields[Name]&amp;TableFields[Arg2]&amp;TableFields[Method1]&amp;TableFields[Method2]&amp;TableFields[Method3]&amp;TableFields[Method4]&amp;TableFields[Method5]&amp;";"</f>
        <v>$table-&gt;string('REFNO', '60')-&gt;nullable();</v>
      </c>
    </row>
    <row r="223" spans="1:11" x14ac:dyDescent="0.25">
      <c r="A223" s="4" t="s">
        <v>1066</v>
      </c>
      <c r="B223" s="4" t="s">
        <v>1073</v>
      </c>
      <c r="C223" s="4" t="str">
        <f>VLOOKUP(TableFields[Field],Columns[],2,0)&amp;"("</f>
        <v>datetime(</v>
      </c>
      <c r="D223" s="4" t="str">
        <f>IF(VLOOKUP(TableFields[Field],Columns[],3,0)&lt;&gt;"","'"&amp;VLOOKUP(TableFields[Field],Columns[],3,0)&amp;"'","")</f>
        <v>'REFDATE'</v>
      </c>
      <c r="E22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23" s="4" t="str">
        <f>IF(VLOOKUP(TableFields[Field],Columns[],5,0)=0,"","-&gt;"&amp;VLOOKUP(TableFields[Field],Columns[],5,0))</f>
        <v>-&gt;nullable()</v>
      </c>
      <c r="G223" s="4" t="str">
        <f>IF(VLOOKUP(TableFields[Field],Columns[],6,0)=0,"","-&gt;"&amp;VLOOKUP(TableFields[Field],Columns[],6,0))</f>
        <v/>
      </c>
      <c r="H223" s="4" t="str">
        <f>IF(VLOOKUP(TableFields[Field],Columns[],7,0)=0,"","-&gt;"&amp;VLOOKUP(TableFields[Field],Columns[],7,0))</f>
        <v/>
      </c>
      <c r="I223" s="4" t="str">
        <f>IF(VLOOKUP(TableFields[Field],Columns[],8,0)=0,"","-&gt;"&amp;VLOOKUP(TableFields[Field],Columns[],8,0))</f>
        <v/>
      </c>
      <c r="J223" s="4" t="str">
        <f>IF(VLOOKUP(TableFields[Field],Columns[],9,0)=0,"","-&gt;"&amp;VLOOKUP(TableFields[Field],Columns[],9,0))</f>
        <v/>
      </c>
      <c r="K223" s="4" t="str">
        <f>"$table-&gt;"&amp;TableFields[Type]&amp;TableFields[Name]&amp;TableFields[Arg2]&amp;TableFields[Method1]&amp;TableFields[Method2]&amp;TableFields[Method3]&amp;TableFields[Method4]&amp;TableFields[Method5]&amp;";"</f>
        <v>$table-&gt;datetime('REFDATE')-&gt;nullable();</v>
      </c>
    </row>
    <row r="224" spans="1:11" x14ac:dyDescent="0.25">
      <c r="A224" s="4" t="s">
        <v>1066</v>
      </c>
      <c r="B224" s="4" t="s">
        <v>1011</v>
      </c>
      <c r="C224" s="4" t="str">
        <f>VLOOKUP(TableFields[Field],Columns[],2,0)&amp;"("</f>
        <v>decimal(</v>
      </c>
      <c r="D224" s="4" t="str">
        <f>IF(VLOOKUP(TableFields[Field],Columns[],3,0)&lt;&gt;"","'"&amp;VLOOKUP(TableFields[Field],Columns[],3,0)&amp;"'","")</f>
        <v>'AMT'</v>
      </c>
      <c r="E22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24" s="4" t="str">
        <f>IF(VLOOKUP(TableFields[Field],Columns[],5,0)=0,"","-&gt;"&amp;VLOOKUP(TableFields[Field],Columns[],5,0))</f>
        <v>-&gt;default(0)</v>
      </c>
      <c r="G224" s="4" t="str">
        <f>IF(VLOOKUP(TableFields[Field],Columns[],6,0)=0,"","-&gt;"&amp;VLOOKUP(TableFields[Field],Columns[],6,0))</f>
        <v/>
      </c>
      <c r="H224" s="4" t="str">
        <f>IF(VLOOKUP(TableFields[Field],Columns[],7,0)=0,"","-&gt;"&amp;VLOOKUP(TableFields[Field],Columns[],7,0))</f>
        <v/>
      </c>
      <c r="I224" s="4" t="str">
        <f>IF(VLOOKUP(TableFields[Field],Columns[],8,0)=0,"","-&gt;"&amp;VLOOKUP(TableFields[Field],Columns[],8,0))</f>
        <v/>
      </c>
      <c r="J224" s="4" t="str">
        <f>IF(VLOOKUP(TableFields[Field],Columns[],9,0)=0,"","-&gt;"&amp;VLOOKUP(TableFields[Field],Columns[],9,0))</f>
        <v/>
      </c>
      <c r="K224" s="4" t="str">
        <f>"$table-&gt;"&amp;TableFields[Type]&amp;TableFields[Name]&amp;TableFields[Arg2]&amp;TableFields[Method1]&amp;TableFields[Method2]&amp;TableFields[Method3]&amp;TableFields[Method4]&amp;TableFields[Method5]&amp;";"</f>
        <v>$table-&gt;decimal('AMT', 30,10)-&gt;default(0);</v>
      </c>
    </row>
    <row r="225" spans="1:11" x14ac:dyDescent="0.25">
      <c r="A225" s="4" t="s">
        <v>1066</v>
      </c>
      <c r="B225" s="4" t="s">
        <v>1013</v>
      </c>
      <c r="C225" s="4" t="str">
        <f>VLOOKUP(TableFields[Field],Columns[],2,0)&amp;"("</f>
        <v>decimal(</v>
      </c>
      <c r="D225" s="4" t="str">
        <f>IF(VLOOKUP(TableFields[Field],Columns[],3,0)&lt;&gt;"","'"&amp;VLOOKUP(TableFields[Field],Columns[],3,0)&amp;"'","")</f>
        <v>'SIGN'</v>
      </c>
      <c r="E22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2,0)</v>
      </c>
      <c r="F225" s="4" t="str">
        <f>IF(VLOOKUP(TableFields[Field],Columns[],5,0)=0,"","-&gt;"&amp;VLOOKUP(TableFields[Field],Columns[],5,0))</f>
        <v>-&gt;default(1)</v>
      </c>
      <c r="G225" s="4" t="str">
        <f>IF(VLOOKUP(TableFields[Field],Columns[],6,0)=0,"","-&gt;"&amp;VLOOKUP(TableFields[Field],Columns[],6,0))</f>
        <v/>
      </c>
      <c r="H225" s="4" t="str">
        <f>IF(VLOOKUP(TableFields[Field],Columns[],7,0)=0,"","-&gt;"&amp;VLOOKUP(TableFields[Field],Columns[],7,0))</f>
        <v/>
      </c>
      <c r="I225" s="4" t="str">
        <f>IF(VLOOKUP(TableFields[Field],Columns[],8,0)=0,"","-&gt;"&amp;VLOOKUP(TableFields[Field],Columns[],8,0))</f>
        <v/>
      </c>
      <c r="J225" s="4" t="str">
        <f>IF(VLOOKUP(TableFields[Field],Columns[],9,0)=0,"","-&gt;"&amp;VLOOKUP(TableFields[Field],Columns[],9,0))</f>
        <v/>
      </c>
      <c r="K225" s="4" t="str">
        <f>"$table-&gt;"&amp;TableFields[Type]&amp;TableFields[Name]&amp;TableFields[Arg2]&amp;TableFields[Method1]&amp;TableFields[Method2]&amp;TableFields[Method3]&amp;TableFields[Method4]&amp;TableFields[Method5]&amp;";"</f>
        <v>$table-&gt;decimal('SIGN', 2,0)-&gt;default(1);</v>
      </c>
    </row>
    <row r="226" spans="1:11" x14ac:dyDescent="0.25">
      <c r="A226" s="4" t="s">
        <v>1066</v>
      </c>
      <c r="B226" s="4" t="s">
        <v>1075</v>
      </c>
      <c r="C226" s="4" t="str">
        <f>VLOOKUP(TableFields[Field],Columns[],2,0)&amp;"("</f>
        <v>string(</v>
      </c>
      <c r="D226" s="4" t="str">
        <f>IF(VLOOKUP(TableFields[Field],Columns[],3,0)&lt;&gt;"","'"&amp;VLOOKUP(TableFields[Field],Columns[],3,0)&amp;"'","")</f>
        <v>'NARRATION'</v>
      </c>
      <c r="E22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6" s="4" t="str">
        <f>IF(VLOOKUP(TableFields[Field],Columns[],5,0)=0,"","-&gt;"&amp;VLOOKUP(TableFields[Field],Columns[],5,0))</f>
        <v>-&gt;nullable()</v>
      </c>
      <c r="G226" s="4" t="str">
        <f>IF(VLOOKUP(TableFields[Field],Columns[],6,0)=0,"","-&gt;"&amp;VLOOKUP(TableFields[Field],Columns[],6,0))</f>
        <v/>
      </c>
      <c r="H226" s="4" t="str">
        <f>IF(VLOOKUP(TableFields[Field],Columns[],7,0)=0,"","-&gt;"&amp;VLOOKUP(TableFields[Field],Columns[],7,0))</f>
        <v/>
      </c>
      <c r="I226" s="4" t="str">
        <f>IF(VLOOKUP(TableFields[Field],Columns[],8,0)=0,"","-&gt;"&amp;VLOOKUP(TableFields[Field],Columns[],8,0))</f>
        <v/>
      </c>
      <c r="J226" s="4" t="str">
        <f>IF(VLOOKUP(TableFields[Field],Columns[],9,0)=0,"","-&gt;"&amp;VLOOKUP(TableFields[Field],Columns[],9,0))</f>
        <v/>
      </c>
      <c r="K226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$table-&gt;string('NARRATION', '255')-&gt;nullable();</v>
      </c>
    </row>
    <row r="227" spans="1:11" x14ac:dyDescent="0.25">
      <c r="A227" s="4" t="s">
        <v>1066</v>
      </c>
      <c r="B227" s="4" t="s">
        <v>1077</v>
      </c>
      <c r="C227" s="4" t="str">
        <f>VLOOKUP(TableFields[Field],Columns[],2,0)&amp;"("</f>
        <v>string(</v>
      </c>
      <c r="D227" s="4" t="str">
        <f>IF(VLOOKUP(TableFields[Field],Columns[],3,0)&lt;&gt;"","'"&amp;VLOOKUP(TableFields[Field],Columns[],3,0)&amp;"'","")</f>
        <v>'NARRATION2'</v>
      </c>
      <c r="E22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'255')</v>
      </c>
      <c r="F227" s="4" t="str">
        <f>IF(VLOOKUP(TableFields[Field],Columns[],5,0)=0,"","-&gt;"&amp;VLOOKUP(TableFields[Field],Columns[],5,0))</f>
        <v>-&gt;nullable()</v>
      </c>
      <c r="G227" s="4" t="str">
        <f>IF(VLOOKUP(TableFields[Field],Columns[],6,0)=0,"","-&gt;"&amp;VLOOKUP(TableFields[Field],Columns[],6,0))</f>
        <v/>
      </c>
      <c r="H227" s="4" t="str">
        <f>IF(VLOOKUP(TableFields[Field],Columns[],7,0)=0,"","-&gt;"&amp;VLOOKUP(TableFields[Field],Columns[],7,0))</f>
        <v/>
      </c>
      <c r="I227" s="4" t="str">
        <f>IF(VLOOKUP(TableFields[Field],Columns[],8,0)=0,"","-&gt;"&amp;VLOOKUP(TableFields[Field],Columns[],8,0))</f>
        <v/>
      </c>
      <c r="J227" s="4" t="str">
        <f>IF(VLOOKUP(TableFields[Field],Columns[],9,0)=0,"","-&gt;"&amp;VLOOKUP(TableFields[Field],Columns[],9,0))</f>
        <v/>
      </c>
      <c r="K227" s="4" t="str">
        <f>"$table-&gt;"&amp;TableFields[Type]&amp;TableFields[Name]&amp;TableFields[Arg2]&amp;TableFields[Method1]&amp;TableFields[Method2]&amp;TableFields[Method3]&amp;TableFields[Method4]&amp;TableFields[Method5]&amp;";"</f>
        <v>$table-&gt;string('NARRATION2', '255')-&gt;nullable();</v>
      </c>
    </row>
    <row r="228" spans="1:11" x14ac:dyDescent="0.25">
      <c r="A228" s="4" t="s">
        <v>1066</v>
      </c>
      <c r="B228" s="4" t="s">
        <v>1053</v>
      </c>
      <c r="C228" s="4" t="str">
        <f>VLOOKUP(TableFields[Field],Columns[],2,0)&amp;"("</f>
        <v>char(</v>
      </c>
      <c r="D228" s="4" t="str">
        <f>IF(VLOOKUP(TableFields[Field],Columns[],3,0)&lt;&gt;"","'"&amp;VLOOKUP(TableFields[Field],Columns[],3,0)&amp;"'","")</f>
        <v>'REFCOCODE'</v>
      </c>
      <c r="E22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8" s="4" t="str">
        <f>IF(VLOOKUP(TableFields[Field],Columns[],5,0)=0,"","-&gt;"&amp;VLOOKUP(TableFields[Field],Columns[],5,0))</f>
        <v>-&gt;nullable()</v>
      </c>
      <c r="G228" s="4" t="str">
        <f>IF(VLOOKUP(TableFields[Field],Columns[],6,0)=0,"","-&gt;"&amp;VLOOKUP(TableFields[Field],Columns[],6,0))</f>
        <v/>
      </c>
      <c r="H228" s="4" t="str">
        <f>IF(VLOOKUP(TableFields[Field],Columns[],7,0)=0,"","-&gt;"&amp;VLOOKUP(TableFields[Field],Columns[],7,0))</f>
        <v/>
      </c>
      <c r="I228" s="4" t="str">
        <f>IF(VLOOKUP(TableFields[Field],Columns[],8,0)=0,"","-&gt;"&amp;VLOOKUP(TableFields[Field],Columns[],8,0))</f>
        <v/>
      </c>
      <c r="J228" s="4" t="str">
        <f>IF(VLOOKUP(TableFields[Field],Columns[],9,0)=0,"","-&gt;"&amp;VLOOKUP(TableFields[Field],Columns[],9,0))</f>
        <v/>
      </c>
      <c r="K228" s="4" t="str">
        <f>"$table-&gt;"&amp;TableFields[Type]&amp;TableFields[Name]&amp;TableFields[Arg2]&amp;TableFields[Method1]&amp;TableFields[Method2]&amp;TableFields[Method3]&amp;TableFields[Method4]&amp;TableFields[Method5]&amp;";"</f>
        <v>$table-&gt;char('REFCOCODE', '5')-&gt;nullable();</v>
      </c>
    </row>
    <row r="229" spans="1:11" x14ac:dyDescent="0.25">
      <c r="A229" s="4" t="s">
        <v>1066</v>
      </c>
      <c r="B229" s="4" t="s">
        <v>1055</v>
      </c>
      <c r="C229" s="4" t="str">
        <f>VLOOKUP(TableFields[Field],Columns[],2,0)&amp;"("</f>
        <v>char(</v>
      </c>
      <c r="D229" s="4" t="str">
        <f>IF(VLOOKUP(TableFields[Field],Columns[],3,0)&lt;&gt;"","'"&amp;VLOOKUP(TableFields[Field],Columns[],3,0)&amp;"'","")</f>
        <v>'REFBRCODE'</v>
      </c>
      <c r="E22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29" s="4" t="str">
        <f>IF(VLOOKUP(TableFields[Field],Columns[],5,0)=0,"","-&gt;"&amp;VLOOKUP(TableFields[Field],Columns[],5,0))</f>
        <v>-&gt;nullable()</v>
      </c>
      <c r="G229" s="4" t="str">
        <f>IF(VLOOKUP(TableFields[Field],Columns[],6,0)=0,"","-&gt;"&amp;VLOOKUP(TableFields[Field],Columns[],6,0))</f>
        <v/>
      </c>
      <c r="H229" s="4" t="str">
        <f>IF(VLOOKUP(TableFields[Field],Columns[],7,0)=0,"","-&gt;"&amp;VLOOKUP(TableFields[Field],Columns[],7,0))</f>
        <v/>
      </c>
      <c r="I229" s="4" t="str">
        <f>IF(VLOOKUP(TableFields[Field],Columns[],8,0)=0,"","-&gt;"&amp;VLOOKUP(TableFields[Field],Columns[],8,0))</f>
        <v/>
      </c>
      <c r="J229" s="4" t="str">
        <f>IF(VLOOKUP(TableFields[Field],Columns[],9,0)=0,"","-&gt;"&amp;VLOOKUP(TableFields[Field],Columns[],9,0))</f>
        <v/>
      </c>
      <c r="K229" s="4" t="str">
        <f>"$table-&gt;"&amp;TableFields[Type]&amp;TableFields[Name]&amp;TableFields[Arg2]&amp;TableFields[Method1]&amp;TableFields[Method2]&amp;TableFields[Method3]&amp;TableFields[Method4]&amp;TableFields[Method5]&amp;";"</f>
        <v>$table-&gt;char('REFBRCODE', '5')-&gt;nullable();</v>
      </c>
    </row>
    <row r="230" spans="1:11" x14ac:dyDescent="0.25">
      <c r="A230" s="4" t="s">
        <v>1066</v>
      </c>
      <c r="B230" s="4" t="s">
        <v>1059</v>
      </c>
      <c r="C230" s="4" t="str">
        <f>VLOOKUP(TableFields[Field],Columns[],2,0)&amp;"("</f>
        <v>char(</v>
      </c>
      <c r="D230" s="4" t="str">
        <f>IF(VLOOKUP(TableFields[Field],Columns[],3,0)&lt;&gt;"","'"&amp;VLOOKUP(TableFields[Field],Columns[],3,0)&amp;"'","")</f>
        <v>'REFFYCODE'</v>
      </c>
      <c r="E23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0" s="4" t="str">
        <f>IF(VLOOKUP(TableFields[Field],Columns[],5,0)=0,"","-&gt;"&amp;VLOOKUP(TableFields[Field],Columns[],5,0))</f>
        <v>-&gt;nullable()</v>
      </c>
      <c r="G230" s="4" t="str">
        <f>IF(VLOOKUP(TableFields[Field],Columns[],6,0)=0,"","-&gt;"&amp;VLOOKUP(TableFields[Field],Columns[],6,0))</f>
        <v/>
      </c>
      <c r="H230" s="4" t="str">
        <f>IF(VLOOKUP(TableFields[Field],Columns[],7,0)=0,"","-&gt;"&amp;VLOOKUP(TableFields[Field],Columns[],7,0))</f>
        <v/>
      </c>
      <c r="I230" s="4" t="str">
        <f>IF(VLOOKUP(TableFields[Field],Columns[],8,0)=0,"","-&gt;"&amp;VLOOKUP(TableFields[Field],Columns[],8,0))</f>
        <v/>
      </c>
      <c r="J230" s="4" t="str">
        <f>IF(VLOOKUP(TableFields[Field],Columns[],9,0)=0,"","-&gt;"&amp;VLOOKUP(TableFields[Field],Columns[],9,0))</f>
        <v/>
      </c>
      <c r="K230" s="4" t="str">
        <f>"$table-&gt;"&amp;TableFields[Type]&amp;TableFields[Name]&amp;TableFields[Arg2]&amp;TableFields[Method1]&amp;TableFields[Method2]&amp;TableFields[Method3]&amp;TableFields[Method4]&amp;TableFields[Method5]&amp;";"</f>
        <v>$table-&gt;char('REFFYCODE', '5')-&gt;nullable();</v>
      </c>
    </row>
    <row r="231" spans="1:11" x14ac:dyDescent="0.25">
      <c r="A231" s="4" t="s">
        <v>1066</v>
      </c>
      <c r="B231" s="4" t="s">
        <v>1057</v>
      </c>
      <c r="C231" s="4" t="str">
        <f>VLOOKUP(TableFields[Field],Columns[],2,0)&amp;"("</f>
        <v>char(</v>
      </c>
      <c r="D231" s="4" t="str">
        <f>IF(VLOOKUP(TableFields[Field],Columns[],3,0)&lt;&gt;"","'"&amp;VLOOKUP(TableFields[Field],Columns[],3,0)&amp;"'","")</f>
        <v>'REFFNCODE'</v>
      </c>
      <c r="E23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31" s="4" t="str">
        <f>IF(VLOOKUP(TableFields[Field],Columns[],5,0)=0,"","-&gt;"&amp;VLOOKUP(TableFields[Field],Columns[],5,0))</f>
        <v>-&gt;nullable()</v>
      </c>
      <c r="G231" s="4" t="str">
        <f>IF(VLOOKUP(TableFields[Field],Columns[],6,0)=0,"","-&gt;"&amp;VLOOKUP(TableFields[Field],Columns[],6,0))</f>
        <v/>
      </c>
      <c r="H231" s="4" t="str">
        <f>IF(VLOOKUP(TableFields[Field],Columns[],7,0)=0,"","-&gt;"&amp;VLOOKUP(TableFields[Field],Columns[],7,0))</f>
        <v/>
      </c>
      <c r="I231" s="4" t="str">
        <f>IF(VLOOKUP(TableFields[Field],Columns[],8,0)=0,"","-&gt;"&amp;VLOOKUP(TableFields[Field],Columns[],8,0))</f>
        <v/>
      </c>
      <c r="J231" s="4" t="str">
        <f>IF(VLOOKUP(TableFields[Field],Columns[],9,0)=0,"","-&gt;"&amp;VLOOKUP(TableFields[Field],Columns[],9,0))</f>
        <v/>
      </c>
      <c r="K231" s="4" t="str">
        <f>"$table-&gt;"&amp;TableFields[Type]&amp;TableFields[Name]&amp;TableFields[Arg2]&amp;TableFields[Method1]&amp;TableFields[Method2]&amp;TableFields[Method3]&amp;TableFields[Method4]&amp;TableFields[Method5]&amp;";"</f>
        <v>$table-&gt;char('REFFNCODE', '5')-&gt;nullable();</v>
      </c>
    </row>
    <row r="232" spans="1:11" x14ac:dyDescent="0.25">
      <c r="A232" s="4" t="s">
        <v>1066</v>
      </c>
      <c r="B232" s="4" t="s">
        <v>1061</v>
      </c>
      <c r="C232" s="4" t="str">
        <f>VLOOKUP(TableFields[Field],Columns[],2,0)&amp;"("</f>
        <v>char(</v>
      </c>
      <c r="D232" s="4" t="str">
        <f>IF(VLOOKUP(TableFields[Field],Columns[],3,0)&lt;&gt;"","'"&amp;VLOOKUP(TableFields[Field],Columns[],3,0)&amp;"'","")</f>
        <v>'REFDOCNO'</v>
      </c>
      <c r="E23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32" s="4" t="str">
        <f>IF(VLOOKUP(TableFields[Field],Columns[],5,0)=0,"","-&gt;"&amp;VLOOKUP(TableFields[Field],Columns[],5,0))</f>
        <v>-&gt;nullable()</v>
      </c>
      <c r="G232" s="4" t="str">
        <f>IF(VLOOKUP(TableFields[Field],Columns[],6,0)=0,"","-&gt;"&amp;VLOOKUP(TableFields[Field],Columns[],6,0))</f>
        <v/>
      </c>
      <c r="H232" s="4" t="str">
        <f>IF(VLOOKUP(TableFields[Field],Columns[],7,0)=0,"","-&gt;"&amp;VLOOKUP(TableFields[Field],Columns[],7,0))</f>
        <v/>
      </c>
      <c r="I232" s="4" t="str">
        <f>IF(VLOOKUP(TableFields[Field],Columns[],8,0)=0,"","-&gt;"&amp;VLOOKUP(TableFields[Field],Columns[],8,0))</f>
        <v/>
      </c>
      <c r="J232" s="4" t="str">
        <f>IF(VLOOKUP(TableFields[Field],Columns[],9,0)=0,"","-&gt;"&amp;VLOOKUP(TableFields[Field],Columns[],9,0))</f>
        <v/>
      </c>
      <c r="K232" s="4" t="str">
        <f>"$table-&gt;"&amp;TableFields[Type]&amp;TableFields[Name]&amp;TableFields[Arg2]&amp;TableFields[Method1]&amp;TableFields[Method2]&amp;TableFields[Method3]&amp;TableFields[Method4]&amp;TableFields[Method5]&amp;";"</f>
        <v>$table-&gt;char('REFDOCNO', '20')-&gt;nullable();</v>
      </c>
    </row>
    <row r="233" spans="1:11" x14ac:dyDescent="0.25">
      <c r="A233" s="4" t="s">
        <v>1066</v>
      </c>
      <c r="B233" s="4" t="s">
        <v>1079</v>
      </c>
      <c r="C233" s="4" t="str">
        <f>VLOOKUP(TableFields[Field],Columns[],2,0)&amp;"("</f>
        <v>decimal(</v>
      </c>
      <c r="D233" s="4" t="str">
        <f>IF(VLOOKUP(TableFields[Field],Columns[],3,0)&lt;&gt;"","'"&amp;VLOOKUP(TableFields[Field],Columns[],3,0)&amp;"'","")</f>
        <v>'REFSRNO'</v>
      </c>
      <c r="E23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10,0 )</v>
      </c>
      <c r="F233" s="4" t="str">
        <f>IF(VLOOKUP(TableFields[Field],Columns[],5,0)=0,"","-&gt;"&amp;VLOOKUP(TableFields[Field],Columns[],5,0))</f>
        <v>-&gt;nullable()</v>
      </c>
      <c r="G233" s="4" t="str">
        <f>IF(VLOOKUP(TableFields[Field],Columns[],6,0)=0,"","-&gt;"&amp;VLOOKUP(TableFields[Field],Columns[],6,0))</f>
        <v/>
      </c>
      <c r="H233" s="4" t="str">
        <f>IF(VLOOKUP(TableFields[Field],Columns[],7,0)=0,"","-&gt;"&amp;VLOOKUP(TableFields[Field],Columns[],7,0))</f>
        <v/>
      </c>
      <c r="I233" s="4" t="str">
        <f>IF(VLOOKUP(TableFields[Field],Columns[],8,0)=0,"","-&gt;"&amp;VLOOKUP(TableFields[Field],Columns[],8,0))</f>
        <v/>
      </c>
      <c r="J233" s="4" t="str">
        <f>IF(VLOOKUP(TableFields[Field],Columns[],9,0)=0,"","-&gt;"&amp;VLOOKUP(TableFields[Field],Columns[],9,0))</f>
        <v/>
      </c>
      <c r="K233" s="4" t="str">
        <f>"$table-&gt;"&amp;TableFields[Type]&amp;TableFields[Name]&amp;TableFields[Arg2]&amp;TableFields[Method1]&amp;TableFields[Method2]&amp;TableFields[Method3]&amp;TableFields[Method4]&amp;TableFields[Method5]&amp;";"</f>
        <v>$table-&gt;decimal('REFSRNO', 10,0 )-&gt;nullable();</v>
      </c>
    </row>
    <row r="234" spans="1:11" x14ac:dyDescent="0.25">
      <c r="A234" s="4" t="s">
        <v>1066</v>
      </c>
      <c r="B234" s="4" t="s">
        <v>1017</v>
      </c>
      <c r="C234" s="4" t="str">
        <f>VLOOKUP(TableFields[Field],Columns[],2,0)&amp;"("</f>
        <v>enum(</v>
      </c>
      <c r="D234" s="4" t="str">
        <f>IF(VLOOKUP(TableFields[Field],Columns[],3,0)&lt;&gt;"","'"&amp;VLOOKUP(TableFields[Field],Columns[],3,0)&amp;"'","")</f>
        <v>'TYPE'</v>
      </c>
      <c r="E23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['System','Normal','PostDated'])</v>
      </c>
      <c r="F234" s="4" t="str">
        <f>IF(VLOOKUP(TableFields[Field],Columns[],5,0)=0,"","-&gt;"&amp;VLOOKUP(TableFields[Field],Columns[],5,0))</f>
        <v>-&gt;default('Normal')</v>
      </c>
      <c r="G234" s="4" t="str">
        <f>IF(VLOOKUP(TableFields[Field],Columns[],6,0)=0,"","-&gt;"&amp;VLOOKUP(TableFields[Field],Columns[],6,0))</f>
        <v/>
      </c>
      <c r="H234" s="4" t="str">
        <f>IF(VLOOKUP(TableFields[Field],Columns[],7,0)=0,"","-&gt;"&amp;VLOOKUP(TableFields[Field],Columns[],7,0))</f>
        <v/>
      </c>
      <c r="I234" s="4" t="str">
        <f>IF(VLOOKUP(TableFields[Field],Columns[],8,0)=0,"","-&gt;"&amp;VLOOKUP(TableFields[Field],Columns[],8,0))</f>
        <v/>
      </c>
      <c r="J234" s="4" t="str">
        <f>IF(VLOOKUP(TableFields[Field],Columns[],9,0)=0,"","-&gt;"&amp;VLOOKUP(TableFields[Field],Columns[],9,0))</f>
        <v/>
      </c>
      <c r="K234" s="4" t="str">
        <f>"$table-&gt;"&amp;TableFields[Type]&amp;TableFields[Name]&amp;TableFields[Arg2]&amp;TableFields[Method1]&amp;TableFields[Method2]&amp;TableFields[Method3]&amp;TableFields[Method4]&amp;TableFields[Method5]&amp;";"</f>
        <v>$table-&gt;enum('TYPE', ['System','Normal','PostDated'])-&gt;default('Normal');</v>
      </c>
    </row>
    <row r="235" spans="1:11" x14ac:dyDescent="0.25">
      <c r="A235" s="4" t="s">
        <v>1066</v>
      </c>
      <c r="B235" s="4" t="s">
        <v>1019</v>
      </c>
      <c r="C235" s="4" t="str">
        <f>VLOOKUP(TableFields[Field],Columns[],2,0)&amp;"("</f>
        <v>enum(</v>
      </c>
      <c r="D235" s="4" t="str">
        <f>IF(VLOOKUP(TableFields[Field],Columns[],3,0)&lt;&gt;"","'"&amp;VLOOKUP(TableFields[Field],Columns[],3,0)&amp;"'","")</f>
        <v>'APPROVAL_STATUS'</v>
      </c>
      <c r="E23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['Approved','Pending','Rejected'])</v>
      </c>
      <c r="F235" s="4" t="str">
        <f>IF(VLOOKUP(TableFields[Field],Columns[],5,0)=0,"","-&gt;"&amp;VLOOKUP(TableFields[Field],Columns[],5,0))</f>
        <v>-&gt;nullable()</v>
      </c>
      <c r="G235" s="4" t="str">
        <f>IF(VLOOKUP(TableFields[Field],Columns[],6,0)=0,"","-&gt;"&amp;VLOOKUP(TableFields[Field],Columns[],6,0))</f>
        <v>-&gt;default('Pending')</v>
      </c>
      <c r="H235" s="4" t="str">
        <f>IF(VLOOKUP(TableFields[Field],Columns[],7,0)=0,"","-&gt;"&amp;VLOOKUP(TableFields[Field],Columns[],7,0))</f>
        <v/>
      </c>
      <c r="I235" s="4" t="str">
        <f>IF(VLOOKUP(TableFields[Field],Columns[],8,0)=0,"","-&gt;"&amp;VLOOKUP(TableFields[Field],Columns[],8,0))</f>
        <v/>
      </c>
      <c r="J235" s="4" t="str">
        <f>IF(VLOOKUP(TableFields[Field],Columns[],9,0)=0,"","-&gt;"&amp;VLOOKUP(TableFields[Field],Columns[],9,0))</f>
        <v/>
      </c>
      <c r="K235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$table-&gt;enum('APPROVAL_STATUS', ['Approved','Pending','Rejected'])-&gt;nullable()-&gt;default('Pending');</v>
      </c>
    </row>
    <row r="236" spans="1:11" x14ac:dyDescent="0.25">
      <c r="A236" s="4" t="s">
        <v>1066</v>
      </c>
      <c r="B236" s="4" t="s">
        <v>1021</v>
      </c>
      <c r="C236" s="4" t="str">
        <f>VLOOKUP(TableFields[Field],Columns[],2,0)&amp;"("</f>
        <v>enum(</v>
      </c>
      <c r="D236" s="4" t="str">
        <f>IF(VLOOKUP(TableFields[Field],Columns[],3,0)&lt;&gt;"","'"&amp;VLOOKUP(TableFields[Field],Columns[],3,0)&amp;"'","")</f>
        <v>'APPROVAL_MODE'</v>
      </c>
      <c r="E23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['Insert','Update','Delete'])</v>
      </c>
      <c r="F236" s="4" t="str">
        <f>IF(VLOOKUP(TableFields[Field],Columns[],5,0)=0,"","-&gt;"&amp;VLOOKUP(TableFields[Field],Columns[],5,0))</f>
        <v>-&gt;nullable()</v>
      </c>
      <c r="G236" s="4" t="str">
        <f>IF(VLOOKUP(TableFields[Field],Columns[],6,0)=0,"","-&gt;"&amp;VLOOKUP(TableFields[Field],Columns[],6,0))</f>
        <v>-&gt;default('Insert')</v>
      </c>
      <c r="H236" s="4" t="str">
        <f>IF(VLOOKUP(TableFields[Field],Columns[],7,0)=0,"","-&gt;"&amp;VLOOKUP(TableFields[Field],Columns[],7,0))</f>
        <v/>
      </c>
      <c r="I236" s="4" t="str">
        <f>IF(VLOOKUP(TableFields[Field],Columns[],8,0)=0,"","-&gt;"&amp;VLOOKUP(TableFields[Field],Columns[],8,0))</f>
        <v/>
      </c>
      <c r="J236" s="4" t="str">
        <f>IF(VLOOKUP(TableFields[Field],Columns[],9,0)=0,"","-&gt;"&amp;VLOOKUP(TableFields[Field],Columns[],9,0))</f>
        <v/>
      </c>
      <c r="K236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$table-&gt;enum('APPROVAL_MODE', ['Insert','Update','Delete'])-&gt;nullable()-&gt;default('Insert');</v>
      </c>
    </row>
    <row r="237" spans="1:11" x14ac:dyDescent="0.25">
      <c r="A237" s="4" t="s">
        <v>1066</v>
      </c>
      <c r="B237" s="4" t="s">
        <v>1023</v>
      </c>
      <c r="C237" s="4" t="str">
        <f>VLOOKUP(TableFields[Field],Columns[],2,0)&amp;"("</f>
        <v>enum(</v>
      </c>
      <c r="D237" s="4" t="str">
        <f>IF(VLOOKUP(TableFields[Field],Columns[],3,0)&lt;&gt;"","'"&amp;VLOOKUP(TableFields[Field],Columns[],3,0)&amp;"'","")</f>
        <v>'APPROVAL_TYPE'</v>
      </c>
      <c r="E23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['Default','User'])</v>
      </c>
      <c r="F237" s="4" t="str">
        <f>IF(VLOOKUP(TableFields[Field],Columns[],5,0)=0,"","-&gt;"&amp;VLOOKUP(TableFields[Field],Columns[],5,0))</f>
        <v>-&gt;nullable()</v>
      </c>
      <c r="G237" s="4" t="str">
        <f>IF(VLOOKUP(TableFields[Field],Columns[],6,0)=0,"","-&gt;"&amp;VLOOKUP(TableFields[Field],Columns[],6,0))</f>
        <v>-&gt;default('Default')</v>
      </c>
      <c r="H237" s="4" t="str">
        <f>IF(VLOOKUP(TableFields[Field],Columns[],7,0)=0,"","-&gt;"&amp;VLOOKUP(TableFields[Field],Columns[],7,0))</f>
        <v/>
      </c>
      <c r="I237" s="4" t="str">
        <f>IF(VLOOKUP(TableFields[Field],Columns[],8,0)=0,"","-&gt;"&amp;VLOOKUP(TableFields[Field],Columns[],8,0))</f>
        <v/>
      </c>
      <c r="J237" s="4" t="str">
        <f>IF(VLOOKUP(TableFields[Field],Columns[],9,0)=0,"","-&gt;"&amp;VLOOKUP(TableFields[Field],Columns[],9,0))</f>
        <v/>
      </c>
      <c r="K237" s="4" t="str">
        <f>"$table-&gt;"&amp;TableFields[Type]&amp;TableFields[Name]&amp;TableFields[Arg2]&amp;TableFields[Method1]&amp;TableFields[Method2]&amp;TableFields[Method3]&amp;TableFields[Method4]&amp;TableFields[Method5]&amp;";"</f>
        <v>$table-&gt;enum('APPROVAL_TYPE', ['Default','User'])-&gt;nullable()-&gt;default('Default');</v>
      </c>
    </row>
    <row r="238" spans="1:11" x14ac:dyDescent="0.25">
      <c r="A238" s="4" t="s">
        <v>1066</v>
      </c>
      <c r="B238" s="4" t="s">
        <v>1025</v>
      </c>
      <c r="C238" s="4" t="str">
        <f>VLOOKUP(TableFields[Field],Columns[],2,0)&amp;"("</f>
        <v>enum(</v>
      </c>
      <c r="D238" s="4" t="str">
        <f>IF(VLOOKUP(TableFields[Field],Columns[],3,0)&lt;&gt;"","'"&amp;VLOOKUP(TableFields[Field],Columns[],3,0)&amp;"'","")</f>
        <v>'CANCEL'</v>
      </c>
      <c r="E23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['Yes','No'])</v>
      </c>
      <c r="F238" s="4" t="str">
        <f>IF(VLOOKUP(TableFields[Field],Columns[],5,0)=0,"","-&gt;"&amp;VLOOKUP(TableFields[Field],Columns[],5,0))</f>
        <v>-&gt;default('No')</v>
      </c>
      <c r="G238" s="4" t="str">
        <f>IF(VLOOKUP(TableFields[Field],Columns[],6,0)=0,"","-&gt;"&amp;VLOOKUP(TableFields[Field],Columns[],6,0))</f>
        <v/>
      </c>
      <c r="H238" s="4" t="str">
        <f>IF(VLOOKUP(TableFields[Field],Columns[],7,0)=0,"","-&gt;"&amp;VLOOKUP(TableFields[Field],Columns[],7,0))</f>
        <v/>
      </c>
      <c r="I238" s="4" t="str">
        <f>IF(VLOOKUP(TableFields[Field],Columns[],8,0)=0,"","-&gt;"&amp;VLOOKUP(TableFields[Field],Columns[],8,0))</f>
        <v/>
      </c>
      <c r="J238" s="4" t="str">
        <f>IF(VLOOKUP(TableFields[Field],Columns[],9,0)=0,"","-&gt;"&amp;VLOOKUP(TableFields[Field],Columns[],9,0))</f>
        <v/>
      </c>
      <c r="K238" s="4" t="str">
        <f>"$table-&gt;"&amp;TableFields[Type]&amp;TableFields[Name]&amp;TableFields[Arg2]&amp;TableFields[Method1]&amp;TableFields[Method2]&amp;TableFields[Method3]&amp;TableFields[Method4]&amp;TableFields[Method5]&amp;";"</f>
        <v>$table-&gt;enum('CANCEL', ['Yes','No'])-&gt;default('No');</v>
      </c>
    </row>
    <row r="239" spans="1:11" x14ac:dyDescent="0.25">
      <c r="A239" s="4" t="s">
        <v>1066</v>
      </c>
      <c r="B239" s="4" t="s">
        <v>1027</v>
      </c>
      <c r="C239" s="4" t="str">
        <f>VLOOKUP(TableFields[Field],Columns[],2,0)&amp;"("</f>
        <v>decimal(</v>
      </c>
      <c r="D239" s="4" t="str">
        <f>IF(VLOOKUP(TableFields[Field],Columns[],3,0)&lt;&gt;"","'"&amp;VLOOKUP(TableFields[Field],Columns[],3,0)&amp;"'","")</f>
        <v>'VERSION'</v>
      </c>
      <c r="E23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10,0)</v>
      </c>
      <c r="F239" s="4" t="str">
        <f>IF(VLOOKUP(TableFields[Field],Columns[],5,0)=0,"","-&gt;"&amp;VLOOKUP(TableFields[Field],Columns[],5,0))</f>
        <v>-&gt;default(1)</v>
      </c>
      <c r="G239" s="4" t="str">
        <f>IF(VLOOKUP(TableFields[Field],Columns[],6,0)=0,"","-&gt;"&amp;VLOOKUP(TableFields[Field],Columns[],6,0))</f>
        <v/>
      </c>
      <c r="H239" s="4" t="str">
        <f>IF(VLOOKUP(TableFields[Field],Columns[],7,0)=0,"","-&gt;"&amp;VLOOKUP(TableFields[Field],Columns[],7,0))</f>
        <v/>
      </c>
      <c r="I239" s="4" t="str">
        <f>IF(VLOOKUP(TableFields[Field],Columns[],8,0)=0,"","-&gt;"&amp;VLOOKUP(TableFields[Field],Columns[],8,0))</f>
        <v/>
      </c>
      <c r="J239" s="4" t="str">
        <f>IF(VLOOKUP(TableFields[Field],Columns[],9,0)=0,"","-&gt;"&amp;VLOOKUP(TableFields[Field],Columns[],9,0))</f>
        <v/>
      </c>
      <c r="K239" s="4" t="str">
        <f>"$table-&gt;"&amp;TableFields[Type]&amp;TableFields[Name]&amp;TableFields[Arg2]&amp;TableFields[Method1]&amp;TableFields[Method2]&amp;TableFields[Method3]&amp;TableFields[Method4]&amp;TableFields[Method5]&amp;";"</f>
        <v>$table-&gt;decimal('VERSION', 10,0)-&gt;default(1);</v>
      </c>
    </row>
    <row r="240" spans="1:11" x14ac:dyDescent="0.25">
      <c r="A240" s="4" t="s">
        <v>1066</v>
      </c>
      <c r="B240" s="4" t="s">
        <v>288</v>
      </c>
      <c r="C240" s="4" t="str">
        <f>VLOOKUP(TableFields[Field],Columns[],2,0)&amp;"("</f>
        <v>audit(</v>
      </c>
      <c r="D240" s="4" t="str">
        <f>IF(VLOOKUP(TableFields[Field],Columns[],3,0)&lt;&gt;"","'"&amp;VLOOKUP(TableFields[Field],Columns[],3,0)&amp;"'","")</f>
        <v/>
      </c>
      <c r="E24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0" s="4" t="str">
        <f>IF(VLOOKUP(TableFields[Field],Columns[],5,0)=0,"","-&gt;"&amp;VLOOKUP(TableFields[Field],Columns[],5,0))</f>
        <v/>
      </c>
      <c r="G240" s="4" t="str">
        <f>IF(VLOOKUP(TableFields[Field],Columns[],6,0)=0,"","-&gt;"&amp;VLOOKUP(TableFields[Field],Columns[],6,0))</f>
        <v/>
      </c>
      <c r="H240" s="4" t="str">
        <f>IF(VLOOKUP(TableFields[Field],Columns[],7,0)=0,"","-&gt;"&amp;VLOOKUP(TableFields[Field],Columns[],7,0))</f>
        <v/>
      </c>
      <c r="I240" s="4" t="str">
        <f>IF(VLOOKUP(TableFields[Field],Columns[],8,0)=0,"","-&gt;"&amp;VLOOKUP(TableFields[Field],Columns[],8,0))</f>
        <v/>
      </c>
      <c r="J240" s="4" t="str">
        <f>IF(VLOOKUP(TableFields[Field],Columns[],9,0)=0,"","-&gt;"&amp;VLOOKUP(TableFields[Field],Columns[],9,0))</f>
        <v/>
      </c>
      <c r="K240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41" spans="1:11" x14ac:dyDescent="0.25">
      <c r="A241" s="4" t="s">
        <v>961</v>
      </c>
      <c r="B241" s="4" t="s">
        <v>21</v>
      </c>
      <c r="C241" s="4" t="str">
        <f>VLOOKUP(TableFields[Field],Columns[],2,0)&amp;"("</f>
        <v>bigIncrements(</v>
      </c>
      <c r="D241" s="4" t="str">
        <f>IF(VLOOKUP(TableFields[Field],Columns[],3,0)&lt;&gt;"","'"&amp;VLOOKUP(TableFields[Field],Columns[],3,0)&amp;"'","")</f>
        <v>'id'</v>
      </c>
      <c r="E24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1" s="4" t="str">
        <f>IF(VLOOKUP(TableFields[Field],Columns[],5,0)=0,"","-&gt;"&amp;VLOOKUP(TableFields[Field],Columns[],5,0))</f>
        <v/>
      </c>
      <c r="G241" s="4" t="str">
        <f>IF(VLOOKUP(TableFields[Field],Columns[],6,0)=0,"","-&gt;"&amp;VLOOKUP(TableFields[Field],Columns[],6,0))</f>
        <v/>
      </c>
      <c r="H241" s="4" t="str">
        <f>IF(VLOOKUP(TableFields[Field],Columns[],7,0)=0,"","-&gt;"&amp;VLOOKUP(TableFields[Field],Columns[],7,0))</f>
        <v/>
      </c>
      <c r="I241" s="4" t="str">
        <f>IF(VLOOKUP(TableFields[Field],Columns[],8,0)=0,"","-&gt;"&amp;VLOOKUP(TableFields[Field],Columns[],8,0))</f>
        <v/>
      </c>
      <c r="J241" s="4" t="str">
        <f>IF(VLOOKUP(TableFields[Field],Columns[],9,0)=0,"","-&gt;"&amp;VLOOKUP(TableFields[Field],Columns[],9,0))</f>
        <v/>
      </c>
      <c r="K241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42" spans="1:11" x14ac:dyDescent="0.25">
      <c r="A242" s="4" t="s">
        <v>961</v>
      </c>
      <c r="B242" s="4" t="s">
        <v>848</v>
      </c>
      <c r="C242" s="4" t="str">
        <f>VLOOKUP(TableFields[Field],Columns[],2,0)&amp;"("</f>
        <v>char(</v>
      </c>
      <c r="D242" s="4" t="str">
        <f>IF(VLOOKUP(TableFields[Field],Columns[],3,0)&lt;&gt;"","'"&amp;VLOOKUP(TableFields[Field],Columns[],3,0)&amp;"'","")</f>
        <v>'docno'</v>
      </c>
      <c r="E24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42" s="4" t="str">
        <f>IF(VLOOKUP(TableFields[Field],Columns[],5,0)=0,"","-&gt;"&amp;VLOOKUP(TableFields[Field],Columns[],5,0))</f>
        <v>-&gt;nullable()</v>
      </c>
      <c r="G242" s="4" t="str">
        <f>IF(VLOOKUP(TableFields[Field],Columns[],6,0)=0,"","-&gt;"&amp;VLOOKUP(TableFields[Field],Columns[],6,0))</f>
        <v>-&gt;index()</v>
      </c>
      <c r="H242" s="4" t="str">
        <f>IF(VLOOKUP(TableFields[Field],Columns[],7,0)=0,"","-&gt;"&amp;VLOOKUP(TableFields[Field],Columns[],7,0))</f>
        <v/>
      </c>
      <c r="I242" s="4" t="str">
        <f>IF(VLOOKUP(TableFields[Field],Columns[],8,0)=0,"","-&gt;"&amp;VLOOKUP(TableFields[Field],Columns[],8,0))</f>
        <v/>
      </c>
      <c r="J242" s="4" t="str">
        <f>IF(VLOOKUP(TableFields[Field],Columns[],9,0)=0,"","-&gt;"&amp;VLOOKUP(TableFields[Field],Columns[],9,0))</f>
        <v/>
      </c>
      <c r="K242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43" spans="1:11" x14ac:dyDescent="0.25">
      <c r="A243" s="4" t="s">
        <v>961</v>
      </c>
      <c r="B243" s="4" t="s">
        <v>842</v>
      </c>
      <c r="C243" s="4" t="str">
        <f>VLOOKUP(TableFields[Field],Columns[],2,0)&amp;"("</f>
        <v>timestamp(</v>
      </c>
      <c r="D243" s="4" t="str">
        <f>IF(VLOOKUP(TableFields[Field],Columns[],3,0)&lt;&gt;"","'"&amp;VLOOKUP(TableFields[Field],Columns[],3,0)&amp;"'","")</f>
        <v>'date'</v>
      </c>
      <c r="E24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43" s="4" t="str">
        <f>IF(VLOOKUP(TableFields[Field],Columns[],5,0)=0,"","-&gt;"&amp;VLOOKUP(TableFields[Field],Columns[],5,0))</f>
        <v>-&gt;default(DB::raw('CURRENT_TIMESTAMP'))</v>
      </c>
      <c r="G243" s="4" t="str">
        <f>IF(VLOOKUP(TableFields[Field],Columns[],6,0)=0,"","-&gt;"&amp;VLOOKUP(TableFields[Field],Columns[],6,0))</f>
        <v/>
      </c>
      <c r="H243" s="4" t="str">
        <f>IF(VLOOKUP(TableFields[Field],Columns[],7,0)=0,"","-&gt;"&amp;VLOOKUP(TableFields[Field],Columns[],7,0))</f>
        <v/>
      </c>
      <c r="I243" s="4" t="str">
        <f>IF(VLOOKUP(TableFields[Field],Columns[],8,0)=0,"","-&gt;"&amp;VLOOKUP(TableFields[Field],Columns[],8,0))</f>
        <v/>
      </c>
      <c r="J243" s="4" t="str">
        <f>IF(VLOOKUP(TableFields[Field],Columns[],9,0)=0,"","-&gt;"&amp;VLOOKUP(TableFields[Field],Columns[],9,0))</f>
        <v/>
      </c>
      <c r="K243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44" spans="1:11" x14ac:dyDescent="0.25">
      <c r="A244" s="4" t="s">
        <v>961</v>
      </c>
      <c r="B244" s="4" t="s">
        <v>911</v>
      </c>
      <c r="C244" s="4" t="str">
        <f>VLOOKUP(TableFields[Field],Columns[],2,0)&amp;"("</f>
        <v>foreignNullable(</v>
      </c>
      <c r="D244" s="4" t="str">
        <f>IF(VLOOKUP(TableFields[Field],Columns[],3,0)&lt;&gt;"","'"&amp;VLOOKUP(TableFields[Field],Columns[],3,0)&amp;"'","")</f>
        <v>'user'</v>
      </c>
      <c r="E24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4" s="4" t="str">
        <f>IF(VLOOKUP(TableFields[Field],Columns[],5,0)=0,"","-&gt;"&amp;VLOOKUP(TableFields[Field],Columns[],5,0))</f>
        <v/>
      </c>
      <c r="G244" s="4" t="str">
        <f>IF(VLOOKUP(TableFields[Field],Columns[],6,0)=0,"","-&gt;"&amp;VLOOKUP(TableFields[Field],Columns[],6,0))</f>
        <v/>
      </c>
      <c r="H244" s="4" t="str">
        <f>IF(VLOOKUP(TableFields[Field],Columns[],7,0)=0,"","-&gt;"&amp;VLOOKUP(TableFields[Field],Columns[],7,0))</f>
        <v/>
      </c>
      <c r="I244" s="4" t="str">
        <f>IF(VLOOKUP(TableFields[Field],Columns[],8,0)=0,"","-&gt;"&amp;VLOOKUP(TableFields[Field],Columns[],8,0))</f>
        <v/>
      </c>
      <c r="J244" s="4" t="str">
        <f>IF(VLOOKUP(TableFields[Field],Columns[],9,0)=0,"","-&gt;"&amp;VLOOKUP(TableFields[Field],Columns[],9,0))</f>
        <v/>
      </c>
      <c r="K24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45" spans="1:11" x14ac:dyDescent="0.25">
      <c r="A245" s="4" t="s">
        <v>961</v>
      </c>
      <c r="B245" s="4" t="s">
        <v>963</v>
      </c>
      <c r="C245" s="4" t="str">
        <f>VLOOKUP(TableFields[Field],Columns[],2,0)&amp;"("</f>
        <v>foreignNullable(</v>
      </c>
      <c r="D245" s="4" t="str">
        <f>IF(VLOOKUP(TableFields[Field],Columns[],3,0)&lt;&gt;"","'"&amp;VLOOKUP(TableFields[Field],Columns[],3,0)&amp;"'","")</f>
        <v>'customer'</v>
      </c>
      <c r="E24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45" s="4" t="str">
        <f>IF(VLOOKUP(TableFields[Field],Columns[],5,0)=0,"","-&gt;"&amp;VLOOKUP(TableFields[Field],Columns[],5,0))</f>
        <v/>
      </c>
      <c r="G245" s="4" t="str">
        <f>IF(VLOOKUP(TableFields[Field],Columns[],6,0)=0,"","-&gt;"&amp;VLOOKUP(TableFields[Field],Columns[],6,0))</f>
        <v/>
      </c>
      <c r="H245" s="4" t="str">
        <f>IF(VLOOKUP(TableFields[Field],Columns[],7,0)=0,"","-&gt;"&amp;VLOOKUP(TableFields[Field],Columns[],7,0))</f>
        <v/>
      </c>
      <c r="I245" s="4" t="str">
        <f>IF(VLOOKUP(TableFields[Field],Columns[],8,0)=0,"","-&gt;"&amp;VLOOKUP(TableFields[Field],Columns[],8,0))</f>
        <v/>
      </c>
      <c r="J245" s="4" t="str">
        <f>IF(VLOOKUP(TableFields[Field],Columns[],9,0)=0,"","-&gt;"&amp;VLOOKUP(TableFields[Field],Columns[],9,0))</f>
        <v/>
      </c>
      <c r="K24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46" spans="1:11" x14ac:dyDescent="0.25">
      <c r="A246" s="4" t="s">
        <v>961</v>
      </c>
      <c r="B246" s="4" t="s">
        <v>916</v>
      </c>
      <c r="C246" s="4" t="str">
        <f>VLOOKUP(TableFields[Field],Columns[],2,0)&amp;"("</f>
        <v>char(</v>
      </c>
      <c r="D246" s="4" t="str">
        <f>IF(VLOOKUP(TableFields[Field],Columns[],3,0)&lt;&gt;"","'"&amp;VLOOKUP(TableFields[Field],Columns[],3,0)&amp;"'","")</f>
        <v>'fycode'</v>
      </c>
      <c r="E24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6" s="4" t="str">
        <f>IF(VLOOKUP(TableFields[Field],Columns[],5,0)=0,"","-&gt;"&amp;VLOOKUP(TableFields[Field],Columns[],5,0))</f>
        <v>-&gt;nullable()</v>
      </c>
      <c r="G246" s="4" t="str">
        <f>IF(VLOOKUP(TableFields[Field],Columns[],6,0)=0,"","-&gt;"&amp;VLOOKUP(TableFields[Field],Columns[],6,0))</f>
        <v>-&gt;index()</v>
      </c>
      <c r="H246" s="4" t="str">
        <f>IF(VLOOKUP(TableFields[Field],Columns[],7,0)=0,"","-&gt;"&amp;VLOOKUP(TableFields[Field],Columns[],7,0))</f>
        <v/>
      </c>
      <c r="I246" s="4" t="str">
        <f>IF(VLOOKUP(TableFields[Field],Columns[],8,0)=0,"","-&gt;"&amp;VLOOKUP(TableFields[Field],Columns[],8,0))</f>
        <v/>
      </c>
      <c r="J246" s="4" t="str">
        <f>IF(VLOOKUP(TableFields[Field],Columns[],9,0)=0,"","-&gt;"&amp;VLOOKUP(TableFields[Field],Columns[],9,0))</f>
        <v/>
      </c>
      <c r="K24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47" spans="1:11" x14ac:dyDescent="0.25">
      <c r="A247" s="4" t="s">
        <v>961</v>
      </c>
      <c r="B247" s="4" t="s">
        <v>869</v>
      </c>
      <c r="C247" s="4" t="str">
        <f>VLOOKUP(TableFields[Field],Columns[],2,0)&amp;"("</f>
        <v>char(</v>
      </c>
      <c r="D247" s="4" t="str">
        <f>IF(VLOOKUP(TableFields[Field],Columns[],3,0)&lt;&gt;"","'"&amp;VLOOKUP(TableFields[Field],Columns[],3,0)&amp;"'","")</f>
        <v>'fncode'</v>
      </c>
      <c r="E24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47" s="4" t="str">
        <f>IF(VLOOKUP(TableFields[Field],Columns[],5,0)=0,"","-&gt;"&amp;VLOOKUP(TableFields[Field],Columns[],5,0))</f>
        <v>-&gt;nullable()</v>
      </c>
      <c r="G247" s="4" t="str">
        <f>IF(VLOOKUP(TableFields[Field],Columns[],6,0)=0,"","-&gt;"&amp;VLOOKUP(TableFields[Field],Columns[],6,0))</f>
        <v>-&gt;index()</v>
      </c>
      <c r="H247" s="4" t="str">
        <f>IF(VLOOKUP(TableFields[Field],Columns[],7,0)=0,"","-&gt;"&amp;VLOOKUP(TableFields[Field],Columns[],7,0))</f>
        <v/>
      </c>
      <c r="I247" s="4" t="str">
        <f>IF(VLOOKUP(TableFields[Field],Columns[],8,0)=0,"","-&gt;"&amp;VLOOKUP(TableFields[Field],Columns[],8,0))</f>
        <v/>
      </c>
      <c r="J247" s="4" t="str">
        <f>IF(VLOOKUP(TableFields[Field],Columns[],9,0)=0,"","-&gt;"&amp;VLOOKUP(TableFields[Field],Columns[],9,0))</f>
        <v/>
      </c>
      <c r="K24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48" spans="1:11" x14ac:dyDescent="0.25">
      <c r="A248" s="4" t="s">
        <v>961</v>
      </c>
      <c r="B248" s="4" t="s">
        <v>1782</v>
      </c>
      <c r="C248" s="4" t="str">
        <f>VLOOKUP(TableFields[Field],Columns[],2,0)&amp;"("</f>
        <v>enum(</v>
      </c>
      <c r="D248" s="4" t="str">
        <f>IF(VLOOKUP(TableFields[Field],Columns[],3,0)&lt;&gt;"","'"&amp;VLOOKUP(TableFields[Field],Columns[],3,0)&amp;"'","")</f>
        <v>'payment_type'</v>
      </c>
      <c r="E24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['Cash','Credit','Card','Cheque','DemandDraft','Digital Wallet','Multi'])</v>
      </c>
      <c r="F248" s="4" t="str">
        <f>IF(VLOOKUP(TableFields[Field],Columns[],5,0)=0,"","-&gt;"&amp;VLOOKUP(TableFields[Field],Columns[],5,0))</f>
        <v>-&gt;nullable()</v>
      </c>
      <c r="G248" s="4" t="str">
        <f>IF(VLOOKUP(TableFields[Field],Columns[],6,0)=0,"","-&gt;"&amp;VLOOKUP(TableFields[Field],Columns[],6,0))</f>
        <v>-&gt;default('Cash')</v>
      </c>
      <c r="H248" s="4" t="str">
        <f>IF(VLOOKUP(TableFields[Field],Columns[],7,0)=0,"","-&gt;"&amp;VLOOKUP(TableFields[Field],Columns[],7,0))</f>
        <v/>
      </c>
      <c r="I248" s="4" t="str">
        <f>IF(VLOOKUP(TableFields[Field],Columns[],8,0)=0,"","-&gt;"&amp;VLOOKUP(TableFields[Field],Columns[],8,0))</f>
        <v/>
      </c>
      <c r="J248" s="4" t="str">
        <f>IF(VLOOKUP(TableFields[Field],Columns[],9,0)=0,"","-&gt;"&amp;VLOOKUP(TableFields[Field],Columns[],9,0))</f>
        <v/>
      </c>
      <c r="K248" s="4" t="str">
        <f>"$table-&gt;"&amp;TableFields[Type]&amp;TableFields[Name]&amp;TableFields[Arg2]&amp;TableFields[Method1]&amp;TableFields[Method2]&amp;TableFields[Method3]&amp;TableFields[Method4]&amp;TableFields[Method5]&amp;";"</f>
        <v>$table-&gt;enum('payment_type', ['Cash','Credit','Card','Cheque','DemandDraft','Digital Wallet','Multi'])-&gt;nullable()-&gt;default('Cash');</v>
      </c>
    </row>
    <row r="249" spans="1:11" x14ac:dyDescent="0.25">
      <c r="A249" s="4" t="s">
        <v>961</v>
      </c>
      <c r="B249" s="4" t="s">
        <v>965</v>
      </c>
      <c r="C249" s="4" t="str">
        <f>VLOOKUP(TableFields[Field],Columns[],2,0)&amp;"("</f>
        <v>enum(</v>
      </c>
      <c r="D249" s="4" t="str">
        <f>IF(VLOOKUP(TableFields[Field],Columns[],3,0)&lt;&gt;"","'"&amp;VLOOKUP(TableFields[Field],Columns[],3,0)&amp;"'","")</f>
        <v>'progress'</v>
      </c>
      <c r="E24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['Incomplete','Partial','Completed'])</v>
      </c>
      <c r="F249" s="4" t="str">
        <f>IF(VLOOKUP(TableFields[Field],Columns[],5,0)=0,"","-&gt;"&amp;VLOOKUP(TableFields[Field],Columns[],5,0))</f>
        <v>-&gt;nullable()</v>
      </c>
      <c r="G249" s="4" t="str">
        <f>IF(VLOOKUP(TableFields[Field],Columns[],6,0)=0,"","-&gt;"&amp;VLOOKUP(TableFields[Field],Columns[],6,0))</f>
        <v>-&gt;default('Incomplete')</v>
      </c>
      <c r="H249" s="4" t="str">
        <f>IF(VLOOKUP(TableFields[Field],Columns[],7,0)=0,"","-&gt;"&amp;VLOOKUP(TableFields[Field],Columns[],7,0))</f>
        <v/>
      </c>
      <c r="I249" s="4" t="str">
        <f>IF(VLOOKUP(TableFields[Field],Columns[],8,0)=0,"","-&gt;"&amp;VLOOKUP(TableFields[Field],Columns[],8,0))</f>
        <v/>
      </c>
      <c r="J249" s="4" t="str">
        <f>IF(VLOOKUP(TableFields[Field],Columns[],9,0)=0,"","-&gt;"&amp;VLOOKUP(TableFields[Field],Columns[],9,0))</f>
        <v/>
      </c>
      <c r="K249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['Incomplete','Partial','Completed'])-&gt;nullable()-&gt;default('Incomplete');</v>
      </c>
    </row>
    <row r="250" spans="1:11" x14ac:dyDescent="0.25">
      <c r="A250" s="4" t="s">
        <v>961</v>
      </c>
      <c r="B250" s="4" t="s">
        <v>1701</v>
      </c>
      <c r="C250" s="4" t="str">
        <f>VLOOKUP(TableFields[Field],Columns[],2,0)&amp;"("</f>
        <v>char(</v>
      </c>
      <c r="D250" s="4" t="str">
        <f>IF(VLOOKUP(TableFields[Field],Columns[],3,0)&lt;&gt;"","'"&amp;VLOOKUP(TableFields[Field],Columns[],3,0)&amp;"'","")</f>
        <v>'_ref'</v>
      </c>
      <c r="E25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50" s="4" t="str">
        <f>IF(VLOOKUP(TableFields[Field],Columns[],5,0)=0,"","-&gt;"&amp;VLOOKUP(TableFields[Field],Columns[],5,0))</f>
        <v>-&gt;nullable()</v>
      </c>
      <c r="G250" s="4" t="str">
        <f>IF(VLOOKUP(TableFields[Field],Columns[],6,0)=0,"","-&gt;"&amp;VLOOKUP(TableFields[Field],Columns[],6,0))</f>
        <v>-&gt;index()</v>
      </c>
      <c r="H250" s="4" t="str">
        <f>IF(VLOOKUP(TableFields[Field],Columns[],7,0)=0,"","-&gt;"&amp;VLOOKUP(TableFields[Field],Columns[],7,0))</f>
        <v/>
      </c>
      <c r="I250" s="4" t="str">
        <f>IF(VLOOKUP(TableFields[Field],Columns[],8,0)=0,"","-&gt;"&amp;VLOOKUP(TableFields[Field],Columns[],8,0))</f>
        <v/>
      </c>
      <c r="J250" s="4" t="str">
        <f>IF(VLOOKUP(TableFields[Field],Columns[],9,0)=0,"","-&gt;"&amp;VLOOKUP(TableFields[Field],Columns[],9,0))</f>
        <v/>
      </c>
      <c r="K250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51" spans="1:11" x14ac:dyDescent="0.25">
      <c r="A251" s="4" t="s">
        <v>961</v>
      </c>
      <c r="B251" s="4" t="s">
        <v>776</v>
      </c>
      <c r="C251" s="4" t="str">
        <f>VLOOKUP(TableFields[Field],Columns[],2,0)&amp;"("</f>
        <v>enum(</v>
      </c>
      <c r="D251" s="4" t="str">
        <f>IF(VLOOKUP(TableFields[Field],Columns[],3,0)&lt;&gt;"","'"&amp;VLOOKUP(TableFields[Field],Columns[],3,0)&amp;"'","")</f>
        <v>'status'</v>
      </c>
      <c r="E25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51" s="4" t="str">
        <f>IF(VLOOKUP(TableFields[Field],Columns[],5,0)=0,"","-&gt;"&amp;VLOOKUP(TableFields[Field],Columns[],5,0))</f>
        <v>-&gt;nullable()</v>
      </c>
      <c r="G251" s="4" t="str">
        <f>IF(VLOOKUP(TableFields[Field],Columns[],6,0)=0,"","-&gt;"&amp;VLOOKUP(TableFields[Field],Columns[],6,0))</f>
        <v>-&gt;default('Active')</v>
      </c>
      <c r="H251" s="4" t="str">
        <f>IF(VLOOKUP(TableFields[Field],Columns[],7,0)=0,"","-&gt;"&amp;VLOOKUP(TableFields[Field],Columns[],7,0))</f>
        <v/>
      </c>
      <c r="I251" s="4" t="str">
        <f>IF(VLOOKUP(TableFields[Field],Columns[],8,0)=0,"","-&gt;"&amp;VLOOKUP(TableFields[Field],Columns[],8,0))</f>
        <v/>
      </c>
      <c r="J251" s="4" t="str">
        <f>IF(VLOOKUP(TableFields[Field],Columns[],9,0)=0,"","-&gt;"&amp;VLOOKUP(TableFields[Field],Columns[],9,0))</f>
        <v/>
      </c>
      <c r="K251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52" spans="1:11" x14ac:dyDescent="0.25">
      <c r="A252" s="4" t="s">
        <v>961</v>
      </c>
      <c r="B252" s="4" t="s">
        <v>288</v>
      </c>
      <c r="C252" s="4" t="str">
        <f>VLOOKUP(TableFields[Field],Columns[],2,0)&amp;"("</f>
        <v>audit(</v>
      </c>
      <c r="D252" s="4" t="str">
        <f>IF(VLOOKUP(TableFields[Field],Columns[],3,0)&lt;&gt;"","'"&amp;VLOOKUP(TableFields[Field],Columns[],3,0)&amp;"'","")</f>
        <v/>
      </c>
      <c r="E25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2" s="4" t="str">
        <f>IF(VLOOKUP(TableFields[Field],Columns[],5,0)=0,"","-&gt;"&amp;VLOOKUP(TableFields[Field],Columns[],5,0))</f>
        <v/>
      </c>
      <c r="G252" s="4" t="str">
        <f>IF(VLOOKUP(TableFields[Field],Columns[],6,0)=0,"","-&gt;"&amp;VLOOKUP(TableFields[Field],Columns[],6,0))</f>
        <v/>
      </c>
      <c r="H252" s="4" t="str">
        <f>IF(VLOOKUP(TableFields[Field],Columns[],7,0)=0,"","-&gt;"&amp;VLOOKUP(TableFields[Field],Columns[],7,0))</f>
        <v/>
      </c>
      <c r="I252" s="4" t="str">
        <f>IF(VLOOKUP(TableFields[Field],Columns[],8,0)=0,"","-&gt;"&amp;VLOOKUP(TableFields[Field],Columns[],8,0))</f>
        <v/>
      </c>
      <c r="J252" s="4" t="str">
        <f>IF(VLOOKUP(TableFields[Field],Columns[],9,0)=0,"","-&gt;"&amp;VLOOKUP(TableFields[Field],Columns[],9,0))</f>
        <v/>
      </c>
      <c r="K25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53" spans="1:11" x14ac:dyDescent="0.25">
      <c r="A253" s="4" t="s">
        <v>962</v>
      </c>
      <c r="B253" s="4" t="s">
        <v>21</v>
      </c>
      <c r="C253" s="4" t="str">
        <f>VLOOKUP(TableFields[Field],Columns[],2,0)&amp;"("</f>
        <v>bigIncrements(</v>
      </c>
      <c r="D253" s="4" t="str">
        <f>IF(VLOOKUP(TableFields[Field],Columns[],3,0)&lt;&gt;"","'"&amp;VLOOKUP(TableFields[Field],Columns[],3,0)&amp;"'","")</f>
        <v>'id'</v>
      </c>
      <c r="E25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53" s="4" t="str">
        <f>IF(VLOOKUP(TableFields[Field],Columns[],5,0)=0,"","-&gt;"&amp;VLOOKUP(TableFields[Field],Columns[],5,0))</f>
        <v/>
      </c>
      <c r="G253" s="4" t="str">
        <f>IF(VLOOKUP(TableFields[Field],Columns[],6,0)=0,"","-&gt;"&amp;VLOOKUP(TableFields[Field],Columns[],6,0))</f>
        <v/>
      </c>
      <c r="H253" s="4" t="str">
        <f>IF(VLOOKUP(TableFields[Field],Columns[],7,0)=0,"","-&gt;"&amp;VLOOKUP(TableFields[Field],Columns[],7,0))</f>
        <v/>
      </c>
      <c r="I253" s="4" t="str">
        <f>IF(VLOOKUP(TableFields[Field],Columns[],8,0)=0,"","-&gt;"&amp;VLOOKUP(TableFields[Field],Columns[],8,0))</f>
        <v/>
      </c>
      <c r="J253" s="4" t="str">
        <f>IF(VLOOKUP(TableFields[Field],Columns[],9,0)=0,"","-&gt;"&amp;VLOOKUP(TableFields[Field],Columns[],9,0))</f>
        <v/>
      </c>
      <c r="K25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54" spans="1:11" x14ac:dyDescent="0.25">
      <c r="A254" s="4" t="s">
        <v>962</v>
      </c>
      <c r="B254" s="4" t="s">
        <v>968</v>
      </c>
      <c r="C254" s="4" t="str">
        <f>VLOOKUP(TableFields[Field],Columns[],2,0)&amp;"("</f>
        <v>foreignNullable(</v>
      </c>
      <c r="D254" s="4" t="str">
        <f>IF(VLOOKUP(TableFields[Field],Columns[],3,0)&lt;&gt;"","'"&amp;VLOOKUP(TableFields[Field],Columns[],3,0)&amp;"'","")</f>
        <v>'so'</v>
      </c>
      <c r="E25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254" s="4" t="str">
        <f>IF(VLOOKUP(TableFields[Field],Columns[],5,0)=0,"","-&gt;"&amp;VLOOKUP(TableFields[Field],Columns[],5,0))</f>
        <v/>
      </c>
      <c r="G254" s="4" t="str">
        <f>IF(VLOOKUP(TableFields[Field],Columns[],6,0)=0,"","-&gt;"&amp;VLOOKUP(TableFields[Field],Columns[],6,0))</f>
        <v/>
      </c>
      <c r="H254" s="4" t="str">
        <f>IF(VLOOKUP(TableFields[Field],Columns[],7,0)=0,"","-&gt;"&amp;VLOOKUP(TableFields[Field],Columns[],7,0))</f>
        <v/>
      </c>
      <c r="I254" s="4" t="str">
        <f>IF(VLOOKUP(TableFields[Field],Columns[],8,0)=0,"","-&gt;"&amp;VLOOKUP(TableFields[Field],Columns[],8,0))</f>
        <v/>
      </c>
      <c r="J254" s="4" t="str">
        <f>IF(VLOOKUP(TableFields[Field],Columns[],9,0)=0,"","-&gt;"&amp;VLOOKUP(TableFields[Field],Columns[],9,0))</f>
        <v/>
      </c>
      <c r="K25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255" spans="1:11" x14ac:dyDescent="0.25">
      <c r="A255" s="4" t="s">
        <v>962</v>
      </c>
      <c r="B255" s="4" t="s">
        <v>832</v>
      </c>
      <c r="C255" s="4" t="str">
        <f>VLOOKUP(TableFields[Field],Columns[],2,0)&amp;"("</f>
        <v>foreignNullable(</v>
      </c>
      <c r="D255" s="4" t="str">
        <f>IF(VLOOKUP(TableFields[Field],Columns[],3,0)&lt;&gt;"","'"&amp;VLOOKUP(TableFields[Field],Columns[],3,0)&amp;"'","")</f>
        <v>'product'</v>
      </c>
      <c r="E25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255" s="4" t="str">
        <f>IF(VLOOKUP(TableFields[Field],Columns[],5,0)=0,"","-&gt;"&amp;VLOOKUP(TableFields[Field],Columns[],5,0))</f>
        <v/>
      </c>
      <c r="G255" s="4" t="str">
        <f>IF(VLOOKUP(TableFields[Field],Columns[],6,0)=0,"","-&gt;"&amp;VLOOKUP(TableFields[Field],Columns[],6,0))</f>
        <v/>
      </c>
      <c r="H255" s="4" t="str">
        <f>IF(VLOOKUP(TableFields[Field],Columns[],7,0)=0,"","-&gt;"&amp;VLOOKUP(TableFields[Field],Columns[],7,0))</f>
        <v/>
      </c>
      <c r="I255" s="4" t="str">
        <f>IF(VLOOKUP(TableFields[Field],Columns[],8,0)=0,"","-&gt;"&amp;VLOOKUP(TableFields[Field],Columns[],8,0))</f>
        <v/>
      </c>
      <c r="J255" s="4" t="str">
        <f>IF(VLOOKUP(TableFields[Field],Columns[],9,0)=0,"","-&gt;"&amp;VLOOKUP(TableFields[Field],Columns[],9,0))</f>
        <v/>
      </c>
      <c r="K25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256" spans="1:11" x14ac:dyDescent="0.25">
      <c r="A256" s="4" t="s">
        <v>962</v>
      </c>
      <c r="B256" s="4" t="s">
        <v>970</v>
      </c>
      <c r="C256" s="4" t="str">
        <f>VLOOKUP(TableFields[Field],Columns[],2,0)&amp;"("</f>
        <v>decimal(</v>
      </c>
      <c r="D256" s="4" t="str">
        <f>IF(VLOOKUP(TableFields[Field],Columns[],3,0)&lt;&gt;"","'"&amp;VLOOKUP(TableFields[Field],Columns[],3,0)&amp;"'","")</f>
        <v>'rate'</v>
      </c>
      <c r="E25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6" s="4" t="str">
        <f>IF(VLOOKUP(TableFields[Field],Columns[],5,0)=0,"","-&gt;"&amp;VLOOKUP(TableFields[Field],Columns[],5,0))</f>
        <v>-&gt;default(0)</v>
      </c>
      <c r="G256" s="4" t="str">
        <f>IF(VLOOKUP(TableFields[Field],Columns[],6,0)=0,"","-&gt;"&amp;VLOOKUP(TableFields[Field],Columns[],6,0))</f>
        <v/>
      </c>
      <c r="H256" s="4" t="str">
        <f>IF(VLOOKUP(TableFields[Field],Columns[],7,0)=0,"","-&gt;"&amp;VLOOKUP(TableFields[Field],Columns[],7,0))</f>
        <v/>
      </c>
      <c r="I256" s="4" t="str">
        <f>IF(VLOOKUP(TableFields[Field],Columns[],8,0)=0,"","-&gt;"&amp;VLOOKUP(TableFields[Field],Columns[],8,0))</f>
        <v/>
      </c>
      <c r="J256" s="4" t="str">
        <f>IF(VLOOKUP(TableFields[Field],Columns[],9,0)=0,"","-&gt;"&amp;VLOOKUP(TableFields[Field],Columns[],9,0))</f>
        <v/>
      </c>
      <c r="K256" s="4" t="str">
        <f>"$table-&gt;"&amp;TableFields[Type]&amp;TableFields[Name]&amp;TableFields[Arg2]&amp;TableFields[Method1]&amp;TableFields[Method2]&amp;TableFields[Method3]&amp;TableFields[Method4]&amp;TableFields[Method5]&amp;";"</f>
        <v>$table-&gt;decimal('rate', 30,10)-&gt;default(0);</v>
      </c>
    </row>
    <row r="257" spans="1:11" x14ac:dyDescent="0.25">
      <c r="A257" s="4" t="s">
        <v>962</v>
      </c>
      <c r="B257" s="4" t="s">
        <v>837</v>
      </c>
      <c r="C257" s="4" t="str">
        <f>VLOOKUP(TableFields[Field],Columns[],2,0)&amp;"("</f>
        <v>decimal(</v>
      </c>
      <c r="D257" s="4" t="str">
        <f>IF(VLOOKUP(TableFields[Field],Columns[],3,0)&lt;&gt;"","'"&amp;VLOOKUP(TableFields[Field],Columns[],3,0)&amp;"'","")</f>
        <v>'quantity'</v>
      </c>
      <c r="E25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7" s="4" t="str">
        <f>IF(VLOOKUP(TableFields[Field],Columns[],5,0)=0,"","-&gt;"&amp;VLOOKUP(TableFields[Field],Columns[],5,0))</f>
        <v>-&gt;default(1)</v>
      </c>
      <c r="G257" s="4" t="str">
        <f>IF(VLOOKUP(TableFields[Field],Columns[],6,0)=0,"","-&gt;"&amp;VLOOKUP(TableFields[Field],Columns[],6,0))</f>
        <v/>
      </c>
      <c r="H257" s="4" t="str">
        <f>IF(VLOOKUP(TableFields[Field],Columns[],7,0)=0,"","-&gt;"&amp;VLOOKUP(TableFields[Field],Columns[],7,0))</f>
        <v/>
      </c>
      <c r="I257" s="4" t="str">
        <f>IF(VLOOKUP(TableFields[Field],Columns[],8,0)=0,"","-&gt;"&amp;VLOOKUP(TableFields[Field],Columns[],8,0))</f>
        <v/>
      </c>
      <c r="J257" s="4" t="str">
        <f>IF(VLOOKUP(TableFields[Field],Columns[],9,0)=0,"","-&gt;"&amp;VLOOKUP(TableFields[Field],Columns[],9,0))</f>
        <v/>
      </c>
      <c r="K257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258" spans="1:11" x14ac:dyDescent="0.25">
      <c r="A258" s="4" t="s">
        <v>962</v>
      </c>
      <c r="B258" s="4" t="s">
        <v>914</v>
      </c>
      <c r="C258" s="4" t="str">
        <f>VLOOKUP(TableFields[Field],Columns[],2,0)&amp;"("</f>
        <v>decimal(</v>
      </c>
      <c r="D258" s="4" t="str">
        <f>IF(VLOOKUP(TableFields[Field],Columns[],3,0)&lt;&gt;"","'"&amp;VLOOKUP(TableFields[Field],Columns[],3,0)&amp;"'","")</f>
        <v>'tax'</v>
      </c>
      <c r="E25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8" s="4" t="str">
        <f>IF(VLOOKUP(TableFields[Field],Columns[],5,0)=0,"","-&gt;"&amp;VLOOKUP(TableFields[Field],Columns[],5,0))</f>
        <v>-&gt;default(0)</v>
      </c>
      <c r="G258" s="4" t="str">
        <f>IF(VLOOKUP(TableFields[Field],Columns[],6,0)=0,"","-&gt;"&amp;VLOOKUP(TableFields[Field],Columns[],6,0))</f>
        <v/>
      </c>
      <c r="H258" s="4" t="str">
        <f>IF(VLOOKUP(TableFields[Field],Columns[],7,0)=0,"","-&gt;"&amp;VLOOKUP(TableFields[Field],Columns[],7,0))</f>
        <v/>
      </c>
      <c r="I258" s="4" t="str">
        <f>IF(VLOOKUP(TableFields[Field],Columns[],8,0)=0,"","-&gt;"&amp;VLOOKUP(TableFields[Field],Columns[],8,0))</f>
        <v/>
      </c>
      <c r="J258" s="4" t="str">
        <f>IF(VLOOKUP(TableFields[Field],Columns[],9,0)=0,"","-&gt;"&amp;VLOOKUP(TableFields[Field],Columns[],9,0))</f>
        <v/>
      </c>
      <c r="K258" s="4" t="str">
        <f>"$table-&gt;"&amp;TableFields[Type]&amp;TableFields[Name]&amp;TableFields[Arg2]&amp;TableFields[Method1]&amp;TableFields[Method2]&amp;TableFields[Method3]&amp;TableFields[Method4]&amp;TableFields[Method5]&amp;";"</f>
        <v>$table-&gt;decimal('tax', 30,10)-&gt;default(0);</v>
      </c>
    </row>
    <row r="259" spans="1:11" x14ac:dyDescent="0.25">
      <c r="A259" s="4" t="s">
        <v>962</v>
      </c>
      <c r="B259" s="4" t="s">
        <v>926</v>
      </c>
      <c r="C259" s="4" t="str">
        <f>VLOOKUP(TableFields[Field],Columns[],2,0)&amp;"("</f>
        <v>decimal(</v>
      </c>
      <c r="D259" s="4" t="str">
        <f>IF(VLOOKUP(TableFields[Field],Columns[],3,0)&lt;&gt;"","'"&amp;VLOOKUP(TableFields[Field],Columns[],3,0)&amp;"'","")</f>
        <v>'discount'</v>
      </c>
      <c r="E25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59" s="4" t="str">
        <f>IF(VLOOKUP(TableFields[Field],Columns[],5,0)=0,"","-&gt;"&amp;VLOOKUP(TableFields[Field],Columns[],5,0))</f>
        <v>-&gt;default(0)</v>
      </c>
      <c r="G259" s="4" t="str">
        <f>IF(VLOOKUP(TableFields[Field],Columns[],6,0)=0,"","-&gt;"&amp;VLOOKUP(TableFields[Field],Columns[],6,0))</f>
        <v/>
      </c>
      <c r="H259" s="4" t="str">
        <f>IF(VLOOKUP(TableFields[Field],Columns[],7,0)=0,"","-&gt;"&amp;VLOOKUP(TableFields[Field],Columns[],7,0))</f>
        <v/>
      </c>
      <c r="I259" s="4" t="str">
        <f>IF(VLOOKUP(TableFields[Field],Columns[],8,0)=0,"","-&gt;"&amp;VLOOKUP(TableFields[Field],Columns[],8,0))</f>
        <v/>
      </c>
      <c r="J259" s="4" t="str">
        <f>IF(VLOOKUP(TableFields[Field],Columns[],9,0)=0,"","-&gt;"&amp;VLOOKUP(TableFields[Field],Columns[],9,0))</f>
        <v/>
      </c>
      <c r="K259" s="4" t="str">
        <f>"$table-&gt;"&amp;TableFields[Type]&amp;TableFields[Name]&amp;TableFields[Arg2]&amp;TableFields[Method1]&amp;TableFields[Method2]&amp;TableFields[Method3]&amp;TableFields[Method4]&amp;TableFields[Method5]&amp;";"</f>
        <v>$table-&gt;decimal('discount', 30,10)-&gt;default(0);</v>
      </c>
    </row>
    <row r="260" spans="1:11" x14ac:dyDescent="0.25">
      <c r="A260" s="4" t="s">
        <v>962</v>
      </c>
      <c r="B260" s="4" t="s">
        <v>915</v>
      </c>
      <c r="C260" s="4" t="str">
        <f>VLOOKUP(TableFields[Field],Columns[],2,0)&amp;"("</f>
        <v>decimal(</v>
      </c>
      <c r="D260" s="4" t="str">
        <f>IF(VLOOKUP(TableFields[Field],Columns[],3,0)&lt;&gt;"","'"&amp;VLOOKUP(TableFields[Field],Columns[],3,0)&amp;"'","")</f>
        <v>'total'</v>
      </c>
      <c r="E26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60" s="4" t="str">
        <f>IF(VLOOKUP(TableFields[Field],Columns[],5,0)=0,"","-&gt;"&amp;VLOOKUP(TableFields[Field],Columns[],5,0))</f>
        <v>-&gt;default(0)</v>
      </c>
      <c r="G260" s="4" t="str">
        <f>IF(VLOOKUP(TableFields[Field],Columns[],6,0)=0,"","-&gt;"&amp;VLOOKUP(TableFields[Field],Columns[],6,0))</f>
        <v/>
      </c>
      <c r="H260" s="4" t="str">
        <f>IF(VLOOKUP(TableFields[Field],Columns[],7,0)=0,"","-&gt;"&amp;VLOOKUP(TableFields[Field],Columns[],7,0))</f>
        <v/>
      </c>
      <c r="I260" s="4" t="str">
        <f>IF(VLOOKUP(TableFields[Field],Columns[],8,0)=0,"","-&gt;"&amp;VLOOKUP(TableFields[Field],Columns[],8,0))</f>
        <v/>
      </c>
      <c r="J260" s="4" t="str">
        <f>IF(VLOOKUP(TableFields[Field],Columns[],9,0)=0,"","-&gt;"&amp;VLOOKUP(TableFields[Field],Columns[],9,0))</f>
        <v/>
      </c>
      <c r="K260" s="4" t="str">
        <f>"$table-&gt;"&amp;TableFields[Type]&amp;TableFields[Name]&amp;TableFields[Arg2]&amp;TableFields[Method1]&amp;TableFields[Method2]&amp;TableFields[Method3]&amp;TableFields[Method4]&amp;TableFields[Method5]&amp;";"</f>
        <v>$table-&gt;decimal('total', 30,10)-&gt;default(0);</v>
      </c>
    </row>
    <row r="261" spans="1:11" x14ac:dyDescent="0.25">
      <c r="A261" s="4" t="s">
        <v>962</v>
      </c>
      <c r="B261" s="4" t="s">
        <v>1701</v>
      </c>
      <c r="C261" s="4" t="str">
        <f>VLOOKUP(TableFields[Field],Columns[],2,0)&amp;"("</f>
        <v>char(</v>
      </c>
      <c r="D261" s="4" t="str">
        <f>IF(VLOOKUP(TableFields[Field],Columns[],3,0)&lt;&gt;"","'"&amp;VLOOKUP(TableFields[Field],Columns[],3,0)&amp;"'","")</f>
        <v>'_ref'</v>
      </c>
      <c r="E26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61" s="4" t="str">
        <f>IF(VLOOKUP(TableFields[Field],Columns[],5,0)=0,"","-&gt;"&amp;VLOOKUP(TableFields[Field],Columns[],5,0))</f>
        <v>-&gt;nullable()</v>
      </c>
      <c r="G261" s="4" t="str">
        <f>IF(VLOOKUP(TableFields[Field],Columns[],6,0)=0,"","-&gt;"&amp;VLOOKUP(TableFields[Field],Columns[],6,0))</f>
        <v>-&gt;index()</v>
      </c>
      <c r="H261" s="4" t="str">
        <f>IF(VLOOKUP(TableFields[Field],Columns[],7,0)=0,"","-&gt;"&amp;VLOOKUP(TableFields[Field],Columns[],7,0))</f>
        <v/>
      </c>
      <c r="I261" s="4" t="str">
        <f>IF(VLOOKUP(TableFields[Field],Columns[],8,0)=0,"","-&gt;"&amp;VLOOKUP(TableFields[Field],Columns[],8,0))</f>
        <v/>
      </c>
      <c r="J261" s="4" t="str">
        <f>IF(VLOOKUP(TableFields[Field],Columns[],9,0)=0,"","-&gt;"&amp;VLOOKUP(TableFields[Field],Columns[],9,0))</f>
        <v/>
      </c>
      <c r="K261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62" spans="1:11" x14ac:dyDescent="0.25">
      <c r="A262" s="4" t="s">
        <v>962</v>
      </c>
      <c r="B262" s="4" t="s">
        <v>288</v>
      </c>
      <c r="C262" s="4" t="str">
        <f>VLOOKUP(TableFields[Field],Columns[],2,0)&amp;"("</f>
        <v>audit(</v>
      </c>
      <c r="D262" s="4" t="str">
        <f>IF(VLOOKUP(TableFields[Field],Columns[],3,0)&lt;&gt;"","'"&amp;VLOOKUP(TableFields[Field],Columns[],3,0)&amp;"'","")</f>
        <v/>
      </c>
      <c r="E26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2" s="4" t="str">
        <f>IF(VLOOKUP(TableFields[Field],Columns[],5,0)=0,"","-&gt;"&amp;VLOOKUP(TableFields[Field],Columns[],5,0))</f>
        <v/>
      </c>
      <c r="G262" s="4" t="str">
        <f>IF(VLOOKUP(TableFields[Field],Columns[],6,0)=0,"","-&gt;"&amp;VLOOKUP(TableFields[Field],Columns[],6,0))</f>
        <v/>
      </c>
      <c r="H262" s="4" t="str">
        <f>IF(VLOOKUP(TableFields[Field],Columns[],7,0)=0,"","-&gt;"&amp;VLOOKUP(TableFields[Field],Columns[],7,0))</f>
        <v/>
      </c>
      <c r="I262" s="4" t="str">
        <f>IF(VLOOKUP(TableFields[Field],Columns[],8,0)=0,"","-&gt;"&amp;VLOOKUP(TableFields[Field],Columns[],8,0))</f>
        <v/>
      </c>
      <c r="J262" s="4" t="str">
        <f>IF(VLOOKUP(TableFields[Field],Columns[],9,0)=0,"","-&gt;"&amp;VLOOKUP(TableFields[Field],Columns[],9,0))</f>
        <v/>
      </c>
      <c r="K262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3" spans="1:11" x14ac:dyDescent="0.25">
      <c r="A263" s="4" t="s">
        <v>917</v>
      </c>
      <c r="B263" s="4" t="s">
        <v>21</v>
      </c>
      <c r="C263" s="4" t="str">
        <f>VLOOKUP(TableFields[Field],Columns[],2,0)&amp;"("</f>
        <v>bigIncrements(</v>
      </c>
      <c r="D263" s="4" t="str">
        <f>IF(VLOOKUP(TableFields[Field],Columns[],3,0)&lt;&gt;"","'"&amp;VLOOKUP(TableFields[Field],Columns[],3,0)&amp;"'","")</f>
        <v>'id'</v>
      </c>
      <c r="E26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3" s="4" t="str">
        <f>IF(VLOOKUP(TableFields[Field],Columns[],5,0)=0,"","-&gt;"&amp;VLOOKUP(TableFields[Field],Columns[],5,0))</f>
        <v/>
      </c>
      <c r="G263" s="4" t="str">
        <f>IF(VLOOKUP(TableFields[Field],Columns[],6,0)=0,"","-&gt;"&amp;VLOOKUP(TableFields[Field],Columns[],6,0))</f>
        <v/>
      </c>
      <c r="H263" s="4" t="str">
        <f>IF(VLOOKUP(TableFields[Field],Columns[],7,0)=0,"","-&gt;"&amp;VLOOKUP(TableFields[Field],Columns[],7,0))</f>
        <v/>
      </c>
      <c r="I263" s="4" t="str">
        <f>IF(VLOOKUP(TableFields[Field],Columns[],8,0)=0,"","-&gt;"&amp;VLOOKUP(TableFields[Field],Columns[],8,0))</f>
        <v/>
      </c>
      <c r="J263" s="4" t="str">
        <f>IF(VLOOKUP(TableFields[Field],Columns[],9,0)=0,"","-&gt;"&amp;VLOOKUP(TableFields[Field],Columns[],9,0))</f>
        <v/>
      </c>
      <c r="K263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64" spans="1:11" x14ac:dyDescent="0.25">
      <c r="A264" s="4" t="s">
        <v>917</v>
      </c>
      <c r="B264" s="4" t="s">
        <v>920</v>
      </c>
      <c r="C264" s="4" t="str">
        <f>VLOOKUP(TableFields[Field],Columns[],2,0)&amp;"("</f>
        <v>foreignNullable(</v>
      </c>
      <c r="D264" s="4" t="str">
        <f>IF(VLOOKUP(TableFields[Field],Columns[],3,0)&lt;&gt;"","'"&amp;VLOOKUP(TableFields[Field],Columns[],3,0)&amp;"'","")</f>
        <v>'out'</v>
      </c>
      <c r="E26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4" s="4" t="str">
        <f>IF(VLOOKUP(TableFields[Field],Columns[],5,0)=0,"","-&gt;"&amp;VLOOKUP(TableFields[Field],Columns[],5,0))</f>
        <v/>
      </c>
      <c r="G264" s="4" t="str">
        <f>IF(VLOOKUP(TableFields[Field],Columns[],6,0)=0,"","-&gt;"&amp;VLOOKUP(TableFields[Field],Columns[],6,0))</f>
        <v/>
      </c>
      <c r="H264" s="4" t="str">
        <f>IF(VLOOKUP(TableFields[Field],Columns[],7,0)=0,"","-&gt;"&amp;VLOOKUP(TableFields[Field],Columns[],7,0))</f>
        <v/>
      </c>
      <c r="I264" s="4" t="str">
        <f>IF(VLOOKUP(TableFields[Field],Columns[],8,0)=0,"","-&gt;"&amp;VLOOKUP(TableFields[Field],Columns[],8,0))</f>
        <v/>
      </c>
      <c r="J264" s="4" t="str">
        <f>IF(VLOOKUP(TableFields[Field],Columns[],9,0)=0,"","-&gt;"&amp;VLOOKUP(TableFields[Field],Columns[],9,0))</f>
        <v/>
      </c>
      <c r="K26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$table-&gt;foreignNullable('out', 'transactions');</v>
      </c>
    </row>
    <row r="265" spans="1:11" x14ac:dyDescent="0.25">
      <c r="A265" s="4" t="s">
        <v>917</v>
      </c>
      <c r="B265" s="4" t="s">
        <v>918</v>
      </c>
      <c r="C265" s="4" t="str">
        <f>VLOOKUP(TableFields[Field],Columns[],2,0)&amp;"("</f>
        <v>foreignNullable(</v>
      </c>
      <c r="D265" s="4" t="str">
        <f>IF(VLOOKUP(TableFields[Field],Columns[],3,0)&lt;&gt;"","'"&amp;VLOOKUP(TableFields[Field],Columns[],3,0)&amp;"'","")</f>
        <v>'in'</v>
      </c>
      <c r="E26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265" s="4" t="str">
        <f>IF(VLOOKUP(TableFields[Field],Columns[],5,0)=0,"","-&gt;"&amp;VLOOKUP(TableFields[Field],Columns[],5,0))</f>
        <v/>
      </c>
      <c r="G265" s="4" t="str">
        <f>IF(VLOOKUP(TableFields[Field],Columns[],6,0)=0,"","-&gt;"&amp;VLOOKUP(TableFields[Field],Columns[],6,0))</f>
        <v/>
      </c>
      <c r="H265" s="4" t="str">
        <f>IF(VLOOKUP(TableFields[Field],Columns[],7,0)=0,"","-&gt;"&amp;VLOOKUP(TableFields[Field],Columns[],7,0))</f>
        <v/>
      </c>
      <c r="I265" s="4" t="str">
        <f>IF(VLOOKUP(TableFields[Field],Columns[],8,0)=0,"","-&gt;"&amp;VLOOKUP(TableFields[Field],Columns[],8,0))</f>
        <v/>
      </c>
      <c r="J265" s="4" t="str">
        <f>IF(VLOOKUP(TableFields[Field],Columns[],9,0)=0,"","-&gt;"&amp;VLOOKUP(TableFields[Field],Columns[],9,0))</f>
        <v/>
      </c>
      <c r="K265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$table-&gt;foreignNullable('in', 'transactions');</v>
      </c>
    </row>
    <row r="266" spans="1:11" x14ac:dyDescent="0.25">
      <c r="A266" s="4" t="s">
        <v>917</v>
      </c>
      <c r="B266" s="4" t="s">
        <v>922</v>
      </c>
      <c r="C266" s="4" t="str">
        <f>VLOOKUP(TableFields[Field],Columns[],2,0)&amp;"("</f>
        <v>foreignNullable(</v>
      </c>
      <c r="D266" s="4" t="str">
        <f>IF(VLOOKUP(TableFields[Field],Columns[],3,0)&lt;&gt;"","'"&amp;VLOOKUP(TableFields[Field],Columns[],3,0)&amp;"'","")</f>
        <v>'verified_by'</v>
      </c>
      <c r="E26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66" s="4" t="str">
        <f>IF(VLOOKUP(TableFields[Field],Columns[],5,0)=0,"","-&gt;"&amp;VLOOKUP(TableFields[Field],Columns[],5,0))</f>
        <v/>
      </c>
      <c r="G266" s="4" t="str">
        <f>IF(VLOOKUP(TableFields[Field],Columns[],6,0)=0,"","-&gt;"&amp;VLOOKUP(TableFields[Field],Columns[],6,0))</f>
        <v/>
      </c>
      <c r="H266" s="4" t="str">
        <f>IF(VLOOKUP(TableFields[Field],Columns[],7,0)=0,"","-&gt;"&amp;VLOOKUP(TableFields[Field],Columns[],7,0))</f>
        <v/>
      </c>
      <c r="I266" s="4" t="str">
        <f>IF(VLOOKUP(TableFields[Field],Columns[],8,0)=0,"","-&gt;"&amp;VLOOKUP(TableFields[Field],Columns[],8,0))</f>
        <v/>
      </c>
      <c r="J266" s="4" t="str">
        <f>IF(VLOOKUP(TableFields[Field],Columns[],9,0)=0,"","-&gt;"&amp;VLOOKUP(TableFields[Field],Columns[],9,0))</f>
        <v/>
      </c>
      <c r="K266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$table-&gt;foreignNullable('verified_by', 'users');</v>
      </c>
    </row>
    <row r="267" spans="1:11" x14ac:dyDescent="0.25">
      <c r="A267" s="4" t="s">
        <v>917</v>
      </c>
      <c r="B267" s="4" t="s">
        <v>923</v>
      </c>
      <c r="C267" s="4" t="str">
        <f>VLOOKUP(TableFields[Field],Columns[],2,0)&amp;"("</f>
        <v>timestamp(</v>
      </c>
      <c r="D267" s="4" t="str">
        <f>IF(VLOOKUP(TableFields[Field],Columns[],3,0)&lt;&gt;"","'"&amp;VLOOKUP(TableFields[Field],Columns[],3,0)&amp;"'","")</f>
        <v>'verified_at'</v>
      </c>
      <c r="E26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7" s="4" t="str">
        <f>IF(VLOOKUP(TableFields[Field],Columns[],5,0)=0,"","-&gt;"&amp;VLOOKUP(TableFields[Field],Columns[],5,0))</f>
        <v>-&gt;nullable()</v>
      </c>
      <c r="G267" s="4" t="str">
        <f>IF(VLOOKUP(TableFields[Field],Columns[],6,0)=0,"","-&gt;"&amp;VLOOKUP(TableFields[Field],Columns[],6,0))</f>
        <v/>
      </c>
      <c r="H267" s="4" t="str">
        <f>IF(VLOOKUP(TableFields[Field],Columns[],7,0)=0,"","-&gt;"&amp;VLOOKUP(TableFields[Field],Columns[],7,0))</f>
        <v/>
      </c>
      <c r="I267" s="4" t="str">
        <f>IF(VLOOKUP(TableFields[Field],Columns[],8,0)=0,"","-&gt;"&amp;VLOOKUP(TableFields[Field],Columns[],8,0))</f>
        <v/>
      </c>
      <c r="J267" s="4" t="str">
        <f>IF(VLOOKUP(TableFields[Field],Columns[],9,0)=0,"","-&gt;"&amp;VLOOKUP(TableFields[Field],Columns[],9,0))</f>
        <v/>
      </c>
      <c r="K267" s="4" t="str">
        <f>"$table-&gt;"&amp;TableFields[Type]&amp;TableFields[Name]&amp;TableFields[Arg2]&amp;TableFields[Method1]&amp;TableFields[Method2]&amp;TableFields[Method3]&amp;TableFields[Method4]&amp;TableFields[Method5]&amp;";"</f>
        <v>$table-&gt;timestamp('verified_at')-&gt;nullable();</v>
      </c>
    </row>
    <row r="268" spans="1:11" x14ac:dyDescent="0.25">
      <c r="A268" s="4" t="s">
        <v>917</v>
      </c>
      <c r="B268" s="4" t="s">
        <v>288</v>
      </c>
      <c r="C268" s="4" t="str">
        <f>VLOOKUP(TableFields[Field],Columns[],2,0)&amp;"("</f>
        <v>audit(</v>
      </c>
      <c r="D268" s="4" t="str">
        <f>IF(VLOOKUP(TableFields[Field],Columns[],3,0)&lt;&gt;"","'"&amp;VLOOKUP(TableFields[Field],Columns[],3,0)&amp;"'","")</f>
        <v/>
      </c>
      <c r="E26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8" s="4" t="str">
        <f>IF(VLOOKUP(TableFields[Field],Columns[],5,0)=0,"","-&gt;"&amp;VLOOKUP(TableFields[Field],Columns[],5,0))</f>
        <v/>
      </c>
      <c r="G268" s="4" t="str">
        <f>IF(VLOOKUP(TableFields[Field],Columns[],6,0)=0,"","-&gt;"&amp;VLOOKUP(TableFields[Field],Columns[],6,0))</f>
        <v/>
      </c>
      <c r="H268" s="4" t="str">
        <f>IF(VLOOKUP(TableFields[Field],Columns[],7,0)=0,"","-&gt;"&amp;VLOOKUP(TableFields[Field],Columns[],7,0))</f>
        <v/>
      </c>
      <c r="I268" s="4" t="str">
        <f>IF(VLOOKUP(TableFields[Field],Columns[],8,0)=0,"","-&gt;"&amp;VLOOKUP(TableFields[Field],Columns[],8,0))</f>
        <v/>
      </c>
      <c r="J268" s="4" t="str">
        <f>IF(VLOOKUP(TableFields[Field],Columns[],9,0)=0,"","-&gt;"&amp;VLOOKUP(TableFields[Field],Columns[],9,0))</f>
        <v/>
      </c>
      <c r="K268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69" spans="1:11" x14ac:dyDescent="0.25">
      <c r="A269" s="4" t="s">
        <v>893</v>
      </c>
      <c r="B269" s="4" t="s">
        <v>21</v>
      </c>
      <c r="C269" s="4" t="str">
        <f>VLOOKUP(TableFields[Field],Columns[],2,0)&amp;"("</f>
        <v>bigIncrements(</v>
      </c>
      <c r="D269" s="4" t="str">
        <f>IF(VLOOKUP(TableFields[Field],Columns[],3,0)&lt;&gt;"","'"&amp;VLOOKUP(TableFields[Field],Columns[],3,0)&amp;"'","")</f>
        <v>'id'</v>
      </c>
      <c r="E26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69" s="4" t="str">
        <f>IF(VLOOKUP(TableFields[Field],Columns[],5,0)=0,"","-&gt;"&amp;VLOOKUP(TableFields[Field],Columns[],5,0))</f>
        <v/>
      </c>
      <c r="G269" s="4" t="str">
        <f>IF(VLOOKUP(TableFields[Field],Columns[],6,0)=0,"","-&gt;"&amp;VLOOKUP(TableFields[Field],Columns[],6,0))</f>
        <v/>
      </c>
      <c r="H269" s="4" t="str">
        <f>IF(VLOOKUP(TableFields[Field],Columns[],7,0)=0,"","-&gt;"&amp;VLOOKUP(TableFields[Field],Columns[],7,0))</f>
        <v/>
      </c>
      <c r="I269" s="4" t="str">
        <f>IF(VLOOKUP(TableFields[Field],Columns[],8,0)=0,"","-&gt;"&amp;VLOOKUP(TableFields[Field],Columns[],8,0))</f>
        <v/>
      </c>
      <c r="J269" s="4" t="str">
        <f>IF(VLOOKUP(TableFields[Field],Columns[],9,0)=0,"","-&gt;"&amp;VLOOKUP(TableFields[Field],Columns[],9,0))</f>
        <v/>
      </c>
      <c r="K26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0" spans="1:11" x14ac:dyDescent="0.25">
      <c r="A270" s="4" t="s">
        <v>893</v>
      </c>
      <c r="B270" s="4" t="s">
        <v>894</v>
      </c>
      <c r="C270" s="4" t="str">
        <f>VLOOKUP(TableFields[Field],Columns[],2,0)&amp;"("</f>
        <v>unsignedTinyInteger(</v>
      </c>
      <c r="D270" s="4" t="str">
        <f>IF(VLOOKUP(TableFields[Field],Columns[],3,0)&lt;&gt;"","'"&amp;VLOOKUP(TableFields[Field],Columns[],3,0)&amp;"'","")</f>
        <v>'bin'</v>
      </c>
      <c r="E27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0" s="4" t="str">
        <f>IF(VLOOKUP(TableFields[Field],Columns[],5,0)=0,"","-&gt;"&amp;VLOOKUP(TableFields[Field],Columns[],5,0))</f>
        <v>-&gt;default(1)</v>
      </c>
      <c r="G270" s="4" t="str">
        <f>IF(VLOOKUP(TableFields[Field],Columns[],6,0)=0,"","-&gt;"&amp;VLOOKUP(TableFields[Field],Columns[],6,0))</f>
        <v/>
      </c>
      <c r="H270" s="4" t="str">
        <f>IF(VLOOKUP(TableFields[Field],Columns[],7,0)=0,"","-&gt;"&amp;VLOOKUP(TableFields[Field],Columns[],7,0))</f>
        <v/>
      </c>
      <c r="I270" s="4" t="str">
        <f>IF(VLOOKUP(TableFields[Field],Columns[],8,0)=0,"","-&gt;"&amp;VLOOKUP(TableFields[Field],Columns[],8,0))</f>
        <v/>
      </c>
      <c r="J270" s="4" t="str">
        <f>IF(VLOOKUP(TableFields[Field],Columns[],9,0)=0,"","-&gt;"&amp;VLOOKUP(TableFields[Field],Columns[],9,0))</f>
        <v/>
      </c>
      <c r="K270" s="4" t="str">
        <f>"$table-&gt;"&amp;TableFields[Type]&amp;TableFields[Name]&amp;TableFields[Arg2]&amp;TableFields[Method1]&amp;TableFields[Method2]&amp;TableFields[Method3]&amp;TableFields[Method4]&amp;TableFields[Method5]&amp;";"</f>
        <v>$table-&gt;unsignedTinyInteger('bin')-&gt;default(1);</v>
      </c>
    </row>
    <row r="271" spans="1:11" x14ac:dyDescent="0.25">
      <c r="A271" s="4" t="s">
        <v>893</v>
      </c>
      <c r="B271" s="4" t="s">
        <v>288</v>
      </c>
      <c r="C271" s="4" t="str">
        <f>VLOOKUP(TableFields[Field],Columns[],2,0)&amp;"("</f>
        <v>audit(</v>
      </c>
      <c r="D271" s="4" t="str">
        <f>IF(VLOOKUP(TableFields[Field],Columns[],3,0)&lt;&gt;"","'"&amp;VLOOKUP(TableFields[Field],Columns[],3,0)&amp;"'","")</f>
        <v/>
      </c>
      <c r="E27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1" s="4" t="str">
        <f>IF(VLOOKUP(TableFields[Field],Columns[],5,0)=0,"","-&gt;"&amp;VLOOKUP(TableFields[Field],Columns[],5,0))</f>
        <v/>
      </c>
      <c r="G271" s="4" t="str">
        <f>IF(VLOOKUP(TableFields[Field],Columns[],6,0)=0,"","-&gt;"&amp;VLOOKUP(TableFields[Field],Columns[],6,0))</f>
        <v/>
      </c>
      <c r="H271" s="4" t="str">
        <f>IF(VLOOKUP(TableFields[Field],Columns[],7,0)=0,"","-&gt;"&amp;VLOOKUP(TableFields[Field],Columns[],7,0))</f>
        <v/>
      </c>
      <c r="I271" s="4" t="str">
        <f>IF(VLOOKUP(TableFields[Field],Columns[],8,0)=0,"","-&gt;"&amp;VLOOKUP(TableFields[Field],Columns[],8,0))</f>
        <v/>
      </c>
      <c r="J271" s="4" t="str">
        <f>IF(VLOOKUP(TableFields[Field],Columns[],9,0)=0,"","-&gt;"&amp;VLOOKUP(TableFields[Field],Columns[],9,0))</f>
        <v/>
      </c>
      <c r="K271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2" spans="1:11" x14ac:dyDescent="0.25">
      <c r="A272" s="4" t="s">
        <v>1284</v>
      </c>
      <c r="B272" s="4" t="s">
        <v>21</v>
      </c>
      <c r="C272" s="4" t="str">
        <f>VLOOKUP(TableFields[Field],Columns[],2,0)&amp;"("</f>
        <v>bigIncrements(</v>
      </c>
      <c r="D272" s="4" t="str">
        <f>IF(VLOOKUP(TableFields[Field],Columns[],3,0)&lt;&gt;"","'"&amp;VLOOKUP(TableFields[Field],Columns[],3,0)&amp;"'","")</f>
        <v>'id'</v>
      </c>
      <c r="E27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2" s="4" t="str">
        <f>IF(VLOOKUP(TableFields[Field],Columns[],5,0)=0,"","-&gt;"&amp;VLOOKUP(TableFields[Field],Columns[],5,0))</f>
        <v/>
      </c>
      <c r="G272" s="4" t="str">
        <f>IF(VLOOKUP(TableFields[Field],Columns[],6,0)=0,"","-&gt;"&amp;VLOOKUP(TableFields[Field],Columns[],6,0))</f>
        <v/>
      </c>
      <c r="H272" s="4" t="str">
        <f>IF(VLOOKUP(TableFields[Field],Columns[],7,0)=0,"","-&gt;"&amp;VLOOKUP(TableFields[Field],Columns[],7,0))</f>
        <v/>
      </c>
      <c r="I272" s="4" t="str">
        <f>IF(VLOOKUP(TableFields[Field],Columns[],8,0)=0,"","-&gt;"&amp;VLOOKUP(TableFields[Field],Columns[],8,0))</f>
        <v/>
      </c>
      <c r="J272" s="4" t="str">
        <f>IF(VLOOKUP(TableFields[Field],Columns[],9,0)=0,"","-&gt;"&amp;VLOOKUP(TableFields[Field],Columns[],9,0))</f>
        <v/>
      </c>
      <c r="K272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3" spans="1:11" x14ac:dyDescent="0.25">
      <c r="A273" s="4" t="s">
        <v>1284</v>
      </c>
      <c r="B273" s="4" t="s">
        <v>23</v>
      </c>
      <c r="C273" s="4" t="str">
        <f>VLOOKUP(TableFields[Field],Columns[],2,0)&amp;"("</f>
        <v>string(</v>
      </c>
      <c r="D273" s="4" t="str">
        <f>IF(VLOOKUP(TableFields[Field],Columns[],3,0)&lt;&gt;"","'"&amp;VLOOKUP(TableFields[Field],Columns[],3,0)&amp;"'","")</f>
        <v>'name'</v>
      </c>
      <c r="E27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'64')</v>
      </c>
      <c r="F273" s="4" t="str">
        <f>IF(VLOOKUP(TableFields[Field],Columns[],5,0)=0,"","-&gt;"&amp;VLOOKUP(TableFields[Field],Columns[],5,0))</f>
        <v>-&gt;nullable()</v>
      </c>
      <c r="G273" s="4" t="str">
        <f>IF(VLOOKUP(TableFields[Field],Columns[],6,0)=0,"","-&gt;"&amp;VLOOKUP(TableFields[Field],Columns[],6,0))</f>
        <v>-&gt;index()</v>
      </c>
      <c r="H273" s="4" t="str">
        <f>IF(VLOOKUP(TableFields[Field],Columns[],7,0)=0,"","-&gt;"&amp;VLOOKUP(TableFields[Field],Columns[],7,0))</f>
        <v/>
      </c>
      <c r="I273" s="4" t="str">
        <f>IF(VLOOKUP(TableFields[Field],Columns[],8,0)=0,"","-&gt;"&amp;VLOOKUP(TableFields[Field],Columns[],8,0))</f>
        <v/>
      </c>
      <c r="J273" s="4" t="str">
        <f>IF(VLOOKUP(TableFields[Field],Columns[],9,0)=0,"","-&gt;"&amp;VLOOKUP(TableFields[Field],Columns[],9,0))</f>
        <v/>
      </c>
      <c r="K273" s="4" t="str">
        <f>"$table-&gt;"&amp;TableFields[Type]&amp;TableFields[Name]&amp;TableFields[Arg2]&amp;TableFields[Method1]&amp;TableFields[Method2]&amp;TableFields[Method3]&amp;TableFields[Method4]&amp;TableFields[Method5]&amp;";"</f>
        <v>$table-&gt;string('name', '64')-&gt;nullable()-&gt;index();</v>
      </c>
    </row>
    <row r="274" spans="1:11" x14ac:dyDescent="0.25">
      <c r="A274" s="4" t="s">
        <v>1284</v>
      </c>
      <c r="B274" s="4" t="s">
        <v>24</v>
      </c>
      <c r="C274" s="4" t="str">
        <f>VLOOKUP(TableFields[Field],Columns[],2,0)&amp;"("</f>
        <v>string(</v>
      </c>
      <c r="D274" s="4" t="str">
        <f>IF(VLOOKUP(TableFields[Field],Columns[],3,0)&lt;&gt;"","'"&amp;VLOOKUP(TableFields[Field],Columns[],3,0)&amp;"'","")</f>
        <v>'description'</v>
      </c>
      <c r="E27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'1024')</v>
      </c>
      <c r="F274" s="4" t="str">
        <f>IF(VLOOKUP(TableFields[Field],Columns[],5,0)=0,"","-&gt;"&amp;VLOOKUP(TableFields[Field],Columns[],5,0))</f>
        <v>-&gt;nullable()</v>
      </c>
      <c r="G274" s="4" t="str">
        <f>IF(VLOOKUP(TableFields[Field],Columns[],6,0)=0,"","-&gt;"&amp;VLOOKUP(TableFields[Field],Columns[],6,0))</f>
        <v/>
      </c>
      <c r="H274" s="4" t="str">
        <f>IF(VLOOKUP(TableFields[Field],Columns[],7,0)=0,"","-&gt;"&amp;VLOOKUP(TableFields[Field],Columns[],7,0))</f>
        <v/>
      </c>
      <c r="I274" s="4" t="str">
        <f>IF(VLOOKUP(TableFields[Field],Columns[],8,0)=0,"","-&gt;"&amp;VLOOKUP(TableFields[Field],Columns[],8,0))</f>
        <v/>
      </c>
      <c r="J274" s="4" t="str">
        <f>IF(VLOOKUP(TableFields[Field],Columns[],9,0)=0,"","-&gt;"&amp;VLOOKUP(TableFields[Field],Columns[],9,0))</f>
        <v/>
      </c>
      <c r="K274" s="4" t="str">
        <f>"$table-&gt;"&amp;TableFields[Type]&amp;TableFields[Name]&amp;TableFields[Arg2]&amp;TableFields[Method1]&amp;TableFields[Method2]&amp;TableFields[Method3]&amp;TableFields[Method4]&amp;TableFields[Method5]&amp;";"</f>
        <v>$table-&gt;string('description', '1024')-&gt;nullable();</v>
      </c>
    </row>
    <row r="275" spans="1:11" x14ac:dyDescent="0.25">
      <c r="A275" s="4" t="s">
        <v>1284</v>
      </c>
      <c r="B275" s="4" t="s">
        <v>44</v>
      </c>
      <c r="C275" s="4" t="str">
        <f>VLOOKUP(TableFields[Field],Columns[],2,0)&amp;"("</f>
        <v>string(</v>
      </c>
      <c r="D275" s="4" t="str">
        <f>IF(VLOOKUP(TableFields[Field],Columns[],3,0)&lt;&gt;"","'"&amp;VLOOKUP(TableFields[Field],Columns[],3,0)&amp;"'","")</f>
        <v>'value'</v>
      </c>
      <c r="E27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75" s="4" t="str">
        <f>IF(VLOOKUP(TableFields[Field],Columns[],5,0)=0,"","-&gt;"&amp;VLOOKUP(TableFields[Field],Columns[],5,0))</f>
        <v>-&gt;nullable()</v>
      </c>
      <c r="G275" s="4" t="str">
        <f>IF(VLOOKUP(TableFields[Field],Columns[],6,0)=0,"","-&gt;"&amp;VLOOKUP(TableFields[Field],Columns[],6,0))</f>
        <v/>
      </c>
      <c r="H275" s="4" t="str">
        <f>IF(VLOOKUP(TableFields[Field],Columns[],7,0)=0,"","-&gt;"&amp;VLOOKUP(TableFields[Field],Columns[],7,0))</f>
        <v/>
      </c>
      <c r="I275" s="4" t="str">
        <f>IF(VLOOKUP(TableFields[Field],Columns[],8,0)=0,"","-&gt;"&amp;VLOOKUP(TableFields[Field],Columns[],8,0))</f>
        <v/>
      </c>
      <c r="J275" s="4" t="str">
        <f>IF(VLOOKUP(TableFields[Field],Columns[],9,0)=0,"","-&gt;"&amp;VLOOKUP(TableFields[Field],Columns[],9,0))</f>
        <v/>
      </c>
      <c r="K275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76" spans="1:11" x14ac:dyDescent="0.25">
      <c r="A276" s="4" t="s">
        <v>1284</v>
      </c>
      <c r="B276" s="4" t="s">
        <v>776</v>
      </c>
      <c r="C276" s="4" t="str">
        <f>VLOOKUP(TableFields[Field],Columns[],2,0)&amp;"("</f>
        <v>enum(</v>
      </c>
      <c r="D276" s="4" t="str">
        <f>IF(VLOOKUP(TableFields[Field],Columns[],3,0)&lt;&gt;"","'"&amp;VLOOKUP(TableFields[Field],Columns[],3,0)&amp;"'","")</f>
        <v>'status'</v>
      </c>
      <c r="E27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76" s="4" t="str">
        <f>IF(VLOOKUP(TableFields[Field],Columns[],5,0)=0,"","-&gt;"&amp;VLOOKUP(TableFields[Field],Columns[],5,0))</f>
        <v>-&gt;nullable()</v>
      </c>
      <c r="G276" s="4" t="str">
        <f>IF(VLOOKUP(TableFields[Field],Columns[],6,0)=0,"","-&gt;"&amp;VLOOKUP(TableFields[Field],Columns[],6,0))</f>
        <v>-&gt;default('Active')</v>
      </c>
      <c r="H276" s="4" t="str">
        <f>IF(VLOOKUP(TableFields[Field],Columns[],7,0)=0,"","-&gt;"&amp;VLOOKUP(TableFields[Field],Columns[],7,0))</f>
        <v/>
      </c>
      <c r="I276" s="4" t="str">
        <f>IF(VLOOKUP(TableFields[Field],Columns[],8,0)=0,"","-&gt;"&amp;VLOOKUP(TableFields[Field],Columns[],8,0))</f>
        <v/>
      </c>
      <c r="J276" s="4" t="str">
        <f>IF(VLOOKUP(TableFields[Field],Columns[],9,0)=0,"","-&gt;"&amp;VLOOKUP(TableFields[Field],Columns[],9,0))</f>
        <v/>
      </c>
      <c r="K276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77" spans="1:11" x14ac:dyDescent="0.25">
      <c r="A277" s="4" t="s">
        <v>1284</v>
      </c>
      <c r="B277" s="4" t="s">
        <v>288</v>
      </c>
      <c r="C277" s="4" t="str">
        <f>VLOOKUP(TableFields[Field],Columns[],2,0)&amp;"("</f>
        <v>audit(</v>
      </c>
      <c r="D277" s="4" t="str">
        <f>IF(VLOOKUP(TableFields[Field],Columns[],3,0)&lt;&gt;"","'"&amp;VLOOKUP(TableFields[Field],Columns[],3,0)&amp;"'","")</f>
        <v/>
      </c>
      <c r="E27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7" s="4" t="str">
        <f>IF(VLOOKUP(TableFields[Field],Columns[],5,0)=0,"","-&gt;"&amp;VLOOKUP(TableFields[Field],Columns[],5,0))</f>
        <v/>
      </c>
      <c r="G277" s="4" t="str">
        <f>IF(VLOOKUP(TableFields[Field],Columns[],6,0)=0,"","-&gt;"&amp;VLOOKUP(TableFields[Field],Columns[],6,0))</f>
        <v/>
      </c>
      <c r="H277" s="4" t="str">
        <f>IF(VLOOKUP(TableFields[Field],Columns[],7,0)=0,"","-&gt;"&amp;VLOOKUP(TableFields[Field],Columns[],7,0))</f>
        <v/>
      </c>
      <c r="I277" s="4" t="str">
        <f>IF(VLOOKUP(TableFields[Field],Columns[],8,0)=0,"","-&gt;"&amp;VLOOKUP(TableFields[Field],Columns[],8,0))</f>
        <v/>
      </c>
      <c r="J277" s="4" t="str">
        <f>IF(VLOOKUP(TableFields[Field],Columns[],9,0)=0,"","-&gt;"&amp;VLOOKUP(TableFields[Field],Columns[],9,0))</f>
        <v/>
      </c>
      <c r="K277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78" spans="1:11" x14ac:dyDescent="0.25">
      <c r="A278" s="4" t="s">
        <v>1285</v>
      </c>
      <c r="B278" s="4" t="s">
        <v>21</v>
      </c>
      <c r="C278" s="4" t="str">
        <f>VLOOKUP(TableFields[Field],Columns[],2,0)&amp;"("</f>
        <v>bigIncrements(</v>
      </c>
      <c r="D278" s="4" t="str">
        <f>IF(VLOOKUP(TableFields[Field],Columns[],3,0)&lt;&gt;"","'"&amp;VLOOKUP(TableFields[Field],Columns[],3,0)&amp;"'","")</f>
        <v>'id'</v>
      </c>
      <c r="E27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78" s="4" t="str">
        <f>IF(VLOOKUP(TableFields[Field],Columns[],5,0)=0,"","-&gt;"&amp;VLOOKUP(TableFields[Field],Columns[],5,0))</f>
        <v/>
      </c>
      <c r="G278" s="4" t="str">
        <f>IF(VLOOKUP(TableFields[Field],Columns[],6,0)=0,"","-&gt;"&amp;VLOOKUP(TableFields[Field],Columns[],6,0))</f>
        <v/>
      </c>
      <c r="H278" s="4" t="str">
        <f>IF(VLOOKUP(TableFields[Field],Columns[],7,0)=0,"","-&gt;"&amp;VLOOKUP(TableFields[Field],Columns[],7,0))</f>
        <v/>
      </c>
      <c r="I278" s="4" t="str">
        <f>IF(VLOOKUP(TableFields[Field],Columns[],8,0)=0,"","-&gt;"&amp;VLOOKUP(TableFields[Field],Columns[],8,0))</f>
        <v/>
      </c>
      <c r="J278" s="4" t="str">
        <f>IF(VLOOKUP(TableFields[Field],Columns[],9,0)=0,"","-&gt;"&amp;VLOOKUP(TableFields[Field],Columns[],9,0))</f>
        <v/>
      </c>
      <c r="K278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79" spans="1:11" x14ac:dyDescent="0.25">
      <c r="A279" s="4" t="s">
        <v>1285</v>
      </c>
      <c r="B279" s="4" t="s">
        <v>900</v>
      </c>
      <c r="C279" s="4" t="str">
        <f>VLOOKUP(TableFields[Field],Columns[],2,0)&amp;"("</f>
        <v>foreignCascade(</v>
      </c>
      <c r="D279" s="4" t="str">
        <f>IF(VLOOKUP(TableFields[Field],Columns[],3,0)&lt;&gt;"","'"&amp;VLOOKUP(TableFields[Field],Columns[],3,0)&amp;"'","")</f>
        <v>'user'</v>
      </c>
      <c r="E27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79" s="4" t="str">
        <f>IF(VLOOKUP(TableFields[Field],Columns[],5,0)=0,"","-&gt;"&amp;VLOOKUP(TableFields[Field],Columns[],5,0))</f>
        <v/>
      </c>
      <c r="G279" s="4" t="str">
        <f>IF(VLOOKUP(TableFields[Field],Columns[],6,0)=0,"","-&gt;"&amp;VLOOKUP(TableFields[Field],Columns[],6,0))</f>
        <v/>
      </c>
      <c r="H279" s="4" t="str">
        <f>IF(VLOOKUP(TableFields[Field],Columns[],7,0)=0,"","-&gt;"&amp;VLOOKUP(TableFields[Field],Columns[],7,0))</f>
        <v/>
      </c>
      <c r="I279" s="4" t="str">
        <f>IF(VLOOKUP(TableFields[Field],Columns[],8,0)=0,"","-&gt;"&amp;VLOOKUP(TableFields[Field],Columns[],8,0))</f>
        <v/>
      </c>
      <c r="J279" s="4" t="str">
        <f>IF(VLOOKUP(TableFields[Field],Columns[],9,0)=0,"","-&gt;"&amp;VLOOKUP(TableFields[Field],Columns[],9,0))</f>
        <v/>
      </c>
      <c r="K279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$table-&gt;foreignCascade('user', 'users');</v>
      </c>
    </row>
    <row r="280" spans="1:11" x14ac:dyDescent="0.25">
      <c r="A280" s="4" t="s">
        <v>1285</v>
      </c>
      <c r="B280" s="4" t="s">
        <v>1288</v>
      </c>
      <c r="C280" s="4" t="str">
        <f>VLOOKUP(TableFields[Field],Columns[],2,0)&amp;"("</f>
        <v>foreignCascade(</v>
      </c>
      <c r="D280" s="4" t="str">
        <f>IF(VLOOKUP(TableFields[Field],Columns[],3,0)&lt;&gt;"","'"&amp;VLOOKUP(TableFields[Field],Columns[],3,0)&amp;"'","")</f>
        <v>'setting'</v>
      </c>
      <c r="E28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'settings')</v>
      </c>
      <c r="F280" s="4" t="str">
        <f>IF(VLOOKUP(TableFields[Field],Columns[],5,0)=0,"","-&gt;"&amp;VLOOKUP(TableFields[Field],Columns[],5,0))</f>
        <v/>
      </c>
      <c r="G280" s="4" t="str">
        <f>IF(VLOOKUP(TableFields[Field],Columns[],6,0)=0,"","-&gt;"&amp;VLOOKUP(TableFields[Field],Columns[],6,0))</f>
        <v/>
      </c>
      <c r="H280" s="4" t="str">
        <f>IF(VLOOKUP(TableFields[Field],Columns[],7,0)=0,"","-&gt;"&amp;VLOOKUP(TableFields[Field],Columns[],7,0))</f>
        <v/>
      </c>
      <c r="I280" s="4" t="str">
        <f>IF(VLOOKUP(TableFields[Field],Columns[],8,0)=0,"","-&gt;"&amp;VLOOKUP(TableFields[Field],Columns[],8,0))</f>
        <v/>
      </c>
      <c r="J280" s="4" t="str">
        <f>IF(VLOOKUP(TableFields[Field],Columns[],9,0)=0,"","-&gt;"&amp;VLOOKUP(TableFields[Field],Columns[],9,0))</f>
        <v/>
      </c>
      <c r="K280" s="4" t="str">
        <f>"$table-&gt;"&amp;TableFields[Type]&amp;TableFields[Name]&amp;TableFields[Arg2]&amp;TableFields[Method1]&amp;TableFields[Method2]&amp;TableFields[Method3]&amp;TableFields[Method4]&amp;TableFields[Method5]&amp;";"</f>
        <v>$table-&gt;foreignCascade('setting', 'settings');</v>
      </c>
    </row>
    <row r="281" spans="1:11" x14ac:dyDescent="0.25">
      <c r="A281" s="4" t="s">
        <v>1285</v>
      </c>
      <c r="B281" s="4" t="s">
        <v>44</v>
      </c>
      <c r="C281" s="4" t="str">
        <f>VLOOKUP(TableFields[Field],Columns[],2,0)&amp;"("</f>
        <v>string(</v>
      </c>
      <c r="D281" s="4" t="str">
        <f>IF(VLOOKUP(TableFields[Field],Columns[],3,0)&lt;&gt;"","'"&amp;VLOOKUP(TableFields[Field],Columns[],3,0)&amp;"'","")</f>
        <v>'value'</v>
      </c>
      <c r="E28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'256')</v>
      </c>
      <c r="F281" s="4" t="str">
        <f>IF(VLOOKUP(TableFields[Field],Columns[],5,0)=0,"","-&gt;"&amp;VLOOKUP(TableFields[Field],Columns[],5,0))</f>
        <v>-&gt;nullable()</v>
      </c>
      <c r="G281" s="4" t="str">
        <f>IF(VLOOKUP(TableFields[Field],Columns[],6,0)=0,"","-&gt;"&amp;VLOOKUP(TableFields[Field],Columns[],6,0))</f>
        <v/>
      </c>
      <c r="H281" s="4" t="str">
        <f>IF(VLOOKUP(TableFields[Field],Columns[],7,0)=0,"","-&gt;"&amp;VLOOKUP(TableFields[Field],Columns[],7,0))</f>
        <v/>
      </c>
      <c r="I281" s="4" t="str">
        <f>IF(VLOOKUP(TableFields[Field],Columns[],8,0)=0,"","-&gt;"&amp;VLOOKUP(TableFields[Field],Columns[],8,0))</f>
        <v/>
      </c>
      <c r="J281" s="4" t="str">
        <f>IF(VLOOKUP(TableFields[Field],Columns[],9,0)=0,"","-&gt;"&amp;VLOOKUP(TableFields[Field],Columns[],9,0))</f>
        <v/>
      </c>
      <c r="K281" s="4" t="str">
        <f>"$table-&gt;"&amp;TableFields[Type]&amp;TableFields[Name]&amp;TableFields[Arg2]&amp;TableFields[Method1]&amp;TableFields[Method2]&amp;TableFields[Method3]&amp;TableFields[Method4]&amp;TableFields[Method5]&amp;";"</f>
        <v>$table-&gt;string('value', '256')-&gt;nullable();</v>
      </c>
    </row>
    <row r="282" spans="1:11" x14ac:dyDescent="0.25">
      <c r="A282" s="4" t="s">
        <v>1285</v>
      </c>
      <c r="B282" s="4" t="s">
        <v>776</v>
      </c>
      <c r="C282" s="4" t="str">
        <f>VLOOKUP(TableFields[Field],Columns[],2,0)&amp;"("</f>
        <v>enum(</v>
      </c>
      <c r="D282" s="4" t="str">
        <f>IF(VLOOKUP(TableFields[Field],Columns[],3,0)&lt;&gt;"","'"&amp;VLOOKUP(TableFields[Field],Columns[],3,0)&amp;"'","")</f>
        <v>'status'</v>
      </c>
      <c r="E28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82" s="4" t="str">
        <f>IF(VLOOKUP(TableFields[Field],Columns[],5,0)=0,"","-&gt;"&amp;VLOOKUP(TableFields[Field],Columns[],5,0))</f>
        <v>-&gt;nullable()</v>
      </c>
      <c r="G282" s="4" t="str">
        <f>IF(VLOOKUP(TableFields[Field],Columns[],6,0)=0,"","-&gt;"&amp;VLOOKUP(TableFields[Field],Columns[],6,0))</f>
        <v>-&gt;default('Active')</v>
      </c>
      <c r="H282" s="4" t="str">
        <f>IF(VLOOKUP(TableFields[Field],Columns[],7,0)=0,"","-&gt;"&amp;VLOOKUP(TableFields[Field],Columns[],7,0))</f>
        <v/>
      </c>
      <c r="I282" s="4" t="str">
        <f>IF(VLOOKUP(TableFields[Field],Columns[],8,0)=0,"","-&gt;"&amp;VLOOKUP(TableFields[Field],Columns[],8,0))</f>
        <v/>
      </c>
      <c r="J282" s="4" t="str">
        <f>IF(VLOOKUP(TableFields[Field],Columns[],9,0)=0,"","-&gt;"&amp;VLOOKUP(TableFields[Field],Columns[],9,0))</f>
        <v/>
      </c>
      <c r="K282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83" spans="1:11" x14ac:dyDescent="0.25">
      <c r="A283" s="4" t="s">
        <v>1285</v>
      </c>
      <c r="B283" s="4" t="s">
        <v>288</v>
      </c>
      <c r="C283" s="4" t="str">
        <f>VLOOKUP(TableFields[Field],Columns[],2,0)&amp;"("</f>
        <v>audit(</v>
      </c>
      <c r="D283" s="4" t="str">
        <f>IF(VLOOKUP(TableFields[Field],Columns[],3,0)&lt;&gt;"","'"&amp;VLOOKUP(TableFields[Field],Columns[],3,0)&amp;"'","")</f>
        <v/>
      </c>
      <c r="E28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3" s="4" t="str">
        <f>IF(VLOOKUP(TableFields[Field],Columns[],5,0)=0,"","-&gt;"&amp;VLOOKUP(TableFields[Field],Columns[],5,0))</f>
        <v/>
      </c>
      <c r="G283" s="4" t="str">
        <f>IF(VLOOKUP(TableFields[Field],Columns[],6,0)=0,"","-&gt;"&amp;VLOOKUP(TableFields[Field],Columns[],6,0))</f>
        <v/>
      </c>
      <c r="H283" s="4" t="str">
        <f>IF(VLOOKUP(TableFields[Field],Columns[],7,0)=0,"","-&gt;"&amp;VLOOKUP(TableFields[Field],Columns[],7,0))</f>
        <v/>
      </c>
      <c r="I283" s="4" t="str">
        <f>IF(VLOOKUP(TableFields[Field],Columns[],8,0)=0,"","-&gt;"&amp;VLOOKUP(TableFields[Field],Columns[],8,0))</f>
        <v/>
      </c>
      <c r="J283" s="4" t="str">
        <f>IF(VLOOKUP(TableFields[Field],Columns[],9,0)=0,"","-&gt;"&amp;VLOOKUP(TableFields[Field],Columns[],9,0))</f>
        <v/>
      </c>
      <c r="K283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84" spans="1:11" x14ac:dyDescent="0.25">
      <c r="A284" s="4" t="s">
        <v>1736</v>
      </c>
      <c r="B284" s="4" t="s">
        <v>21</v>
      </c>
      <c r="C284" s="4" t="str">
        <f>VLOOKUP(TableFields[Field],Columns[],2,0)&amp;"("</f>
        <v>bigIncrements(</v>
      </c>
      <c r="D284" s="4" t="str">
        <f>IF(VLOOKUP(TableFields[Field],Columns[],3,0)&lt;&gt;"","'"&amp;VLOOKUP(TableFields[Field],Columns[],3,0)&amp;"'","")</f>
        <v>'id'</v>
      </c>
      <c r="E28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84" s="4" t="str">
        <f>IF(VLOOKUP(TableFields[Field],Columns[],5,0)=0,"","-&gt;"&amp;VLOOKUP(TableFields[Field],Columns[],5,0))</f>
        <v/>
      </c>
      <c r="G284" s="4" t="str">
        <f>IF(VLOOKUP(TableFields[Field],Columns[],6,0)=0,"","-&gt;"&amp;VLOOKUP(TableFields[Field],Columns[],6,0))</f>
        <v/>
      </c>
      <c r="H284" s="4" t="str">
        <f>IF(VLOOKUP(TableFields[Field],Columns[],7,0)=0,"","-&gt;"&amp;VLOOKUP(TableFields[Field],Columns[],7,0))</f>
        <v/>
      </c>
      <c r="I284" s="4" t="str">
        <f>IF(VLOOKUP(TableFields[Field],Columns[],8,0)=0,"","-&gt;"&amp;VLOOKUP(TableFields[Field],Columns[],8,0))</f>
        <v/>
      </c>
      <c r="J284" s="4" t="str">
        <f>IF(VLOOKUP(TableFields[Field],Columns[],9,0)=0,"","-&gt;"&amp;VLOOKUP(TableFields[Field],Columns[],9,0))</f>
        <v/>
      </c>
      <c r="K284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285" spans="1:11" x14ac:dyDescent="0.25">
      <c r="A285" s="4" t="s">
        <v>1736</v>
      </c>
      <c r="B285" s="4" t="s">
        <v>848</v>
      </c>
      <c r="C285" s="4" t="str">
        <f>VLOOKUP(TableFields[Field],Columns[],2,0)&amp;"("</f>
        <v>char(</v>
      </c>
      <c r="D285" s="4" t="str">
        <f>IF(VLOOKUP(TableFields[Field],Columns[],3,0)&lt;&gt;"","'"&amp;VLOOKUP(TableFields[Field],Columns[],3,0)&amp;"'","")</f>
        <v>'docno'</v>
      </c>
      <c r="E28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'20')</v>
      </c>
      <c r="F285" s="4" t="str">
        <f>IF(VLOOKUP(TableFields[Field],Columns[],5,0)=0,"","-&gt;"&amp;VLOOKUP(TableFields[Field],Columns[],5,0))</f>
        <v>-&gt;nullable()</v>
      </c>
      <c r="G285" s="4" t="str">
        <f>IF(VLOOKUP(TableFields[Field],Columns[],6,0)=0,"","-&gt;"&amp;VLOOKUP(TableFields[Field],Columns[],6,0))</f>
        <v>-&gt;index()</v>
      </c>
      <c r="H285" s="4" t="str">
        <f>IF(VLOOKUP(TableFields[Field],Columns[],7,0)=0,"","-&gt;"&amp;VLOOKUP(TableFields[Field],Columns[],7,0))</f>
        <v/>
      </c>
      <c r="I285" s="4" t="str">
        <f>IF(VLOOKUP(TableFields[Field],Columns[],8,0)=0,"","-&gt;"&amp;VLOOKUP(TableFields[Field],Columns[],8,0))</f>
        <v/>
      </c>
      <c r="J285" s="4" t="str">
        <f>IF(VLOOKUP(TableFields[Field],Columns[],9,0)=0,"","-&gt;"&amp;VLOOKUP(TableFields[Field],Columns[],9,0))</f>
        <v/>
      </c>
      <c r="K285" s="4" t="str">
        <f>"$table-&gt;"&amp;TableFields[Type]&amp;TableFields[Name]&amp;TableFields[Arg2]&amp;TableFields[Method1]&amp;TableFields[Method2]&amp;TableFields[Method3]&amp;TableFields[Method4]&amp;TableFields[Method5]&amp;";"</f>
        <v>$table-&gt;char('docno', '20')-&gt;nullable()-&gt;index();</v>
      </c>
    </row>
    <row r="286" spans="1:11" x14ac:dyDescent="0.25">
      <c r="A286" s="4" t="s">
        <v>1736</v>
      </c>
      <c r="B286" s="4" t="s">
        <v>916</v>
      </c>
      <c r="C286" s="4" t="str">
        <f>VLOOKUP(TableFields[Field],Columns[],2,0)&amp;"("</f>
        <v>char(</v>
      </c>
      <c r="D286" s="4" t="str">
        <f>IF(VLOOKUP(TableFields[Field],Columns[],3,0)&lt;&gt;"","'"&amp;VLOOKUP(TableFields[Field],Columns[],3,0)&amp;"'","")</f>
        <v>'fycode'</v>
      </c>
      <c r="E28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6" s="4" t="str">
        <f>IF(VLOOKUP(TableFields[Field],Columns[],5,0)=0,"","-&gt;"&amp;VLOOKUP(TableFields[Field],Columns[],5,0))</f>
        <v>-&gt;nullable()</v>
      </c>
      <c r="G286" s="4" t="str">
        <f>IF(VLOOKUP(TableFields[Field],Columns[],6,0)=0,"","-&gt;"&amp;VLOOKUP(TableFields[Field],Columns[],6,0))</f>
        <v>-&gt;index()</v>
      </c>
      <c r="H286" s="4" t="str">
        <f>IF(VLOOKUP(TableFields[Field],Columns[],7,0)=0,"","-&gt;"&amp;VLOOKUP(TableFields[Field],Columns[],7,0))</f>
        <v/>
      </c>
      <c r="I286" s="4" t="str">
        <f>IF(VLOOKUP(TableFields[Field],Columns[],8,0)=0,"","-&gt;"&amp;VLOOKUP(TableFields[Field],Columns[],8,0))</f>
        <v/>
      </c>
      <c r="J286" s="4" t="str">
        <f>IF(VLOOKUP(TableFields[Field],Columns[],9,0)=0,"","-&gt;"&amp;VLOOKUP(TableFields[Field],Columns[],9,0))</f>
        <v/>
      </c>
      <c r="K286" s="4" t="str">
        <f>"$table-&gt;"&amp;TableFields[Type]&amp;TableFields[Name]&amp;TableFields[Arg2]&amp;TableFields[Method1]&amp;TableFields[Method2]&amp;TableFields[Method3]&amp;TableFields[Method4]&amp;TableFields[Method5]&amp;";"</f>
        <v>$table-&gt;char('fycode', '5')-&gt;nullable()-&gt;index();</v>
      </c>
    </row>
    <row r="287" spans="1:11" x14ac:dyDescent="0.25">
      <c r="A287" s="4" t="s">
        <v>1736</v>
      </c>
      <c r="B287" s="4" t="s">
        <v>869</v>
      </c>
      <c r="C287" s="4" t="str">
        <f>VLOOKUP(TableFields[Field],Columns[],2,0)&amp;"("</f>
        <v>char(</v>
      </c>
      <c r="D287" s="4" t="str">
        <f>IF(VLOOKUP(TableFields[Field],Columns[],3,0)&lt;&gt;"","'"&amp;VLOOKUP(TableFields[Field],Columns[],3,0)&amp;"'","")</f>
        <v>'fncode'</v>
      </c>
      <c r="E28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287" s="4" t="str">
        <f>IF(VLOOKUP(TableFields[Field],Columns[],5,0)=0,"","-&gt;"&amp;VLOOKUP(TableFields[Field],Columns[],5,0))</f>
        <v>-&gt;nullable()</v>
      </c>
      <c r="G287" s="4" t="str">
        <f>IF(VLOOKUP(TableFields[Field],Columns[],6,0)=0,"","-&gt;"&amp;VLOOKUP(TableFields[Field],Columns[],6,0))</f>
        <v>-&gt;index()</v>
      </c>
      <c r="H287" s="4" t="str">
        <f>IF(VLOOKUP(TableFields[Field],Columns[],7,0)=0,"","-&gt;"&amp;VLOOKUP(TableFields[Field],Columns[],7,0))</f>
        <v/>
      </c>
      <c r="I287" s="4" t="str">
        <f>IF(VLOOKUP(TableFields[Field],Columns[],8,0)=0,"","-&gt;"&amp;VLOOKUP(TableFields[Field],Columns[],8,0))</f>
        <v/>
      </c>
      <c r="J287" s="4" t="str">
        <f>IF(VLOOKUP(TableFields[Field],Columns[],9,0)=0,"","-&gt;"&amp;VLOOKUP(TableFields[Field],Columns[],9,0))</f>
        <v/>
      </c>
      <c r="K287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288" spans="1:11" x14ac:dyDescent="0.25">
      <c r="A288" s="4" t="s">
        <v>1736</v>
      </c>
      <c r="B288" s="4" t="s">
        <v>911</v>
      </c>
      <c r="C288" s="4" t="str">
        <f>VLOOKUP(TableFields[Field],Columns[],2,0)&amp;"("</f>
        <v>foreignNullable(</v>
      </c>
      <c r="D288" s="4" t="str">
        <f>IF(VLOOKUP(TableFields[Field],Columns[],3,0)&lt;&gt;"","'"&amp;VLOOKUP(TableFields[Field],Columns[],3,0)&amp;"'","")</f>
        <v>'user'</v>
      </c>
      <c r="E28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88" s="4" t="str">
        <f>IF(VLOOKUP(TableFields[Field],Columns[],5,0)=0,"","-&gt;"&amp;VLOOKUP(TableFields[Field],Columns[],5,0))</f>
        <v/>
      </c>
      <c r="G288" s="4" t="str">
        <f>IF(VLOOKUP(TableFields[Field],Columns[],6,0)=0,"","-&gt;"&amp;VLOOKUP(TableFields[Field],Columns[],6,0))</f>
        <v/>
      </c>
      <c r="H288" s="4" t="str">
        <f>IF(VLOOKUP(TableFields[Field],Columns[],7,0)=0,"","-&gt;"&amp;VLOOKUP(TableFields[Field],Columns[],7,0))</f>
        <v/>
      </c>
      <c r="I288" s="4" t="str">
        <f>IF(VLOOKUP(TableFields[Field],Columns[],8,0)=0,"","-&gt;"&amp;VLOOKUP(TableFields[Field],Columns[],8,0))</f>
        <v/>
      </c>
      <c r="J288" s="4" t="str">
        <f>IF(VLOOKUP(TableFields[Field],Columns[],9,0)=0,"","-&gt;"&amp;VLOOKUP(TableFields[Field],Columns[],9,0))</f>
        <v/>
      </c>
      <c r="K288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289" spans="1:11" x14ac:dyDescent="0.25">
      <c r="A289" s="4" t="s">
        <v>1736</v>
      </c>
      <c r="B289" s="4" t="s">
        <v>1738</v>
      </c>
      <c r="C289" s="4" t="str">
        <f>VLOOKUP(TableFields[Field],Columns[],2,0)&amp;"("</f>
        <v>enum(</v>
      </c>
      <c r="D289" s="4" t="str">
        <f>IF(VLOOKUP(TableFields[Field],Columns[],3,0)&lt;&gt;"","'"&amp;VLOOKUP(TableFields[Field],Columns[],3,0)&amp;"'","")</f>
        <v>'mode'</v>
      </c>
      <c r="E28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['Cash','Cheque'])</v>
      </c>
      <c r="F289" s="4" t="str">
        <f>IF(VLOOKUP(TableFields[Field],Columns[],5,0)=0,"","-&gt;"&amp;VLOOKUP(TableFields[Field],Columns[],5,0))</f>
        <v>-&gt;nullable()</v>
      </c>
      <c r="G289" s="4" t="str">
        <f>IF(VLOOKUP(TableFields[Field],Columns[],6,0)=0,"","-&gt;"&amp;VLOOKUP(TableFields[Field],Columns[],6,0))</f>
        <v>-&gt;default('Cash')</v>
      </c>
      <c r="H289" s="4" t="str">
        <f>IF(VLOOKUP(TableFields[Field],Columns[],7,0)=0,"","-&gt;"&amp;VLOOKUP(TableFields[Field],Columns[],7,0))</f>
        <v/>
      </c>
      <c r="I289" s="4" t="str">
        <f>IF(VLOOKUP(TableFields[Field],Columns[],8,0)=0,"","-&gt;"&amp;VLOOKUP(TableFields[Field],Columns[],8,0))</f>
        <v/>
      </c>
      <c r="J289" s="4" t="str">
        <f>IF(VLOOKUP(TableFields[Field],Columns[],9,0)=0,"","-&gt;"&amp;VLOOKUP(TableFields[Field],Columns[],9,0))</f>
        <v/>
      </c>
      <c r="K289" s="4" t="str">
        <f>"$table-&gt;"&amp;TableFields[Type]&amp;TableFields[Name]&amp;TableFields[Arg2]&amp;TableFields[Method1]&amp;TableFields[Method2]&amp;TableFields[Method3]&amp;TableFields[Method4]&amp;TableFields[Method5]&amp;";"</f>
        <v>$table-&gt;enum('mode', ['Cash','Cheque'])-&gt;nullable()-&gt;default('Cash');</v>
      </c>
    </row>
    <row r="290" spans="1:11" x14ac:dyDescent="0.25">
      <c r="A290" s="4" t="s">
        <v>1736</v>
      </c>
      <c r="B290" s="4" t="s">
        <v>963</v>
      </c>
      <c r="C290" s="4" t="str">
        <f>VLOOKUP(TableFields[Field],Columns[],2,0)&amp;"("</f>
        <v>foreignNullable(</v>
      </c>
      <c r="D290" s="4" t="str">
        <f>IF(VLOOKUP(TableFields[Field],Columns[],3,0)&lt;&gt;"","'"&amp;VLOOKUP(TableFields[Field],Columns[],3,0)&amp;"'","")</f>
        <v>'customer'</v>
      </c>
      <c r="E29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290" s="4" t="str">
        <f>IF(VLOOKUP(TableFields[Field],Columns[],5,0)=0,"","-&gt;"&amp;VLOOKUP(TableFields[Field],Columns[],5,0))</f>
        <v/>
      </c>
      <c r="G290" s="4" t="str">
        <f>IF(VLOOKUP(TableFields[Field],Columns[],6,0)=0,"","-&gt;"&amp;VLOOKUP(TableFields[Field],Columns[],6,0))</f>
        <v/>
      </c>
      <c r="H290" s="4" t="str">
        <f>IF(VLOOKUP(TableFields[Field],Columns[],7,0)=0,"","-&gt;"&amp;VLOOKUP(TableFields[Field],Columns[],7,0))</f>
        <v/>
      </c>
      <c r="I290" s="4" t="str">
        <f>IF(VLOOKUP(TableFields[Field],Columns[],8,0)=0,"","-&gt;"&amp;VLOOKUP(TableFields[Field],Columns[],8,0))</f>
        <v/>
      </c>
      <c r="J290" s="4" t="str">
        <f>IF(VLOOKUP(TableFields[Field],Columns[],9,0)=0,"","-&gt;"&amp;VLOOKUP(TableFields[Field],Columns[],9,0))</f>
        <v/>
      </c>
      <c r="K290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$table-&gt;foreignNullable('customer', 'users');</v>
      </c>
    </row>
    <row r="291" spans="1:11" x14ac:dyDescent="0.25">
      <c r="A291" s="4" t="s">
        <v>1736</v>
      </c>
      <c r="B291" s="4" t="s">
        <v>842</v>
      </c>
      <c r="C291" s="4" t="str">
        <f>VLOOKUP(TableFields[Field],Columns[],2,0)&amp;"("</f>
        <v>timestamp(</v>
      </c>
      <c r="D291" s="4" t="str">
        <f>IF(VLOOKUP(TableFields[Field],Columns[],3,0)&lt;&gt;"","'"&amp;VLOOKUP(TableFields[Field],Columns[],3,0)&amp;"'","")</f>
        <v>'date'</v>
      </c>
      <c r="E29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1" s="4" t="str">
        <f>IF(VLOOKUP(TableFields[Field],Columns[],5,0)=0,"","-&gt;"&amp;VLOOKUP(TableFields[Field],Columns[],5,0))</f>
        <v>-&gt;default(DB::raw('CURRENT_TIMESTAMP'))</v>
      </c>
      <c r="G291" s="4" t="str">
        <f>IF(VLOOKUP(TableFields[Field],Columns[],6,0)=0,"","-&gt;"&amp;VLOOKUP(TableFields[Field],Columns[],6,0))</f>
        <v/>
      </c>
      <c r="H291" s="4" t="str">
        <f>IF(VLOOKUP(TableFields[Field],Columns[],7,0)=0,"","-&gt;"&amp;VLOOKUP(TableFields[Field],Columns[],7,0))</f>
        <v/>
      </c>
      <c r="I291" s="4" t="str">
        <f>IF(VLOOKUP(TableFields[Field],Columns[],8,0)=0,"","-&gt;"&amp;VLOOKUP(TableFields[Field],Columns[],8,0))</f>
        <v/>
      </c>
      <c r="J291" s="4" t="str">
        <f>IF(VLOOKUP(TableFields[Field],Columns[],9,0)=0,"","-&gt;"&amp;VLOOKUP(TableFields[Field],Columns[],9,0))</f>
        <v/>
      </c>
      <c r="K291" s="4" t="str">
        <f>"$table-&gt;"&amp;TableFields[Type]&amp;TableFields[Name]&amp;TableFields[Arg2]&amp;TableFields[Method1]&amp;TableFields[Method2]&amp;TableFields[Method3]&amp;TableFields[Method4]&amp;TableFields[Method5]&amp;";"</f>
        <v>$table-&gt;timestamp('date')-&gt;default(DB::raw('CURRENT_TIMESTAMP'));</v>
      </c>
    </row>
    <row r="292" spans="1:11" x14ac:dyDescent="0.25">
      <c r="A292" s="4" t="s">
        <v>1736</v>
      </c>
      <c r="B292" s="4" t="s">
        <v>979</v>
      </c>
      <c r="C292" s="4" t="str">
        <f>VLOOKUP(TableFields[Field],Columns[],2,0)&amp;"("</f>
        <v>decimal(</v>
      </c>
      <c r="D292" s="4" t="str">
        <f>IF(VLOOKUP(TableFields[Field],Columns[],3,0)&lt;&gt;"","'"&amp;VLOOKUP(TableFields[Field],Columns[],3,0)&amp;"'","")</f>
        <v>'amount'</v>
      </c>
      <c r="E29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292" s="4" t="str">
        <f>IF(VLOOKUP(TableFields[Field],Columns[],5,0)=0,"","-&gt;"&amp;VLOOKUP(TableFields[Field],Columns[],5,0))</f>
        <v>-&gt;default(0)</v>
      </c>
      <c r="G292" s="4" t="str">
        <f>IF(VLOOKUP(TableFields[Field],Columns[],6,0)=0,"","-&gt;"&amp;VLOOKUP(TableFields[Field],Columns[],6,0))</f>
        <v/>
      </c>
      <c r="H292" s="4" t="str">
        <f>IF(VLOOKUP(TableFields[Field],Columns[],7,0)=0,"","-&gt;"&amp;VLOOKUP(TableFields[Field],Columns[],7,0))</f>
        <v/>
      </c>
      <c r="I292" s="4" t="str">
        <f>IF(VLOOKUP(TableFields[Field],Columns[],8,0)=0,"","-&gt;"&amp;VLOOKUP(TableFields[Field],Columns[],8,0))</f>
        <v/>
      </c>
      <c r="J292" s="4" t="str">
        <f>IF(VLOOKUP(TableFields[Field],Columns[],9,0)=0,"","-&gt;"&amp;VLOOKUP(TableFields[Field],Columns[],9,0))</f>
        <v/>
      </c>
      <c r="K292" s="4" t="str">
        <f>"$table-&gt;"&amp;TableFields[Type]&amp;TableFields[Name]&amp;TableFields[Arg2]&amp;TableFields[Method1]&amp;TableFields[Method2]&amp;TableFields[Method3]&amp;TableFields[Method4]&amp;TableFields[Method5]&amp;";"</f>
        <v>$table-&gt;decimal('amount', 30,10)-&gt;default(0);</v>
      </c>
    </row>
    <row r="293" spans="1:11" x14ac:dyDescent="0.25">
      <c r="A293" s="4" t="s">
        <v>1736</v>
      </c>
      <c r="B293" s="5" t="s">
        <v>1741</v>
      </c>
      <c r="C293" s="5" t="str">
        <f>VLOOKUP(TableFields[Field],Columns[],2,0)&amp;"("</f>
        <v>string(</v>
      </c>
      <c r="D293" s="5" t="str">
        <f>IF(VLOOKUP(TableFields[Field],Columns[],3,0)&lt;&gt;"","'"&amp;VLOOKUP(TableFields[Field],Columns[],3,0)&amp;"'","")</f>
        <v>'bank'</v>
      </c>
      <c r="E29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3" s="5" t="str">
        <f>IF(VLOOKUP(TableFields[Field],Columns[],5,0)=0,"","-&gt;"&amp;VLOOKUP(TableFields[Field],Columns[],5,0))</f>
        <v>-&gt;nullable()</v>
      </c>
      <c r="G293" s="5" t="str">
        <f>IF(VLOOKUP(TableFields[Field],Columns[],6,0)=0,"","-&gt;"&amp;VLOOKUP(TableFields[Field],Columns[],6,0))</f>
        <v/>
      </c>
      <c r="H293" s="5" t="str">
        <f>IF(VLOOKUP(TableFields[Field],Columns[],7,0)=0,"","-&gt;"&amp;VLOOKUP(TableFields[Field],Columns[],7,0))</f>
        <v/>
      </c>
      <c r="I293" s="5" t="str">
        <f>IF(VLOOKUP(TableFields[Field],Columns[],8,0)=0,"","-&gt;"&amp;VLOOKUP(TableFields[Field],Columns[],8,0))</f>
        <v/>
      </c>
      <c r="J293" s="5" t="str">
        <f>IF(VLOOKUP(TableFields[Field],Columns[],9,0)=0,"","-&gt;"&amp;VLOOKUP(TableFields[Field],Columns[],9,0))</f>
        <v/>
      </c>
      <c r="K293" s="5" t="str">
        <f>"$table-&gt;"&amp;TableFields[Type]&amp;TableFields[Name]&amp;TableFields[Arg2]&amp;TableFields[Method1]&amp;TableFields[Method2]&amp;TableFields[Method3]&amp;TableFields[Method4]&amp;TableFields[Method5]&amp;";"</f>
        <v>$table-&gt;string('bank', '60')-&gt;nullable();</v>
      </c>
    </row>
    <row r="294" spans="1:11" x14ac:dyDescent="0.25">
      <c r="A294" s="4" t="s">
        <v>1736</v>
      </c>
      <c r="B294" s="5" t="s">
        <v>1742</v>
      </c>
      <c r="C294" s="5" t="str">
        <f>VLOOKUP(TableFields[Field],Columns[],2,0)&amp;"("</f>
        <v>string(</v>
      </c>
      <c r="D294" s="5" t="str">
        <f>IF(VLOOKUP(TableFields[Field],Columns[],3,0)&lt;&gt;"","'"&amp;VLOOKUP(TableFields[Field],Columns[],3,0)&amp;"'","")</f>
        <v>'cheque'</v>
      </c>
      <c r="E294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'60')</v>
      </c>
      <c r="F294" s="5" t="str">
        <f>IF(VLOOKUP(TableFields[Field],Columns[],5,0)=0,"","-&gt;"&amp;VLOOKUP(TableFields[Field],Columns[],5,0))</f>
        <v>-&gt;nullable()</v>
      </c>
      <c r="G294" s="5" t="str">
        <f>IF(VLOOKUP(TableFields[Field],Columns[],6,0)=0,"","-&gt;"&amp;VLOOKUP(TableFields[Field],Columns[],6,0))</f>
        <v/>
      </c>
      <c r="H294" s="5" t="str">
        <f>IF(VLOOKUP(TableFields[Field],Columns[],7,0)=0,"","-&gt;"&amp;VLOOKUP(TableFields[Field],Columns[],7,0))</f>
        <v/>
      </c>
      <c r="I294" s="5" t="str">
        <f>IF(VLOOKUP(TableFields[Field],Columns[],8,0)=0,"","-&gt;"&amp;VLOOKUP(TableFields[Field],Columns[],8,0))</f>
        <v/>
      </c>
      <c r="J294" s="5" t="str">
        <f>IF(VLOOKUP(TableFields[Field],Columns[],9,0)=0,"","-&gt;"&amp;VLOOKUP(TableFields[Field],Columns[],9,0))</f>
        <v/>
      </c>
      <c r="K294" s="5" t="str">
        <f>"$table-&gt;"&amp;TableFields[Type]&amp;TableFields[Name]&amp;TableFields[Arg2]&amp;TableFields[Method1]&amp;TableFields[Method2]&amp;TableFields[Method3]&amp;TableFields[Method4]&amp;TableFields[Method5]&amp;";"</f>
        <v>$table-&gt;string('cheque', '60')-&gt;nullable();</v>
      </c>
    </row>
    <row r="295" spans="1:11" x14ac:dyDescent="0.25">
      <c r="A295" s="4" t="s">
        <v>1736</v>
      </c>
      <c r="B295" s="4" t="s">
        <v>1743</v>
      </c>
      <c r="C295" s="4" t="str">
        <f>VLOOKUP(TableFields[Field],Columns[],2,0)&amp;"("</f>
        <v>datetime(</v>
      </c>
      <c r="D295" s="4" t="str">
        <f>IF(VLOOKUP(TableFields[Field],Columns[],3,0)&lt;&gt;"","'"&amp;VLOOKUP(TableFields[Field],Columns[],3,0)&amp;"'","")</f>
        <v>'cheque_date'</v>
      </c>
      <c r="E29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5" s="4" t="str">
        <f>IF(VLOOKUP(TableFields[Field],Columns[],5,0)=0,"","-&gt;"&amp;VLOOKUP(TableFields[Field],Columns[],5,0))</f>
        <v>-&gt;nullable()</v>
      </c>
      <c r="G295" s="4" t="str">
        <f>IF(VLOOKUP(TableFields[Field],Columns[],6,0)=0,"","-&gt;"&amp;VLOOKUP(TableFields[Field],Columns[],6,0))</f>
        <v/>
      </c>
      <c r="H295" s="4" t="str">
        <f>IF(VLOOKUP(TableFields[Field],Columns[],7,0)=0,"","-&gt;"&amp;VLOOKUP(TableFields[Field],Columns[],7,0))</f>
        <v/>
      </c>
      <c r="I295" s="4" t="str">
        <f>IF(VLOOKUP(TableFields[Field],Columns[],8,0)=0,"","-&gt;"&amp;VLOOKUP(TableFields[Field],Columns[],8,0))</f>
        <v/>
      </c>
      <c r="J295" s="4" t="str">
        <f>IF(VLOOKUP(TableFields[Field],Columns[],9,0)=0,"","-&gt;"&amp;VLOOKUP(TableFields[Field],Columns[],9,0))</f>
        <v/>
      </c>
      <c r="K295" s="4" t="str">
        <f>"$table-&gt;"&amp;TableFields[Type]&amp;TableFields[Name]&amp;TableFields[Arg2]&amp;TableFields[Method1]&amp;TableFields[Method2]&amp;TableFields[Method3]&amp;TableFields[Method4]&amp;TableFields[Method5]&amp;";"</f>
        <v>$table-&gt;datetime('cheque_date')-&gt;nullable();</v>
      </c>
    </row>
    <row r="296" spans="1:11" x14ac:dyDescent="0.25">
      <c r="A296" s="4" t="s">
        <v>1736</v>
      </c>
      <c r="B296" s="4" t="s">
        <v>1701</v>
      </c>
      <c r="C296" s="4" t="str">
        <f>VLOOKUP(TableFields[Field],Columns[],2,0)&amp;"("</f>
        <v>char(</v>
      </c>
      <c r="D296" s="4" t="str">
        <f>IF(VLOOKUP(TableFields[Field],Columns[],3,0)&lt;&gt;"","'"&amp;VLOOKUP(TableFields[Field],Columns[],3,0)&amp;"'","")</f>
        <v>'_ref'</v>
      </c>
      <c r="E29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'30')</v>
      </c>
      <c r="F296" s="4" t="str">
        <f>IF(VLOOKUP(TableFields[Field],Columns[],5,0)=0,"","-&gt;"&amp;VLOOKUP(TableFields[Field],Columns[],5,0))</f>
        <v>-&gt;nullable()</v>
      </c>
      <c r="G296" s="4" t="str">
        <f>IF(VLOOKUP(TableFields[Field],Columns[],6,0)=0,"","-&gt;"&amp;VLOOKUP(TableFields[Field],Columns[],6,0))</f>
        <v>-&gt;index()</v>
      </c>
      <c r="H296" s="4" t="str">
        <f>IF(VLOOKUP(TableFields[Field],Columns[],7,0)=0,"","-&gt;"&amp;VLOOKUP(TableFields[Field],Columns[],7,0))</f>
        <v/>
      </c>
      <c r="I296" s="4" t="str">
        <f>IF(VLOOKUP(TableFields[Field],Columns[],8,0)=0,"","-&gt;"&amp;VLOOKUP(TableFields[Field],Columns[],8,0))</f>
        <v/>
      </c>
      <c r="J296" s="4" t="str">
        <f>IF(VLOOKUP(TableFields[Field],Columns[],9,0)=0,"","-&gt;"&amp;VLOOKUP(TableFields[Field],Columns[],9,0))</f>
        <v/>
      </c>
      <c r="K296" s="4" t="str">
        <f>"$table-&gt;"&amp;TableFields[Type]&amp;TableFields[Name]&amp;TableFields[Arg2]&amp;TableFields[Method1]&amp;TableFields[Method2]&amp;TableFields[Method3]&amp;TableFields[Method4]&amp;TableFields[Method5]&amp;";"</f>
        <v>$table-&gt;char('_ref', '30')-&gt;nullable()-&gt;index();</v>
      </c>
    </row>
    <row r="297" spans="1:11" x14ac:dyDescent="0.25">
      <c r="A297" s="4" t="s">
        <v>1736</v>
      </c>
      <c r="B297" s="4" t="s">
        <v>776</v>
      </c>
      <c r="C297" s="4" t="str">
        <f>VLOOKUP(TableFields[Field],Columns[],2,0)&amp;"("</f>
        <v>enum(</v>
      </c>
      <c r="D297" s="4" t="str">
        <f>IF(VLOOKUP(TableFields[Field],Columns[],3,0)&lt;&gt;"","'"&amp;VLOOKUP(TableFields[Field],Columns[],3,0)&amp;"'","")</f>
        <v>'status'</v>
      </c>
      <c r="E29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297" s="4" t="str">
        <f>IF(VLOOKUP(TableFields[Field],Columns[],5,0)=0,"","-&gt;"&amp;VLOOKUP(TableFields[Field],Columns[],5,0))</f>
        <v>-&gt;nullable()</v>
      </c>
      <c r="G297" s="4" t="str">
        <f>IF(VLOOKUP(TableFields[Field],Columns[],6,0)=0,"","-&gt;"&amp;VLOOKUP(TableFields[Field],Columns[],6,0))</f>
        <v>-&gt;default('Active')</v>
      </c>
      <c r="H297" s="4" t="str">
        <f>IF(VLOOKUP(TableFields[Field],Columns[],7,0)=0,"","-&gt;"&amp;VLOOKUP(TableFields[Field],Columns[],7,0))</f>
        <v/>
      </c>
      <c r="I297" s="4" t="str">
        <f>IF(VLOOKUP(TableFields[Field],Columns[],8,0)=0,"","-&gt;"&amp;VLOOKUP(TableFields[Field],Columns[],8,0))</f>
        <v/>
      </c>
      <c r="J297" s="4" t="str">
        <f>IF(VLOOKUP(TableFields[Field],Columns[],9,0)=0,"","-&gt;"&amp;VLOOKUP(TableFields[Field],Columns[],9,0))</f>
        <v/>
      </c>
      <c r="K297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298" spans="1:11" x14ac:dyDescent="0.25">
      <c r="A298" s="4" t="s">
        <v>1736</v>
      </c>
      <c r="B298" s="4" t="s">
        <v>288</v>
      </c>
      <c r="C298" s="5" t="str">
        <f>VLOOKUP(TableFields[Field],Columns[],2,0)&amp;"("</f>
        <v>audit(</v>
      </c>
      <c r="D298" s="5" t="str">
        <f>IF(VLOOKUP(TableFields[Field],Columns[],3,0)&lt;&gt;"","'"&amp;VLOOKUP(TableFields[Field],Columns[],3,0)&amp;"'","")</f>
        <v/>
      </c>
      <c r="E298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8" s="5" t="str">
        <f>IF(VLOOKUP(TableFields[Field],Columns[],5,0)=0,"","-&gt;"&amp;VLOOKUP(TableFields[Field],Columns[],5,0))</f>
        <v/>
      </c>
      <c r="G298" s="5" t="str">
        <f>IF(VLOOKUP(TableFields[Field],Columns[],6,0)=0,"","-&gt;"&amp;VLOOKUP(TableFields[Field],Columns[],6,0))</f>
        <v/>
      </c>
      <c r="H298" s="5" t="str">
        <f>IF(VLOOKUP(TableFields[Field],Columns[],7,0)=0,"","-&gt;"&amp;VLOOKUP(TableFields[Field],Columns[],7,0))</f>
        <v/>
      </c>
      <c r="I298" s="5" t="str">
        <f>IF(VLOOKUP(TableFields[Field],Columns[],8,0)=0,"","-&gt;"&amp;VLOOKUP(TableFields[Field],Columns[],8,0))</f>
        <v/>
      </c>
      <c r="J298" s="5" t="str">
        <f>IF(VLOOKUP(TableFields[Field],Columns[],9,0)=0,"","-&gt;"&amp;VLOOKUP(TableFields[Field],Columns[],9,0))</f>
        <v/>
      </c>
      <c r="K298" s="5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299" spans="1:11" x14ac:dyDescent="0.25">
      <c r="A299" s="4" t="s">
        <v>1771</v>
      </c>
      <c r="B299" s="4" t="s">
        <v>21</v>
      </c>
      <c r="C299" s="4" t="str">
        <f>VLOOKUP(TableFields[Field],Columns[],2,0)&amp;"("</f>
        <v>bigIncrements(</v>
      </c>
      <c r="D299" s="4" t="str">
        <f>IF(VLOOKUP(TableFields[Field],Columns[],3,0)&lt;&gt;"","'"&amp;VLOOKUP(TableFields[Field],Columns[],3,0)&amp;"'","")</f>
        <v>'id'</v>
      </c>
      <c r="E29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299" s="4" t="str">
        <f>IF(VLOOKUP(TableFields[Field],Columns[],5,0)=0,"","-&gt;"&amp;VLOOKUP(TableFields[Field],Columns[],5,0))</f>
        <v/>
      </c>
      <c r="G299" s="4" t="str">
        <f>IF(VLOOKUP(TableFields[Field],Columns[],6,0)=0,"","-&gt;"&amp;VLOOKUP(TableFields[Field],Columns[],6,0))</f>
        <v/>
      </c>
      <c r="H299" s="4" t="str">
        <f>IF(VLOOKUP(TableFields[Field],Columns[],7,0)=0,"","-&gt;"&amp;VLOOKUP(TableFields[Field],Columns[],7,0))</f>
        <v/>
      </c>
      <c r="I299" s="4" t="str">
        <f>IF(VLOOKUP(TableFields[Field],Columns[],8,0)=0,"","-&gt;"&amp;VLOOKUP(TableFields[Field],Columns[],8,0))</f>
        <v/>
      </c>
      <c r="J299" s="4" t="str">
        <f>IF(VLOOKUP(TableFields[Field],Columns[],9,0)=0,"","-&gt;"&amp;VLOOKUP(TableFields[Field],Columns[],9,0))</f>
        <v/>
      </c>
      <c r="K299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00" spans="1:11" x14ac:dyDescent="0.25">
      <c r="A300" s="4" t="s">
        <v>1771</v>
      </c>
      <c r="B300" s="4" t="s">
        <v>869</v>
      </c>
      <c r="C300" s="4" t="str">
        <f>VLOOKUP(TableFields[Field],Columns[],2,0)&amp;"("</f>
        <v>char(</v>
      </c>
      <c r="D300" s="4" t="str">
        <f>IF(VLOOKUP(TableFields[Field],Columns[],3,0)&lt;&gt;"","'"&amp;VLOOKUP(TableFields[Field],Columns[],3,0)&amp;"'","")</f>
        <v>'fncode'</v>
      </c>
      <c r="E30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'5')</v>
      </c>
      <c r="F300" s="4" t="str">
        <f>IF(VLOOKUP(TableFields[Field],Columns[],5,0)=0,"","-&gt;"&amp;VLOOKUP(TableFields[Field],Columns[],5,0))</f>
        <v>-&gt;nullable()</v>
      </c>
      <c r="G300" s="4" t="str">
        <f>IF(VLOOKUP(TableFields[Field],Columns[],6,0)=0,"","-&gt;"&amp;VLOOKUP(TableFields[Field],Columns[],6,0))</f>
        <v>-&gt;index()</v>
      </c>
      <c r="H300" s="4" t="str">
        <f>IF(VLOOKUP(TableFields[Field],Columns[],7,0)=0,"","-&gt;"&amp;VLOOKUP(TableFields[Field],Columns[],7,0))</f>
        <v/>
      </c>
      <c r="I300" s="4" t="str">
        <f>IF(VLOOKUP(TableFields[Field],Columns[],8,0)=0,"","-&gt;"&amp;VLOOKUP(TableFields[Field],Columns[],8,0))</f>
        <v/>
      </c>
      <c r="J300" s="4" t="str">
        <f>IF(VLOOKUP(TableFields[Field],Columns[],9,0)=0,"","-&gt;"&amp;VLOOKUP(TableFields[Field],Columns[],9,0))</f>
        <v/>
      </c>
      <c r="K300" s="4" t="str">
        <f>"$table-&gt;"&amp;TableFields[Type]&amp;TableFields[Name]&amp;TableFields[Arg2]&amp;TableFields[Method1]&amp;TableFields[Method2]&amp;TableFields[Method3]&amp;TableFields[Method4]&amp;TableFields[Method5]&amp;";"</f>
        <v>$table-&gt;char('fncode', '5')-&gt;nullable()-&gt;index();</v>
      </c>
    </row>
    <row r="301" spans="1:11" x14ac:dyDescent="0.25">
      <c r="A301" s="4" t="s">
        <v>1771</v>
      </c>
      <c r="B301" s="4" t="s">
        <v>911</v>
      </c>
      <c r="C301" s="4" t="str">
        <f>VLOOKUP(TableFields[Field],Columns[],2,0)&amp;"("</f>
        <v>foreignNullable(</v>
      </c>
      <c r="D301" s="4" t="str">
        <f>IF(VLOOKUP(TableFields[Field],Columns[],3,0)&lt;&gt;"","'"&amp;VLOOKUP(TableFields[Field],Columns[],3,0)&amp;"'","")</f>
        <v>'user'</v>
      </c>
      <c r="E30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'users')</v>
      </c>
      <c r="F301" s="4" t="str">
        <f>IF(VLOOKUP(TableFields[Field],Columns[],5,0)=0,"","-&gt;"&amp;VLOOKUP(TableFields[Field],Columns[],5,0))</f>
        <v/>
      </c>
      <c r="G301" s="4" t="str">
        <f>IF(VLOOKUP(TableFields[Field],Columns[],6,0)=0,"","-&gt;"&amp;VLOOKUP(TableFields[Field],Columns[],6,0))</f>
        <v/>
      </c>
      <c r="H301" s="4" t="str">
        <f>IF(VLOOKUP(TableFields[Field],Columns[],7,0)=0,"","-&gt;"&amp;VLOOKUP(TableFields[Field],Columns[],7,0))</f>
        <v/>
      </c>
      <c r="I301" s="4" t="str">
        <f>IF(VLOOKUP(TableFields[Field],Columns[],8,0)=0,"","-&gt;"&amp;VLOOKUP(TableFields[Field],Columns[],8,0))</f>
        <v/>
      </c>
      <c r="J301" s="4" t="str">
        <f>IF(VLOOKUP(TableFields[Field],Columns[],9,0)=0,"","-&gt;"&amp;VLOOKUP(TableFields[Field],Columns[],9,0))</f>
        <v/>
      </c>
      <c r="K30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$table-&gt;foreignNullable('user', 'users');</v>
      </c>
    </row>
    <row r="302" spans="1:11" x14ac:dyDescent="0.25">
      <c r="A302" s="4" t="s">
        <v>1771</v>
      </c>
      <c r="B302" s="4" t="s">
        <v>831</v>
      </c>
      <c r="C302" s="4" t="str">
        <f>VLOOKUP(TableFields[Field],Columns[],2,0)&amp;"("</f>
        <v>foreignNullable(</v>
      </c>
      <c r="D302" s="4" t="str">
        <f>IF(VLOOKUP(TableFields[Field],Columns[],3,0)&lt;&gt;"","'"&amp;VLOOKUP(TableFields[Field],Columns[],3,0)&amp;"'","")</f>
        <v>'store'</v>
      </c>
      <c r="E30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'stores')</v>
      </c>
      <c r="F302" s="4" t="str">
        <f>IF(VLOOKUP(TableFields[Field],Columns[],5,0)=0,"","-&gt;"&amp;VLOOKUP(TableFields[Field],Columns[],5,0))</f>
        <v/>
      </c>
      <c r="G302" s="4" t="str">
        <f>IF(VLOOKUP(TableFields[Field],Columns[],6,0)=0,"","-&gt;"&amp;VLOOKUP(TableFields[Field],Columns[],6,0))</f>
        <v/>
      </c>
      <c r="H302" s="4" t="str">
        <f>IF(VLOOKUP(TableFields[Field],Columns[],7,0)=0,"","-&gt;"&amp;VLOOKUP(TableFields[Field],Columns[],7,0))</f>
        <v/>
      </c>
      <c r="I302" s="4" t="str">
        <f>IF(VLOOKUP(TableFields[Field],Columns[],8,0)=0,"","-&gt;"&amp;VLOOKUP(TableFields[Field],Columns[],8,0))</f>
        <v/>
      </c>
      <c r="J302" s="4" t="str">
        <f>IF(VLOOKUP(TableFields[Field],Columns[],9,0)=0,"","-&gt;"&amp;VLOOKUP(TableFields[Field],Columns[],9,0))</f>
        <v/>
      </c>
      <c r="K30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$table-&gt;foreignNullable('store', 'stores');</v>
      </c>
    </row>
    <row r="303" spans="1:11" x14ac:dyDescent="0.25">
      <c r="A303" s="4" t="s">
        <v>1771</v>
      </c>
      <c r="B303" s="4" t="s">
        <v>1772</v>
      </c>
      <c r="C303" s="5" t="str">
        <f>VLOOKUP(TableFields[Field],Columns[],2,0)&amp;"("</f>
        <v>unsignedInteger(</v>
      </c>
      <c r="D303" s="5" t="str">
        <f>IF(VLOOKUP(TableFields[Field],Columns[],3,0)&lt;&gt;"","'"&amp;VLOOKUP(TableFields[Field],Columns[],3,0)&amp;"'","")</f>
        <v>'start_num'</v>
      </c>
      <c r="E303" s="8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3" s="5" t="str">
        <f>IF(VLOOKUP(TableFields[Field],Columns[],5,0)=0,"","-&gt;"&amp;VLOOKUP(TableFields[Field],Columns[],5,0))</f>
        <v>-&gt;nullable()</v>
      </c>
      <c r="G303" s="5" t="str">
        <f>IF(VLOOKUP(TableFields[Field],Columns[],6,0)=0,"","-&gt;"&amp;VLOOKUP(TableFields[Field],Columns[],6,0))</f>
        <v/>
      </c>
      <c r="H303" s="5" t="str">
        <f>IF(VLOOKUP(TableFields[Field],Columns[],7,0)=0,"","-&gt;"&amp;VLOOKUP(TableFields[Field],Columns[],7,0))</f>
        <v/>
      </c>
      <c r="I303" s="5" t="str">
        <f>IF(VLOOKUP(TableFields[Field],Columns[],8,0)=0,"","-&gt;"&amp;VLOOKUP(TableFields[Field],Columns[],8,0))</f>
        <v/>
      </c>
      <c r="J303" s="5" t="str">
        <f>IF(VLOOKUP(TableFields[Field],Columns[],9,0)=0,"","-&gt;"&amp;VLOOKUP(TableFields[Field],Columns[],9,0))</f>
        <v/>
      </c>
      <c r="K303" s="5" t="str">
        <f>"$table-&gt;"&amp;TableFields[Type]&amp;TableFields[Name]&amp;TableFields[Arg2]&amp;TableFields[Method1]&amp;TableFields[Method2]&amp;TableFields[Method3]&amp;TableFields[Method4]&amp;TableFields[Method5]&amp;";"</f>
        <v>$table-&gt;unsignedInteger('start_num')-&gt;nullable();</v>
      </c>
    </row>
    <row r="304" spans="1:11" x14ac:dyDescent="0.25">
      <c r="A304" s="4" t="s">
        <v>1771</v>
      </c>
      <c r="B304" s="4" t="s">
        <v>1773</v>
      </c>
      <c r="C304" s="4" t="str">
        <f>VLOOKUP(TableFields[Field],Columns[],2,0)&amp;"("</f>
        <v>unsignedInteger(</v>
      </c>
      <c r="D304" s="4" t="str">
        <f>IF(VLOOKUP(TableFields[Field],Columns[],3,0)&lt;&gt;"","'"&amp;VLOOKUP(TableFields[Field],Columns[],3,0)&amp;"'","")</f>
        <v>'end_num'</v>
      </c>
      <c r="E30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4" s="4" t="str">
        <f>IF(VLOOKUP(TableFields[Field],Columns[],5,0)=0,"","-&gt;"&amp;VLOOKUP(TableFields[Field],Columns[],5,0))</f>
        <v>-&gt;nullable()</v>
      </c>
      <c r="G304" s="4" t="str">
        <f>IF(VLOOKUP(TableFields[Field],Columns[],6,0)=0,"","-&gt;"&amp;VLOOKUP(TableFields[Field],Columns[],6,0))</f>
        <v/>
      </c>
      <c r="H304" s="4" t="str">
        <f>IF(VLOOKUP(TableFields[Field],Columns[],7,0)=0,"","-&gt;"&amp;VLOOKUP(TableFields[Field],Columns[],7,0))</f>
        <v/>
      </c>
      <c r="I304" s="4" t="str">
        <f>IF(VLOOKUP(TableFields[Field],Columns[],8,0)=0,"","-&gt;"&amp;VLOOKUP(TableFields[Field],Columns[],8,0))</f>
        <v/>
      </c>
      <c r="J304" s="4" t="str">
        <f>IF(VLOOKUP(TableFields[Field],Columns[],9,0)=0,"","-&gt;"&amp;VLOOKUP(TableFields[Field],Columns[],9,0))</f>
        <v/>
      </c>
      <c r="K304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$table-&gt;unsignedInteger('end_num')-&gt;nullable();</v>
      </c>
    </row>
    <row r="305" spans="1:11" x14ac:dyDescent="0.25">
      <c r="A305" s="4" t="s">
        <v>1771</v>
      </c>
      <c r="B305" s="4" t="s">
        <v>837</v>
      </c>
      <c r="C305" s="4" t="str">
        <f>VLOOKUP(TableFields[Field],Columns[],2,0)&amp;"("</f>
        <v>decimal(</v>
      </c>
      <c r="D305" s="4" t="str">
        <f>IF(VLOOKUP(TableFields[Field],Columns[],3,0)&lt;&gt;"","'"&amp;VLOOKUP(TableFields[Field],Columns[],3,0)&amp;"'","")</f>
        <v>'quantity'</v>
      </c>
      <c r="E30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05" s="4" t="str">
        <f>IF(VLOOKUP(TableFields[Field],Columns[],5,0)=0,"","-&gt;"&amp;VLOOKUP(TableFields[Field],Columns[],5,0))</f>
        <v>-&gt;default(1)</v>
      </c>
      <c r="G305" s="4" t="str">
        <f>IF(VLOOKUP(TableFields[Field],Columns[],6,0)=0,"","-&gt;"&amp;VLOOKUP(TableFields[Field],Columns[],6,0))</f>
        <v/>
      </c>
      <c r="H305" s="4" t="str">
        <f>IF(VLOOKUP(TableFields[Field],Columns[],7,0)=0,"","-&gt;"&amp;VLOOKUP(TableFields[Field],Columns[],7,0))</f>
        <v/>
      </c>
      <c r="I305" s="4" t="str">
        <f>IF(VLOOKUP(TableFields[Field],Columns[],8,0)=0,"","-&gt;"&amp;VLOOKUP(TableFields[Field],Columns[],8,0))</f>
        <v/>
      </c>
      <c r="J305" s="4" t="str">
        <f>IF(VLOOKUP(TableFields[Field],Columns[],9,0)=0,"","-&gt;"&amp;VLOOKUP(TableFields[Field],Columns[],9,0))</f>
        <v/>
      </c>
      <c r="K305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06" spans="1:11" s="20" customFormat="1" x14ac:dyDescent="0.25">
      <c r="A306" s="4" t="s">
        <v>1771</v>
      </c>
      <c r="B306" s="4" t="s">
        <v>1790</v>
      </c>
      <c r="C306" s="4" t="str">
        <f>VLOOKUP(TableFields[Field],Columns[],2,0)&amp;"("</f>
        <v>unsignedInteger(</v>
      </c>
      <c r="D306" s="4" t="str">
        <f>IF(VLOOKUP(TableFields[Field],Columns[],3,0)&lt;&gt;"","'"&amp;VLOOKUP(TableFields[Field],Columns[],3,0)&amp;"'","")</f>
        <v>'current'</v>
      </c>
      <c r="E30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6" s="4" t="str">
        <f>IF(VLOOKUP(TableFields[Field],Columns[],5,0)=0,"","-&gt;"&amp;VLOOKUP(TableFields[Field],Columns[],5,0))</f>
        <v>-&gt;nullable()</v>
      </c>
      <c r="G306" s="4" t="str">
        <f>IF(VLOOKUP(TableFields[Field],Columns[],6,0)=0,"","-&gt;"&amp;VLOOKUP(TableFields[Field],Columns[],6,0))</f>
        <v>-&gt;default(0)</v>
      </c>
      <c r="H306" s="4" t="str">
        <f>IF(VLOOKUP(TableFields[Field],Columns[],7,0)=0,"","-&gt;"&amp;VLOOKUP(TableFields[Field],Columns[],7,0))</f>
        <v/>
      </c>
      <c r="I306" s="4" t="str">
        <f>IF(VLOOKUP(TableFields[Field],Columns[],8,0)=0,"","-&gt;"&amp;VLOOKUP(TableFields[Field],Columns[],8,0))</f>
        <v/>
      </c>
      <c r="J306" s="4" t="str">
        <f>IF(VLOOKUP(TableFields[Field],Columns[],9,0)=0,"","-&gt;"&amp;VLOOKUP(TableFields[Field],Columns[],9,0))</f>
        <v/>
      </c>
      <c r="K306" s="4" t="str">
        <f>"$table-&gt;"&amp;TableFields[Type]&amp;TableFields[Name]&amp;TableFields[Arg2]&amp;TableFields[Method1]&amp;TableFields[Method2]&amp;TableFields[Method3]&amp;TableFields[Method4]&amp;TableFields[Method5]&amp;";"</f>
        <v>$table-&gt;unsignedInteger('current')-&gt;nullable()-&gt;default(0);</v>
      </c>
    </row>
    <row r="307" spans="1:11" x14ac:dyDescent="0.25">
      <c r="A307" s="4" t="s">
        <v>1771</v>
      </c>
      <c r="B307" s="4" t="s">
        <v>1775</v>
      </c>
      <c r="C307" s="4" t="str">
        <f>VLOOKUP(TableFields[Field],Columns[],2,0)&amp;"("</f>
        <v>enum(</v>
      </c>
      <c r="D307" s="4" t="str">
        <f>IF(VLOOKUP(TableFields[Field],Columns[],3,0)&lt;&gt;"","'"&amp;VLOOKUP(TableFields[Field],Columns[],3,0)&amp;"'","")</f>
        <v>'progress'</v>
      </c>
      <c r="E307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['Awaiting','Processing','Completed'])</v>
      </c>
      <c r="F307" s="4" t="str">
        <f>IF(VLOOKUP(TableFields[Field],Columns[],5,0)=0,"","-&gt;"&amp;VLOOKUP(TableFields[Field],Columns[],5,0))</f>
        <v>-&gt;nullable()</v>
      </c>
      <c r="G307" s="4" t="str">
        <f>IF(VLOOKUP(TableFields[Field],Columns[],6,0)=0,"","-&gt;"&amp;VLOOKUP(TableFields[Field],Columns[],6,0))</f>
        <v>-&gt;default('Awaiting')</v>
      </c>
      <c r="H307" s="4" t="str">
        <f>IF(VLOOKUP(TableFields[Field],Columns[],7,0)=0,"","-&gt;"&amp;VLOOKUP(TableFields[Field],Columns[],7,0))</f>
        <v/>
      </c>
      <c r="I307" s="4" t="str">
        <f>IF(VLOOKUP(TableFields[Field],Columns[],8,0)=0,"","-&gt;"&amp;VLOOKUP(TableFields[Field],Columns[],8,0))</f>
        <v/>
      </c>
      <c r="J307" s="4" t="str">
        <f>IF(VLOOKUP(TableFields[Field],Columns[],9,0)=0,"","-&gt;"&amp;VLOOKUP(TableFields[Field],Columns[],9,0))</f>
        <v/>
      </c>
      <c r="K307" s="4" t="str">
        <f>"$table-&gt;"&amp;TableFields[Type]&amp;TableFields[Name]&amp;TableFields[Arg2]&amp;TableFields[Method1]&amp;TableFields[Method2]&amp;TableFields[Method3]&amp;TableFields[Method4]&amp;TableFields[Method5]&amp;";"</f>
        <v>$table-&gt;enum('progress', ['Awaiting','Processing','Completed'])-&gt;nullable()-&gt;default('Awaiting');</v>
      </c>
    </row>
    <row r="308" spans="1:11" x14ac:dyDescent="0.25">
      <c r="A308" s="4" t="s">
        <v>1771</v>
      </c>
      <c r="B308" s="4" t="s">
        <v>776</v>
      </c>
      <c r="C308" s="4" t="str">
        <f>VLOOKUP(TableFields[Field],Columns[],2,0)&amp;"("</f>
        <v>enum(</v>
      </c>
      <c r="D308" s="4" t="str">
        <f>IF(VLOOKUP(TableFields[Field],Columns[],3,0)&lt;&gt;"","'"&amp;VLOOKUP(TableFields[Field],Columns[],3,0)&amp;"'","")</f>
        <v>'status'</v>
      </c>
      <c r="E308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['Active','Inactive'])</v>
      </c>
      <c r="F308" s="4" t="str">
        <f>IF(VLOOKUP(TableFields[Field],Columns[],5,0)=0,"","-&gt;"&amp;VLOOKUP(TableFields[Field],Columns[],5,0))</f>
        <v>-&gt;nullable()</v>
      </c>
      <c r="G308" s="4" t="str">
        <f>IF(VLOOKUP(TableFields[Field],Columns[],6,0)=0,"","-&gt;"&amp;VLOOKUP(TableFields[Field],Columns[],6,0))</f>
        <v>-&gt;default('Active')</v>
      </c>
      <c r="H308" s="4" t="str">
        <f>IF(VLOOKUP(TableFields[Field],Columns[],7,0)=0,"","-&gt;"&amp;VLOOKUP(TableFields[Field],Columns[],7,0))</f>
        <v/>
      </c>
      <c r="I308" s="4" t="str">
        <f>IF(VLOOKUP(TableFields[Field],Columns[],8,0)=0,"","-&gt;"&amp;VLOOKUP(TableFields[Field],Columns[],8,0))</f>
        <v/>
      </c>
      <c r="J308" s="4" t="str">
        <f>IF(VLOOKUP(TableFields[Field],Columns[],9,0)=0,"","-&gt;"&amp;VLOOKUP(TableFields[Field],Columns[],9,0))</f>
        <v/>
      </c>
      <c r="K308" s="4" t="str">
        <f>"$table-&gt;"&amp;TableFields[Type]&amp;TableFields[Name]&amp;TableFields[Arg2]&amp;TableFields[Method1]&amp;TableFields[Method2]&amp;TableFields[Method3]&amp;TableFields[Method4]&amp;TableFields[Method5]&amp;";"</f>
        <v>$table-&gt;enum('status', ['Active','Inactive'])-&gt;nullable()-&gt;default('Active');</v>
      </c>
    </row>
    <row r="309" spans="1:11" x14ac:dyDescent="0.25">
      <c r="A309" s="4" t="s">
        <v>1771</v>
      </c>
      <c r="B309" s="4" t="s">
        <v>288</v>
      </c>
      <c r="C309" s="4" t="str">
        <f>VLOOKUP(TableFields[Field],Columns[],2,0)&amp;"("</f>
        <v>audit(</v>
      </c>
      <c r="D309" s="4" t="str">
        <f>IF(VLOOKUP(TableFields[Field],Columns[],3,0)&lt;&gt;"","'"&amp;VLOOKUP(TableFields[Field],Columns[],3,0)&amp;"'","")</f>
        <v/>
      </c>
      <c r="E309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09" s="4" t="str">
        <f>IF(VLOOKUP(TableFields[Field],Columns[],5,0)=0,"","-&gt;"&amp;VLOOKUP(TableFields[Field],Columns[],5,0))</f>
        <v/>
      </c>
      <c r="G309" s="4" t="str">
        <f>IF(VLOOKUP(TableFields[Field],Columns[],6,0)=0,"","-&gt;"&amp;VLOOKUP(TableFields[Field],Columns[],6,0))</f>
        <v/>
      </c>
      <c r="H309" s="4" t="str">
        <f>IF(VLOOKUP(TableFields[Field],Columns[],7,0)=0,"","-&gt;"&amp;VLOOKUP(TableFields[Field],Columns[],7,0))</f>
        <v/>
      </c>
      <c r="I309" s="4" t="str">
        <f>IF(VLOOKUP(TableFields[Field],Columns[],8,0)=0,"","-&gt;"&amp;VLOOKUP(TableFields[Field],Columns[],8,0))</f>
        <v/>
      </c>
      <c r="J309" s="4" t="str">
        <f>IF(VLOOKUP(TableFields[Field],Columns[],9,0)=0,"","-&gt;"&amp;VLOOKUP(TableFields[Field],Columns[],9,0))</f>
        <v/>
      </c>
      <c r="K309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10" spans="1:11" x14ac:dyDescent="0.25">
      <c r="A310" s="4" t="s">
        <v>1793</v>
      </c>
      <c r="B310" s="4" t="s">
        <v>21</v>
      </c>
      <c r="C310" s="4" t="str">
        <f>VLOOKUP(TableFields[Field],Columns[],2,0)&amp;"("</f>
        <v>bigIncrements(</v>
      </c>
      <c r="D310" s="4" t="str">
        <f>IF(VLOOKUP(TableFields[Field],Columns[],3,0)&lt;&gt;"","'"&amp;VLOOKUP(TableFields[Field],Columns[],3,0)&amp;"'","")</f>
        <v>'id'</v>
      </c>
      <c r="E310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0" s="4" t="str">
        <f>IF(VLOOKUP(TableFields[Field],Columns[],5,0)=0,"","-&gt;"&amp;VLOOKUP(TableFields[Field],Columns[],5,0))</f>
        <v/>
      </c>
      <c r="G310" s="4" t="str">
        <f>IF(VLOOKUP(TableFields[Field],Columns[],6,0)=0,"","-&gt;"&amp;VLOOKUP(TableFields[Field],Columns[],6,0))</f>
        <v/>
      </c>
      <c r="H310" s="4" t="str">
        <f>IF(VLOOKUP(TableFields[Field],Columns[],7,0)=0,"","-&gt;"&amp;VLOOKUP(TableFields[Field],Columns[],7,0))</f>
        <v/>
      </c>
      <c r="I310" s="4" t="str">
        <f>IF(VLOOKUP(TableFields[Field],Columns[],8,0)=0,"","-&gt;"&amp;VLOOKUP(TableFields[Field],Columns[],8,0))</f>
        <v/>
      </c>
      <c r="J310" s="4" t="str">
        <f>IF(VLOOKUP(TableFields[Field],Columns[],9,0)=0,"","-&gt;"&amp;VLOOKUP(TableFields[Field],Columns[],9,0))</f>
        <v/>
      </c>
      <c r="K310" s="4" t="str">
        <f>"$table-&gt;"&amp;TableFields[Type]&amp;TableFields[Name]&amp;TableFields[Arg2]&amp;TableFields[Method1]&amp;TableFields[Method2]&amp;TableFields[Method3]&amp;TableFields[Method4]&amp;TableFields[Method5]&amp;";"</f>
        <v>$table-&gt;bigIncrements('id');</v>
      </c>
    </row>
    <row r="311" spans="1:11" x14ac:dyDescent="0.25">
      <c r="A311" s="4" t="s">
        <v>1793</v>
      </c>
      <c r="B311" s="4" t="s">
        <v>968</v>
      </c>
      <c r="C311" s="4" t="str">
        <f>VLOOKUP(TableFields[Field],Columns[],2,0)&amp;"("</f>
        <v>foreignNullable(</v>
      </c>
      <c r="D311" s="4" t="str">
        <f>IF(VLOOKUP(TableFields[Field],Columns[],3,0)&lt;&gt;"","'"&amp;VLOOKUP(TableFields[Field],Columns[],3,0)&amp;"'","")</f>
        <v>'so'</v>
      </c>
      <c r="E311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'sales_order')</v>
      </c>
      <c r="F311" s="4" t="str">
        <f>IF(VLOOKUP(TableFields[Field],Columns[],5,0)=0,"","-&gt;"&amp;VLOOKUP(TableFields[Field],Columns[],5,0))</f>
        <v/>
      </c>
      <c r="G311" s="4" t="str">
        <f>IF(VLOOKUP(TableFields[Field],Columns[],6,0)=0,"","-&gt;"&amp;VLOOKUP(TableFields[Field],Columns[],6,0))</f>
        <v/>
      </c>
      <c r="H311" s="4" t="str">
        <f>IF(VLOOKUP(TableFields[Field],Columns[],7,0)=0,"","-&gt;"&amp;VLOOKUP(TableFields[Field],Columns[],7,0))</f>
        <v/>
      </c>
      <c r="I311" s="4" t="str">
        <f>IF(VLOOKUP(TableFields[Field],Columns[],8,0)=0,"","-&gt;"&amp;VLOOKUP(TableFields[Field],Columns[],8,0))</f>
        <v/>
      </c>
      <c r="J311" s="4" t="str">
        <f>IF(VLOOKUP(TableFields[Field],Columns[],9,0)=0,"","-&gt;"&amp;VLOOKUP(TableFields[Field],Columns[],9,0))</f>
        <v/>
      </c>
      <c r="K311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$table-&gt;foreignNullable('so', 'sales_order');</v>
      </c>
    </row>
    <row r="312" spans="1:11" x14ac:dyDescent="0.25">
      <c r="A312" s="4" t="s">
        <v>1793</v>
      </c>
      <c r="B312" s="4" t="s">
        <v>832</v>
      </c>
      <c r="C312" s="4" t="str">
        <f>VLOOKUP(TableFields[Field],Columns[],2,0)&amp;"("</f>
        <v>foreignNullable(</v>
      </c>
      <c r="D312" s="4" t="str">
        <f>IF(VLOOKUP(TableFields[Field],Columns[],3,0)&lt;&gt;"","'"&amp;VLOOKUP(TableFields[Field],Columns[],3,0)&amp;"'","")</f>
        <v>'product'</v>
      </c>
      <c r="E312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'products')</v>
      </c>
      <c r="F312" s="4" t="str">
        <f>IF(VLOOKUP(TableFields[Field],Columns[],5,0)=0,"","-&gt;"&amp;VLOOKUP(TableFields[Field],Columns[],5,0))</f>
        <v/>
      </c>
      <c r="G312" s="4" t="str">
        <f>IF(VLOOKUP(TableFields[Field],Columns[],6,0)=0,"","-&gt;"&amp;VLOOKUP(TableFields[Field],Columns[],6,0))</f>
        <v/>
      </c>
      <c r="H312" s="4" t="str">
        <f>IF(VLOOKUP(TableFields[Field],Columns[],7,0)=0,"","-&gt;"&amp;VLOOKUP(TableFields[Field],Columns[],7,0))</f>
        <v/>
      </c>
      <c r="I312" s="4" t="str">
        <f>IF(VLOOKUP(TableFields[Field],Columns[],8,0)=0,"","-&gt;"&amp;VLOOKUP(TableFields[Field],Columns[],8,0))</f>
        <v/>
      </c>
      <c r="J312" s="4" t="str">
        <f>IF(VLOOKUP(TableFields[Field],Columns[],9,0)=0,"","-&gt;"&amp;VLOOKUP(TableFields[Field],Columns[],9,0))</f>
        <v/>
      </c>
      <c r="K312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$table-&gt;foreignNullable('product', 'products');</v>
      </c>
    </row>
    <row r="313" spans="1:11" x14ac:dyDescent="0.25">
      <c r="A313" s="4" t="s">
        <v>1793</v>
      </c>
      <c r="B313" s="4" t="s">
        <v>837</v>
      </c>
      <c r="C313" s="4" t="str">
        <f>VLOOKUP(TableFields[Field],Columns[],2,0)&amp;"("</f>
        <v>decimal(</v>
      </c>
      <c r="D313" s="4" t="str">
        <f>IF(VLOOKUP(TableFields[Field],Columns[],3,0)&lt;&gt;"","'"&amp;VLOOKUP(TableFields[Field],Columns[],3,0)&amp;"'","")</f>
        <v>'quantity'</v>
      </c>
      <c r="E313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3" s="4" t="str">
        <f>IF(VLOOKUP(TableFields[Field],Columns[],5,0)=0,"","-&gt;"&amp;VLOOKUP(TableFields[Field],Columns[],5,0))</f>
        <v>-&gt;default(1)</v>
      </c>
      <c r="G313" s="4" t="str">
        <f>IF(VLOOKUP(TableFields[Field],Columns[],6,0)=0,"","-&gt;"&amp;VLOOKUP(TableFields[Field],Columns[],6,0))</f>
        <v/>
      </c>
      <c r="H313" s="4" t="str">
        <f>IF(VLOOKUP(TableFields[Field],Columns[],7,0)=0,"","-&gt;"&amp;VLOOKUP(TableFields[Field],Columns[],7,0))</f>
        <v/>
      </c>
      <c r="I313" s="4" t="str">
        <f>IF(VLOOKUP(TableFields[Field],Columns[],8,0)=0,"","-&gt;"&amp;VLOOKUP(TableFields[Field],Columns[],8,0))</f>
        <v/>
      </c>
      <c r="J313" s="4" t="str">
        <f>IF(VLOOKUP(TableFields[Field],Columns[],9,0)=0,"","-&gt;"&amp;VLOOKUP(TableFields[Field],Columns[],9,0))</f>
        <v/>
      </c>
      <c r="K313" s="4" t="str">
        <f>"$table-&gt;"&amp;TableFields[Type]&amp;TableFields[Name]&amp;TableFields[Arg2]&amp;TableFields[Method1]&amp;TableFields[Method2]&amp;TableFields[Method3]&amp;TableFields[Method4]&amp;TableFields[Method5]&amp;";"</f>
        <v>$table-&gt;decimal('quantity', 30,10)-&gt;default(1);</v>
      </c>
    </row>
    <row r="314" spans="1:11" x14ac:dyDescent="0.25">
      <c r="A314" s="4" t="s">
        <v>1793</v>
      </c>
      <c r="B314" s="4" t="s">
        <v>1794</v>
      </c>
      <c r="C314" s="4" t="str">
        <f>VLOOKUP(TableFields[Field],Columns[],2,0)&amp;"("</f>
        <v>foreignNullable(</v>
      </c>
      <c r="D314" s="4" t="str">
        <f>IF(VLOOKUP(TableFields[Field],Columns[],3,0)&lt;&gt;"","'"&amp;VLOOKUP(TableFields[Field],Columns[],3,0)&amp;"'","")</f>
        <v>'transaction'</v>
      </c>
      <c r="E314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'transactions')</v>
      </c>
      <c r="F314" s="4" t="str">
        <f>IF(VLOOKUP(TableFields[Field],Columns[],5,0)=0,"","-&gt;"&amp;VLOOKUP(TableFields[Field],Columns[],5,0))</f>
        <v/>
      </c>
      <c r="G314" s="4" t="str">
        <f>IF(VLOOKUP(TableFields[Field],Columns[],6,0)=0,"","-&gt;"&amp;VLOOKUP(TableFields[Field],Columns[],6,0))</f>
        <v/>
      </c>
      <c r="H314" s="4" t="str">
        <f>IF(VLOOKUP(TableFields[Field],Columns[],7,0)=0,"","-&gt;"&amp;VLOOKUP(TableFields[Field],Columns[],7,0))</f>
        <v/>
      </c>
      <c r="I314" s="4" t="str">
        <f>IF(VLOOKUP(TableFields[Field],Columns[],8,0)=0,"","-&gt;"&amp;VLOOKUP(TableFields[Field],Columns[],8,0))</f>
        <v/>
      </c>
      <c r="J314" s="4" t="str">
        <f>IF(VLOOKUP(TableFields[Field],Columns[],9,0)=0,"","-&gt;"&amp;VLOOKUP(TableFields[Field],Columns[],9,0))</f>
        <v/>
      </c>
      <c r="K314" s="4" t="str">
        <f>"$table-&gt;"&amp;TableFields[Type]&amp;TableFields[Name]&amp;TableFields[Arg2]&amp;TableFields[Method1]&amp;TableFields[Method2]&amp;TableFields[Method3]&amp;TableFields[Method4]&amp;TableFields[Method5]&amp;";"</f>
        <v>$table-&gt;foreignNullable('transaction', 'transactions');</v>
      </c>
    </row>
    <row r="315" spans="1:11" x14ac:dyDescent="0.25">
      <c r="A315" s="4" t="s">
        <v>1793</v>
      </c>
      <c r="B315" s="4" t="s">
        <v>1795</v>
      </c>
      <c r="C315" s="4" t="str">
        <f>VLOOKUP(TableFields[Field],Columns[],2,0)&amp;"("</f>
        <v>decimal(</v>
      </c>
      <c r="D315" s="4" t="str">
        <f>IF(VLOOKUP(TableFields[Field],Columns[],3,0)&lt;&gt;"","'"&amp;VLOOKUP(TableFields[Field],Columns[],3,0)&amp;"'","")</f>
        <v>'sale_quantity'</v>
      </c>
      <c r="E315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, 30,10)</v>
      </c>
      <c r="F315" s="4" t="str">
        <f>IF(VLOOKUP(TableFields[Field],Columns[],5,0)=0,"","-&gt;"&amp;VLOOKUP(TableFields[Field],Columns[],5,0))</f>
        <v>-&gt;default(0)</v>
      </c>
      <c r="G315" s="4" t="str">
        <f>IF(VLOOKUP(TableFields[Field],Columns[],6,0)=0,"","-&gt;"&amp;VLOOKUP(TableFields[Field],Columns[],6,0))</f>
        <v/>
      </c>
      <c r="H315" s="4" t="str">
        <f>IF(VLOOKUP(TableFields[Field],Columns[],7,0)=0,"","-&gt;"&amp;VLOOKUP(TableFields[Field],Columns[],7,0))</f>
        <v/>
      </c>
      <c r="I315" s="4" t="str">
        <f>IF(VLOOKUP(TableFields[Field],Columns[],8,0)=0,"","-&gt;"&amp;VLOOKUP(TableFields[Field],Columns[],8,0))</f>
        <v/>
      </c>
      <c r="J315" s="4" t="str">
        <f>IF(VLOOKUP(TableFields[Field],Columns[],9,0)=0,"","-&gt;"&amp;VLOOKUP(TableFields[Field],Columns[],9,0))</f>
        <v/>
      </c>
      <c r="K315" s="4" t="str">
        <f>"$table-&gt;"&amp;TableFields[Type]&amp;TableFields[Name]&amp;TableFields[Arg2]&amp;TableFields[Method1]&amp;TableFields[Method2]&amp;TableFields[Method3]&amp;TableFields[Method4]&amp;TableFields[Method5]&amp;";"</f>
        <v>$table-&gt;decimal('sale_quantity', 30,10)-&gt;default(0);</v>
      </c>
    </row>
    <row r="316" spans="1:11" x14ac:dyDescent="0.25">
      <c r="A316" s="4" t="s">
        <v>1793</v>
      </c>
      <c r="B316" s="4" t="s">
        <v>288</v>
      </c>
      <c r="C316" s="4" t="str">
        <f>VLOOKUP(TableFields[Field],Columns[],2,0)&amp;"("</f>
        <v>audit(</v>
      </c>
      <c r="D316" s="4" t="str">
        <f>IF(VLOOKUP(TableFields[Field],Columns[],3,0)&lt;&gt;"","'"&amp;VLOOKUP(TableFields[Field],Columns[],3,0)&amp;"'","")</f>
        <v/>
      </c>
      <c r="E316" s="7" t="str">
        <f>IF(VLOOKUP(TableFields[Field],Columns[],4,0)&lt;&gt;0,", "&amp;IF(ISERR(SEARCH(",",VLOOKUP(TableFields[Field],Columns[],4,0))),"'"&amp;VLOOKUP(TableFields[Field],Columns[],4,0)&amp;"'",VLOOKUP(TableFields[Field],Columns[],4,0))&amp;")",")")</f>
        <v>)</v>
      </c>
      <c r="F316" s="4" t="str">
        <f>IF(VLOOKUP(TableFields[Field],Columns[],5,0)=0,"","-&gt;"&amp;VLOOKUP(TableFields[Field],Columns[],5,0))</f>
        <v/>
      </c>
      <c r="G316" s="4" t="str">
        <f>IF(VLOOKUP(TableFields[Field],Columns[],6,0)=0,"","-&gt;"&amp;VLOOKUP(TableFields[Field],Columns[],6,0))</f>
        <v/>
      </c>
      <c r="H316" s="4" t="str">
        <f>IF(VLOOKUP(TableFields[Field],Columns[],7,0)=0,"","-&gt;"&amp;VLOOKUP(TableFields[Field],Columns[],7,0))</f>
        <v/>
      </c>
      <c r="I316" s="4" t="str">
        <f>IF(VLOOKUP(TableFields[Field],Columns[],8,0)=0,"","-&gt;"&amp;VLOOKUP(TableFields[Field],Columns[],8,0))</f>
        <v/>
      </c>
      <c r="J316" s="4" t="str">
        <f>IF(VLOOKUP(TableFields[Field],Columns[],9,0)=0,"","-&gt;"&amp;VLOOKUP(TableFields[Field],Columns[],9,0))</f>
        <v/>
      </c>
      <c r="K316" s="4" t="str">
        <f>"$table-&gt;"&amp;TableFields[Type]&amp;TableFields[Name]&amp;TableFields[Arg2]&amp;TableFields[Method1]&amp;TableFields[Method2]&amp;TableFields[Method3]&amp;TableFields[Method4]&amp;TableFields[Method5]&amp;";"</f>
        <v>$table-&gt;audit();</v>
      </c>
    </row>
    <row r="332" spans="1:11" s="20" customFormat="1" x14ac:dyDescent="0.25">
      <c r="A332"/>
      <c r="B332"/>
      <c r="C332"/>
      <c r="D332"/>
      <c r="E332"/>
      <c r="F332"/>
      <c r="G332"/>
      <c r="H332"/>
      <c r="I332"/>
      <c r="J332"/>
      <c r="K332"/>
    </row>
    <row r="333" spans="1:11" s="20" customFormat="1" x14ac:dyDescent="0.25">
      <c r="A333"/>
      <c r="B333"/>
      <c r="C333"/>
      <c r="D333"/>
      <c r="E333"/>
      <c r="F333"/>
      <c r="G333"/>
      <c r="H333"/>
      <c r="I333"/>
      <c r="J333"/>
      <c r="K333"/>
    </row>
    <row r="339" spans="1:11" s="20" customFormat="1" x14ac:dyDescent="0.25">
      <c r="A339"/>
      <c r="B339"/>
      <c r="C339"/>
      <c r="D339"/>
      <c r="E339"/>
      <c r="F339"/>
      <c r="G339"/>
      <c r="H339"/>
      <c r="I339"/>
      <c r="J339"/>
      <c r="K339"/>
    </row>
    <row r="347" spans="1:11" s="20" customFormat="1" x14ac:dyDescent="0.25">
      <c r="A347"/>
      <c r="B347"/>
      <c r="C347"/>
      <c r="D347"/>
      <c r="E347"/>
      <c r="F347"/>
      <c r="G347"/>
      <c r="H347"/>
      <c r="I347"/>
      <c r="J347"/>
      <c r="K347"/>
    </row>
    <row r="360" spans="1:11" s="20" customFormat="1" x14ac:dyDescent="0.25">
      <c r="A360"/>
      <c r="B360"/>
      <c r="C360"/>
      <c r="D360"/>
      <c r="E360"/>
      <c r="F360"/>
      <c r="G360"/>
      <c r="H360"/>
      <c r="I360"/>
      <c r="J360"/>
      <c r="K360"/>
    </row>
  </sheetData>
  <dataConsolidate/>
  <conditionalFormatting sqref="B245">
    <cfRule type="duplicateValues" dxfId="4" priority="7"/>
  </conditionalFormatting>
  <conditionalFormatting sqref="B290">
    <cfRule type="duplicateValues" dxfId="3" priority="3"/>
  </conditionalFormatting>
  <conditionalFormatting sqref="B303:B304">
    <cfRule type="duplicateValues" dxfId="2" priority="2"/>
  </conditionalFormatting>
  <conditionalFormatting sqref="B303:B304">
    <cfRule type="duplicateValues" dxfId="1" priority="1"/>
  </conditionalFormatting>
  <conditionalFormatting sqref="B139:B144">
    <cfRule type="duplicateValues" dxfId="0" priority="197"/>
  </conditionalFormatting>
  <dataValidations count="2">
    <dataValidation type="list" allowBlank="1" showInputMessage="1" showErrorMessage="1" sqref="B2:B316">
      <formula1>AvailableFields</formula1>
    </dataValidation>
    <dataValidation type="list" allowBlank="1" showInputMessage="1" showErrorMessage="1" sqref="A2:A316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B1" workbookViewId="0">
      <selection activeCell="D34" sqref="D34"/>
    </sheetView>
  </sheetViews>
  <sheetFormatPr defaultRowHeight="15" x14ac:dyDescent="0.2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 x14ac:dyDescent="0.25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 x14ac:dyDescent="0.25">
      <c r="A2" s="15" t="str">
        <f>TableData[Table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60" t="str">
        <f>TableData[Table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303101</v>
      </c>
      <c r="D3" s="64" t="s">
        <v>1417</v>
      </c>
      <c r="E3" s="64" t="s">
        <v>1418</v>
      </c>
      <c r="F3" s="64" t="s">
        <v>1512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18" x14ac:dyDescent="0.25">
      <c r="A4" s="60" t="str">
        <f>TableData[Table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303102</v>
      </c>
      <c r="D4" s="64" t="s">
        <v>1683</v>
      </c>
      <c r="E4" s="64" t="s">
        <v>1684</v>
      </c>
      <c r="F4" s="64" t="s">
        <v>1685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x14ac:dyDescent="0.25">
      <c r="A5" s="60" t="str">
        <f>TableData[Table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303103</v>
      </c>
      <c r="D5" s="64" t="s">
        <v>1686</v>
      </c>
      <c r="E5" s="64" t="s">
        <v>1687</v>
      </c>
      <c r="F5" s="64" t="s">
        <v>1688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</row>
    <row r="6" spans="1:18" x14ac:dyDescent="0.25">
      <c r="A6" s="60" t="str">
        <f>TableData[Table Name]&amp;"-"&amp;(COUNTIF($B$1:TableData[[#This Row],[Table Name]],TableData[[#This Row],[Table Name]])-1)</f>
        <v>Resource Roles-0</v>
      </c>
      <c r="B6" s="64" t="s">
        <v>94</v>
      </c>
      <c r="C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" s="64" t="s">
        <v>65</v>
      </c>
      <c r="E6" s="64" t="s">
        <v>22</v>
      </c>
      <c r="F6" s="64" t="s">
        <v>1419</v>
      </c>
      <c r="G6" s="64" t="s">
        <v>1420</v>
      </c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x14ac:dyDescent="0.25">
      <c r="A7" s="60" t="str">
        <f>TableData[Table Name]&amp;"-"&amp;(COUNTIF($B$1:TableData[[#This Row],[Table Name]],TableData[[#This Row],[Table Name]])-1)</f>
        <v>Resource Roles-1</v>
      </c>
      <c r="B7" s="64" t="s">
        <v>94</v>
      </c>
      <c r="C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306101</v>
      </c>
      <c r="D7" s="60">
        <v>303101</v>
      </c>
      <c r="E7" s="64">
        <v>305101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x14ac:dyDescent="0.25">
      <c r="A8" s="30" t="str">
        <f>TableData[Table Name]&amp;"-"&amp;(COUNTIF($B$1:TableData[[#This Row],[Table Name]],TableData[[#This Row],[Table Name]])-1)</f>
        <v>Resource Roles-2</v>
      </c>
      <c r="B8" s="64" t="s">
        <v>94</v>
      </c>
      <c r="C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306102</v>
      </c>
      <c r="D8" s="60">
        <v>303101</v>
      </c>
      <c r="E8" s="78">
        <v>305102</v>
      </c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</row>
    <row r="9" spans="1:18" x14ac:dyDescent="0.25">
      <c r="A9" s="30" t="str">
        <f>TableData[Table Name]&amp;"-"&amp;(COUNTIF($B$1:TableData[[#This Row],[Table Name]],TableData[[#This Row],[Table Name]])-1)</f>
        <v>Resource Roles-3</v>
      </c>
      <c r="B9" s="64" t="s">
        <v>94</v>
      </c>
      <c r="C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306103</v>
      </c>
      <c r="D9" s="60">
        <v>303101</v>
      </c>
      <c r="E9" s="78">
        <v>305103</v>
      </c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</row>
    <row r="10" spans="1:18" x14ac:dyDescent="0.25">
      <c r="A10" s="30" t="str">
        <f>TableData[Table Name]&amp;"-"&amp;(COUNTIF($B$1:TableData[[#This Row],[Table Name]],TableData[[#This Row],[Table Name]])-1)</f>
        <v>Resource Roles-4</v>
      </c>
      <c r="B10" s="64" t="s">
        <v>94</v>
      </c>
      <c r="C1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306104</v>
      </c>
      <c r="D10" s="60">
        <v>303101</v>
      </c>
      <c r="E10" s="78">
        <v>305104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</row>
    <row r="11" spans="1:18" x14ac:dyDescent="0.25">
      <c r="A11" s="30" t="str">
        <f>TableData[Table Name]&amp;"-"&amp;(COUNTIF($B$1:TableData[[#This Row],[Table Name]],TableData[[#This Row],[Table Name]])-1)</f>
        <v>Resource Roles-5</v>
      </c>
      <c r="B11" s="64" t="s">
        <v>94</v>
      </c>
      <c r="C1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306105</v>
      </c>
      <c r="D11" s="60">
        <v>303101</v>
      </c>
      <c r="E11" s="78">
        <v>305105</v>
      </c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</row>
    <row r="12" spans="1:18" x14ac:dyDescent="0.25">
      <c r="A12" s="30" t="str">
        <f>TableData[Table Name]&amp;"-"&amp;(COUNTIF($B$1:TableData[[#This Row],[Table Name]],TableData[[#This Row],[Table Name]])-1)</f>
        <v>Resource Roles-6</v>
      </c>
      <c r="B12" s="64" t="s">
        <v>94</v>
      </c>
      <c r="C1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306106</v>
      </c>
      <c r="D12" s="60">
        <v>303101</v>
      </c>
      <c r="E12" s="78">
        <v>305106</v>
      </c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</row>
    <row r="13" spans="1:18" x14ac:dyDescent="0.25">
      <c r="A13" s="30" t="str">
        <f>TableData[Table Name]&amp;"-"&amp;(COUNTIF($B$1:TableData[[#This Row],[Table Name]],TableData[[#This Row],[Table Name]])-1)</f>
        <v>Resource Roles-7</v>
      </c>
      <c r="B13" s="64" t="s">
        <v>94</v>
      </c>
      <c r="C1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306107</v>
      </c>
      <c r="D13" s="60">
        <v>303101</v>
      </c>
      <c r="E13" s="78">
        <v>305107</v>
      </c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</row>
    <row r="14" spans="1:18" x14ac:dyDescent="0.25">
      <c r="A14" s="30" t="str">
        <f>TableData[Table Name]&amp;"-"&amp;(COUNTIF($B$1:TableData[[#This Row],[Table Name]],TableData[[#This Row],[Table Name]])-1)</f>
        <v>Resource Roles-8</v>
      </c>
      <c r="B14" s="64" t="s">
        <v>94</v>
      </c>
      <c r="C1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306108</v>
      </c>
      <c r="D14" s="60">
        <v>303101</v>
      </c>
      <c r="E14" s="78">
        <v>305108</v>
      </c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</row>
    <row r="15" spans="1:18" x14ac:dyDescent="0.25">
      <c r="A15" s="30" t="str">
        <f>TableData[Table Name]&amp;"-"&amp;(COUNTIF($B$1:TableData[[#This Row],[Table Name]],TableData[[#This Row],[Table Name]])-1)</f>
        <v>Resource Roles-9</v>
      </c>
      <c r="B15" s="64" t="s">
        <v>94</v>
      </c>
      <c r="C1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306109</v>
      </c>
      <c r="D15" s="60">
        <v>303101</v>
      </c>
      <c r="E15" s="78">
        <v>305109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</row>
    <row r="16" spans="1:18" x14ac:dyDescent="0.25">
      <c r="A16" s="30" t="str">
        <f>TableData[Table Name]&amp;"-"&amp;(COUNTIF($B$1:TableData[[#This Row],[Table Name]],TableData[[#This Row],[Table Name]])-1)</f>
        <v>Resource Roles-10</v>
      </c>
      <c r="B16" s="64" t="s">
        <v>94</v>
      </c>
      <c r="C1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306110</v>
      </c>
      <c r="D16" s="60">
        <v>303101</v>
      </c>
      <c r="E16" s="78">
        <v>305110</v>
      </c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</row>
    <row r="17" spans="1:18" x14ac:dyDescent="0.25">
      <c r="A17" s="30" t="str">
        <f>TableData[Table Name]&amp;"-"&amp;(COUNTIF($B$1:TableData[[#This Row],[Table Name]],TableData[[#This Row],[Table Name]])-1)</f>
        <v>Resource Roles-11</v>
      </c>
      <c r="B17" s="64" t="s">
        <v>94</v>
      </c>
      <c r="C1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306111</v>
      </c>
      <c r="D17" s="60">
        <v>303101</v>
      </c>
      <c r="E17" s="78">
        <v>305111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</row>
    <row r="18" spans="1:18" x14ac:dyDescent="0.25">
      <c r="A18" s="30" t="str">
        <f>TableData[Table Name]&amp;"-"&amp;(COUNTIF($B$1:TableData[[#This Row],[Table Name]],TableData[[#This Row],[Table Name]])-1)</f>
        <v>Resource Roles-12</v>
      </c>
      <c r="B18" s="64" t="s">
        <v>94</v>
      </c>
      <c r="C1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306112</v>
      </c>
      <c r="D18" s="60">
        <v>303101</v>
      </c>
      <c r="E18" s="78">
        <v>305112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</row>
    <row r="19" spans="1:18" x14ac:dyDescent="0.25">
      <c r="A19" s="30" t="str">
        <f>TableData[Table Name]&amp;"-"&amp;(COUNTIF($B$1:TableData[[#This Row],[Table Name]],TableData[[#This Row],[Table Name]])-1)</f>
        <v>Resource Roles-13</v>
      </c>
      <c r="B19" s="64" t="s">
        <v>94</v>
      </c>
      <c r="C1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306113</v>
      </c>
      <c r="D19" s="60">
        <v>303101</v>
      </c>
      <c r="E19" s="78">
        <v>305113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</row>
    <row r="20" spans="1:18" x14ac:dyDescent="0.25">
      <c r="A20" s="30" t="str">
        <f>TableData[Table Name]&amp;"-"&amp;(COUNTIF($B$1:TableData[[#This Row],[Table Name]],TableData[[#This Row],[Table Name]])-1)</f>
        <v>Resource Roles-14</v>
      </c>
      <c r="B20" s="64" t="s">
        <v>94</v>
      </c>
      <c r="C2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306114</v>
      </c>
      <c r="D20" s="60">
        <v>303101</v>
      </c>
      <c r="E20" s="78">
        <v>305114</v>
      </c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</row>
    <row r="21" spans="1:18" x14ac:dyDescent="0.25">
      <c r="A21" s="30" t="str">
        <f>TableData[Table Name]&amp;"-"&amp;(COUNTIF($B$1:TableData[[#This Row],[Table Name]],TableData[[#This Row],[Table Name]])-1)</f>
        <v>Resource Roles-15</v>
      </c>
      <c r="B21" s="64" t="s">
        <v>94</v>
      </c>
      <c r="C2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306115</v>
      </c>
      <c r="D21" s="60">
        <v>303101</v>
      </c>
      <c r="E21" s="78">
        <v>305115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</row>
    <row r="22" spans="1:18" x14ac:dyDescent="0.25">
      <c r="A22" s="30" t="str">
        <f>TableData[Table Name]&amp;"-"&amp;(COUNTIF($B$1:TableData[[#This Row],[Table Name]],TableData[[#This Row],[Table Name]])-1)</f>
        <v>Resource Roles-16</v>
      </c>
      <c r="B22" s="64" t="s">
        <v>94</v>
      </c>
      <c r="C2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306116</v>
      </c>
      <c r="D22" s="60">
        <v>303101</v>
      </c>
      <c r="E22" s="78">
        <v>305116</v>
      </c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5">
      <c r="A23" s="30" t="str">
        <f>TableData[Table Name]&amp;"-"&amp;(COUNTIF($B$1:TableData[[#This Row],[Table Name]],TableData[[#This Row],[Table Name]])-1)</f>
        <v>Resource Roles-17</v>
      </c>
      <c r="B23" s="64" t="s">
        <v>94</v>
      </c>
      <c r="C2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306117</v>
      </c>
      <c r="D23" s="60">
        <v>303101</v>
      </c>
      <c r="E23" s="78">
        <v>305117</v>
      </c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</row>
    <row r="24" spans="1:18" x14ac:dyDescent="0.25">
      <c r="A24" s="30" t="str">
        <f>TableData[Table Name]&amp;"-"&amp;(COUNTIF($B$1:TableData[[#This Row],[Table Name]],TableData[[#This Row],[Table Name]])-1)</f>
        <v>Resource Roles-18</v>
      </c>
      <c r="B24" s="64" t="s">
        <v>94</v>
      </c>
      <c r="C2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306118</v>
      </c>
      <c r="D24" s="60">
        <v>303101</v>
      </c>
      <c r="E24" s="78">
        <v>305118</v>
      </c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</row>
    <row r="25" spans="1:18" x14ac:dyDescent="0.25">
      <c r="A25" s="30" t="str">
        <f>TableData[Table Name]&amp;"-"&amp;(COUNTIF($B$1:TableData[[#This Row],[Table Name]],TableData[[#This Row],[Table Name]])-1)</f>
        <v>Resource Roles-19</v>
      </c>
      <c r="B25" s="64" t="s">
        <v>94</v>
      </c>
      <c r="C2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306119</v>
      </c>
      <c r="D25" s="60">
        <v>303101</v>
      </c>
      <c r="E25" s="78">
        <v>305119</v>
      </c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</row>
    <row r="26" spans="1:18" x14ac:dyDescent="0.25">
      <c r="A26" s="30" t="str">
        <f>TableData[Table Name]&amp;"-"&amp;(COUNTIF($B$1:TableData[[#This Row],[Table Name]],TableData[[#This Row],[Table Name]])-1)</f>
        <v>Resource Roles-20</v>
      </c>
      <c r="B26" s="64" t="s">
        <v>94</v>
      </c>
      <c r="C26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306120</v>
      </c>
      <c r="D26" s="60">
        <v>303101</v>
      </c>
      <c r="E26" s="78">
        <v>305120</v>
      </c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</row>
    <row r="27" spans="1:18" x14ac:dyDescent="0.25">
      <c r="A27" s="30" t="str">
        <f>TableData[Table Name]&amp;"-"&amp;(COUNTIF($B$1:TableData[[#This Row],[Table Name]],TableData[[#This Row],[Table Name]])-1)</f>
        <v>Resource Roles-21</v>
      </c>
      <c r="B27" s="64" t="s">
        <v>94</v>
      </c>
      <c r="C27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306121</v>
      </c>
      <c r="D27" s="60">
        <v>303101</v>
      </c>
      <c r="E27" s="78">
        <v>305121</v>
      </c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</row>
    <row r="28" spans="1:18" x14ac:dyDescent="0.25">
      <c r="A28" s="30" t="str">
        <f>TableData[Table Name]&amp;"-"&amp;(COUNTIF($B$1:TableData[[#This Row],[Table Name]],TableData[[#This Row],[Table Name]])-1)</f>
        <v>Resource Roles-22</v>
      </c>
      <c r="B28" s="64" t="s">
        <v>94</v>
      </c>
      <c r="C28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306122</v>
      </c>
      <c r="D28" s="60">
        <v>303101</v>
      </c>
      <c r="E28" s="78">
        <v>305122</v>
      </c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</row>
    <row r="29" spans="1:18" x14ac:dyDescent="0.25">
      <c r="A29" s="30" t="str">
        <f>TableData[Table Name]&amp;"-"&amp;(COUNTIF($B$1:TableData[[#This Row],[Table Name]],TableData[[#This Row],[Table Name]])-1)</f>
        <v>Resource Roles-23</v>
      </c>
      <c r="B29" s="64" t="s">
        <v>94</v>
      </c>
      <c r="C29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306123</v>
      </c>
      <c r="D29" s="60">
        <v>303101</v>
      </c>
      <c r="E29" s="78">
        <v>305123</v>
      </c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</row>
    <row r="30" spans="1:18" x14ac:dyDescent="0.25">
      <c r="A30" s="30" t="str">
        <f>TableData[Table Name]&amp;"-"&amp;(COUNTIF($B$1:TableData[[#This Row],[Table Name]],TableData[[#This Row],[Table Name]])-1)</f>
        <v>Resource Roles-24</v>
      </c>
      <c r="B30" s="64" t="s">
        <v>94</v>
      </c>
      <c r="C30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306124</v>
      </c>
      <c r="D30" s="60">
        <v>303101</v>
      </c>
      <c r="E30" s="78">
        <v>305124</v>
      </c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</row>
    <row r="31" spans="1:18" x14ac:dyDescent="0.25">
      <c r="A31" s="30" t="str">
        <f>TableData[Table Name]&amp;"-"&amp;(COUNTIF($B$1:TableData[[#This Row],[Table Name]],TableData[[#This Row],[Table Name]])-1)</f>
        <v>Resource Roles-25</v>
      </c>
      <c r="B31" s="64" t="s">
        <v>94</v>
      </c>
      <c r="C31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306125</v>
      </c>
      <c r="D31" s="60">
        <v>303101</v>
      </c>
      <c r="E31" s="78">
        <v>305125</v>
      </c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</row>
    <row r="32" spans="1:18" x14ac:dyDescent="0.25">
      <c r="A32" s="30" t="str">
        <f>TableData[Table Name]&amp;"-"&amp;(COUNTIF($B$1:TableData[[#This Row],[Table Name]],TableData[[#This Row],[Table Name]])-1)</f>
        <v>Resource Roles-26</v>
      </c>
      <c r="B32" s="64" t="s">
        <v>94</v>
      </c>
      <c r="C32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306126</v>
      </c>
      <c r="D32" s="60">
        <v>303101</v>
      </c>
      <c r="E32" s="78">
        <v>305126</v>
      </c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</row>
    <row r="33" spans="1:18" x14ac:dyDescent="0.25">
      <c r="A33" s="30" t="str">
        <f>TableData[Table Name]&amp;"-"&amp;(COUNTIF($B$1:TableData[[#This Row],[Table Name]],TableData[[#This Row],[Table Name]])-1)</f>
        <v>Resource Roles-27</v>
      </c>
      <c r="B33" s="64" t="s">
        <v>94</v>
      </c>
      <c r="C33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306127</v>
      </c>
      <c r="D33" s="60">
        <v>303101</v>
      </c>
      <c r="E33" s="78">
        <v>305127</v>
      </c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</row>
    <row r="34" spans="1:18" x14ac:dyDescent="0.25">
      <c r="A34" s="30" t="str">
        <f>TableData[Table Name]&amp;"-"&amp;(COUNTIF($B$1:TableData[[#This Row],[Table Name]],TableData[[#This Row],[Table Name]])-1)</f>
        <v>Settings-0</v>
      </c>
      <c r="B34" s="78" t="s">
        <v>1313</v>
      </c>
      <c r="C34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4" s="78" t="s">
        <v>23</v>
      </c>
      <c r="E34" s="78" t="s">
        <v>24</v>
      </c>
      <c r="F34" s="78" t="s">
        <v>44</v>
      </c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</row>
    <row r="35" spans="1:18" x14ac:dyDescent="0.25">
      <c r="A35" s="30" t="str">
        <f>TableData[Table Name]&amp;"-"&amp;(COUNTIF($B$1:TableData[[#This Row],[Table Name]],TableData[[#This Row],[Table Name]])-1)</f>
        <v>Product Transaction Nature-0</v>
      </c>
      <c r="B35" s="78" t="s">
        <v>1514</v>
      </c>
      <c r="C35" s="3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5" s="78" t="s">
        <v>23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</row>
    <row r="36" spans="1:18" x14ac:dyDescent="0.25">
      <c r="A36" s="60" t="str">
        <f>TableData[Table Name]&amp;"-"&amp;(COUNTIF($B$1:TableData[[#This Row],[Table Name]],TableData[[#This Row],[Table Name]])-1)</f>
        <v>Product Transaction Type-0</v>
      </c>
      <c r="B36" s="64" t="s">
        <v>1515</v>
      </c>
      <c r="C3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36" s="64" t="s">
        <v>23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</row>
    <row r="37" spans="1:18" x14ac:dyDescent="0.25">
      <c r="A37" s="60" t="str">
        <f>TableData[Table Name]&amp;"-"&amp;(COUNTIF($B$1:TableData[[#This Row],[Table Name]],TableData[[#This Row],[Table Name]])-1)</f>
        <v>Settings-1</v>
      </c>
      <c r="B37" s="64" t="s">
        <v>1313</v>
      </c>
      <c r="C3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37" s="64" t="s">
        <v>1727</v>
      </c>
      <c r="E37" s="64" t="s">
        <v>1517</v>
      </c>
      <c r="F37" s="64" t="s">
        <v>1522</v>
      </c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</row>
    <row r="38" spans="1:18" x14ac:dyDescent="0.25">
      <c r="A38" s="60" t="str">
        <f>TableData[Table Name]&amp;"-"&amp;(COUNTIF($B$1:TableData[[#This Row],[Table Name]],TableData[[#This Row],[Table Name]])-1)</f>
        <v>Settings-2</v>
      </c>
      <c r="B38" s="64" t="s">
        <v>1313</v>
      </c>
      <c r="C3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38" s="64" t="s">
        <v>1726</v>
      </c>
      <c r="E38" s="64" t="s">
        <v>1682</v>
      </c>
      <c r="F38" s="64" t="s">
        <v>1523</v>
      </c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</row>
    <row r="39" spans="1:18" x14ac:dyDescent="0.25">
      <c r="A39" s="60" t="str">
        <f>TableData[Table Name]&amp;"-"&amp;(COUNTIF($B$1:TableData[[#This Row],[Table Name]],TableData[[#This Row],[Table Name]])-1)</f>
        <v>Settings-3</v>
      </c>
      <c r="B39" s="64" t="s">
        <v>1313</v>
      </c>
      <c r="C3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39" s="64" t="s">
        <v>1728</v>
      </c>
      <c r="E39" s="64" t="s">
        <v>1519</v>
      </c>
      <c r="F39" s="64" t="s">
        <v>1792</v>
      </c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</row>
    <row r="40" spans="1:18" x14ac:dyDescent="0.25">
      <c r="A40" s="60" t="str">
        <f>TableData[Table Name]&amp;"-"&amp;(COUNTIF($B$1:TableData[[#This Row],[Table Name]],TableData[[#This Row],[Table Name]])-1)</f>
        <v>Settings-4</v>
      </c>
      <c r="B40" s="64" t="s">
        <v>1313</v>
      </c>
      <c r="C4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0" s="64" t="s">
        <v>1729</v>
      </c>
      <c r="E40" s="64" t="s">
        <v>1518</v>
      </c>
      <c r="F40" s="64" t="s">
        <v>1524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</row>
    <row r="41" spans="1:18" x14ac:dyDescent="0.25">
      <c r="A41" s="60" t="str">
        <f>TableData[Table Name]&amp;"-"&amp;(COUNTIF($B$1:TableData[[#This Row],[Table Name]],TableData[[#This Row],[Table Name]])-1)</f>
        <v>Settings-5</v>
      </c>
      <c r="B41" s="64" t="s">
        <v>1313</v>
      </c>
      <c r="C4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1" s="64" t="s">
        <v>1730</v>
      </c>
      <c r="E41" s="64" t="s">
        <v>1520</v>
      </c>
      <c r="F41" s="64" t="s">
        <v>1525</v>
      </c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</row>
    <row r="42" spans="1:18" x14ac:dyDescent="0.25">
      <c r="A42" s="60" t="str">
        <f>TableData[Table Name]&amp;"-"&amp;(COUNTIF($B$1:TableData[[#This Row],[Table Name]],TableData[[#This Row],[Table Name]])-1)</f>
        <v>Settings-6</v>
      </c>
      <c r="B42" s="64" t="s">
        <v>1313</v>
      </c>
      <c r="C4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42" s="64" t="s">
        <v>1731</v>
      </c>
      <c r="E42" s="64" t="s">
        <v>1521</v>
      </c>
      <c r="F42" s="64" t="s">
        <v>1526</v>
      </c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</row>
    <row r="43" spans="1:18" x14ac:dyDescent="0.25">
      <c r="A43" s="60" t="str">
        <f>TableData[Table Name]&amp;"-"&amp;(COUNTIF($B$1:TableData[[#This Row],[Table Name]],TableData[[#This Row],[Table Name]])-1)</f>
        <v>Settings-7</v>
      </c>
      <c r="B43" s="64" t="s">
        <v>1313</v>
      </c>
      <c r="C4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7</v>
      </c>
      <c r="D43" s="64" t="s">
        <v>1732</v>
      </c>
      <c r="E43" s="64" t="s">
        <v>1529</v>
      </c>
      <c r="F43" s="64" t="s">
        <v>1528</v>
      </c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</row>
    <row r="44" spans="1:18" x14ac:dyDescent="0.25">
      <c r="A44" s="60" t="str">
        <f>TableData[Table Name]&amp;"-"&amp;(COUNTIF($B$1:TableData[[#This Row],[Table Name]],TableData[[#This Row],[Table Name]])-1)</f>
        <v>Settings-8</v>
      </c>
      <c r="B44" s="64" t="s">
        <v>1313</v>
      </c>
      <c r="C4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8</v>
      </c>
      <c r="D44" s="64" t="s">
        <v>1733</v>
      </c>
      <c r="E44" s="64" t="s">
        <v>1530</v>
      </c>
      <c r="F44" s="64" t="s">
        <v>1527</v>
      </c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</row>
    <row r="45" spans="1:18" x14ac:dyDescent="0.25">
      <c r="A45" s="60" t="str">
        <f>TableData[Table Name]&amp;"-"&amp;(COUNTIF($B$1:TableData[[#This Row],[Table Name]],TableData[[#This Row],[Table Name]])-1)</f>
        <v>Product Transaction Nature-1</v>
      </c>
      <c r="B45" s="64" t="s">
        <v>1514</v>
      </c>
      <c r="C4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45" s="64" t="s">
        <v>1531</v>
      </c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</row>
    <row r="46" spans="1:18" x14ac:dyDescent="0.25">
      <c r="A46" s="60" t="str">
        <f>TableData[Table Name]&amp;"-"&amp;(COUNTIF($B$1:TableData[[#This Row],[Table Name]],TableData[[#This Row],[Table Name]])-1)</f>
        <v>Product Transaction Nature-2</v>
      </c>
      <c r="B46" s="64" t="s">
        <v>1514</v>
      </c>
      <c r="C4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46" s="64" t="s">
        <v>1532</v>
      </c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</row>
    <row r="47" spans="1:18" x14ac:dyDescent="0.25">
      <c r="A47" s="60" t="str">
        <f>TableData[Table Name]&amp;"-"&amp;(COUNTIF($B$1:TableData[[#This Row],[Table Name]],TableData[[#This Row],[Table Name]])-1)</f>
        <v>Product Transaction Nature-3</v>
      </c>
      <c r="B47" s="64" t="s">
        <v>1514</v>
      </c>
      <c r="C4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47" s="64" t="s">
        <v>1533</v>
      </c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</row>
    <row r="48" spans="1:18" x14ac:dyDescent="0.25">
      <c r="A48" s="60" t="str">
        <f>TableData[Table Name]&amp;"-"&amp;(COUNTIF($B$1:TableData[[#This Row],[Table Name]],TableData[[#This Row],[Table Name]])-1)</f>
        <v>Product Transaction Nature-4</v>
      </c>
      <c r="B48" s="64" t="s">
        <v>1514</v>
      </c>
      <c r="C4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48" s="64" t="s">
        <v>1534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</row>
    <row r="49" spans="1:18" x14ac:dyDescent="0.25">
      <c r="A49" s="60" t="str">
        <f>TableData[Table Name]&amp;"-"&amp;(COUNTIF($B$1:TableData[[#This Row],[Table Name]],TableData[[#This Row],[Table Name]])-1)</f>
        <v>Product Transaction Nature-5</v>
      </c>
      <c r="B49" s="64" t="s">
        <v>1514</v>
      </c>
      <c r="C4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49" s="64" t="s">
        <v>1535</v>
      </c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</row>
    <row r="50" spans="1:18" x14ac:dyDescent="0.25">
      <c r="A50" s="60" t="str">
        <f>TableData[Table Name]&amp;"-"&amp;(COUNTIF($B$1:TableData[[#This Row],[Table Name]],TableData[[#This Row],[Table Name]])-1)</f>
        <v>Product Transaction Type-1</v>
      </c>
      <c r="B50" s="64" t="s">
        <v>1515</v>
      </c>
      <c r="C5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1</v>
      </c>
      <c r="D50" s="64" t="s">
        <v>1721</v>
      </c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</row>
    <row r="51" spans="1:18" x14ac:dyDescent="0.25">
      <c r="A51" s="60" t="str">
        <f>TableData[Table Name]&amp;"-"&amp;(COUNTIF($B$1:TableData[[#This Row],[Table Name]],TableData[[#This Row],[Table Name]])-1)</f>
        <v>Product Transaction Type-2</v>
      </c>
      <c r="B51" s="64" t="s">
        <v>1515</v>
      </c>
      <c r="C5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2</v>
      </c>
      <c r="D51" s="64" t="s">
        <v>1537</v>
      </c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</row>
    <row r="52" spans="1:18" x14ac:dyDescent="0.25">
      <c r="A52" s="60" t="str">
        <f>TableData[Table Name]&amp;"-"&amp;(COUNTIF($B$1:TableData[[#This Row],[Table Name]],TableData[[#This Row],[Table Name]])-1)</f>
        <v>Product Transaction Type-3</v>
      </c>
      <c r="B52" s="64" t="s">
        <v>1515</v>
      </c>
      <c r="C5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</v>
      </c>
      <c r="D52" s="64" t="s">
        <v>1538</v>
      </c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</row>
    <row r="53" spans="1:18" x14ac:dyDescent="0.25">
      <c r="A53" s="60" t="str">
        <f>TableData[Table Name]&amp;"-"&amp;(COUNTIF($B$1:TableData[[#This Row],[Table Name]],TableData[[#This Row],[Table Name]])-1)</f>
        <v>Product Transaction Type-4</v>
      </c>
      <c r="B53" s="64" t="s">
        <v>1515</v>
      </c>
      <c r="C5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4</v>
      </c>
      <c r="D53" s="64" t="s">
        <v>1536</v>
      </c>
      <c r="E53" s="78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</row>
    <row r="54" spans="1:18" x14ac:dyDescent="0.25">
      <c r="A54" s="60" t="str">
        <f>TableData[Table Name]&amp;"-"&amp;(COUNTIF($B$1:TableData[[#This Row],[Table Name]],TableData[[#This Row],[Table Name]])-1)</f>
        <v>Product Transaction Type-5</v>
      </c>
      <c r="B54" s="64" t="s">
        <v>1515</v>
      </c>
      <c r="C5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5</v>
      </c>
      <c r="D54" s="64" t="s">
        <v>1539</v>
      </c>
      <c r="E54" s="78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</row>
    <row r="55" spans="1:18" x14ac:dyDescent="0.25">
      <c r="A55" s="60" t="str">
        <f>TableData[Table Name]&amp;"-"&amp;(COUNTIF($B$1:TableData[[#This Row],[Table Name]],TableData[[#This Row],[Table Name]])-1)</f>
        <v>Product Transaction Type-6</v>
      </c>
      <c r="B55" s="64" t="s">
        <v>1515</v>
      </c>
      <c r="C55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6</v>
      </c>
      <c r="D55" s="64" t="s">
        <v>1535</v>
      </c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</row>
    <row r="56" spans="1:18" x14ac:dyDescent="0.25">
      <c r="A56" s="60" t="str">
        <f>TableData[Table Name]&amp;"-"&amp;(COUNTIF($B$1:TableData[[#This Row],[Table Name]],TableData[[#This Row],[Table Name]])-1)</f>
        <v>Groups-0</v>
      </c>
      <c r="B56" s="64" t="s">
        <v>76</v>
      </c>
      <c r="C56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56" s="64" t="s">
        <v>23</v>
      </c>
      <c r="E56" s="64" t="s">
        <v>24</v>
      </c>
      <c r="F56" s="64" t="s">
        <v>25</v>
      </c>
      <c r="G56" s="64" t="s">
        <v>1498</v>
      </c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</row>
    <row r="57" spans="1:18" x14ac:dyDescent="0.25">
      <c r="A57" s="60" t="str">
        <f>TableData[Table Name]&amp;"-"&amp;(COUNTIF($B$1:TableData[[#This Row],[Table Name]],TableData[[#This Row],[Table Name]])-1)</f>
        <v>Groups-1</v>
      </c>
      <c r="B57" s="64" t="s">
        <v>76</v>
      </c>
      <c r="C57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301101</v>
      </c>
      <c r="D57" s="64" t="s">
        <v>1689</v>
      </c>
      <c r="E57" s="64" t="s">
        <v>1685</v>
      </c>
      <c r="F57" s="64" t="s">
        <v>1690</v>
      </c>
      <c r="G57" s="64" t="s">
        <v>1691</v>
      </c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</row>
    <row r="58" spans="1:18" x14ac:dyDescent="0.25">
      <c r="A58" s="60" t="str">
        <f>TableData[Table Name]&amp;"-"&amp;(COUNTIF($B$1:TableData[[#This Row],[Table Name]],TableData[[#This Row],[Table Name]])-1)</f>
        <v>Groups-2</v>
      </c>
      <c r="B58" s="64" t="s">
        <v>76</v>
      </c>
      <c r="C58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301102</v>
      </c>
      <c r="D58" s="64" t="s">
        <v>1692</v>
      </c>
      <c r="E58" s="64" t="s">
        <v>1512</v>
      </c>
      <c r="F58" s="64" t="s">
        <v>1693</v>
      </c>
      <c r="G58" s="64" t="s">
        <v>1694</v>
      </c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</row>
    <row r="59" spans="1:18" x14ac:dyDescent="0.25">
      <c r="A59" s="60" t="str">
        <f>TableData[Table Name]&amp;"-"&amp;(COUNTIF($B$1:TableData[[#This Row],[Table Name]],TableData[[#This Row],[Table Name]])-1)</f>
        <v>Groups-3</v>
      </c>
      <c r="B59" s="64" t="s">
        <v>76</v>
      </c>
      <c r="C59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301103</v>
      </c>
      <c r="D59" s="64" t="s">
        <v>1546</v>
      </c>
      <c r="E59" s="64" t="s">
        <v>1695</v>
      </c>
      <c r="F59" s="64" t="s">
        <v>1549</v>
      </c>
      <c r="G59" s="64" t="s">
        <v>1696</v>
      </c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</row>
    <row r="60" spans="1:18" x14ac:dyDescent="0.25">
      <c r="A60" s="60" t="str">
        <f>TableData[Table Name]&amp;"-"&amp;(COUNTIF($B$1:TableData[[#This Row],[Table Name]],TableData[[#This Row],[Table Name]])-1)</f>
        <v>Groups-4</v>
      </c>
      <c r="B60" s="64" t="s">
        <v>76</v>
      </c>
      <c r="C60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301104</v>
      </c>
      <c r="D60" s="64" t="s">
        <v>1697</v>
      </c>
      <c r="E60" s="64" t="s">
        <v>1698</v>
      </c>
      <c r="F60" s="64" t="s">
        <v>1699</v>
      </c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</row>
    <row r="61" spans="1:18" x14ac:dyDescent="0.25">
      <c r="A61" s="60" t="str">
        <f>TableData[Table Name]&amp;"-"&amp;(COUNTIF($B$1:TableData[[#This Row],[Table Name]],TableData[[#This Row],[Table Name]])-1)</f>
        <v>Group Roles-0</v>
      </c>
      <c r="B61" s="64" t="s">
        <v>93</v>
      </c>
      <c r="C61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0</v>
      </c>
      <c r="D61" s="64" t="s">
        <v>63</v>
      </c>
      <c r="E61" s="64" t="s">
        <v>65</v>
      </c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</row>
    <row r="62" spans="1:18" x14ac:dyDescent="0.25">
      <c r="A62" s="60" t="str">
        <f>TableData[Table Name]&amp;"-"&amp;(COUNTIF($B$1:TableData[[#This Row],[Table Name]],TableData[[#This Row],[Table Name]])-1)</f>
        <v>Group Roles-1</v>
      </c>
      <c r="B62" s="64" t="s">
        <v>93</v>
      </c>
      <c r="C62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304101</v>
      </c>
      <c r="D62" s="64">
        <v>301101</v>
      </c>
      <c r="E62" s="64">
        <v>303102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</row>
    <row r="63" spans="1:18" x14ac:dyDescent="0.25">
      <c r="A63" s="60" t="str">
        <f>TableData[Table Name]&amp;"-"&amp;(COUNTIF($B$1:TableData[[#This Row],[Table Name]],TableData[[#This Row],[Table Name]])-1)</f>
        <v>Group Roles-2</v>
      </c>
      <c r="B63" s="64" t="s">
        <v>93</v>
      </c>
      <c r="C63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304102</v>
      </c>
      <c r="D63" s="64">
        <v>301102</v>
      </c>
      <c r="E63" s="64">
        <v>303101</v>
      </c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</row>
    <row r="64" spans="1:18" x14ac:dyDescent="0.25">
      <c r="A64" s="60" t="str">
        <f>TableData[Table Name]&amp;"-"&amp;(COUNTIF($B$1:TableData[[#This Row],[Table Name]],TableData[[#This Row],[Table Name]])-1)</f>
        <v>Group Roles-3</v>
      </c>
      <c r="B64" s="64" t="s">
        <v>93</v>
      </c>
      <c r="C64" s="60">
        <f>IF(COUNTIF($B$1:TableData[[#This Row],[Table Name]],TableData[[#This Row],[Table Name]])=1,0,IF(ISNUMBER(VLOOKUP(TableData[Table Name],SeedMap[],9,0)),COUNTIF($B$1:TableData[[#This Row],[Table Name]],TableData[[#This Row],[Table Name]])+VLOOKUP(TableData[Table Name],SeedMap[],9,0)-1,COUNTIF($B$1:TableData[[#This Row],[Table Name]],TableData[[#This Row],[Table Name]])-1))</f>
        <v>304103</v>
      </c>
      <c r="D64" s="64">
        <v>301103</v>
      </c>
      <c r="E64" s="64">
        <v>303103</v>
      </c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61" workbookViewId="0">
      <selection activeCell="A63" sqref="A6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 x14ac:dyDescent="0.25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1416</v>
      </c>
    </row>
    <row r="2" spans="1:11" x14ac:dyDescent="0.25">
      <c r="A2" s="4" t="s">
        <v>78</v>
      </c>
      <c r="B2" s="4" t="s">
        <v>75</v>
      </c>
      <c r="C2" s="1" t="str">
        <f>VLOOKUP(SeedMap[Table Name],Tables[],4,0)</f>
        <v>Milestone\Appframe\Model</v>
      </c>
      <c r="D2" s="1" t="str">
        <f>VLOOKUP(SeedMap[Table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IF(ISNUMBER(SeedMap[Last ID]),"\DB::statement('ALTER TABLE `" &amp;VLOOKUP(SeedMap[[#This Row],[Table Name]],Tables[[Name]:[Table]],2,0) &amp; "`  AUTO_INCREMENT=" &amp; SeedMap[Last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 x14ac:dyDescent="0.25">
      <c r="A3" s="1" t="s">
        <v>76</v>
      </c>
      <c r="B3" s="1" t="s">
        <v>59</v>
      </c>
      <c r="C3" s="1" t="str">
        <f>VLOOKUP(SeedMap[Table Name],Tables[],4,0)</f>
        <v>Milestone\Appframe\Model</v>
      </c>
      <c r="D3" s="1" t="str">
        <f>VLOOKUP(SeedMap[Table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 x14ac:dyDescent="0.25">
      <c r="A4" s="5" t="s">
        <v>1513</v>
      </c>
      <c r="B4" s="5" t="s">
        <v>60</v>
      </c>
      <c r="C4" s="5" t="str">
        <f>VLOOKUP(SeedMap[Table Name],Tables[],4,0)</f>
        <v>Milestone\Appframe\Model</v>
      </c>
      <c r="D4" s="5" t="str">
        <f>VLOOKUP(SeedMap[Table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 x14ac:dyDescent="0.25">
      <c r="A5" s="1" t="s">
        <v>79</v>
      </c>
      <c r="B5" s="1" t="s">
        <v>61</v>
      </c>
      <c r="C5" s="1" t="str">
        <f>VLOOKUP(SeedMap[Table Name],Tables[],4,0)</f>
        <v>Milestone\Appframe\Model</v>
      </c>
      <c r="D5" s="1" t="str">
        <f>VLOOKUP(SeedMap[Table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IF(ISNUMBER(SeedMap[Last ID]),"\DB::statement('ALTER TABLE `" &amp;VLOOKUP(SeedMap[[#This Row],[Table Name]],Tables[[Name]:[Table]],2,0) &amp; "`  AUTO_INCREMENT=" &amp; SeedMap[Last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 x14ac:dyDescent="0.25">
      <c r="A6" s="1" t="s">
        <v>93</v>
      </c>
      <c r="B6" s="1" t="s">
        <v>62</v>
      </c>
      <c r="C6" s="1" t="str">
        <f>VLOOKUP(SeedMap[Table Name],Tables[],4,0)</f>
        <v>Milestone\Appframe\Model</v>
      </c>
      <c r="D6" s="1" t="str">
        <f>VLOOKUP(SeedMap[Table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IF(ISNUMBER(SeedMap[Last ID]),"\DB::statement('ALTER TABLE `" &amp;VLOOKUP(SeedMap[[#This Row],[Table Name]],Tables[[Name]:[Table]],2,0) &amp; "`  AUTO_INCREMENT=" &amp; SeedMap[Last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 x14ac:dyDescent="0.25">
      <c r="A7" s="1" t="s">
        <v>92</v>
      </c>
      <c r="B7" s="1" t="s">
        <v>2</v>
      </c>
      <c r="C7" s="1" t="str">
        <f>VLOOKUP(SeedMap[Table Name],Tables[],4,0)</f>
        <v>Milestone\Appframe\Model</v>
      </c>
      <c r="D7" s="1" t="str">
        <f>VLOOKUP(SeedMap[Table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 x14ac:dyDescent="0.25">
      <c r="A8" s="1" t="s">
        <v>94</v>
      </c>
      <c r="B8" s="1" t="s">
        <v>89</v>
      </c>
      <c r="C8" s="1" t="str">
        <f>VLOOKUP(SeedMap[Table Name],Tables[],4,0)</f>
        <v>Milestone\Appframe\Model</v>
      </c>
      <c r="D8" s="1" t="str">
        <f>VLOOKUP(SeedMap[Table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 x14ac:dyDescent="0.25">
      <c r="A9" s="2" t="s">
        <v>163</v>
      </c>
      <c r="B9" s="2" t="s">
        <v>0</v>
      </c>
      <c r="C9" s="1" t="str">
        <f>VLOOKUP(SeedMap[Table Name],Tables[],4,0)</f>
        <v>Milestone\Appframe\Model</v>
      </c>
      <c r="D9" s="1" t="str">
        <f>VLOOKUP(SeedMap[Table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 x14ac:dyDescent="0.25">
      <c r="A10" s="1" t="s">
        <v>165</v>
      </c>
      <c r="B10" s="1" t="s">
        <v>3</v>
      </c>
      <c r="C10" s="1" t="str">
        <f>VLOOKUP(SeedMap[Table Name],Tables[],4,0)</f>
        <v>Milestone\Appframe\Model</v>
      </c>
      <c r="D10" s="1" t="str">
        <f>VLOOKUP(SeedMap[Table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 x14ac:dyDescent="0.25">
      <c r="A11" s="2" t="s">
        <v>159</v>
      </c>
      <c r="B11" s="2" t="s">
        <v>6</v>
      </c>
      <c r="C11" s="2" t="str">
        <f>VLOOKUP(SeedMap[Table Name],Tables[],4,0)</f>
        <v>Milestone\Appframe\Model</v>
      </c>
      <c r="D11" s="2" t="str">
        <f>VLOOKUP(SeedMap[Table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 x14ac:dyDescent="0.25">
      <c r="A12" s="2" t="s">
        <v>137</v>
      </c>
      <c r="B12" s="2" t="s">
        <v>48</v>
      </c>
      <c r="C12" s="2" t="str">
        <f>VLOOKUP(SeedMap[Table Name],Tables[],4,0)</f>
        <v>Milestone\Appframe\Model</v>
      </c>
      <c r="D12" s="2" t="str">
        <f>VLOOKUP(SeedMap[Table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 x14ac:dyDescent="0.25">
      <c r="A13" s="2" t="s">
        <v>182</v>
      </c>
      <c r="B13" s="2" t="s">
        <v>50</v>
      </c>
      <c r="C13" s="2" t="str">
        <f>VLOOKUP(SeedMap[Table Name],Tables[],4,0)</f>
        <v>Milestone\Appframe\Model</v>
      </c>
      <c r="D13" s="2" t="str">
        <f>VLOOKUP(SeedMap[Table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 x14ac:dyDescent="0.25">
      <c r="A14" s="4" t="s">
        <v>173</v>
      </c>
      <c r="B14" s="4" t="s">
        <v>168</v>
      </c>
      <c r="C14" s="2" t="str">
        <f>VLOOKUP(SeedMap[Table Name],Tables[],4,0)</f>
        <v>Milestone\Appframe\Model</v>
      </c>
      <c r="D14" s="2" t="str">
        <f>VLOOKUP(SeedMap[Table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 x14ac:dyDescent="0.25">
      <c r="A15" s="2" t="s">
        <v>329</v>
      </c>
      <c r="B15" s="4" t="s">
        <v>49</v>
      </c>
      <c r="C15" s="2" t="str">
        <f>VLOOKUP(SeedMap[Table Name],Tables[],4,0)</f>
        <v>Milestone\Appframe\Model</v>
      </c>
      <c r="D15" s="2" t="str">
        <f>VLOOKUP(SeedMap[Table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 x14ac:dyDescent="0.25">
      <c r="A16" s="4" t="s">
        <v>267</v>
      </c>
      <c r="B16" s="4" t="s">
        <v>265</v>
      </c>
      <c r="C16" s="2" t="str">
        <f>VLOOKUP(SeedMap[Table Name],Tables[],4,0)</f>
        <v>Milestone\Appframe\Model</v>
      </c>
      <c r="D16" s="2" t="str">
        <f>VLOOKUP(SeedMap[Table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 x14ac:dyDescent="0.25">
      <c r="A17" s="2" t="s">
        <v>177</v>
      </c>
      <c r="B17" s="4" t="s">
        <v>51</v>
      </c>
      <c r="C17" s="2" t="str">
        <f>VLOOKUP(SeedMap[Table Name],Tables[],4,0)</f>
        <v>Milestone\Appframe\Model</v>
      </c>
      <c r="D17" s="2" t="str">
        <f>VLOOKUP(SeedMap[Table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 x14ac:dyDescent="0.25">
      <c r="A18" s="4" t="s">
        <v>242</v>
      </c>
      <c r="B18" s="4" t="s">
        <v>237</v>
      </c>
      <c r="C18" s="2" t="str">
        <f>VLOOKUP(SeedMap[Table Name],Tables[],4,0)</f>
        <v>Milestone\Appframe\Model</v>
      </c>
      <c r="D18" s="2" t="str">
        <f>VLOOKUP(SeedMap[Table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 x14ac:dyDescent="0.25">
      <c r="A19" s="4" t="s">
        <v>214</v>
      </c>
      <c r="B19" s="4" t="s">
        <v>211</v>
      </c>
      <c r="C19" s="2" t="str">
        <f>VLOOKUP(SeedMap[Table Name],Tables[],4,0)</f>
        <v>Milestone\Appframe\Model</v>
      </c>
      <c r="D19" s="2" t="str">
        <f>VLOOKUP(SeedMap[Table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 x14ac:dyDescent="0.25">
      <c r="A20" s="4" t="s">
        <v>483</v>
      </c>
      <c r="B20" s="4" t="s">
        <v>482</v>
      </c>
      <c r="C20" s="4" t="str">
        <f>VLOOKUP(SeedMap[Table Name],Tables[],4,0)</f>
        <v>Milestone\Appframe\Model</v>
      </c>
      <c r="D20" s="4" t="str">
        <f>VLOOKUP(SeedMap[Table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 x14ac:dyDescent="0.25">
      <c r="A21" s="4" t="s">
        <v>179</v>
      </c>
      <c r="B21" s="4" t="s">
        <v>66</v>
      </c>
      <c r="C21" s="2" t="str">
        <f>VLOOKUP(SeedMap[Table Name],Tables[],4,0)</f>
        <v>Milestone\Appframe\Model</v>
      </c>
      <c r="D21" s="2" t="str">
        <f>VLOOKUP(SeedMap[Table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 x14ac:dyDescent="0.25">
      <c r="A22" s="4" t="s">
        <v>229</v>
      </c>
      <c r="B22" s="4" t="s">
        <v>225</v>
      </c>
      <c r="C22" s="2" t="str">
        <f>VLOOKUP(SeedMap[Table Name],Tables[],4,0)</f>
        <v>Milestone\Appframe\Model</v>
      </c>
      <c r="D22" s="2" t="str">
        <f>VLOOKUP(SeedMap[Table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 x14ac:dyDescent="0.25">
      <c r="A23" s="2" t="s">
        <v>292</v>
      </c>
      <c r="B23" s="2" t="s">
        <v>285</v>
      </c>
      <c r="C23" s="2" t="str">
        <f>VLOOKUP(SeedMap[Table Name],Tables[],4,0)</f>
        <v>Milestone\Appframe\Model</v>
      </c>
      <c r="D23" s="2" t="str">
        <f>VLOOKUP(SeedMap[Table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 x14ac:dyDescent="0.25">
      <c r="A24" s="2" t="s">
        <v>164</v>
      </c>
      <c r="B24" s="2" t="s">
        <v>5</v>
      </c>
      <c r="C24" s="2" t="str">
        <f>VLOOKUP(SeedMap[Table Name],Tables[],4,0)</f>
        <v>Milestone\Appframe\Model</v>
      </c>
      <c r="D24" s="2" t="str">
        <f>VLOOKUP(SeedMap[Table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 x14ac:dyDescent="0.25">
      <c r="A25" s="2" t="s">
        <v>192</v>
      </c>
      <c r="B25" s="2" t="s">
        <v>11</v>
      </c>
      <c r="C25" s="2" t="str">
        <f>VLOOKUP(SeedMap[Table Name],Tables[],4,0)</f>
        <v>Milestone\Appframe\Model</v>
      </c>
      <c r="D25" s="2" t="str">
        <f>VLOOKUP(SeedMap[Table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 x14ac:dyDescent="0.25">
      <c r="A26" s="2" t="s">
        <v>330</v>
      </c>
      <c r="B26" s="4" t="s">
        <v>10</v>
      </c>
      <c r="C26" s="2" t="str">
        <f>VLOOKUP(SeedMap[Table Name],Tables[],4,0)</f>
        <v>Milestone\Appframe\Model</v>
      </c>
      <c r="D26" s="2" t="str">
        <f>VLOOKUP(SeedMap[Table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 x14ac:dyDescent="0.25">
      <c r="A27" s="2" t="s">
        <v>203</v>
      </c>
      <c r="B27" s="4" t="s">
        <v>200</v>
      </c>
      <c r="C27" s="2" t="str">
        <f>VLOOKUP(SeedMap[Table Name],Tables[],4,0)</f>
        <v>Milestone\Appframe\Model</v>
      </c>
      <c r="D27" s="2" t="str">
        <f>VLOOKUP(SeedMap[Table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 x14ac:dyDescent="0.25">
      <c r="A28" s="2" t="s">
        <v>235</v>
      </c>
      <c r="B28" s="4" t="s">
        <v>233</v>
      </c>
      <c r="C28" s="2" t="str">
        <f>VLOOKUP(SeedMap[Table Name],Tables[],4,0)</f>
        <v>Milestone\Appframe\Model</v>
      </c>
      <c r="D28" s="2" t="str">
        <f>VLOOKUP(SeedMap[Table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 x14ac:dyDescent="0.25">
      <c r="A29" s="4" t="s">
        <v>199</v>
      </c>
      <c r="B29" s="4" t="s">
        <v>4</v>
      </c>
      <c r="C29" s="2" t="str">
        <f>VLOOKUP(SeedMap[Table Name],Tables[],4,0)</f>
        <v>Milestone\Appframe\Model</v>
      </c>
      <c r="D29" s="2" t="str">
        <f>VLOOKUP(SeedMap[Table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 x14ac:dyDescent="0.25">
      <c r="A30" s="4" t="s">
        <v>232</v>
      </c>
      <c r="B30" s="4" t="s">
        <v>205</v>
      </c>
      <c r="C30" s="2" t="str">
        <f>VLOOKUP(SeedMap[Table Name],Tables[],4,0)</f>
        <v>Milestone\Appframe\Model</v>
      </c>
      <c r="D30" s="2" t="str">
        <f>VLOOKUP(SeedMap[Table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 x14ac:dyDescent="0.25">
      <c r="A31" s="2" t="s">
        <v>197</v>
      </c>
      <c r="B31" s="2" t="s">
        <v>9</v>
      </c>
      <c r="C31" s="2" t="str">
        <f>VLOOKUP(SeedMap[Table Name],Tables[],4,0)</f>
        <v>Milestone\Appframe\Model</v>
      </c>
      <c r="D31" s="2" t="str">
        <f>VLOOKUP(SeedMap[Table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 x14ac:dyDescent="0.25">
      <c r="A32" s="4" t="s">
        <v>219</v>
      </c>
      <c r="B32" s="4" t="s">
        <v>216</v>
      </c>
      <c r="C32" s="2" t="str">
        <f>VLOOKUP(SeedMap[Table Name],Tables[],4,0)</f>
        <v>Milestone\Appframe\Model</v>
      </c>
      <c r="D32" s="2" t="str">
        <f>VLOOKUP(SeedMap[Table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 x14ac:dyDescent="0.25">
      <c r="A33" s="4" t="s">
        <v>222</v>
      </c>
      <c r="B33" s="4" t="s">
        <v>217</v>
      </c>
      <c r="C33" s="2" t="str">
        <f>VLOOKUP(SeedMap[Table Name],Tables[],4,0)</f>
        <v>Milestone\Appframe\Model</v>
      </c>
      <c r="D33" s="2" t="str">
        <f>VLOOKUP(SeedMap[Table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 x14ac:dyDescent="0.25">
      <c r="A34" s="2" t="s">
        <v>109</v>
      </c>
      <c r="B34" s="2" t="s">
        <v>8</v>
      </c>
      <c r="C34" s="2" t="str">
        <f>VLOOKUP(SeedMap[Table Name],Tables[],4,0)</f>
        <v>Milestone\Appframe\Model</v>
      </c>
      <c r="D34" s="2" t="str">
        <f>VLOOKUP(SeedMap[Table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 x14ac:dyDescent="0.25">
      <c r="A35" s="2" t="s">
        <v>331</v>
      </c>
      <c r="B35" s="2" t="s">
        <v>47</v>
      </c>
      <c r="C35" s="2" t="str">
        <f>VLOOKUP(SeedMap[Table Name],Tables[],4,0)</f>
        <v>Milestone\Appframe\Model</v>
      </c>
      <c r="D35" s="2" t="str">
        <f>VLOOKUP(SeedMap[Table Name],Tables[],5,0)</f>
        <v>ResourceActionMethod</v>
      </c>
      <c r="E35" s="1" t="s">
        <v>110</v>
      </c>
      <c r="F35" s="1" t="s">
        <v>1577</v>
      </c>
      <c r="G35" s="11">
        <v>1</v>
      </c>
      <c r="H35" s="6" t="s">
        <v>753</v>
      </c>
      <c r="I35" s="11">
        <v>333100</v>
      </c>
      <c r="J35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 x14ac:dyDescent="0.25">
      <c r="A36" s="2" t="s">
        <v>332</v>
      </c>
      <c r="B36" s="2" t="s">
        <v>46</v>
      </c>
      <c r="C36" s="2" t="str">
        <f>VLOOKUP(SeedMap[Table Name],Tables[],4,0)</f>
        <v>Milestone\Appframe\Model</v>
      </c>
      <c r="D36" s="2" t="str">
        <f>VLOOKUP(SeedMap[Table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 x14ac:dyDescent="0.25">
      <c r="A37" s="2" t="s">
        <v>333</v>
      </c>
      <c r="B37" s="4" t="s">
        <v>57</v>
      </c>
      <c r="C37" s="2" t="str">
        <f>VLOOKUP(SeedMap[Table Name],Tables[],4,0)</f>
        <v>Milestone\Appframe\Model</v>
      </c>
      <c r="D37" s="2" t="str">
        <f>VLOOKUP(SeedMap[Table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 x14ac:dyDescent="0.25">
      <c r="A38" s="2" t="s">
        <v>334</v>
      </c>
      <c r="B38" s="4" t="s">
        <v>58</v>
      </c>
      <c r="C38" s="2" t="str">
        <f>VLOOKUP(SeedMap[Table Name],Tables[],4,0)</f>
        <v>Milestone\Appframe\Model</v>
      </c>
      <c r="D38" s="2" t="str">
        <f>VLOOKUP(SeedMap[Table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 x14ac:dyDescent="0.25">
      <c r="A39" s="2" t="s">
        <v>495</v>
      </c>
      <c r="B39" s="2" t="s">
        <v>7</v>
      </c>
      <c r="C39" s="2" t="str">
        <f>VLOOKUP(SeedMap[Table Name],Tables[],4,0)</f>
        <v>Milestone\Appframe\Model</v>
      </c>
      <c r="D39" s="2" t="str">
        <f>VLOOKUP(SeedMap[Table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 x14ac:dyDescent="0.25">
      <c r="A40" s="4" t="s">
        <v>255</v>
      </c>
      <c r="B40" s="4" t="s">
        <v>247</v>
      </c>
      <c r="C40" s="2" t="str">
        <f>VLOOKUP(SeedMap[Table Name],Tables[],4,0)</f>
        <v>Milestone\Appframe\Model</v>
      </c>
      <c r="D40" s="2" t="str">
        <f>VLOOKUP(SeedMap[Table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 x14ac:dyDescent="0.25">
      <c r="A41" s="1" t="s">
        <v>260</v>
      </c>
      <c r="B41" s="5" t="s">
        <v>248</v>
      </c>
      <c r="C41" s="4" t="str">
        <f>VLOOKUP(SeedMap[Table Name],Tables[],4,0)</f>
        <v>Milestone\Appframe\Model</v>
      </c>
      <c r="D41" s="4" t="str">
        <f>VLOOKUP(SeedMap[Table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 x14ac:dyDescent="0.25">
      <c r="A42" s="5" t="s">
        <v>253</v>
      </c>
      <c r="B42" s="5" t="s">
        <v>249</v>
      </c>
      <c r="C42" s="4" t="str">
        <f>VLOOKUP(SeedMap[Table Name],Tables[],4,0)</f>
        <v>Milestone\Appframe\Model</v>
      </c>
      <c r="D42" s="4" t="str">
        <f>VLOOKUP(SeedMap[Table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 x14ac:dyDescent="0.25">
      <c r="A43" s="5" t="s">
        <v>254</v>
      </c>
      <c r="B43" s="5" t="s">
        <v>251</v>
      </c>
      <c r="C43" s="4" t="str">
        <f>VLOOKUP(SeedMap[Table Name],Tables[],4,0)</f>
        <v>Milestone\Appframe\Model</v>
      </c>
      <c r="D43" s="4" t="str">
        <f>VLOOKUP(SeedMap[Table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IF(ISNUMBER(SeedMap[Last ID]),"\DB::statement('ALTER TABLE `" &amp;VLOOKUP(SeedMap[[#This Row],[Table Name]],Tables[[Name]:[Table]],2,0) &amp; "`  AUTO_INCREMENT=" &amp; SeedMap[Last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 x14ac:dyDescent="0.25">
      <c r="A44" s="4" t="s">
        <v>1313</v>
      </c>
      <c r="B44" s="4" t="s">
        <v>1284</v>
      </c>
      <c r="C44" s="4" t="str">
        <f>VLOOKUP(SeedMap[Table Name],Tables[],4,0)</f>
        <v>Milestone\SS\Model</v>
      </c>
      <c r="D44" s="4" t="str">
        <f>VLOOKUP(SeedMap[Table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1516</v>
      </c>
      <c r="I44" s="90"/>
      <c r="J44" s="7" t="str">
        <f>IF(ISNUMBER(SeedMap[Last ID]),"\DB::statement('ALTER TABLE `" &amp;VLOOKUP(SeedMap[[#This Row],[Table Name]],Tables[[Name]:[Table]],2,0) &amp; "`  AUTO_INCREMENT=" &amp; SeedMap[Last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 x14ac:dyDescent="0.25">
      <c r="A45" s="5" t="s">
        <v>1514</v>
      </c>
      <c r="B45" s="4" t="s">
        <v>839</v>
      </c>
      <c r="C45" s="5" t="str">
        <f>VLOOKUP(SeedMap[Table Name],Tables[],4,0)</f>
        <v>Milestone\SS\Model</v>
      </c>
      <c r="D45" s="5" t="str">
        <f>VLOOKUP(SeedMap[Table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1516</v>
      </c>
      <c r="I45" s="31"/>
      <c r="J45" s="8" t="str">
        <f>IF(ISNUMBER(SeedMap[Last ID]),"\DB::statement('ALTER TABLE `" &amp;VLOOKUP(SeedMap[[#This Row],[Table Name]],Tables[[Name]:[Table]],2,0) &amp; "`  AUTO_INCREMENT=" &amp; SeedMap[Last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 x14ac:dyDescent="0.25">
      <c r="A46" s="4" t="s">
        <v>1515</v>
      </c>
      <c r="B46" s="4" t="s">
        <v>846</v>
      </c>
      <c r="C46" s="4" t="str">
        <f>VLOOKUP(SeedMap[Table Name],Tables[],4,0)</f>
        <v>Milestone\SS\Model</v>
      </c>
      <c r="D46" s="4" t="str">
        <f>VLOOKUP(SeedMap[Table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1516</v>
      </c>
      <c r="I46" s="90"/>
      <c r="J46" s="7" t="str">
        <f>IF(ISNUMBER(SeedMap[Last ID]),"\DB::statement('ALTER TABLE `" &amp;VLOOKUP(SeedMap[[#This Row],[Table Name]],Tables[[Name]:[Table]],2,0) &amp; "`  AUTO_INCREMENT=" &amp; SeedMap[Last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 x14ac:dyDescent="0.25">
      <c r="A47" s="5" t="s">
        <v>1289</v>
      </c>
      <c r="B47" s="5" t="s">
        <v>1085</v>
      </c>
      <c r="C47" s="5" t="str">
        <f>VLOOKUP(SeedMap[Table Name],Tables[],4,0)</f>
        <v>Milestone\SS\Model</v>
      </c>
      <c r="D47" s="5" t="str">
        <f>VLOOKUP(SeedMap[Table Name],Tables[],5,0)</f>
        <v>Setup</v>
      </c>
      <c r="E47" s="5" t="s">
        <v>161</v>
      </c>
      <c r="F47" s="5" t="s">
        <v>341</v>
      </c>
      <c r="G47" s="31">
        <v>2</v>
      </c>
      <c r="H47" s="8" t="s">
        <v>1516</v>
      </c>
      <c r="I47" s="31"/>
      <c r="J47" s="8" t="str">
        <f>IF(ISNUMBER(SeedMap[Last ID]),"\DB::statement('ALTER TABLE `" &amp;VLOOKUP(SeedMap[[#This Row],[Table Name]],Tables[[Name]:[Table]],2,0) &amp; "`  AUTO_INCREMENT=" &amp; SeedMap[Last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 x14ac:dyDescent="0.25">
      <c r="A48" s="5" t="s">
        <v>1292</v>
      </c>
      <c r="B48" s="5" t="s">
        <v>901</v>
      </c>
      <c r="C48" s="5" t="str">
        <f>VLOOKUP(SeedMap[Table Name],Tables[],4,0)</f>
        <v>Milestone\SS\Model</v>
      </c>
      <c r="D48" s="5" t="str">
        <f>VLOOKUP(SeedMap[Table Name],Tables[],5,0)</f>
        <v>Fiscalyearmaster</v>
      </c>
      <c r="E48" s="5" t="s">
        <v>161</v>
      </c>
      <c r="F48" s="5" t="s">
        <v>341</v>
      </c>
      <c r="G48" s="31">
        <v>2</v>
      </c>
      <c r="H48" s="8" t="s">
        <v>1516</v>
      </c>
      <c r="I48" s="31"/>
      <c r="J48" s="8" t="str">
        <f>IF(ISNUMBER(SeedMap[Last ID]),"\DB::statement('ALTER TABLE `" &amp;VLOOKUP(SeedMap[[#This Row],[Table Name]],Tables[[Name]:[Table]],2,0) &amp; "`  AUTO_INCREMENT=" &amp; SeedMap[Last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 x14ac:dyDescent="0.25">
      <c r="A49" s="5" t="s">
        <v>1293</v>
      </c>
      <c r="B49" s="5" t="s">
        <v>861</v>
      </c>
      <c r="C49" s="5" t="str">
        <f>VLOOKUP(SeedMap[Table Name],Tables[],4,0)</f>
        <v>Milestone\SS\Model</v>
      </c>
      <c r="D49" s="5" t="str">
        <f>VLOOKUP(SeedMap[Table Name],Tables[],5,0)</f>
        <v>Functiondetail</v>
      </c>
      <c r="E49" s="5" t="s">
        <v>161</v>
      </c>
      <c r="F49" s="5" t="s">
        <v>341</v>
      </c>
      <c r="G49" s="31">
        <v>2</v>
      </c>
      <c r="H49" s="8" t="s">
        <v>1516</v>
      </c>
      <c r="I49" s="31"/>
      <c r="J49" s="8" t="str">
        <f>IF(ISNUMBER(SeedMap[Last ID]),"\DB::statement('ALTER TABLE `" &amp;VLOOKUP(SeedMap[[#This Row],[Table Name]],Tables[[Name]:[Table]],2,0) &amp; "`  AUTO_INCREMENT=" &amp; SeedMap[Last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 x14ac:dyDescent="0.25">
      <c r="A50" s="5" t="s">
        <v>1294</v>
      </c>
      <c r="B50" s="5" t="s">
        <v>760</v>
      </c>
      <c r="C50" s="5" t="str">
        <f>VLOOKUP(SeedMap[Table Name],Tables[],4,0)</f>
        <v>Milestone\SS\Model</v>
      </c>
      <c r="D50" s="5" t="str">
        <f>VLOOKUP(SeedMap[Table Name],Tables[],5,0)</f>
        <v>Product</v>
      </c>
      <c r="E50" s="5" t="s">
        <v>161</v>
      </c>
      <c r="F50" s="5" t="s">
        <v>341</v>
      </c>
      <c r="G50" s="31">
        <v>2</v>
      </c>
      <c r="H50" s="8" t="s">
        <v>1516</v>
      </c>
      <c r="I50" s="31"/>
      <c r="J50" s="8" t="str">
        <f>IF(ISNUMBER(SeedMap[Last ID]),"\DB::statement('ALTER TABLE `" &amp;VLOOKUP(SeedMap[[#This Row],[Table Name]],Tables[[Name]:[Table]],2,0) &amp; "`  AUTO_INCREMENT=" &amp; SeedMap[Last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 x14ac:dyDescent="0.25">
      <c r="A51" s="5" t="s">
        <v>1295</v>
      </c>
      <c r="B51" s="5" t="s">
        <v>763</v>
      </c>
      <c r="C51" s="5" t="str">
        <f>VLOOKUP(SeedMap[Table Name],Tables[],4,0)</f>
        <v>Milestone\SS\Model</v>
      </c>
      <c r="D51" s="5" t="str">
        <f>VLOOKUP(SeedMap[Table Name],Tables[],5,0)</f>
        <v>Pricelist</v>
      </c>
      <c r="E51" s="5" t="s">
        <v>161</v>
      </c>
      <c r="F51" s="5" t="s">
        <v>341</v>
      </c>
      <c r="G51" s="31">
        <v>2</v>
      </c>
      <c r="H51" s="8" t="s">
        <v>1516</v>
      </c>
      <c r="I51" s="31"/>
      <c r="J51" s="8" t="str">
        <f>IF(ISNUMBER(SeedMap[Last ID]),"\DB::statement('ALTER TABLE `" &amp;VLOOKUP(SeedMap[[#This Row],[Table Name]],Tables[[Name]:[Table]],2,0) &amp; "`  AUTO_INCREMENT=" &amp; SeedMap[Last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 x14ac:dyDescent="0.25">
      <c r="A52" s="5" t="s">
        <v>1296</v>
      </c>
      <c r="B52" s="5" t="s">
        <v>764</v>
      </c>
      <c r="C52" s="5" t="str">
        <f>VLOOKUP(SeedMap[Table Name],Tables[],4,0)</f>
        <v>Milestone\SS\Model</v>
      </c>
      <c r="D52" s="5" t="str">
        <f>VLOOKUP(SeedMap[Table Name],Tables[],5,0)</f>
        <v>PricelistProduct</v>
      </c>
      <c r="E52" s="5" t="s">
        <v>161</v>
      </c>
      <c r="F52" s="5" t="s">
        <v>341</v>
      </c>
      <c r="G52" s="31">
        <v>2</v>
      </c>
      <c r="H52" s="8" t="s">
        <v>1516</v>
      </c>
      <c r="I52" s="31"/>
      <c r="J52" s="8" t="str">
        <f>IF(ISNUMBER(SeedMap[Last ID]),"\DB::statement('ALTER TABLE `" &amp;VLOOKUP(SeedMap[[#This Row],[Table Name]],Tables[[Name]:[Table]],2,0) &amp; "`  AUTO_INCREMENT=" &amp; SeedMap[Last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 x14ac:dyDescent="0.25">
      <c r="A53" s="5" t="s">
        <v>1297</v>
      </c>
      <c r="B53" s="5" t="s">
        <v>757</v>
      </c>
      <c r="C53" s="5" t="str">
        <f>VLOOKUP(SeedMap[Table Name],Tables[],4,0)</f>
        <v>Milestone\SS\Model</v>
      </c>
      <c r="D53" s="5" t="str">
        <f>VLOOKUP(SeedMap[Table Name],Tables[],5,0)</f>
        <v>Store</v>
      </c>
      <c r="E53" s="5" t="s">
        <v>161</v>
      </c>
      <c r="F53" s="5" t="s">
        <v>341</v>
      </c>
      <c r="G53" s="31">
        <v>2</v>
      </c>
      <c r="H53" s="8" t="s">
        <v>1516</v>
      </c>
      <c r="I53" s="31"/>
      <c r="J53" s="8" t="str">
        <f>IF(ISNUMBER(SeedMap[Last ID]),"\DB::statement('ALTER TABLE `" &amp;VLOOKUP(SeedMap[[#This Row],[Table Name]],Tables[[Name]:[Table]],2,0) &amp; "`  AUTO_INCREMENT=" &amp; SeedMap[Last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 x14ac:dyDescent="0.25">
      <c r="A54" s="5" t="s">
        <v>1298</v>
      </c>
      <c r="B54" s="5" t="s">
        <v>758</v>
      </c>
      <c r="C54" s="5" t="str">
        <f>VLOOKUP(SeedMap[Table Name],Tables[],4,0)</f>
        <v>Milestone\SS\Model</v>
      </c>
      <c r="D54" s="5" t="str">
        <f>VLOOKUP(SeedMap[Table Name],Tables[],5,0)</f>
        <v>Area</v>
      </c>
      <c r="E54" s="5" t="s">
        <v>161</v>
      </c>
      <c r="F54" s="5" t="s">
        <v>341</v>
      </c>
      <c r="G54" s="31">
        <v>2</v>
      </c>
      <c r="H54" s="8" t="s">
        <v>1516</v>
      </c>
      <c r="I54" s="31"/>
      <c r="J54" s="8" t="str">
        <f>IF(ISNUMBER(SeedMap[Last ID]),"\DB::statement('ALTER TABLE `" &amp;VLOOKUP(SeedMap[[#This Row],[Table Name]],Tables[[Name]:[Table]],2,0) &amp; "`  AUTO_INCREMENT=" &amp; SeedMap[Last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 x14ac:dyDescent="0.25">
      <c r="A55" s="5" t="s">
        <v>1299</v>
      </c>
      <c r="B55" s="5" t="s">
        <v>755</v>
      </c>
      <c r="C55" s="5" t="str">
        <f>VLOOKUP(SeedMap[Table Name],Tables[],4,0)</f>
        <v>Milestone\SS\Model</v>
      </c>
      <c r="D55" s="5" t="str">
        <f>VLOOKUP(SeedMap[Table Name],Tables[],5,0)</f>
        <v>AreaUser</v>
      </c>
      <c r="E55" s="5" t="s">
        <v>161</v>
      </c>
      <c r="F55" s="5" t="s">
        <v>341</v>
      </c>
      <c r="G55" s="31">
        <v>2</v>
      </c>
      <c r="H55" s="8" t="s">
        <v>1516</v>
      </c>
      <c r="I55" s="31"/>
      <c r="J55" s="8" t="str">
        <f>IF(ISNUMBER(SeedMap[Last ID]),"\DB::statement('ALTER TABLE `" &amp;VLOOKUP(SeedMap[[#This Row],[Table Name]],Tables[[Name]:[Table]],2,0) &amp; "`  AUTO_INCREMENT=" &amp; SeedMap[Last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 x14ac:dyDescent="0.25">
      <c r="A56" s="5" t="s">
        <v>1300</v>
      </c>
      <c r="B56" s="5" t="s">
        <v>1285</v>
      </c>
      <c r="C56" s="5" t="str">
        <f>VLOOKUP(SeedMap[Table Name],Tables[],4,0)</f>
        <v>Milestone\SS\Model</v>
      </c>
      <c r="D56" s="5" t="str">
        <f>VLOOKUP(SeedMap[Table Name],Tables[],5,0)</f>
        <v>UserSetting</v>
      </c>
      <c r="E56" s="5" t="s">
        <v>161</v>
      </c>
      <c r="F56" s="5" t="s">
        <v>341</v>
      </c>
      <c r="G56" s="31">
        <v>2</v>
      </c>
      <c r="H56" s="8" t="s">
        <v>1516</v>
      </c>
      <c r="I56" s="31"/>
      <c r="J56" s="8" t="str">
        <f>IF(ISNUMBER(SeedMap[Last ID]),"\DB::statement('ALTER TABLE `" &amp;VLOOKUP(SeedMap[[#This Row],[Table Name]],Tables[[Name]:[Table]],2,0) &amp; "`  AUTO_INCREMENT=" &amp; SeedMap[Last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 x14ac:dyDescent="0.25">
      <c r="A57" s="5" t="s">
        <v>1301</v>
      </c>
      <c r="B57" s="5" t="s">
        <v>759</v>
      </c>
      <c r="C57" s="5" t="str">
        <f>VLOOKUP(SeedMap[Table Name],Tables[],4,0)</f>
        <v>Milestone\SS\Model</v>
      </c>
      <c r="D57" s="5" t="str">
        <f>VLOOKUP(SeedMap[Table Name],Tables[],5,0)</f>
        <v>UserStoreArea</v>
      </c>
      <c r="E57" s="5" t="s">
        <v>161</v>
      </c>
      <c r="F57" s="5" t="s">
        <v>341</v>
      </c>
      <c r="G57" s="31">
        <v>2</v>
      </c>
      <c r="H57" s="8" t="s">
        <v>1516</v>
      </c>
      <c r="I57" s="31"/>
      <c r="J57" s="8" t="str">
        <f>IF(ISNUMBER(SeedMap[Last ID]),"\DB::statement('ALTER TABLE `" &amp;VLOOKUP(SeedMap[[#This Row],[Table Name]],Tables[[Name]:[Table]],2,0) &amp; "`  AUTO_INCREMENT=" &amp; SeedMap[Last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 x14ac:dyDescent="0.25">
      <c r="A58" s="5" t="s">
        <v>1302</v>
      </c>
      <c r="B58" s="5" t="s">
        <v>762</v>
      </c>
      <c r="C58" s="5" t="str">
        <f>VLOOKUP(SeedMap[Table Name],Tables[],4,0)</f>
        <v>Milestone\SS\Model</v>
      </c>
      <c r="D58" s="5" t="str">
        <f>VLOOKUP(SeedMap[Table Name],Tables[],5,0)</f>
        <v>StoreProduct</v>
      </c>
      <c r="E58" s="5" t="s">
        <v>161</v>
      </c>
      <c r="F58" s="5" t="s">
        <v>341</v>
      </c>
      <c r="G58" s="31">
        <v>2</v>
      </c>
      <c r="H58" s="8" t="s">
        <v>1516</v>
      </c>
      <c r="I58" s="31"/>
      <c r="J58" s="8" t="str">
        <f>IF(ISNUMBER(SeedMap[Last ID]),"\DB::statement('ALTER TABLE `" &amp;VLOOKUP(SeedMap[[#This Row],[Table Name]],Tables[[Name]:[Table]],2,0) &amp; "`  AUTO_INCREMENT=" &amp; SeedMap[Last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 x14ac:dyDescent="0.25">
      <c r="A59" s="5" t="s">
        <v>1305</v>
      </c>
      <c r="B59" s="5" t="s">
        <v>765</v>
      </c>
      <c r="C59" s="5" t="str">
        <f>VLOOKUP(SeedMap[Table Name],Tables[],4,0)</f>
        <v>Milestone\SS\Model</v>
      </c>
      <c r="D59" s="5" t="str">
        <f>VLOOKUP(SeedMap[Table Name],Tables[],5,0)</f>
        <v>StoreProductTransaction</v>
      </c>
      <c r="E59" s="5" t="s">
        <v>161</v>
      </c>
      <c r="F59" s="5" t="s">
        <v>341</v>
      </c>
      <c r="G59" s="31">
        <v>2</v>
      </c>
      <c r="H59" s="8" t="s">
        <v>1516</v>
      </c>
      <c r="I59" s="31"/>
      <c r="J59" s="8" t="str">
        <f>IF(ISNUMBER(SeedMap[Last ID]),"\DB::statement('ALTER TABLE `" &amp;VLOOKUP(SeedMap[[#This Row],[Table Name]],Tables[[Name]:[Table]],2,0) &amp; "`  AUTO_INCREMENT=" &amp; SeedMap[Last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 x14ac:dyDescent="0.25">
      <c r="A60" s="5" t="s">
        <v>1306</v>
      </c>
      <c r="B60" s="5" t="s">
        <v>909</v>
      </c>
      <c r="C60" s="5" t="str">
        <f>VLOOKUP(SeedMap[Table Name],Tables[],4,0)</f>
        <v>Milestone\SS\Model</v>
      </c>
      <c r="D60" s="5" t="str">
        <f>VLOOKUP(SeedMap[Table Name],Tables[],5,0)</f>
        <v>Transaction</v>
      </c>
      <c r="E60" s="5" t="s">
        <v>161</v>
      </c>
      <c r="F60" s="5" t="s">
        <v>341</v>
      </c>
      <c r="G60" s="31">
        <v>2</v>
      </c>
      <c r="H60" s="8" t="s">
        <v>1516</v>
      </c>
      <c r="I60" s="31"/>
      <c r="J60" s="8" t="str">
        <f>IF(ISNUMBER(SeedMap[Last ID]),"\DB::statement('ALTER TABLE `" &amp;VLOOKUP(SeedMap[[#This Row],[Table Name]],Tables[[Name]:[Table]],2,0) &amp; "`  AUTO_INCREMENT=" &amp; SeedMap[Last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 x14ac:dyDescent="0.25">
      <c r="A61" s="5" t="s">
        <v>1307</v>
      </c>
      <c r="B61" s="5" t="s">
        <v>910</v>
      </c>
      <c r="C61" s="5" t="str">
        <f>VLOOKUP(SeedMap[Table Name],Tables[],4,0)</f>
        <v>Milestone\SS\Model</v>
      </c>
      <c r="D61" s="5" t="str">
        <f>VLOOKUP(SeedMap[Table Name],Tables[],5,0)</f>
        <v>TransactionDetail</v>
      </c>
      <c r="E61" s="5" t="s">
        <v>161</v>
      </c>
      <c r="F61" s="5" t="s">
        <v>341</v>
      </c>
      <c r="G61" s="31">
        <v>2</v>
      </c>
      <c r="H61" s="8" t="s">
        <v>1516</v>
      </c>
      <c r="I61" s="31"/>
      <c r="J61" s="8" t="str">
        <f>IF(ISNUMBER(SeedMap[Last ID]),"\DB::statement('ALTER TABLE `" &amp;VLOOKUP(SeedMap[[#This Row],[Table Name]],Tables[[Name]:[Table]],2,0) &amp; "`  AUTO_INCREMENT=" &amp; SeedMap[Last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 x14ac:dyDescent="0.25">
      <c r="A62" s="5" t="s">
        <v>1308</v>
      </c>
      <c r="B62" s="5" t="s">
        <v>1066</v>
      </c>
      <c r="C62" s="5" t="str">
        <f>VLOOKUP(SeedMap[Table Name],Tables[],4,0)</f>
        <v>Milestone\SS\Model</v>
      </c>
      <c r="D62" s="5" t="str">
        <f>VLOOKUP(SeedMap[Table Name],Tables[],5,0)</f>
        <v>DData</v>
      </c>
      <c r="E62" s="5" t="s">
        <v>161</v>
      </c>
      <c r="F62" s="5" t="s">
        <v>341</v>
      </c>
      <c r="G62" s="31">
        <v>2</v>
      </c>
      <c r="H62" s="8" t="s">
        <v>1516</v>
      </c>
      <c r="I62" s="31"/>
      <c r="J62" s="8" t="str">
        <f>IF(ISNUMBER(SeedMap[Last ID]),"\DB::statement('ALTER TABLE `" &amp;VLOOKUP(SeedMap[[#This Row],[Table Name]],Tables[[Name]:[Table]],2,0) &amp; "`  AUTO_INCREMENT=" &amp; SeedMap[Last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 x14ac:dyDescent="0.25">
      <c r="A63" s="5" t="s">
        <v>1309</v>
      </c>
      <c r="B63" s="5" t="s">
        <v>961</v>
      </c>
      <c r="C63" s="5" t="str">
        <f>VLOOKUP(SeedMap[Table Name],Tables[],4,0)</f>
        <v>Milestone\SS\Model</v>
      </c>
      <c r="D63" s="5" t="str">
        <f>VLOOKUP(SeedMap[Table Name],Tables[],5,0)</f>
        <v>SalesOrder</v>
      </c>
      <c r="E63" s="5" t="s">
        <v>161</v>
      </c>
      <c r="F63" s="5" t="s">
        <v>341</v>
      </c>
      <c r="G63" s="31">
        <v>2</v>
      </c>
      <c r="H63" s="8" t="s">
        <v>1516</v>
      </c>
      <c r="I63" s="31"/>
      <c r="J63" s="8" t="str">
        <f>IF(ISNUMBER(SeedMap[Last ID]),"\DB::statement('ALTER TABLE `" &amp;VLOOKUP(SeedMap[[#This Row],[Table Name]],Tables[[Name]:[Table]],2,0) &amp; "`  AUTO_INCREMENT=" &amp; SeedMap[Last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 x14ac:dyDescent="0.25">
      <c r="A64" s="5" t="s">
        <v>1310</v>
      </c>
      <c r="B64" s="5" t="s">
        <v>962</v>
      </c>
      <c r="C64" s="5" t="str">
        <f>VLOOKUP(SeedMap[Table Name],Tables[],4,0)</f>
        <v>Milestone\SS\Model</v>
      </c>
      <c r="D64" s="5" t="str">
        <f>VLOOKUP(SeedMap[Table Name],Tables[],5,0)</f>
        <v>SalesOrderItem</v>
      </c>
      <c r="E64" s="5" t="s">
        <v>161</v>
      </c>
      <c r="F64" s="5" t="s">
        <v>341</v>
      </c>
      <c r="G64" s="31">
        <v>2</v>
      </c>
      <c r="H64" s="8" t="s">
        <v>1516</v>
      </c>
      <c r="I64" s="31"/>
      <c r="J64" s="8" t="str">
        <f>IF(ISNUMBER(SeedMap[Last ID]),"\DB::statement('ALTER TABLE `" &amp;VLOOKUP(SeedMap[[#This Row],[Table Name]],Tables[[Name]:[Table]],2,0) &amp; "`  AUTO_INCREMENT=" &amp; SeedMap[Last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 x14ac:dyDescent="0.25">
      <c r="A65" s="4" t="s">
        <v>1311</v>
      </c>
      <c r="B65" s="4" t="s">
        <v>917</v>
      </c>
      <c r="C65" s="4" t="str">
        <f>VLOOKUP(SeedMap[Table Name],Tables[],4,0)</f>
        <v>Milestone\SS\Model</v>
      </c>
      <c r="D65" s="4" t="str">
        <f>VLOOKUP(SeedMap[Table Name],Tables[],5,0)</f>
        <v>StockTransfer</v>
      </c>
      <c r="E65" s="4" t="s">
        <v>161</v>
      </c>
      <c r="F65" s="4" t="s">
        <v>341</v>
      </c>
      <c r="G65" s="90">
        <v>2</v>
      </c>
      <c r="H65" s="7" t="s">
        <v>1516</v>
      </c>
      <c r="I65" s="90"/>
      <c r="J65" s="7" t="str">
        <f>IF(ISNUMBER(SeedMap[Last ID]),"\DB::statement('ALTER TABLE `" &amp;VLOOKUP(SeedMap[[#This Row],[Table Name]],Tables[[Name]:[Table]],2,0) &amp; "`  AUTO_INCREMENT=" &amp; SeedMap[Last ID]+1&amp;"');","")</f>
        <v/>
      </c>
      <c r="K65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 x14ac:dyDescent="0.25">
      <c r="A66" s="4" t="s">
        <v>1770</v>
      </c>
      <c r="B66" s="4" t="s">
        <v>1736</v>
      </c>
      <c r="C66" s="4" t="str">
        <f>VLOOKUP(SeedMap[Table Name],Tables[],4,0)</f>
        <v>Milestone\SS\Model</v>
      </c>
      <c r="D66" s="4" t="str">
        <f>VLOOKUP(SeedMap[Table Name],Tables[],5,0)</f>
        <v>Receipt</v>
      </c>
      <c r="E66" s="4" t="s">
        <v>161</v>
      </c>
      <c r="F66" s="4" t="s">
        <v>341</v>
      </c>
      <c r="G66" s="90">
        <v>2</v>
      </c>
      <c r="H66" s="7" t="s">
        <v>1516</v>
      </c>
      <c r="I66" s="90"/>
      <c r="J66" s="7" t="str">
        <f>IF(ISNUMBER(SeedMap[Last ID]),"\DB::statement('ALTER TABLE `" &amp;VLOOKUP(SeedMap[[#This Row],[Table Name]],Tables[[Name]:[Table]],2,0) &amp; "`  AUTO_INCREMENT=" &amp; SeedMap[Last ID]+1&amp;"');","")</f>
        <v/>
      </c>
      <c r="K6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66">
      <formula1>TableNames</formula1>
    </dataValidation>
    <dataValidation type="list" allowBlank="1" showInputMessage="1" showErrorMessage="1" sqref="H2:H66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B6" sqref="B6:R53"/>
    </sheetView>
  </sheetViews>
  <sheetFormatPr defaultRowHeight="15" x14ac:dyDescent="0.25"/>
  <cols>
    <col min="1" max="16384" width="9.140625" style="20"/>
  </cols>
  <sheetData>
    <row r="1" spans="1:20" s="28" customFormat="1" ht="15" customHeight="1" x14ac:dyDescent="0.25">
      <c r="A1" s="110" t="s">
        <v>165</v>
      </c>
      <c r="B1" s="110"/>
      <c r="C1" s="110"/>
      <c r="D1" s="110"/>
      <c r="E1" s="111" t="str">
        <f>"\"&amp;VLOOKUP($A$1,SeedMap[],3,0)&amp;"\"&amp;VLOOKUP($A$1,SeedMap[],4,0)&amp;"::"&amp;VLOOKUP($A$1,SeedMap[],8,0)&amp;"()"</f>
        <v>\Milestone\Appframe\Model\ResourceRelation::query()</v>
      </c>
      <c r="F1" s="111"/>
      <c r="G1" s="111"/>
      <c r="H1" s="111"/>
      <c r="I1" s="112" t="s">
        <v>73</v>
      </c>
      <c r="J1" s="112"/>
      <c r="K1" s="112"/>
      <c r="L1" s="112"/>
      <c r="M1" s="112"/>
      <c r="N1" s="112"/>
      <c r="O1" s="112"/>
      <c r="P1" s="112"/>
      <c r="Q1" s="112"/>
      <c r="R1" s="112"/>
      <c r="S1" s="23" t="str">
        <f>""</f>
        <v/>
      </c>
      <c r="T1" s="10"/>
    </row>
    <row r="2" spans="1:20" s="28" customFormat="1" ht="15" customHeight="1" x14ac:dyDescent="0.25">
      <c r="A2" s="110"/>
      <c r="B2" s="110"/>
      <c r="C2" s="110"/>
      <c r="D2" s="110"/>
      <c r="E2" s="111" t="str">
        <f>VLOOKUP($A$1,SeedMap[],5,0)</f>
        <v>RelationTable</v>
      </c>
      <c r="F2" s="111"/>
      <c r="G2" s="111"/>
      <c r="H2" s="111"/>
      <c r="I2" s="112" t="s">
        <v>72</v>
      </c>
      <c r="J2" s="112"/>
      <c r="K2" s="112"/>
      <c r="L2" s="112"/>
      <c r="M2" s="112"/>
      <c r="N2" s="112"/>
      <c r="O2" s="112"/>
      <c r="P2" s="112"/>
      <c r="Q2" s="112"/>
      <c r="R2" s="112"/>
      <c r="S2" s="23" t="str">
        <f>";"</f>
        <v>;</v>
      </c>
      <c r="T2" s="10"/>
    </row>
    <row r="3" spans="1:20" s="28" customFormat="1" ht="15" customHeight="1" x14ac:dyDescent="0.25">
      <c r="A3" s="110"/>
      <c r="B3" s="110"/>
      <c r="C3" s="110"/>
      <c r="D3" s="110"/>
      <c r="E3" s="111" t="str">
        <f>VLOOKUP($A$1,SeedMap[],6,0)</f>
        <v>[[Primary]:[Relate Id]]</v>
      </c>
      <c r="F3" s="111"/>
      <c r="G3" s="111"/>
      <c r="H3" s="111"/>
      <c r="I3" s="112" t="s">
        <v>158</v>
      </c>
      <c r="J3" s="112"/>
      <c r="K3" s="112"/>
      <c r="L3" s="112"/>
      <c r="M3" s="112"/>
      <c r="N3" s="112"/>
      <c r="O3" s="112"/>
      <c r="P3" s="112"/>
      <c r="Q3" s="112"/>
      <c r="R3" s="112"/>
      <c r="S3" s="23" t="str">
        <f>$I$3</f>
        <v>\DB::statement('set foreign_key_checks = ' . $_);</v>
      </c>
      <c r="T3" s="10"/>
    </row>
    <row r="4" spans="1:20" s="28" customFormat="1" hidden="1" x14ac:dyDescent="0.25">
      <c r="A4" s="24"/>
      <c r="B4" s="21">
        <f>VLOOKUP($A$1,SeedMap[],7,0)</f>
        <v>6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 x14ac:dyDescent="0.25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name</v>
      </c>
      <c r="F5" s="25" t="str">
        <f t="shared" ca="1" si="1"/>
        <v>description</v>
      </c>
      <c r="G5" s="25" t="str">
        <f t="shared" ca="1" si="1"/>
        <v>method</v>
      </c>
      <c r="H5" s="25" t="str">
        <f t="shared" ca="1" si="1"/>
        <v>type</v>
      </c>
      <c r="I5" s="25" t="str">
        <f t="shared" ca="1" si="1"/>
        <v>relate_resource</v>
      </c>
      <c r="J5" s="25" t="str">
        <f t="shared" ca="1" si="1"/>
        <v/>
      </c>
      <c r="K5" s="25" t="str">
        <f t="shared" ca="1" si="1"/>
        <v/>
      </c>
      <c r="L5" s="25" t="str">
        <f t="shared" ca="1" si="1"/>
        <v/>
      </c>
      <c r="M5" s="25" t="str">
        <f t="shared" ca="1" si="1"/>
        <v/>
      </c>
      <c r="N5" s="25" t="str">
        <f t="shared" ca="1" si="1"/>
        <v/>
      </c>
      <c r="O5" s="25" t="str">
        <f t="shared" ca="1" si="1"/>
        <v/>
      </c>
      <c r="P5" s="25" t="str">
        <f t="shared" ca="1" si="1"/>
        <v/>
      </c>
      <c r="Q5" s="25" t="str">
        <f t="shared" ca="1" si="1"/>
        <v/>
      </c>
      <c r="R5" s="21"/>
      <c r="S5" s="10"/>
      <c r="T5" s="10"/>
    </row>
    <row r="6" spans="1:20" x14ac:dyDescent="0.25">
      <c r="A6" s="24"/>
      <c r="B6" s="107" t="str">
        <f>$I$1</f>
        <v>$_ = \DB::statement('SELECT @@GLOBAL.foreign_key_checks');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"/>
      <c r="T6" s="10"/>
    </row>
    <row r="7" spans="1:20" x14ac:dyDescent="0.25">
      <c r="A7" s="24"/>
      <c r="B7" s="108" t="str">
        <f>$I$2</f>
        <v>\DB::statement('set foreign_key_checks = 0');</v>
      </c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</row>
    <row r="8" spans="1:20" x14ac:dyDescent="0.25">
      <c r="A8" s="24"/>
      <c r="B8" s="109" t="str">
        <f>$E$1</f>
        <v>\Milestone\Appframe\Model\ResourceRelation::query()</v>
      </c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</row>
    <row r="9" spans="1:20" x14ac:dyDescent="0.25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'308101',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'305107', </v>
      </c>
      <c r="E9" s="50" t="str">
        <f t="shared" ca="1" si="2"/>
        <v xml:space="preserve">'name' =&gt; 'Items', </v>
      </c>
      <c r="F9" s="50" t="str">
        <f t="shared" ca="1" si="2"/>
        <v xml:space="preserve">'description' =&gt; 'Each items of this pricelist', </v>
      </c>
      <c r="G9" s="50" t="str">
        <f t="shared" ca="1" si="2"/>
        <v xml:space="preserve">'method' =&gt; 'Items', </v>
      </c>
      <c r="H9" s="50" t="str">
        <f t="shared" ca="1" si="2"/>
        <v xml:space="preserve">'type' =&gt; 'hasMany', </v>
      </c>
      <c r="I9" s="50" t="str">
        <f t="shared" ca="1" si="2"/>
        <v xml:space="preserve">'relate_resource' =&gt; '305108', </v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 x14ac:dyDescent="0.25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'308102', </v>
      </c>
      <c r="D10" s="50" t="str">
        <f t="shared" ca="1" si="2"/>
        <v xml:space="preserve">'resource' =&gt; '305108', </v>
      </c>
      <c r="E10" s="50" t="str">
        <f t="shared" ca="1" si="2"/>
        <v xml:space="preserve">'name' =&gt; 'Pricelist', </v>
      </c>
      <c r="F10" s="50" t="str">
        <f t="shared" ca="1" si="2"/>
        <v xml:space="preserve">'description' =&gt; 'Details of pricelist this item belongs to', </v>
      </c>
      <c r="G10" s="50" t="str">
        <f t="shared" ca="1" si="2"/>
        <v xml:space="preserve">'method' =&gt; 'Pricelist', </v>
      </c>
      <c r="H10" s="50" t="str">
        <f t="shared" ca="1" si="2"/>
        <v xml:space="preserve">'type' =&gt; 'belongsTo', </v>
      </c>
      <c r="I10" s="50" t="str">
        <f t="shared" ca="1" si="2"/>
        <v xml:space="preserve">'relate_resource' =&gt; '305107', </v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 x14ac:dyDescent="0.25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'308103', </v>
      </c>
      <c r="D11" s="50" t="str">
        <f t="shared" ca="1" si="2"/>
        <v xml:space="preserve">'resource' =&gt; '305108', </v>
      </c>
      <c r="E11" s="50" t="str">
        <f t="shared" ca="1" si="2"/>
        <v xml:space="preserve">'name' =&gt; 'Product', </v>
      </c>
      <c r="F11" s="50" t="str">
        <f t="shared" ca="1" si="2"/>
        <v xml:space="preserve">'description' =&gt; 'Details of product this item consist of', </v>
      </c>
      <c r="G11" s="50" t="str">
        <f t="shared" ca="1" si="2"/>
        <v xml:space="preserve">'method' =&gt; 'Product', </v>
      </c>
      <c r="H11" s="50" t="str">
        <f t="shared" ca="1" si="2"/>
        <v xml:space="preserve">'type' =&gt; 'belongsTo', </v>
      </c>
      <c r="I11" s="50" t="str">
        <f t="shared" ca="1" si="2"/>
        <v xml:space="preserve">'relate_resource' =&gt; '305106', </v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 x14ac:dyDescent="0.25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'308104', </v>
      </c>
      <c r="D12" s="50" t="str">
        <f t="shared" ca="1" si="2"/>
        <v xml:space="preserve">'resource' =&gt; '305111', </v>
      </c>
      <c r="E12" s="50" t="str">
        <f t="shared" ca="1" si="2"/>
        <v xml:space="preserve">'name' =&gt; 'Area', </v>
      </c>
      <c r="F12" s="50" t="str">
        <f t="shared" ca="1" si="2"/>
        <v xml:space="preserve">'description' =&gt; 'Details of area', </v>
      </c>
      <c r="G12" s="50" t="str">
        <f t="shared" ca="1" si="2"/>
        <v xml:space="preserve">'method' =&gt; 'Area', </v>
      </c>
      <c r="H12" s="50" t="str">
        <f t="shared" ca="1" si="2"/>
        <v xml:space="preserve">'type' =&gt; 'belongsTo', </v>
      </c>
      <c r="I12" s="50" t="str">
        <f t="shared" ca="1" si="2"/>
        <v xml:space="preserve">'relate_resource' =&gt; '305110', </v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 x14ac:dyDescent="0.25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'308105', </v>
      </c>
      <c r="D13" s="50" t="str">
        <f t="shared" ca="1" si="2"/>
        <v xml:space="preserve">'resource' =&gt; '305111', </v>
      </c>
      <c r="E13" s="50" t="str">
        <f t="shared" ca="1" si="2"/>
        <v xml:space="preserve">'name' =&gt; 'Customer', </v>
      </c>
      <c r="F13" s="50" t="str">
        <f t="shared" ca="1" si="2"/>
        <v xml:space="preserve">'description' =&gt; 'Details of customer', </v>
      </c>
      <c r="G13" s="50" t="str">
        <f t="shared" ca="1" si="2"/>
        <v xml:space="preserve">'method' =&gt; 'Customer', </v>
      </c>
      <c r="H13" s="50" t="str">
        <f t="shared" ca="1" si="2"/>
        <v xml:space="preserve">'type' =&gt; 'belongsTo', </v>
      </c>
      <c r="I13" s="50" t="str">
        <f t="shared" ca="1" si="2"/>
        <v xml:space="preserve">'relate_resource' =&gt; '305101', </v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 x14ac:dyDescent="0.25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'308106', </v>
      </c>
      <c r="D14" s="50" t="str">
        <f t="shared" ca="1" si="2"/>
        <v xml:space="preserve">'resource' =&gt; '305110', </v>
      </c>
      <c r="E14" s="50" t="str">
        <f t="shared" ca="1" si="2"/>
        <v xml:space="preserve">'name' =&gt; 'User', </v>
      </c>
      <c r="F14" s="50" t="str">
        <f t="shared" ca="1" si="2"/>
        <v xml:space="preserve">'description' =&gt; 'Details of user', </v>
      </c>
      <c r="G14" s="50" t="str">
        <f t="shared" ca="1" si="2"/>
        <v xml:space="preserve">'method' =&gt; 'User', </v>
      </c>
      <c r="H14" s="50" t="str">
        <f t="shared" ca="1" si="2"/>
        <v xml:space="preserve">'type' =&gt; 'belongsToMany', </v>
      </c>
      <c r="I14" s="50" t="str">
        <f t="shared" ca="1" si="2"/>
        <v xml:space="preserve">'relate_resource' =&gt; '305101', </v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 x14ac:dyDescent="0.25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'308107', </v>
      </c>
      <c r="D15" s="50" t="str">
        <f t="shared" ca="1" si="2"/>
        <v xml:space="preserve">'resource' =&gt; '305103', </v>
      </c>
      <c r="E15" s="50" t="str">
        <f t="shared" ca="1" si="2"/>
        <v xml:space="preserve">'name' =&gt; 'Users', </v>
      </c>
      <c r="F15" s="50" t="str">
        <f t="shared" ca="1" si="2"/>
        <v xml:space="preserve">'description' =&gt; 'Users list corresponding to a settings', </v>
      </c>
      <c r="G15" s="50" t="str">
        <f t="shared" ca="1" si="2"/>
        <v xml:space="preserve">'method' =&gt; 'Users', </v>
      </c>
      <c r="H15" s="50" t="str">
        <f t="shared" ca="1" si="2"/>
        <v xml:space="preserve">'type' =&gt; 'hasMany', </v>
      </c>
      <c r="I15" s="50" t="str">
        <f t="shared" ca="1" si="2"/>
        <v xml:space="preserve">'relate_resource' =&gt; '305112', </v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 x14ac:dyDescent="0.25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'308108', </v>
      </c>
      <c r="D16" s="50" t="str">
        <f t="shared" ca="1" si="2"/>
        <v xml:space="preserve">'resource' =&gt; '305101', </v>
      </c>
      <c r="E16" s="50" t="str">
        <f t="shared" ca="1" si="2"/>
        <v xml:space="preserve">'name' =&gt; 'Area', </v>
      </c>
      <c r="F16" s="50" t="str">
        <f t="shared" ca="1" si="2"/>
        <v xml:space="preserve">'description' =&gt; 'Details of area', </v>
      </c>
      <c r="G16" s="50" t="str">
        <f t="shared" ca="1" si="2"/>
        <v xml:space="preserve">'method' =&gt; 'Area', </v>
      </c>
      <c r="H16" s="50" t="str">
        <f t="shared" ca="1" si="2"/>
        <v xml:space="preserve">'type' =&gt; 'belongsToMany', </v>
      </c>
      <c r="I16" s="50" t="str">
        <f t="shared" ca="1" si="2"/>
        <v xml:space="preserve">'relate_resource' =&gt; '305110', </v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 x14ac:dyDescent="0.25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'308109', </v>
      </c>
      <c r="D17" s="50" t="str">
        <f t="shared" ca="1" si="2"/>
        <v xml:space="preserve">'resource' =&gt; '305112', </v>
      </c>
      <c r="E17" s="50" t="str">
        <f t="shared" ca="1" si="2"/>
        <v xml:space="preserve">'name' =&gt; 'Settings', </v>
      </c>
      <c r="F17" s="50" t="str">
        <f t="shared" ca="1" si="2"/>
        <v xml:space="preserve">'description' =&gt; 'Details of settings this setting belongs to', </v>
      </c>
      <c r="G17" s="50" t="str">
        <f t="shared" ca="1" si="2"/>
        <v xml:space="preserve">'method' =&gt; 'Settings', </v>
      </c>
      <c r="H17" s="50" t="str">
        <f t="shared" ca="1" si="2"/>
        <v xml:space="preserve">'type' =&gt; 'belongsTo', </v>
      </c>
      <c r="I17" s="50" t="str">
        <f t="shared" ca="1" si="2"/>
        <v xml:space="preserve">'relate_resource' =&gt; '305103', </v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 x14ac:dyDescent="0.25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'308110', </v>
      </c>
      <c r="D18" s="50" t="str">
        <f t="shared" ca="1" si="2"/>
        <v xml:space="preserve">'resource' =&gt; '305101', </v>
      </c>
      <c r="E18" s="50" t="str">
        <f t="shared" ca="1" si="2"/>
        <v xml:space="preserve">'name' =&gt; 'Settings', </v>
      </c>
      <c r="F18" s="50" t="str">
        <f t="shared" ca="1" si="2"/>
        <v xml:space="preserve">'description' =&gt; 'Settings assigned for a user', </v>
      </c>
      <c r="G18" s="50" t="str">
        <f t="shared" ca="1" si="2"/>
        <v xml:space="preserve">'method' =&gt; 'Settings', </v>
      </c>
      <c r="H18" s="50" t="str">
        <f t="shared" ca="1" si="2"/>
        <v xml:space="preserve">'type' =&gt; 'hasMany', </v>
      </c>
      <c r="I18" s="50" t="str">
        <f t="shared" ca="1" si="2"/>
        <v xml:space="preserve">'relate_resource' =&gt; '305112', </v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 x14ac:dyDescent="0.25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'308111', </v>
      </c>
      <c r="D19" s="50" t="str">
        <f t="shared" ca="1" si="2"/>
        <v xml:space="preserve">'resource' =&gt; '305112', </v>
      </c>
      <c r="E19" s="50" t="str">
        <f t="shared" ca="1" si="2"/>
        <v xml:space="preserve">'name' =&gt; 'User', </v>
      </c>
      <c r="F19" s="50" t="str">
        <f t="shared" ca="1" si="2"/>
        <v xml:space="preserve">'description' =&gt; 'Details of user this settings belongs to', </v>
      </c>
      <c r="G19" s="50" t="str">
        <f t="shared" ca="1" si="2"/>
        <v xml:space="preserve">'method' =&gt; 'User', </v>
      </c>
      <c r="H19" s="50" t="str">
        <f t="shared" ca="1" si="2"/>
        <v xml:space="preserve">'type' =&gt; 'belongsTo', </v>
      </c>
      <c r="I19" s="50" t="str">
        <f t="shared" ca="1" si="2"/>
        <v xml:space="preserve">'relate_resource' =&gt; '305101', </v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 x14ac:dyDescent="0.25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'308112', </v>
      </c>
      <c r="D20" s="50" t="str">
        <f t="shared" ca="1" si="2"/>
        <v xml:space="preserve">'resource' =&gt; '305101', </v>
      </c>
      <c r="E20" s="50" t="str">
        <f t="shared" ca="1" si="2"/>
        <v xml:space="preserve">'name' =&gt; 'StoreAndArea', </v>
      </c>
      <c r="F20" s="50" t="str">
        <f t="shared" ca="1" si="2"/>
        <v xml:space="preserve">'description' =&gt; 'Store and Areas assigned for a user', </v>
      </c>
      <c r="G20" s="50" t="str">
        <f t="shared" ca="1" si="2"/>
        <v xml:space="preserve">'method' =&gt; 'StoreAndArea', </v>
      </c>
      <c r="H20" s="50" t="str">
        <f t="shared" ca="1" si="2"/>
        <v xml:space="preserve">'type' =&gt; 'hasMany', </v>
      </c>
      <c r="I20" s="50" t="str">
        <f t="shared" ca="1" si="2"/>
        <v xml:space="preserve">'relate_resource' =&gt; '305113', </v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 x14ac:dyDescent="0.25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'308113', </v>
      </c>
      <c r="D21" s="50" t="str">
        <f t="shared" ca="1" si="2"/>
        <v xml:space="preserve">'resource' =&gt; '305113', </v>
      </c>
      <c r="E21" s="50" t="str">
        <f t="shared" ca="1" si="2"/>
        <v xml:space="preserve">'name' =&gt; 'Area', </v>
      </c>
      <c r="F21" s="50" t="str">
        <f t="shared" ca="1" si="2"/>
        <v xml:space="preserve">'description' =&gt; 'Area details', </v>
      </c>
      <c r="G21" s="50" t="str">
        <f t="shared" ca="1" si="2"/>
        <v xml:space="preserve">'method' =&gt; 'Area', </v>
      </c>
      <c r="H21" s="50" t="str">
        <f t="shared" ca="1" si="2"/>
        <v xml:space="preserve">'type' =&gt; 'belongsTo', </v>
      </c>
      <c r="I21" s="50" t="str">
        <f t="shared" ca="1" si="2"/>
        <v xml:space="preserve">'relate_resource' =&gt; '305110', </v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 x14ac:dyDescent="0.25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'308114', </v>
      </c>
      <c r="D22" s="50" t="str">
        <f t="shared" ca="1" si="2"/>
        <v xml:space="preserve">'resource' =&gt; '305113', </v>
      </c>
      <c r="E22" s="50" t="str">
        <f t="shared" ca="1" si="2"/>
        <v xml:space="preserve">'name' =&gt; 'Store', </v>
      </c>
      <c r="F22" s="50" t="str">
        <f t="shared" ca="1" si="2"/>
        <v xml:space="preserve">'description' =&gt; 'Store Details', </v>
      </c>
      <c r="G22" s="50" t="str">
        <f t="shared" ca="1" si="2"/>
        <v xml:space="preserve">'method' =&gt; 'Store', </v>
      </c>
      <c r="H22" s="50" t="str">
        <f t="shared" ca="1" si="2"/>
        <v xml:space="preserve">'type' =&gt; 'belongsTo', </v>
      </c>
      <c r="I22" s="50" t="str">
        <f t="shared" ca="1" si="2"/>
        <v xml:space="preserve">'relate_resource' =&gt; '305109', </v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 x14ac:dyDescent="0.25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'308115', </v>
      </c>
      <c r="D23" s="50" t="str">
        <f t="shared" ca="1" si="2"/>
        <v xml:space="preserve">'resource' =&gt; '305113', </v>
      </c>
      <c r="E23" s="50" t="str">
        <f t="shared" ca="1" si="2"/>
        <v xml:space="preserve">'name' =&gt; 'User', </v>
      </c>
      <c r="F23" s="50" t="str">
        <f t="shared" ca="1" si="2"/>
        <v xml:space="preserve">'description' =&gt; 'User Details', </v>
      </c>
      <c r="G23" s="50" t="str">
        <f t="shared" ca="1" si="2"/>
        <v xml:space="preserve">'method' =&gt; 'User', </v>
      </c>
      <c r="H23" s="50" t="str">
        <f t="shared" ca="1" si="2"/>
        <v xml:space="preserve">'type' =&gt; 'belongsTo', </v>
      </c>
      <c r="I23" s="50" t="str">
        <f t="shared" ca="1" si="2"/>
        <v xml:space="preserve">'relate_resource' =&gt; '305101', </v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 x14ac:dyDescent="0.25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'308116', </v>
      </c>
      <c r="D24" s="50" t="str">
        <f t="shared" ca="1" si="2"/>
        <v xml:space="preserve">'resource' =&gt; '305109', </v>
      </c>
      <c r="E24" s="50" t="str">
        <f t="shared" ca="1" si="2"/>
        <v xml:space="preserve">'name' =&gt; 'Users', </v>
      </c>
      <c r="F24" s="50" t="str">
        <f t="shared" ca="1" si="2"/>
        <v xml:space="preserve">'description' =&gt; 'Users assigned to this store', </v>
      </c>
      <c r="G24" s="50" t="str">
        <f t="shared" ca="1" si="2"/>
        <v xml:space="preserve">'method' =&gt; 'Users', </v>
      </c>
      <c r="H24" s="50" t="str">
        <f t="shared" ca="1" si="2"/>
        <v xml:space="preserve">'type' =&gt; 'belongsToMany', </v>
      </c>
      <c r="I24" s="50" t="str">
        <f t="shared" ca="1" si="2"/>
        <v xml:space="preserve">'relate_resource' =&gt; '305101', </v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 x14ac:dyDescent="0.25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'308117', </v>
      </c>
      <c r="D25" s="50" t="str">
        <f t="shared" ca="1" si="4"/>
        <v xml:space="preserve">'resource' =&gt; '305110', </v>
      </c>
      <c r="E25" s="50" t="str">
        <f t="shared" ca="1" si="4"/>
        <v xml:space="preserve">'name' =&gt; 'StoreAndUser', </v>
      </c>
      <c r="F25" s="50" t="str">
        <f t="shared" ca="1" si="4"/>
        <v xml:space="preserve">'description' =&gt; 'Store and Users assigned to a area', </v>
      </c>
      <c r="G25" s="50" t="str">
        <f t="shared" ca="1" si="4"/>
        <v xml:space="preserve">'method' =&gt; 'StoreAndUser', </v>
      </c>
      <c r="H25" s="50" t="str">
        <f t="shared" ca="1" si="4"/>
        <v xml:space="preserve">'type' =&gt; 'hasMany', </v>
      </c>
      <c r="I25" s="50" t="str">
        <f t="shared" ca="1" si="4"/>
        <v xml:space="preserve">'relate_resource' =&gt; '305113', </v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 x14ac:dyDescent="0.25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'308118', </v>
      </c>
      <c r="D26" s="50" t="str">
        <f t="shared" ca="1" si="4"/>
        <v xml:space="preserve">'resource' =&gt; '305117', </v>
      </c>
      <c r="E26" s="50" t="str">
        <f t="shared" ca="1" si="4"/>
        <v xml:space="preserve">'name' =&gt; 'Product', </v>
      </c>
      <c r="F26" s="50" t="str">
        <f t="shared" ca="1" si="4"/>
        <v xml:space="preserve">'description' =&gt; 'Details of product', </v>
      </c>
      <c r="G26" s="50" t="str">
        <f t="shared" ca="1" si="4"/>
        <v xml:space="preserve">'method' =&gt; 'Product', </v>
      </c>
      <c r="H26" s="50" t="str">
        <f t="shared" ca="1" si="4"/>
        <v xml:space="preserve">'type' =&gt; 'belongsTo', </v>
      </c>
      <c r="I26" s="50" t="str">
        <f t="shared" ca="1" si="4"/>
        <v xml:space="preserve">'relate_resource' =&gt; '305106', </v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 x14ac:dyDescent="0.25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'308119', </v>
      </c>
      <c r="D27" s="50" t="str">
        <f t="shared" ca="1" si="4"/>
        <v xml:space="preserve">'resource' =&gt; '305117', </v>
      </c>
      <c r="E27" s="50" t="str">
        <f t="shared" ca="1" si="4"/>
        <v xml:space="preserve">'name' =&gt; 'Store', </v>
      </c>
      <c r="F27" s="50" t="str">
        <f t="shared" ca="1" si="4"/>
        <v xml:space="preserve">'description' =&gt; 'Details of store', </v>
      </c>
      <c r="G27" s="50" t="str">
        <f t="shared" ca="1" si="4"/>
        <v xml:space="preserve">'method' =&gt; 'Store', </v>
      </c>
      <c r="H27" s="50" t="str">
        <f t="shared" ca="1" si="4"/>
        <v xml:space="preserve">'type' =&gt; 'belongsTo', </v>
      </c>
      <c r="I27" s="50" t="str">
        <f t="shared" ca="1" si="4"/>
        <v xml:space="preserve">'relate_resource' =&gt; '305109', </v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 x14ac:dyDescent="0.25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'308120', </v>
      </c>
      <c r="D28" s="50" t="str">
        <f t="shared" ca="1" si="4"/>
        <v xml:space="preserve">'resource' =&gt; '305117', </v>
      </c>
      <c r="E28" s="50" t="str">
        <f t="shared" ca="1" si="4"/>
        <v xml:space="preserve">'name' =&gt; 'User', </v>
      </c>
      <c r="F28" s="50" t="str">
        <f t="shared" ca="1" si="4"/>
        <v xml:space="preserve">'description' =&gt; 'Details of user', </v>
      </c>
      <c r="G28" s="50" t="str">
        <f t="shared" ca="1" si="4"/>
        <v xml:space="preserve">'method' =&gt; 'User', </v>
      </c>
      <c r="H28" s="50" t="str">
        <f t="shared" ca="1" si="4"/>
        <v xml:space="preserve">'type' =&gt; 'belongsTo', </v>
      </c>
      <c r="I28" s="50" t="str">
        <f t="shared" ca="1" si="4"/>
        <v xml:space="preserve">'relate_resource' =&gt; '305101', </v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 x14ac:dyDescent="0.25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'308121', </v>
      </c>
      <c r="D29" s="50" t="str">
        <f t="shared" ca="1" si="4"/>
        <v xml:space="preserve">'resource' =&gt; '305117', </v>
      </c>
      <c r="E29" s="50" t="str">
        <f t="shared" ca="1" si="4"/>
        <v xml:space="preserve">'name' =&gt; 'Nature', </v>
      </c>
      <c r="F29" s="50" t="str">
        <f t="shared" ca="1" si="4"/>
        <v xml:space="preserve">'description' =&gt; 'Nature of transaction', </v>
      </c>
      <c r="G29" s="50" t="str">
        <f t="shared" ca="1" si="4"/>
        <v xml:space="preserve">'method' =&gt; 'Nature', </v>
      </c>
      <c r="H29" s="50" t="str">
        <f t="shared" ca="1" si="4"/>
        <v xml:space="preserve">'type' =&gt; 'belongsTo', </v>
      </c>
      <c r="I29" s="50" t="str">
        <f t="shared" ca="1" si="4"/>
        <v xml:space="preserve">'relate_resource' =&gt; '305115', </v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 x14ac:dyDescent="0.25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'308122', </v>
      </c>
      <c r="D30" s="50" t="str">
        <f t="shared" ca="1" si="4"/>
        <v xml:space="preserve">'resource' =&gt; '305117', </v>
      </c>
      <c r="E30" s="50" t="str">
        <f t="shared" ca="1" si="4"/>
        <v xml:space="preserve">'name' =&gt; 'Type', </v>
      </c>
      <c r="F30" s="50" t="str">
        <f t="shared" ca="1" si="4"/>
        <v xml:space="preserve">'description' =&gt; 'Type of transaction', </v>
      </c>
      <c r="G30" s="50" t="str">
        <f t="shared" ca="1" si="4"/>
        <v xml:space="preserve">'method' =&gt; 'Type', </v>
      </c>
      <c r="H30" s="50" t="str">
        <f t="shared" ca="1" si="4"/>
        <v xml:space="preserve">'type' =&gt; 'belongsTo', </v>
      </c>
      <c r="I30" s="50" t="str">
        <f t="shared" ca="1" si="4"/>
        <v xml:space="preserve">'relate_resource' =&gt; '305116', </v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 x14ac:dyDescent="0.25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'308123', </v>
      </c>
      <c r="D31" s="50" t="str">
        <f t="shared" ca="1" si="4"/>
        <v xml:space="preserve">'resource' =&gt; '305109', </v>
      </c>
      <c r="E31" s="50" t="str">
        <f t="shared" ca="1" si="4"/>
        <v xml:space="preserve">'name' =&gt; 'ProductTransaction', </v>
      </c>
      <c r="F31" s="50" t="str">
        <f t="shared" ca="1" si="4"/>
        <v xml:space="preserve">'description' =&gt; 'Product transaction of a store', </v>
      </c>
      <c r="G31" s="50" t="str">
        <f t="shared" ca="1" si="4"/>
        <v xml:space="preserve">'method' =&gt; 'ProductTransaction', </v>
      </c>
      <c r="H31" s="50" t="str">
        <f t="shared" ca="1" si="4"/>
        <v xml:space="preserve">'type' =&gt; 'hasMany', </v>
      </c>
      <c r="I31" s="50" t="str">
        <f t="shared" ca="1" si="4"/>
        <v xml:space="preserve">'relate_resource' =&gt; '305117', </v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 x14ac:dyDescent="0.25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'308124', </v>
      </c>
      <c r="D32" s="50" t="str">
        <f t="shared" ca="1" si="4"/>
        <v xml:space="preserve">'resource' =&gt; '305118', </v>
      </c>
      <c r="E32" s="50" t="str">
        <f t="shared" ca="1" si="4"/>
        <v xml:space="preserve">'name' =&gt; 'Details', </v>
      </c>
      <c r="F32" s="50" t="str">
        <f t="shared" ca="1" si="4"/>
        <v xml:space="preserve">'description' =&gt; 'Product wise details of transaction', </v>
      </c>
      <c r="G32" s="50" t="str">
        <f t="shared" ca="1" si="4"/>
        <v xml:space="preserve">'method' =&gt; 'Details', </v>
      </c>
      <c r="H32" s="50" t="str">
        <f t="shared" ca="1" si="4"/>
        <v xml:space="preserve">'type' =&gt; 'hasMany', </v>
      </c>
      <c r="I32" s="50" t="str">
        <f t="shared" ca="1" si="4"/>
        <v xml:space="preserve">'relate_resource' =&gt; '305119', </v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 x14ac:dyDescent="0.25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'308125', </v>
      </c>
      <c r="D33" s="50" t="str">
        <f t="shared" ca="1" si="4"/>
        <v xml:space="preserve">'resource' =&gt; '305118', </v>
      </c>
      <c r="E33" s="50" t="str">
        <f t="shared" ca="1" si="4"/>
        <v xml:space="preserve">'name' =&gt; 'Products', </v>
      </c>
      <c r="F33" s="50" t="str">
        <f t="shared" ca="1" si="4"/>
        <v xml:space="preserve">'description' =&gt; 'Product transactions', </v>
      </c>
      <c r="G33" s="50" t="str">
        <f t="shared" ca="1" si="4"/>
        <v xml:space="preserve">'method' =&gt; 'Products', </v>
      </c>
      <c r="H33" s="50" t="str">
        <f t="shared" ca="1" si="4"/>
        <v xml:space="preserve">'type' =&gt; 'belongsToMany', </v>
      </c>
      <c r="I33" s="50" t="str">
        <f t="shared" ca="1" si="4"/>
        <v xml:space="preserve">'relate_resource' =&gt; '305117', </v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 x14ac:dyDescent="0.25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'308126', </v>
      </c>
      <c r="D34" s="50" t="str">
        <f t="shared" ca="1" si="4"/>
        <v xml:space="preserve">'resource' =&gt; '305119', </v>
      </c>
      <c r="E34" s="50" t="str">
        <f t="shared" ca="1" si="4"/>
        <v xml:space="preserve">'name' =&gt; 'Product', </v>
      </c>
      <c r="F34" s="50" t="str">
        <f t="shared" ca="1" si="4"/>
        <v xml:space="preserve">'description' =&gt; 'Product and its transaction details', </v>
      </c>
      <c r="G34" s="50" t="str">
        <f t="shared" ca="1" si="4"/>
        <v xml:space="preserve">'method' =&gt; 'Product', </v>
      </c>
      <c r="H34" s="50" t="str">
        <f t="shared" ca="1" si="4"/>
        <v xml:space="preserve">'type' =&gt; 'belongsTo', </v>
      </c>
      <c r="I34" s="50" t="str">
        <f t="shared" ca="1" si="4"/>
        <v xml:space="preserve">'relate_resource' =&gt; '305117', </v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 x14ac:dyDescent="0.25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'308127', </v>
      </c>
      <c r="D35" s="50" t="str">
        <f t="shared" ca="1" si="4"/>
        <v xml:space="preserve">'resource' =&gt; '305121', </v>
      </c>
      <c r="E35" s="50" t="str">
        <f t="shared" ca="1" si="4"/>
        <v xml:space="preserve">'name' =&gt; 'Items', </v>
      </c>
      <c r="F35" s="50" t="str">
        <f t="shared" ca="1" si="4"/>
        <v xml:space="preserve">'description' =&gt; 'Items of a transaction', </v>
      </c>
      <c r="G35" s="50" t="str">
        <f t="shared" ca="1" si="4"/>
        <v xml:space="preserve">'method' =&gt; 'Items', </v>
      </c>
      <c r="H35" s="50" t="str">
        <f t="shared" ca="1" si="4"/>
        <v xml:space="preserve">'type' =&gt; 'hasMany', </v>
      </c>
      <c r="I35" s="50" t="str">
        <f t="shared" ca="1" si="4"/>
        <v xml:space="preserve">'relate_resource' =&gt; '305122', </v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 x14ac:dyDescent="0.25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'308128', </v>
      </c>
      <c r="D36" s="50" t="str">
        <f t="shared" ca="1" si="4"/>
        <v xml:space="preserve">'resource' =&gt; '305122', </v>
      </c>
      <c r="E36" s="50" t="str">
        <f t="shared" ca="1" si="4"/>
        <v xml:space="preserve">'name' =&gt; 'Product', </v>
      </c>
      <c r="F36" s="50" t="str">
        <f t="shared" ca="1" si="4"/>
        <v xml:space="preserve">'description' =&gt; 'Product details of an sales order item', </v>
      </c>
      <c r="G36" s="50" t="str">
        <f t="shared" ca="1" si="4"/>
        <v xml:space="preserve">'method' =&gt; 'Product', </v>
      </c>
      <c r="H36" s="50" t="str">
        <f t="shared" ca="1" si="4"/>
        <v xml:space="preserve">'type' =&gt; 'belongsTo', </v>
      </c>
      <c r="I36" s="50" t="str">
        <f t="shared" ca="1" si="4"/>
        <v xml:space="preserve">'relate_resource' =&gt; '305106', </v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 x14ac:dyDescent="0.25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'308129', </v>
      </c>
      <c r="D37" s="50" t="str">
        <f t="shared" ca="1" si="4"/>
        <v xml:space="preserve">'resource' =&gt; '305123', </v>
      </c>
      <c r="E37" s="50" t="str">
        <f t="shared" ca="1" si="4"/>
        <v xml:space="preserve">'name' =&gt; 'IN', </v>
      </c>
      <c r="F37" s="50" t="str">
        <f t="shared" ca="1" si="4"/>
        <v xml:space="preserve">'description' =&gt; 'Stock in transactions', </v>
      </c>
      <c r="G37" s="50" t="str">
        <f t="shared" ca="1" si="4"/>
        <v xml:space="preserve">'method' =&gt; 'IN', </v>
      </c>
      <c r="H37" s="50" t="str">
        <f t="shared" ca="1" si="4"/>
        <v xml:space="preserve">'type' =&gt; 'belongsTo', </v>
      </c>
      <c r="I37" s="50" t="str">
        <f t="shared" ca="1" si="4"/>
        <v xml:space="preserve">'relate_resource' =&gt; '305118', </v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 x14ac:dyDescent="0.25">
      <c r="A38" s="21">
        <v>30</v>
      </c>
      <c r="B38" s="22" t="str">
        <f t="shared" ca="1" si="3"/>
        <v>-&gt;create([</v>
      </c>
      <c r="C38" s="50" t="str">
        <f t="shared" ca="1" si="4"/>
        <v xml:space="preserve">'id' =&gt; '308130', </v>
      </c>
      <c r="D38" s="50" t="str">
        <f t="shared" ca="1" si="4"/>
        <v xml:space="preserve">'resource' =&gt; '305123', </v>
      </c>
      <c r="E38" s="50" t="str">
        <f t="shared" ca="1" si="4"/>
        <v xml:space="preserve">'name' =&gt; 'OUT', </v>
      </c>
      <c r="F38" s="50" t="str">
        <f t="shared" ca="1" si="4"/>
        <v xml:space="preserve">'description' =&gt; 'Stock out transactions', </v>
      </c>
      <c r="G38" s="50" t="str">
        <f t="shared" ca="1" si="4"/>
        <v xml:space="preserve">'method' =&gt; 'OUT', </v>
      </c>
      <c r="H38" s="50" t="str">
        <f t="shared" ca="1" si="4"/>
        <v xml:space="preserve">'type' =&gt; 'belongsTo', </v>
      </c>
      <c r="I38" s="50" t="str">
        <f t="shared" ca="1" si="4"/>
        <v xml:space="preserve">'relate_resource' =&gt; '305118', </v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>])</v>
      </c>
    </row>
    <row r="39" spans="1:18" x14ac:dyDescent="0.25">
      <c r="A39" s="21">
        <v>31</v>
      </c>
      <c r="B39" s="22" t="str">
        <f t="shared" ca="1" si="3"/>
        <v>-&gt;create([</v>
      </c>
      <c r="C39" s="50" t="str">
        <f t="shared" ca="1" si="4"/>
        <v xml:space="preserve">'id' =&gt; '308131', </v>
      </c>
      <c r="D39" s="50" t="str">
        <f t="shared" ca="1" si="4"/>
        <v xml:space="preserve">'resource' =&gt; '305121', </v>
      </c>
      <c r="E39" s="50" t="str">
        <f t="shared" ca="1" si="4"/>
        <v xml:space="preserve">'name' =&gt; 'Customer', </v>
      </c>
      <c r="F39" s="50" t="str">
        <f t="shared" ca="1" si="4"/>
        <v xml:space="preserve">'description' =&gt; 'The customer to which this sales order belongs', </v>
      </c>
      <c r="G39" s="50" t="str">
        <f t="shared" ca="1" si="4"/>
        <v xml:space="preserve">'method' =&gt; 'Customer', </v>
      </c>
      <c r="H39" s="50" t="str">
        <f t="shared" ca="1" si="4"/>
        <v xml:space="preserve">'type' =&gt; 'belongsTo', </v>
      </c>
      <c r="I39" s="50" t="str">
        <f t="shared" ca="1" si="4"/>
        <v xml:space="preserve">'relate_resource' =&gt; '305101', </v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>])</v>
      </c>
    </row>
    <row r="40" spans="1:18" x14ac:dyDescent="0.25">
      <c r="A40" s="21">
        <v>32</v>
      </c>
      <c r="B40" s="22" t="str">
        <f t="shared" ca="1" si="3"/>
        <v>-&gt;create([</v>
      </c>
      <c r="C40" s="50" t="str">
        <f t="shared" ca="1" si="4"/>
        <v xml:space="preserve">'id' =&gt; '308132', </v>
      </c>
      <c r="D40" s="50" t="str">
        <f t="shared" ca="1" si="4"/>
        <v xml:space="preserve">'resource' =&gt; '305113', </v>
      </c>
      <c r="E40" s="50" t="str">
        <f t="shared" ca="1" si="4"/>
        <v xml:space="preserve">'name' =&gt; 'AssignedAreas', </v>
      </c>
      <c r="F40" s="50" t="str">
        <f t="shared" ca="1" si="4"/>
        <v xml:space="preserve">'description' =&gt; 'The user_areas which assigned to this record', </v>
      </c>
      <c r="G40" s="50" t="str">
        <f t="shared" ca="1" si="4"/>
        <v xml:space="preserve">'method' =&gt; 'AssignedAreas', </v>
      </c>
      <c r="H40" s="50" t="str">
        <f t="shared" ca="1" si="4"/>
        <v xml:space="preserve">'type' =&gt; 'hasMany', </v>
      </c>
      <c r="I40" s="50" t="str">
        <f t="shared" ca="1" si="4"/>
        <v xml:space="preserve">'relate_resource' =&gt; '305111', </v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>])</v>
      </c>
    </row>
    <row r="41" spans="1:18" x14ac:dyDescent="0.25">
      <c r="A41" s="21">
        <v>33</v>
      </c>
      <c r="B41" s="22" t="str">
        <f t="shared" ca="1" si="3"/>
        <v>-&gt;create([</v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 xml:space="preserve">'id' =&gt; '308133', </v>
      </c>
      <c r="D41" s="50" t="str">
        <f t="shared" ca="1" si="6"/>
        <v xml:space="preserve">'resource' =&gt; '305111', </v>
      </c>
      <c r="E41" s="50" t="str">
        <f t="shared" ca="1" si="6"/>
        <v xml:space="preserve">'name' =&gt; 'Users', </v>
      </c>
      <c r="F41" s="50" t="str">
        <f t="shared" ca="1" si="6"/>
        <v xml:space="preserve">'description' =&gt; 'The executives assigned to a area_user', </v>
      </c>
      <c r="G41" s="50" t="str">
        <f t="shared" ca="1" si="6"/>
        <v xml:space="preserve">'method' =&gt; 'Users', </v>
      </c>
      <c r="H41" s="50" t="str">
        <f t="shared" ca="1" si="6"/>
        <v xml:space="preserve">'type' =&gt; 'hasMany', </v>
      </c>
      <c r="I41" s="50" t="str">
        <f t="shared" ca="1" si="6"/>
        <v xml:space="preserve">'relate_resource' =&gt; '305113', </v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>])</v>
      </c>
    </row>
    <row r="42" spans="1:18" x14ac:dyDescent="0.25">
      <c r="A42" s="21">
        <v>34</v>
      </c>
      <c r="B42" s="22" t="str">
        <f t="shared" ca="1" si="3"/>
        <v>-&gt;create([</v>
      </c>
      <c r="C42" s="50" t="str">
        <f t="shared" ca="1" si="6"/>
        <v xml:space="preserve">'id' =&gt; '308134', </v>
      </c>
      <c r="D42" s="50" t="str">
        <f t="shared" ca="1" si="6"/>
        <v xml:space="preserve">'resource' =&gt; '305113', </v>
      </c>
      <c r="E42" s="50" t="str">
        <f t="shared" ca="1" si="6"/>
        <v xml:space="preserve">'name' =&gt; 'Customers', </v>
      </c>
      <c r="F42" s="50" t="str">
        <f t="shared" ca="1" si="6"/>
        <v xml:space="preserve">'description' =&gt; 'Customers who are in selected records area', </v>
      </c>
      <c r="G42" s="50" t="str">
        <f t="shared" ca="1" si="6"/>
        <v xml:space="preserve">'method' =&gt; 'Customers', </v>
      </c>
      <c r="H42" s="50" t="str">
        <f t="shared" ca="1" si="6"/>
        <v xml:space="preserve">'type' =&gt; 'belongsToMany', </v>
      </c>
      <c r="I42" s="50" t="str">
        <f t="shared" ca="1" si="6"/>
        <v xml:space="preserve">'relate_resource' =&gt; '305101', </v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>])</v>
      </c>
    </row>
    <row r="43" spans="1:18" x14ac:dyDescent="0.25">
      <c r="A43" s="21">
        <v>35</v>
      </c>
      <c r="B43" s="22" t="str">
        <f t="shared" ca="1" si="3"/>
        <v>-&gt;create([</v>
      </c>
      <c r="C43" s="50" t="str">
        <f t="shared" ca="1" si="6"/>
        <v xml:space="preserve">'id' =&gt; '308135', </v>
      </c>
      <c r="D43" s="50" t="str">
        <f t="shared" ca="1" si="6"/>
        <v xml:space="preserve">'resource' =&gt; '305101', </v>
      </c>
      <c r="E43" s="50" t="str">
        <f t="shared" ca="1" si="6"/>
        <v xml:space="preserve">'name' =&gt; 'AreaCustomers', </v>
      </c>
      <c r="F43" s="50" t="str">
        <f t="shared" ca="1" si="6"/>
        <v xml:space="preserve">'description' =&gt; 'List of customers belongs to the area which are assigned to a user', </v>
      </c>
      <c r="G43" s="50" t="str">
        <f t="shared" ca="1" si="6"/>
        <v xml:space="preserve">'method' =&gt; 'AreaCustomers', </v>
      </c>
      <c r="H43" s="50" t="str">
        <f t="shared" ca="1" si="6"/>
        <v xml:space="preserve">'type' =&gt; 'hasManyThrough', </v>
      </c>
      <c r="I43" s="50" t="str">
        <f t="shared" ca="1" si="6"/>
        <v xml:space="preserve">'relate_resource' =&gt; '305111', </v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>])</v>
      </c>
    </row>
    <row r="44" spans="1:18" x14ac:dyDescent="0.25">
      <c r="A44" s="21">
        <v>36</v>
      </c>
      <c r="B44" s="22" t="str">
        <f t="shared" ca="1" si="3"/>
        <v>-&gt;create([</v>
      </c>
      <c r="C44" s="50" t="str">
        <f t="shared" ca="1" si="6"/>
        <v xml:space="preserve">'id' =&gt; '308136', </v>
      </c>
      <c r="D44" s="50" t="str">
        <f t="shared" ca="1" si="6"/>
        <v xml:space="preserve">'resource' =&gt; '305122', </v>
      </c>
      <c r="E44" s="50" t="str">
        <f t="shared" ca="1" si="6"/>
        <v xml:space="preserve">'name' =&gt; 'SalesOrder', </v>
      </c>
      <c r="F44" s="50" t="str">
        <f t="shared" ca="1" si="6"/>
        <v xml:space="preserve">'description' =&gt; 'Sales order details for a so item', </v>
      </c>
      <c r="G44" s="50" t="str">
        <f t="shared" ca="1" si="6"/>
        <v xml:space="preserve">'method' =&gt; 'SalesOrder', </v>
      </c>
      <c r="H44" s="50" t="str">
        <f t="shared" ca="1" si="6"/>
        <v xml:space="preserve">'type' =&gt; 'belongsTo', </v>
      </c>
      <c r="I44" s="50" t="str">
        <f t="shared" ca="1" si="6"/>
        <v xml:space="preserve">'relate_resource' =&gt; '305121', </v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>])</v>
      </c>
    </row>
    <row r="45" spans="1:18" x14ac:dyDescent="0.25">
      <c r="A45" s="21">
        <v>37</v>
      </c>
      <c r="B45" s="22" t="str">
        <f t="shared" ca="1" si="3"/>
        <v>-&gt;create([</v>
      </c>
      <c r="C45" s="50" t="str">
        <f t="shared" ca="1" si="6"/>
        <v xml:space="preserve">'id' =&gt; '308137', </v>
      </c>
      <c r="D45" s="50" t="str">
        <f t="shared" ca="1" si="6"/>
        <v xml:space="preserve">'resource' =&gt; '305119', </v>
      </c>
      <c r="E45" s="50" t="str">
        <f t="shared" ca="1" si="6"/>
        <v xml:space="preserve">'name' =&gt; 'Transaction', </v>
      </c>
      <c r="F45" s="50" t="str">
        <f t="shared" ca="1" si="6"/>
        <v xml:space="preserve">'description' =&gt; 'Detail of transaction header', </v>
      </c>
      <c r="G45" s="50" t="str">
        <f t="shared" ca="1" si="6"/>
        <v xml:space="preserve">'method' =&gt; 'Transaction', </v>
      </c>
      <c r="H45" s="50" t="str">
        <f t="shared" ca="1" si="6"/>
        <v xml:space="preserve">'type' =&gt; 'belongsTo', </v>
      </c>
      <c r="I45" s="50" t="str">
        <f t="shared" ca="1" si="6"/>
        <v xml:space="preserve">'relate_resource' =&gt; '305118', </v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>])</v>
      </c>
    </row>
    <row r="46" spans="1:18" x14ac:dyDescent="0.25">
      <c r="A46" s="21">
        <v>38</v>
      </c>
      <c r="B46" s="22" t="str">
        <f t="shared" ca="1" si="3"/>
        <v>-&gt;create([</v>
      </c>
      <c r="C46" s="50" t="str">
        <f t="shared" ca="1" si="6"/>
        <v xml:space="preserve">'id' =&gt; '308138', </v>
      </c>
      <c r="D46" s="50" t="str">
        <f t="shared" ca="1" si="6"/>
        <v xml:space="preserve">'resource' =&gt; '305127', </v>
      </c>
      <c r="E46" s="50" t="str">
        <f t="shared" ca="1" si="6"/>
        <v xml:space="preserve">'name' =&gt; 'SalesOrder', </v>
      </c>
      <c r="F46" s="50" t="str">
        <f t="shared" ca="1" si="6"/>
        <v xml:space="preserve">'description' =&gt; 'Sales order details', </v>
      </c>
      <c r="G46" s="50" t="str">
        <f t="shared" ca="1" si="6"/>
        <v xml:space="preserve">'method' =&gt; 'SalesOrder', </v>
      </c>
      <c r="H46" s="50" t="str">
        <f t="shared" ca="1" si="6"/>
        <v xml:space="preserve">'type' =&gt; 'belongsTo', </v>
      </c>
      <c r="I46" s="50" t="str">
        <f t="shared" ca="1" si="6"/>
        <v xml:space="preserve">'relate_resource' =&gt; '305121', </v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>])</v>
      </c>
    </row>
    <row r="47" spans="1:18" x14ac:dyDescent="0.25">
      <c r="A47" s="21">
        <v>39</v>
      </c>
      <c r="B47" s="22" t="str">
        <f t="shared" ca="1" si="3"/>
        <v>-&gt;create([</v>
      </c>
      <c r="C47" s="50" t="str">
        <f t="shared" ca="1" si="6"/>
        <v xml:space="preserve">'id' =&gt; '308139', </v>
      </c>
      <c r="D47" s="50" t="str">
        <f t="shared" ca="1" si="6"/>
        <v xml:space="preserve">'resource' =&gt; '305127', </v>
      </c>
      <c r="E47" s="50" t="str">
        <f t="shared" ca="1" si="6"/>
        <v xml:space="preserve">'name' =&gt; 'Transaction', </v>
      </c>
      <c r="F47" s="50" t="str">
        <f t="shared" ca="1" si="6"/>
        <v xml:space="preserve">'description' =&gt; 'Detail of transaction', </v>
      </c>
      <c r="G47" s="50" t="str">
        <f t="shared" ca="1" si="6"/>
        <v xml:space="preserve">'method' =&gt; 'Transaction', </v>
      </c>
      <c r="H47" s="50" t="str">
        <f t="shared" ca="1" si="6"/>
        <v xml:space="preserve">'type' =&gt; 'belongsTo', </v>
      </c>
      <c r="I47" s="50" t="str">
        <f t="shared" ca="1" si="6"/>
        <v xml:space="preserve">'relate_resource' =&gt; '305118', </v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>])</v>
      </c>
    </row>
    <row r="48" spans="1:18" x14ac:dyDescent="0.25">
      <c r="A48" s="21">
        <v>40</v>
      </c>
      <c r="B48" s="22" t="str">
        <f t="shared" ca="1" si="3"/>
        <v>-&gt;create([</v>
      </c>
      <c r="C48" s="50" t="str">
        <f t="shared" ca="1" si="6"/>
        <v xml:space="preserve">'id' =&gt; '308140', </v>
      </c>
      <c r="D48" s="50" t="str">
        <f t="shared" ca="1" si="6"/>
        <v xml:space="preserve">'resource' =&gt; '305118', </v>
      </c>
      <c r="E48" s="50" t="str">
        <f t="shared" ca="1" si="6"/>
        <v xml:space="preserve">'name' =&gt; 'StockOutTransactions', </v>
      </c>
      <c r="F48" s="50" t="str">
        <f t="shared" ca="1" si="6"/>
        <v xml:space="preserve">'description' =&gt; 'TransferOut transactions', </v>
      </c>
      <c r="G48" s="50" t="str">
        <f t="shared" ca="1" si="6"/>
        <v xml:space="preserve">'method' =&gt; 'STOut', </v>
      </c>
      <c r="H48" s="50" t="str">
        <f t="shared" ca="1" si="6"/>
        <v xml:space="preserve">'type' =&gt; 'hasOne', </v>
      </c>
      <c r="I48" s="50" t="str">
        <f t="shared" ca="1" si="6"/>
        <v xml:space="preserve">'relate_resource' =&gt; '305123', </v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>])</v>
      </c>
    </row>
    <row r="49" spans="1:18" x14ac:dyDescent="0.25">
      <c r="A49" s="21">
        <v>41</v>
      </c>
      <c r="B49" s="22" t="str">
        <f t="shared" ca="1" si="3"/>
        <v>-&gt;create([</v>
      </c>
      <c r="C49" s="50" t="str">
        <f t="shared" ca="1" si="6"/>
        <v xml:space="preserve">'id' =&gt; '308141', </v>
      </c>
      <c r="D49" s="50" t="str">
        <f t="shared" ca="1" si="6"/>
        <v xml:space="preserve">'resource' =&gt; '305118', </v>
      </c>
      <c r="E49" s="50" t="str">
        <f t="shared" ca="1" si="6"/>
        <v xml:space="preserve">'name' =&gt; 'StockInTransactions', </v>
      </c>
      <c r="F49" s="50" t="str">
        <f t="shared" ca="1" si="6"/>
        <v xml:space="preserve">'description' =&gt; 'TransferIn transactions', </v>
      </c>
      <c r="G49" s="50" t="str">
        <f t="shared" ca="1" si="6"/>
        <v xml:space="preserve">'method' =&gt; 'STIn', </v>
      </c>
      <c r="H49" s="50" t="str">
        <f t="shared" ca="1" si="6"/>
        <v xml:space="preserve">'type' =&gt; 'hasOne', </v>
      </c>
      <c r="I49" s="50" t="str">
        <f t="shared" ca="1" si="6"/>
        <v xml:space="preserve">'relate_resource' =&gt; '305123', </v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>])</v>
      </c>
    </row>
    <row r="50" spans="1:18" x14ac:dyDescent="0.25">
      <c r="A50" s="21">
        <v>42</v>
      </c>
      <c r="B50" s="22" t="str">
        <f t="shared" ca="1" si="3"/>
        <v>-&gt;create([</v>
      </c>
      <c r="C50" s="50" t="str">
        <f t="shared" ca="1" si="6"/>
        <v xml:space="preserve">'id' =&gt; '308142', </v>
      </c>
      <c r="D50" s="50" t="str">
        <f t="shared" ca="1" si="6"/>
        <v xml:space="preserve">'resource' =&gt; '305117', </v>
      </c>
      <c r="E50" s="50" t="str">
        <f t="shared" ca="1" si="6"/>
        <v xml:space="preserve">'name' =&gt; 'TransactionDetail', </v>
      </c>
      <c r="F50" s="50" t="str">
        <f t="shared" ca="1" si="6"/>
        <v xml:space="preserve">'description' =&gt; 'Detail of Transaction of a Stock product transaction', </v>
      </c>
      <c r="G50" s="50" t="str">
        <f t="shared" ca="1" si="6"/>
        <v xml:space="preserve">'method' =&gt; 'TransactionDetail', </v>
      </c>
      <c r="H50" s="50" t="str">
        <f t="shared" ca="1" si="6"/>
        <v xml:space="preserve">'type' =&gt; 'hasOne', </v>
      </c>
      <c r="I50" s="50" t="str">
        <f t="shared" ca="1" si="6"/>
        <v xml:space="preserve">'relate_resource' =&gt; '305119', </v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>])</v>
      </c>
    </row>
    <row r="51" spans="1:18" x14ac:dyDescent="0.25">
      <c r="A51" s="21">
        <v>43</v>
      </c>
      <c r="B51" s="22" t="str">
        <f t="shared" ca="1" si="3"/>
        <v>;</v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 x14ac:dyDescent="0.25">
      <c r="A52" s="21">
        <v>44</v>
      </c>
      <c r="B52" s="22" t="str">
        <f t="shared" ca="1" si="3"/>
        <v>\DB::statement('set foreign_key_checks = ' . $_);</v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 x14ac:dyDescent="0.25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 x14ac:dyDescent="0.25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 x14ac:dyDescent="0.25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 x14ac:dyDescent="0.25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 x14ac:dyDescent="0.25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 x14ac:dyDescent="0.25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 x14ac:dyDescent="0.25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 x14ac:dyDescent="0.25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 x14ac:dyDescent="0.25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 x14ac:dyDescent="0.25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 x14ac:dyDescent="0.25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 x14ac:dyDescent="0.25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 x14ac:dyDescent="0.25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 x14ac:dyDescent="0.25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 x14ac:dyDescent="0.25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 x14ac:dyDescent="0.25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 x14ac:dyDescent="0.25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 x14ac:dyDescent="0.25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 x14ac:dyDescent="0.25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 x14ac:dyDescent="0.25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 x14ac:dyDescent="0.25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 x14ac:dyDescent="0.25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 x14ac:dyDescent="0.25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 x14ac:dyDescent="0.25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 x14ac:dyDescent="0.25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 x14ac:dyDescent="0.25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 x14ac:dyDescent="0.25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 x14ac:dyDescent="0.25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 x14ac:dyDescent="0.25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 x14ac:dyDescent="0.25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 x14ac:dyDescent="0.25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 x14ac:dyDescent="0.25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 x14ac:dyDescent="0.25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 x14ac:dyDescent="0.25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 x14ac:dyDescent="0.25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 x14ac:dyDescent="0.25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 x14ac:dyDescent="0.25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 x14ac:dyDescent="0.25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 x14ac:dyDescent="0.25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 x14ac:dyDescent="0.25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 x14ac:dyDescent="0.25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 x14ac:dyDescent="0.25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 x14ac:dyDescent="0.25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 x14ac:dyDescent="0.25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 x14ac:dyDescent="0.25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 x14ac:dyDescent="0.25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 x14ac:dyDescent="0.25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 x14ac:dyDescent="0.25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 x14ac:dyDescent="0.25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 x14ac:dyDescent="0.25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 x14ac:dyDescent="0.25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 x14ac:dyDescent="0.25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 x14ac:dyDescent="0.25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 x14ac:dyDescent="0.25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 x14ac:dyDescent="0.25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 x14ac:dyDescent="0.25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 x14ac:dyDescent="0.25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 x14ac:dyDescent="0.25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 x14ac:dyDescent="0.25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 x14ac:dyDescent="0.25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 x14ac:dyDescent="0.25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 x14ac:dyDescent="0.25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 x14ac:dyDescent="0.25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 x14ac:dyDescent="0.25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 x14ac:dyDescent="0.25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 x14ac:dyDescent="0.25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 x14ac:dyDescent="0.25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 x14ac:dyDescent="0.25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 x14ac:dyDescent="0.25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 x14ac:dyDescent="0.25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 x14ac:dyDescent="0.25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 x14ac:dyDescent="0.25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 x14ac:dyDescent="0.25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 x14ac:dyDescent="0.25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 x14ac:dyDescent="0.25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 x14ac:dyDescent="0.25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 x14ac:dyDescent="0.25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 x14ac:dyDescent="0.25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 x14ac:dyDescent="0.25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 x14ac:dyDescent="0.25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 x14ac:dyDescent="0.25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 x14ac:dyDescent="0.25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 x14ac:dyDescent="0.25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 x14ac:dyDescent="0.25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 x14ac:dyDescent="0.25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 x14ac:dyDescent="0.25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 x14ac:dyDescent="0.25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 x14ac:dyDescent="0.25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 x14ac:dyDescent="0.25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 x14ac:dyDescent="0.25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 x14ac:dyDescent="0.25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 x14ac:dyDescent="0.25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 x14ac:dyDescent="0.25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 x14ac:dyDescent="0.25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 x14ac:dyDescent="0.25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 x14ac:dyDescent="0.25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 x14ac:dyDescent="0.25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 x14ac:dyDescent="0.25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 x14ac:dyDescent="0.25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 x14ac:dyDescent="0.25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 x14ac:dyDescent="0.25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 x14ac:dyDescent="0.25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 x14ac:dyDescent="0.25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 x14ac:dyDescent="0.25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 x14ac:dyDescent="0.25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 x14ac:dyDescent="0.25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 x14ac:dyDescent="0.25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 x14ac:dyDescent="0.25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 x14ac:dyDescent="0.25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 x14ac:dyDescent="0.25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 x14ac:dyDescent="0.25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 x14ac:dyDescent="0.25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 x14ac:dyDescent="0.25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 x14ac:dyDescent="0.25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 x14ac:dyDescent="0.25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 x14ac:dyDescent="0.25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 x14ac:dyDescent="0.25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 x14ac:dyDescent="0.25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 x14ac:dyDescent="0.25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 x14ac:dyDescent="0.25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 x14ac:dyDescent="0.25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 x14ac:dyDescent="0.25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 x14ac:dyDescent="0.25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 x14ac:dyDescent="0.25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 x14ac:dyDescent="0.25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 x14ac:dyDescent="0.25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 x14ac:dyDescent="0.25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 x14ac:dyDescent="0.25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 x14ac:dyDescent="0.25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 x14ac:dyDescent="0.25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 x14ac:dyDescent="0.25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 x14ac:dyDescent="0.25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 x14ac:dyDescent="0.25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 x14ac:dyDescent="0.25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 x14ac:dyDescent="0.25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 x14ac:dyDescent="0.25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 x14ac:dyDescent="0.25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 x14ac:dyDescent="0.25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 x14ac:dyDescent="0.25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 x14ac:dyDescent="0.25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 x14ac:dyDescent="0.25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 x14ac:dyDescent="0.25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 x14ac:dyDescent="0.25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 x14ac:dyDescent="0.25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 x14ac:dyDescent="0.25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 x14ac:dyDescent="0.25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 x14ac:dyDescent="0.25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 x14ac:dyDescent="0.25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 x14ac:dyDescent="0.25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 x14ac:dyDescent="0.25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 x14ac:dyDescent="0.25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 x14ac:dyDescent="0.25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 x14ac:dyDescent="0.25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 x14ac:dyDescent="0.25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 x14ac:dyDescent="0.25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 x14ac:dyDescent="0.25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E1" workbookViewId="0">
      <selection activeCell="J1" sqref="J1:L1048576"/>
    </sheetView>
  </sheetViews>
  <sheetFormatPr defaultRowHeight="15" x14ac:dyDescent="0.2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hidden="1" customWidth="1"/>
    <col min="11" max="11" width="23.5703125" hidden="1" customWidth="1"/>
    <col min="12" max="12" width="15.5703125" hidden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 x14ac:dyDescent="0.25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 x14ac:dyDescent="0.25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ResourceTable[No]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 x14ac:dyDescent="0.25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1361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ResourceTable[No]</f>
        <v>305101</v>
      </c>
      <c r="O3" s="4" t="s">
        <v>1303</v>
      </c>
      <c r="P3" s="4" t="s">
        <v>1447</v>
      </c>
      <c r="Q3" s="4" t="s">
        <v>1446</v>
      </c>
      <c r="R3" s="4"/>
      <c r="S3" s="4" t="s">
        <v>1444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305115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 x14ac:dyDescent="0.25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1289</v>
      </c>
      <c r="F4" s="4" t="s">
        <v>1290</v>
      </c>
      <c r="G4" s="4" t="s">
        <v>1289</v>
      </c>
      <c r="H4" s="7" t="str">
        <f t="shared" ref="H4" si="0">"Milestone\SS\Model"</f>
        <v>Milestone\SS\Model</v>
      </c>
      <c r="I4" s="4" t="s">
        <v>1085</v>
      </c>
      <c r="J4" s="4"/>
      <c r="K4" s="4"/>
      <c r="L4" s="4"/>
      <c r="M4" s="58">
        <f>ResourceTable[No]</f>
        <v>305102</v>
      </c>
      <c r="O4" s="4" t="s">
        <v>1304</v>
      </c>
      <c r="P4" s="4" t="s">
        <v>1448</v>
      </c>
      <c r="Q4" s="4" t="s">
        <v>1445</v>
      </c>
      <c r="R4" s="4"/>
      <c r="S4" s="4" t="s">
        <v>1449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305116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 x14ac:dyDescent="0.25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1291</v>
      </c>
      <c r="F5" s="4" t="s">
        <v>1335</v>
      </c>
      <c r="G5" s="4" t="s">
        <v>1313</v>
      </c>
      <c r="H5" s="7" t="str">
        <f t="shared" ref="H5:H26" si="1">"Milestone\SS\Model"</f>
        <v>Milestone\SS\Model</v>
      </c>
      <c r="I5" s="4" t="s">
        <v>1284</v>
      </c>
      <c r="J5" s="4"/>
      <c r="K5" s="4"/>
      <c r="L5" s="4"/>
      <c r="M5" s="58">
        <f>ResourceTable[No]</f>
        <v>305103</v>
      </c>
      <c r="O5" s="4" t="s">
        <v>1291</v>
      </c>
      <c r="P5" s="4" t="s">
        <v>1487</v>
      </c>
      <c r="Q5" s="4" t="s">
        <v>1488</v>
      </c>
      <c r="R5" s="4" t="s">
        <v>1485</v>
      </c>
      <c r="S5" s="4" t="s">
        <v>1486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 x14ac:dyDescent="0.25">
      <c r="A6" s="8" t="str">
        <f>Page&amp;"-"&amp;(COUNTA($E$1:ResourceTable[[#This Row],[Name]])-2)</f>
        <v>Resources-4</v>
      </c>
      <c r="B6" s="30" t="str">
        <f>ResourceTable[[#This Row],[Name]]</f>
        <v>Fiscalyearmaster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1292</v>
      </c>
      <c r="F6" s="5" t="s">
        <v>1336</v>
      </c>
      <c r="G6" s="5" t="s">
        <v>1314</v>
      </c>
      <c r="H6" s="8" t="str">
        <f t="shared" si="1"/>
        <v>Milestone\SS\Model</v>
      </c>
      <c r="I6" s="5" t="s">
        <v>901</v>
      </c>
      <c r="J6" s="5"/>
      <c r="K6" s="5"/>
      <c r="L6" s="5"/>
      <c r="M6" s="32">
        <f>ResourceTable[No]</f>
        <v>305104</v>
      </c>
      <c r="O6" s="4" t="s">
        <v>1300</v>
      </c>
      <c r="P6" s="4" t="s">
        <v>1603</v>
      </c>
      <c r="Q6" s="4" t="s">
        <v>1604</v>
      </c>
      <c r="R6" s="4" t="s">
        <v>1601</v>
      </c>
      <c r="S6" s="4" t="s">
        <v>1602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305112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 x14ac:dyDescent="0.25">
      <c r="A7" s="8" t="str">
        <f>Page&amp;"-"&amp;(COUNTA($E$1:ResourceTable[[#This Row],[Name]])-2)</f>
        <v>Resources-5</v>
      </c>
      <c r="B7" s="30" t="str">
        <f>ResourceTable[[#This Row],[Name]]</f>
        <v>Functiondetail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1293</v>
      </c>
      <c r="F7" s="5" t="s">
        <v>1337</v>
      </c>
      <c r="G7" s="5" t="s">
        <v>1315</v>
      </c>
      <c r="H7" s="8" t="str">
        <f t="shared" si="1"/>
        <v>Milestone\SS\Model</v>
      </c>
      <c r="I7" s="5" t="s">
        <v>861</v>
      </c>
      <c r="J7" s="5"/>
      <c r="K7" s="5"/>
      <c r="L7" s="5"/>
      <c r="M7" s="32">
        <f>ResourceTable[No]</f>
        <v>305105</v>
      </c>
      <c r="O7" s="4" t="s">
        <v>1301</v>
      </c>
      <c r="P7" s="4" t="s">
        <v>1639</v>
      </c>
      <c r="Q7" s="4" t="s">
        <v>1640</v>
      </c>
      <c r="R7" s="4" t="s">
        <v>1637</v>
      </c>
      <c r="S7" s="4" t="s">
        <v>1638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305113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 x14ac:dyDescent="0.25">
      <c r="A8" s="8" t="str">
        <f>Page&amp;"-"&amp;(COUNTA($E$1:ResourceTable[[#This Row],[Name]])-2)</f>
        <v>Resources-6</v>
      </c>
      <c r="B8" s="30" t="str">
        <f>ResourceTable[[#This Row],[Name]]</f>
        <v>Product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1294</v>
      </c>
      <c r="F8" s="5" t="s">
        <v>1338</v>
      </c>
      <c r="G8" s="5" t="s">
        <v>1316</v>
      </c>
      <c r="H8" s="8" t="str">
        <f t="shared" si="1"/>
        <v>Milestone\SS\Model</v>
      </c>
      <c r="I8" s="5" t="s">
        <v>760</v>
      </c>
      <c r="J8" s="5"/>
      <c r="K8" s="5"/>
      <c r="L8" s="5"/>
      <c r="M8" s="32">
        <f>ResourceTable[No]</f>
        <v>305106</v>
      </c>
    </row>
    <row r="9" spans="1:26" x14ac:dyDescent="0.25">
      <c r="A9" s="8" t="str">
        <f>Page&amp;"-"&amp;(COUNTA($E$1:ResourceTable[[#This Row],[Name]])-2)</f>
        <v>Resources-7</v>
      </c>
      <c r="B9" s="30" t="str">
        <f>ResourceTable[[#This Row],[Name]]</f>
        <v>Pricelist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1295</v>
      </c>
      <c r="F9" s="5" t="s">
        <v>1339</v>
      </c>
      <c r="G9" s="5" t="s">
        <v>1317</v>
      </c>
      <c r="H9" s="8" t="str">
        <f t="shared" si="1"/>
        <v>Milestone\SS\Model</v>
      </c>
      <c r="I9" s="5" t="s">
        <v>763</v>
      </c>
      <c r="J9" s="5"/>
      <c r="K9" s="5"/>
      <c r="L9" s="5"/>
      <c r="M9" s="32">
        <f>ResourceTable[No]</f>
        <v>305107</v>
      </c>
    </row>
    <row r="10" spans="1:26" x14ac:dyDescent="0.25">
      <c r="A10" s="8" t="str">
        <f>Page&amp;"-"&amp;(COUNTA($E$1:ResourceTable[[#This Row],[Name]])-2)</f>
        <v>Resources-8</v>
      </c>
      <c r="B10" s="30" t="str">
        <f>ResourceTable[[#This Row],[Name]]</f>
        <v>PricelistProduct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1296</v>
      </c>
      <c r="F10" s="5" t="s">
        <v>1340</v>
      </c>
      <c r="G10" s="5" t="s">
        <v>1318</v>
      </c>
      <c r="H10" s="8" t="str">
        <f t="shared" si="1"/>
        <v>Milestone\SS\Model</v>
      </c>
      <c r="I10" s="5" t="s">
        <v>764</v>
      </c>
      <c r="J10" s="5"/>
      <c r="K10" s="5"/>
      <c r="L10" s="5"/>
      <c r="M10" s="32">
        <f>ResourceTable[No]</f>
        <v>305108</v>
      </c>
    </row>
    <row r="11" spans="1:26" x14ac:dyDescent="0.25">
      <c r="A11" s="8" t="str">
        <f>Page&amp;"-"&amp;(COUNTA($E$1:ResourceTable[[#This Row],[Name]])-2)</f>
        <v>Resources-9</v>
      </c>
      <c r="B11" s="30" t="str">
        <f>ResourceTable[[#This Row],[Name]]</f>
        <v>Store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1297</v>
      </c>
      <c r="F11" s="5" t="s">
        <v>1319</v>
      </c>
      <c r="G11" s="5" t="s">
        <v>1319</v>
      </c>
      <c r="H11" s="8" t="str">
        <f t="shared" si="1"/>
        <v>Milestone\SS\Model</v>
      </c>
      <c r="I11" s="5" t="s">
        <v>757</v>
      </c>
      <c r="J11" s="5"/>
      <c r="K11" s="5"/>
      <c r="L11" s="5"/>
      <c r="M11" s="32">
        <f>ResourceTable[No]</f>
        <v>305109</v>
      </c>
    </row>
    <row r="12" spans="1:26" x14ac:dyDescent="0.25">
      <c r="A12" s="8" t="str">
        <f>Page&amp;"-"&amp;(COUNTA($E$1:ResourceTable[[#This Row],[Name]])-2)</f>
        <v>Resources-10</v>
      </c>
      <c r="B12" s="30" t="str">
        <f>ResourceTable[[#This Row],[Name]]</f>
        <v>Area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1298</v>
      </c>
      <c r="F12" s="5" t="s">
        <v>1320</v>
      </c>
      <c r="G12" s="5" t="s">
        <v>1320</v>
      </c>
      <c r="H12" s="8" t="str">
        <f t="shared" si="1"/>
        <v>Milestone\SS\Model</v>
      </c>
      <c r="I12" s="5" t="s">
        <v>758</v>
      </c>
      <c r="J12" s="5"/>
      <c r="K12" s="5"/>
      <c r="L12" s="5"/>
      <c r="M12" s="32">
        <f>ResourceTable[No]</f>
        <v>305110</v>
      </c>
    </row>
    <row r="13" spans="1:26" x14ac:dyDescent="0.25">
      <c r="A13" s="8" t="str">
        <f>Page&amp;"-"&amp;(COUNTA($E$1:ResourceTable[[#This Row],[Name]])-2)</f>
        <v>Resources-11</v>
      </c>
      <c r="B13" s="30" t="str">
        <f>ResourceTable[[#This Row],[Name]]</f>
        <v>AreaUser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1299</v>
      </c>
      <c r="F13" s="5" t="s">
        <v>1341</v>
      </c>
      <c r="G13" s="5" t="s">
        <v>1321</v>
      </c>
      <c r="H13" s="8" t="str">
        <f t="shared" si="1"/>
        <v>Milestone\SS\Model</v>
      </c>
      <c r="I13" s="5" t="s">
        <v>755</v>
      </c>
      <c r="J13" s="5"/>
      <c r="K13" s="5"/>
      <c r="L13" s="5"/>
      <c r="M13" s="32">
        <f>ResourceTable[No]</f>
        <v>305111</v>
      </c>
    </row>
    <row r="14" spans="1:26" x14ac:dyDescent="0.25">
      <c r="A14" s="8" t="str">
        <f>Page&amp;"-"&amp;(COUNTA($E$1:ResourceTable[[#This Row],[Name]])-2)</f>
        <v>Resources-12</v>
      </c>
      <c r="B14" s="30" t="str">
        <f>ResourceTable[[#This Row],[Name]]</f>
        <v>UserSetting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1300</v>
      </c>
      <c r="F14" s="5" t="s">
        <v>1342</v>
      </c>
      <c r="G14" s="5" t="s">
        <v>1322</v>
      </c>
      <c r="H14" s="8" t="str">
        <f t="shared" si="1"/>
        <v>Milestone\SS\Model</v>
      </c>
      <c r="I14" s="5" t="s">
        <v>1285</v>
      </c>
      <c r="J14" s="5"/>
      <c r="K14" s="5"/>
      <c r="L14" s="5"/>
      <c r="M14" s="32">
        <f>ResourceTable[No]</f>
        <v>305112</v>
      </c>
    </row>
    <row r="15" spans="1:26" x14ac:dyDescent="0.25">
      <c r="A15" s="8" t="str">
        <f>Page&amp;"-"&amp;(COUNTA($E$1:ResourceTable[[#This Row],[Name]])-2)</f>
        <v>Resources-13</v>
      </c>
      <c r="B15" s="30" t="str">
        <f>ResourceTable[[#This Row],[Name]]</f>
        <v>UserStoreArea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1301</v>
      </c>
      <c r="F15" s="5" t="s">
        <v>1343</v>
      </c>
      <c r="G15" s="5" t="s">
        <v>1323</v>
      </c>
      <c r="H15" s="8" t="str">
        <f t="shared" si="1"/>
        <v>Milestone\SS\Model</v>
      </c>
      <c r="I15" s="5" t="s">
        <v>759</v>
      </c>
      <c r="J15" s="5"/>
      <c r="K15" s="5"/>
      <c r="L15" s="5"/>
      <c r="M15" s="32">
        <f>ResourceTable[No]</f>
        <v>305113</v>
      </c>
    </row>
    <row r="16" spans="1:26" x14ac:dyDescent="0.25">
      <c r="A16" s="8" t="str">
        <f>Page&amp;"-"&amp;(COUNTA($E$1:ResourceTable[[#This Row],[Name]])-2)</f>
        <v>Resources-14</v>
      </c>
      <c r="B16" s="30" t="str">
        <f>ResourceTable[[#This Row],[Name]]</f>
        <v>StoreProduct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1302</v>
      </c>
      <c r="F16" s="5" t="s">
        <v>1344</v>
      </c>
      <c r="G16" s="5" t="s">
        <v>1324</v>
      </c>
      <c r="H16" s="8" t="str">
        <f t="shared" si="1"/>
        <v>Milestone\SS\Model</v>
      </c>
      <c r="I16" s="5" t="s">
        <v>762</v>
      </c>
      <c r="J16" s="5"/>
      <c r="K16" s="5"/>
      <c r="L16" s="5"/>
      <c r="M16" s="32">
        <f>ResourceTable[No]</f>
        <v>305114</v>
      </c>
    </row>
    <row r="17" spans="1:13" x14ac:dyDescent="0.25">
      <c r="A17" s="8" t="str">
        <f>Page&amp;"-"&amp;(COUNTA($E$1:ResourceTable[[#This Row],[Name]])-2)</f>
        <v>Resources-15</v>
      </c>
      <c r="B17" s="30" t="str">
        <f>ResourceTable[[#This Row],[Name]]</f>
        <v>ProductTransactionNature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1303</v>
      </c>
      <c r="F17" s="5" t="s">
        <v>1345</v>
      </c>
      <c r="G17" s="5" t="s">
        <v>1325</v>
      </c>
      <c r="H17" s="8" t="str">
        <f t="shared" si="1"/>
        <v>Milestone\SS\Model</v>
      </c>
      <c r="I17" s="5" t="s">
        <v>839</v>
      </c>
      <c r="J17" s="5"/>
      <c r="K17" s="5"/>
      <c r="L17" s="5"/>
      <c r="M17" s="32">
        <f>ResourceTable[No]</f>
        <v>305115</v>
      </c>
    </row>
    <row r="18" spans="1:13" x14ac:dyDescent="0.25">
      <c r="A18" s="8" t="str">
        <f>Page&amp;"-"&amp;(COUNTA($E$1:ResourceTable[[#This Row],[Name]])-2)</f>
        <v>Resources-16</v>
      </c>
      <c r="B18" s="30" t="str">
        <f>ResourceTable[[#This Row],[Name]]</f>
        <v>ProductTransactionType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1304</v>
      </c>
      <c r="F18" s="5" t="s">
        <v>1346</v>
      </c>
      <c r="G18" s="5" t="s">
        <v>1326</v>
      </c>
      <c r="H18" s="8" t="str">
        <f t="shared" si="1"/>
        <v>Milestone\SS\Model</v>
      </c>
      <c r="I18" s="5" t="s">
        <v>846</v>
      </c>
      <c r="J18" s="5"/>
      <c r="K18" s="5"/>
      <c r="L18" s="5"/>
      <c r="M18" s="32">
        <f>ResourceTable[No]</f>
        <v>305116</v>
      </c>
    </row>
    <row r="19" spans="1:13" x14ac:dyDescent="0.25">
      <c r="A19" s="8" t="str">
        <f>Page&amp;"-"&amp;(COUNTA($E$1:ResourceTable[[#This Row],[Name]])-2)</f>
        <v>Resources-17</v>
      </c>
      <c r="B19" s="30" t="str">
        <f>ResourceTable[[#This Row],[Name]]</f>
        <v>StoreProductTransaction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1305</v>
      </c>
      <c r="F19" s="5" t="s">
        <v>1347</v>
      </c>
      <c r="G19" s="5" t="s">
        <v>1327</v>
      </c>
      <c r="H19" s="8" t="str">
        <f t="shared" si="1"/>
        <v>Milestone\SS\Model</v>
      </c>
      <c r="I19" s="5" t="s">
        <v>765</v>
      </c>
      <c r="J19" s="5"/>
      <c r="K19" s="5"/>
      <c r="L19" s="5"/>
      <c r="M19" s="32">
        <f>ResourceTable[No]</f>
        <v>305117</v>
      </c>
    </row>
    <row r="20" spans="1:13" x14ac:dyDescent="0.25">
      <c r="A20" s="8" t="str">
        <f>Page&amp;"-"&amp;(COUNTA($E$1:ResourceTable[[#This Row],[Name]])-2)</f>
        <v>Resources-18</v>
      </c>
      <c r="B20" s="30" t="str">
        <f>ResourceTable[[#This Row],[Name]]</f>
        <v>Transaction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1306</v>
      </c>
      <c r="F20" s="5" t="s">
        <v>1348</v>
      </c>
      <c r="G20" s="5" t="s">
        <v>1328</v>
      </c>
      <c r="H20" s="8" t="str">
        <f t="shared" si="1"/>
        <v>Milestone\SS\Model</v>
      </c>
      <c r="I20" s="5" t="s">
        <v>909</v>
      </c>
      <c r="J20" s="5"/>
      <c r="K20" s="5"/>
      <c r="L20" s="5"/>
      <c r="M20" s="32">
        <f>ResourceTable[No]</f>
        <v>305118</v>
      </c>
    </row>
    <row r="21" spans="1:13" x14ac:dyDescent="0.25">
      <c r="A21" s="8" t="str">
        <f>Page&amp;"-"&amp;(COUNTA($E$1:ResourceTable[[#This Row],[Name]])-2)</f>
        <v>Resources-19</v>
      </c>
      <c r="B21" s="30" t="str">
        <f>ResourceTable[[#This Row],[Name]]</f>
        <v>TransactionDetail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1307</v>
      </c>
      <c r="F21" s="5" t="s">
        <v>1349</v>
      </c>
      <c r="G21" s="5" t="s">
        <v>1329</v>
      </c>
      <c r="H21" s="8" t="str">
        <f t="shared" si="1"/>
        <v>Milestone\SS\Model</v>
      </c>
      <c r="I21" s="5" t="s">
        <v>910</v>
      </c>
      <c r="J21" s="5"/>
      <c r="K21" s="5"/>
      <c r="L21" s="5"/>
      <c r="M21" s="32">
        <f>ResourceTable[No]</f>
        <v>305119</v>
      </c>
    </row>
    <row r="22" spans="1:13" x14ac:dyDescent="0.25">
      <c r="A22" s="8" t="str">
        <f>Page&amp;"-"&amp;(COUNTA($E$1:ResourceTable[[#This Row],[Name]])-2)</f>
        <v>Resources-20</v>
      </c>
      <c r="B22" s="30" t="str">
        <f>ResourceTable[[#This Row],[Name]]</f>
        <v>DData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1308</v>
      </c>
      <c r="F22" s="5" t="s">
        <v>1350</v>
      </c>
      <c r="G22" s="5" t="s">
        <v>1330</v>
      </c>
      <c r="H22" s="8" t="str">
        <f t="shared" si="1"/>
        <v>Milestone\SS\Model</v>
      </c>
      <c r="I22" s="5" t="s">
        <v>1066</v>
      </c>
      <c r="J22" s="5"/>
      <c r="K22" s="5"/>
      <c r="L22" s="5"/>
      <c r="M22" s="32">
        <f>ResourceTable[No]</f>
        <v>305120</v>
      </c>
    </row>
    <row r="23" spans="1:13" x14ac:dyDescent="0.25">
      <c r="A23" s="8" t="str">
        <f>Page&amp;"-"&amp;(COUNTA($E$1:ResourceTable[[#This Row],[Name]])-2)</f>
        <v>Resources-21</v>
      </c>
      <c r="B23" s="30" t="str">
        <f>ResourceTable[[#This Row],[Name]]</f>
        <v>SalesOrder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1309</v>
      </c>
      <c r="F23" s="5" t="s">
        <v>1351</v>
      </c>
      <c r="G23" s="5" t="s">
        <v>1331</v>
      </c>
      <c r="H23" s="8" t="str">
        <f t="shared" si="1"/>
        <v>Milestone\SS\Model</v>
      </c>
      <c r="I23" s="5" t="s">
        <v>961</v>
      </c>
      <c r="J23" s="5"/>
      <c r="K23" s="5"/>
      <c r="L23" s="5"/>
      <c r="M23" s="32">
        <f>ResourceTable[No]</f>
        <v>305121</v>
      </c>
    </row>
    <row r="24" spans="1:13" x14ac:dyDescent="0.25">
      <c r="A24" s="8" t="str">
        <f>Page&amp;"-"&amp;(COUNTA($E$1:ResourceTable[[#This Row],[Name]])-2)</f>
        <v>Resources-22</v>
      </c>
      <c r="B24" s="30" t="str">
        <f>ResourceTable[[#This Row],[Name]]</f>
        <v>SalesOrderItem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1310</v>
      </c>
      <c r="F24" s="5" t="s">
        <v>1352</v>
      </c>
      <c r="G24" s="5" t="s">
        <v>1332</v>
      </c>
      <c r="H24" s="8" t="str">
        <f t="shared" si="1"/>
        <v>Milestone\SS\Model</v>
      </c>
      <c r="I24" s="5" t="s">
        <v>962</v>
      </c>
      <c r="J24" s="5"/>
      <c r="K24" s="5"/>
      <c r="L24" s="5"/>
      <c r="M24" s="32">
        <f>ResourceTable[No]</f>
        <v>305122</v>
      </c>
    </row>
    <row r="25" spans="1:13" x14ac:dyDescent="0.25">
      <c r="A25" s="8" t="str">
        <f>Page&amp;"-"&amp;(COUNTA($E$1:ResourceTable[[#This Row],[Name]])-2)</f>
        <v>Resources-23</v>
      </c>
      <c r="B25" s="30" t="str">
        <f>ResourceTable[[#This Row],[Name]]</f>
        <v>StockTransfer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1311</v>
      </c>
      <c r="F25" s="5" t="s">
        <v>1353</v>
      </c>
      <c r="G25" s="5" t="s">
        <v>1333</v>
      </c>
      <c r="H25" s="8" t="str">
        <f t="shared" si="1"/>
        <v>Milestone\SS\Model</v>
      </c>
      <c r="I25" s="5" t="s">
        <v>917</v>
      </c>
      <c r="J25" s="5"/>
      <c r="K25" s="5"/>
      <c r="L25" s="5"/>
      <c r="M25" s="32">
        <f>ResourceTable[No]</f>
        <v>305123</v>
      </c>
    </row>
    <row r="26" spans="1:13" x14ac:dyDescent="0.25">
      <c r="A26" s="8" t="str">
        <f>Page&amp;"-"&amp;(COUNTA($E$1:ResourceTable[[#This Row],[Name]])-2)</f>
        <v>Resources-24</v>
      </c>
      <c r="B26" s="30" t="str">
        <f>ResourceTable[[#This Row],[Name]]</f>
        <v>WBin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1312</v>
      </c>
      <c r="F26" s="5" t="s">
        <v>1354</v>
      </c>
      <c r="G26" s="5" t="s">
        <v>1334</v>
      </c>
      <c r="H26" s="8" t="str">
        <f t="shared" si="1"/>
        <v>Milestone\SS\Model</v>
      </c>
      <c r="I26" s="5" t="s">
        <v>893</v>
      </c>
      <c r="J26" s="5"/>
      <c r="K26" s="5"/>
      <c r="L26" s="5"/>
      <c r="M26" s="32">
        <f>ResourceTable[No]</f>
        <v>305124</v>
      </c>
    </row>
    <row r="27" spans="1:13" x14ac:dyDescent="0.25">
      <c r="A27" s="7" t="str">
        <f>Page&amp;"-"&amp;(COUNTA($E$1:ResourceTable[[#This Row],[Name]])-2)</f>
        <v>Resources-25</v>
      </c>
      <c r="B27" s="60" t="str">
        <f>ResourceTable[[#This Row],[Name]]</f>
        <v>Receipt</v>
      </c>
      <c r="C27" s="58">
        <f>COUNTA($A$1:ResourceTable[[#This Row],[Primary]])-2</f>
        <v>25</v>
      </c>
      <c r="D27" s="58">
        <f>IF(ResourceTable[[#This Row],[RID]]=0,"id",ResourceTable[[#This Row],[RID]]+IF(ISNUMBER(VLOOKUP(Page,SeedMap[],9,0)),VLOOKUP(Page,SeedMap[],9,0),0))</f>
        <v>305125</v>
      </c>
      <c r="E27" s="4" t="s">
        <v>1770</v>
      </c>
      <c r="F27" s="4" t="s">
        <v>1784</v>
      </c>
      <c r="G27" s="4" t="s">
        <v>1784</v>
      </c>
      <c r="H27" s="7" t="str">
        <f>"Milestone\SS\Model"</f>
        <v>Milestone\SS\Model</v>
      </c>
      <c r="I27" s="4" t="s">
        <v>1736</v>
      </c>
      <c r="J27" s="4"/>
      <c r="K27" s="4"/>
      <c r="L27" s="4"/>
      <c r="M27" s="58">
        <f>ResourceTable[No]</f>
        <v>305125</v>
      </c>
    </row>
    <row r="28" spans="1:13" x14ac:dyDescent="0.25">
      <c r="A28" s="7" t="str">
        <f>Page&amp;"-"&amp;(COUNTA($E$1:ResourceTable[[#This Row],[Name]])-2)</f>
        <v>Resources-26</v>
      </c>
      <c r="B28" s="60" t="str">
        <f>ResourceTable[[#This Row],[Name]]</f>
        <v>FnReserve</v>
      </c>
      <c r="C28" s="58">
        <f>COUNTA($A$1:ResourceTable[[#This Row],[Primary]])-2</f>
        <v>26</v>
      </c>
      <c r="D28" s="58">
        <f>IF(ResourceTable[[#This Row],[RID]]=0,"id",ResourceTable[[#This Row],[RID]]+IF(ISNUMBER(VLOOKUP(Page,SeedMap[],9,0)),VLOOKUP(Page,SeedMap[],9,0),0))</f>
        <v>305126</v>
      </c>
      <c r="E28" s="4" t="s">
        <v>1785</v>
      </c>
      <c r="F28" s="4" t="s">
        <v>1786</v>
      </c>
      <c r="G28" s="4" t="s">
        <v>1786</v>
      </c>
      <c r="H28" s="7" t="str">
        <f>"Milestone\SS\Model"</f>
        <v>Milestone\SS\Model</v>
      </c>
      <c r="I28" s="4" t="s">
        <v>1771</v>
      </c>
      <c r="J28" s="4"/>
      <c r="K28" s="4"/>
      <c r="L28" s="4"/>
      <c r="M28" s="58">
        <f>ResourceTable[No]</f>
        <v>305126</v>
      </c>
    </row>
    <row r="29" spans="1:13" x14ac:dyDescent="0.25">
      <c r="A29" s="7" t="str">
        <f>Page&amp;"-"&amp;(COUNTA($E$1:ResourceTable[[#This Row],[Name]])-2)</f>
        <v>Resources-27</v>
      </c>
      <c r="B29" s="60" t="str">
        <f>ResourceTable[[#This Row],[Name]]</f>
        <v>SalesOrderSale</v>
      </c>
      <c r="C29" s="58">
        <f>COUNTA($A$1:ResourceTable[[#This Row],[Primary]])-2</f>
        <v>27</v>
      </c>
      <c r="D29" s="58">
        <f>IF(ResourceTable[[#This Row],[RID]]=0,"id",ResourceTable[[#This Row],[RID]]+IF(ISNUMBER(VLOOKUP(Page,SeedMap[],9,0)),VLOOKUP(Page,SeedMap[],9,0),0))</f>
        <v>305127</v>
      </c>
      <c r="E29" s="4" t="s">
        <v>1798</v>
      </c>
      <c r="F29" s="4" t="s">
        <v>1799</v>
      </c>
      <c r="G29" s="4" t="s">
        <v>1800</v>
      </c>
      <c r="H29" s="7" t="str">
        <f>"Milestone\SS\Model"</f>
        <v>Milestone\SS\Model</v>
      </c>
      <c r="I29" s="4" t="s">
        <v>1793</v>
      </c>
      <c r="J29" s="4"/>
      <c r="K29" s="4"/>
      <c r="L29" s="4"/>
      <c r="M29" s="58">
        <f>ResourceTable[No]</f>
        <v>305127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E1" workbookViewId="0">
      <selection activeCell="E3" sqref="E3"/>
    </sheetView>
  </sheetViews>
  <sheetFormatPr defaultRowHeight="15" x14ac:dyDescent="0.2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 x14ac:dyDescent="0.25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 x14ac:dyDescent="0.25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Row],[No]]="id","resource",VLOOKUP(RelationTable[Resource],CHOOSE({1,2},ResourceTable[Name],ResourceTable[No]),2,0))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RelationTable[RELID]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 x14ac:dyDescent="0.25">
      <c r="A3" s="61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Pricelist/Items</v>
      </c>
      <c r="D3" s="60">
        <f>RelationTable[[#This Row],[No]]</f>
        <v>308101</v>
      </c>
      <c r="E3" s="7" t="s">
        <v>1295</v>
      </c>
      <c r="F3" s="7" t="s">
        <v>1296</v>
      </c>
      <c r="G3" s="60">
        <f>RelationTable[[#This Row],[No]]</f>
        <v>308101</v>
      </c>
      <c r="H3" s="60">
        <f>IF(RelationTable[[#This Row],[No]]="id","resource",VLOOKUP(RelationTable[Resource],CHOOSE({1,2},ResourceTable[Name],ResourceTable[No]),2,0))</f>
        <v>305107</v>
      </c>
      <c r="I3" s="60" t="s">
        <v>1356</v>
      </c>
      <c r="J3" s="60" t="s">
        <v>1358</v>
      </c>
      <c r="K3" s="60" t="s">
        <v>1356</v>
      </c>
      <c r="L3" s="30" t="s">
        <v>1355</v>
      </c>
      <c r="M3" s="62">
        <f>VLOOKUP(RelationTable[Relate Resource],CHOOSE({1,2},ResourceTable[Name],ResourceTable[No]),2,0)</f>
        <v>305108</v>
      </c>
      <c r="N3" s="63">
        <f>RelationTable[RELID]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1544</v>
      </c>
      <c r="V3" s="4" t="s">
        <v>1545</v>
      </c>
      <c r="W3" s="4" t="s">
        <v>1546</v>
      </c>
    </row>
    <row r="4" spans="1:23" x14ac:dyDescent="0.25">
      <c r="A4" s="61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PricelistProduct/Pricelist</v>
      </c>
      <c r="D4" s="60">
        <f>RelationTable[[#This Row],[No]]</f>
        <v>308102</v>
      </c>
      <c r="E4" s="7" t="s">
        <v>1296</v>
      </c>
      <c r="F4" s="7" t="s">
        <v>1295</v>
      </c>
      <c r="G4" s="60">
        <f>RelationTable[[#This Row],[No]]</f>
        <v>308102</v>
      </c>
      <c r="H4" s="60">
        <f>IF(RelationTable[[#This Row],[No]]="id","resource",VLOOKUP(RelationTable[Resource],CHOOSE({1,2},ResourceTable[Name],ResourceTable[No]),2,0))</f>
        <v>305108</v>
      </c>
      <c r="I4" s="60" t="s">
        <v>1295</v>
      </c>
      <c r="J4" s="60" t="s">
        <v>1357</v>
      </c>
      <c r="K4" s="60" t="s">
        <v>1295</v>
      </c>
      <c r="L4" s="60" t="s">
        <v>1363</v>
      </c>
      <c r="M4" s="62">
        <f>VLOOKUP(RelationTable[Relate Resource],CHOOSE({1,2},ResourceTable[Name],ResourceTable[No]),2,0)</f>
        <v>305107</v>
      </c>
      <c r="N4" s="63">
        <f>RelationTable[RELID]</f>
        <v>308102</v>
      </c>
      <c r="P4" s="7" t="str">
        <f>'Table Seed Map'!$A$9&amp;"-"&amp;COUNTA($Q$1:ResourceScopes[[#This Row],[Resource for Scope]])-1</f>
        <v>Resource Scopes-2</v>
      </c>
      <c r="Q4" s="4" t="s">
        <v>1301</v>
      </c>
      <c r="R4" s="7" t="str">
        <f>ResourceScopes[[#This Row],[Resource for Scope]]&amp;"/"&amp;ResourceScopes[[#This Row],[Name]]</f>
        <v>UserStoreArea/Assigned</v>
      </c>
      <c r="S4" s="60">
        <f>IF(ResourceScopes[[#This Row],[Resource for Scope]]="","id",-1+COUNTA($Q$1:ResourceScopes[[#This Row],[Resource for Scope]])+VLOOKUP('Table Seed Map'!$A$9,SeedMap[],9,0))</f>
        <v>307102</v>
      </c>
      <c r="T4" s="60">
        <f>IFERROR(VLOOKUP(ResourceScopes[[#This Row],[Resource for Scope]],CHOOSE({1,2},ResourceTable[Name],ResourceTable[No]),2,0),"resource")</f>
        <v>305113</v>
      </c>
      <c r="U4" s="4" t="s">
        <v>1704</v>
      </c>
      <c r="V4" s="4" t="s">
        <v>1705</v>
      </c>
      <c r="W4" s="4" t="s">
        <v>1706</v>
      </c>
    </row>
    <row r="5" spans="1:23" x14ac:dyDescent="0.25">
      <c r="A5" s="61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PricelistProduct/Product</v>
      </c>
      <c r="D5" s="60">
        <f>RelationTable[[#This Row],[No]]</f>
        <v>308103</v>
      </c>
      <c r="E5" s="7" t="s">
        <v>1296</v>
      </c>
      <c r="F5" s="7" t="s">
        <v>1294</v>
      </c>
      <c r="G5" s="60">
        <f>RelationTable[[#This Row],[No]]</f>
        <v>308103</v>
      </c>
      <c r="H5" s="60">
        <f>IF(RelationTable[[#This Row],[No]]="id","resource",VLOOKUP(RelationTable[Resource],CHOOSE({1,2},ResourceTable[Name],ResourceTable[No]),2,0))</f>
        <v>305108</v>
      </c>
      <c r="I5" s="60" t="s">
        <v>1294</v>
      </c>
      <c r="J5" s="60" t="s">
        <v>1359</v>
      </c>
      <c r="K5" s="60" t="s">
        <v>1294</v>
      </c>
      <c r="L5" s="60" t="s">
        <v>1363</v>
      </c>
      <c r="M5" s="62">
        <f>VLOOKUP(RelationTable[Relate Resource],CHOOSE({1,2},ResourceTable[Name],ResourceTable[No]),2,0)</f>
        <v>305106</v>
      </c>
      <c r="N5" s="63">
        <f>RelationTable[RELID]</f>
        <v>308103</v>
      </c>
      <c r="P5" s="7" t="str">
        <f>'Table Seed Map'!$A$9&amp;"-"&amp;COUNTA($Q$1:ResourceScopes[[#This Row],[Resource for Scope]])-1</f>
        <v>Resource Scopes-3</v>
      </c>
      <c r="Q5" s="4" t="s">
        <v>1299</v>
      </c>
      <c r="R5" s="7" t="str">
        <f>ResourceScopes[[#This Row],[Resource for Scope]]&amp;"/"&amp;ResourceScopes[[#This Row],[Name]]</f>
        <v>AreaUser/Assigned</v>
      </c>
      <c r="S5" s="60">
        <f>IF(ResourceScopes[[#This Row],[Resource for Scope]]="","id",-1+COUNTA($Q$1:ResourceScopes[[#This Row],[Resource for Scope]])+VLOOKUP('Table Seed Map'!$A$9,SeedMap[],9,0))</f>
        <v>307103</v>
      </c>
      <c r="T5" s="60">
        <f>IFERROR(VLOOKUP(ResourceScopes[[#This Row],[Resource for Scope]],CHOOSE({1,2},ResourceTable[Name],ResourceTable[No]),2,0),"resource")</f>
        <v>305111</v>
      </c>
      <c r="U5" s="4" t="s">
        <v>1704</v>
      </c>
      <c r="V5" s="4" t="s">
        <v>1710</v>
      </c>
      <c r="W5" s="4" t="s">
        <v>1706</v>
      </c>
    </row>
    <row r="6" spans="1:23" x14ac:dyDescent="0.25">
      <c r="A6" s="61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AreaUser/Area</v>
      </c>
      <c r="D6" s="60">
        <f>RelationTable[[#This Row],[No]]</f>
        <v>308104</v>
      </c>
      <c r="E6" s="7" t="s">
        <v>1299</v>
      </c>
      <c r="F6" s="7" t="s">
        <v>1298</v>
      </c>
      <c r="G6" s="60">
        <f>RelationTable[[#This Row],[No]]</f>
        <v>308104</v>
      </c>
      <c r="H6" s="60">
        <f>IF(RelationTable[[#This Row],[No]]="id","resource",VLOOKUP(RelationTable[Resource],CHOOSE({1,2},ResourceTable[Name],ResourceTable[No]),2,0))</f>
        <v>305111</v>
      </c>
      <c r="I6" s="60" t="s">
        <v>1298</v>
      </c>
      <c r="J6" s="60" t="s">
        <v>1360</v>
      </c>
      <c r="K6" s="60" t="s">
        <v>1298</v>
      </c>
      <c r="L6" s="60" t="s">
        <v>1363</v>
      </c>
      <c r="M6" s="62">
        <f>VLOOKUP(RelationTable[Relate Resource],CHOOSE({1,2},ResourceTable[Name],ResourceTable[No]),2,0)</f>
        <v>305110</v>
      </c>
      <c r="N6" s="63">
        <f>RelationTable[RELID]</f>
        <v>308104</v>
      </c>
      <c r="P6" s="7" t="str">
        <f>'Table Seed Map'!$A$9&amp;"-"&amp;COUNTA($Q$1:ResourceScopes[[#This Row],[Resource for Scope]])-1</f>
        <v>Resource Scopes-4</v>
      </c>
      <c r="Q6" s="4" t="s">
        <v>1309</v>
      </c>
      <c r="R6" s="7" t="str">
        <f>ResourceScopes[[#This Row],[Resource for Scope]]&amp;"/"&amp;ResourceScopes[[#This Row],[Name]]</f>
        <v>SalesOrder/AssignedAreaCustomer</v>
      </c>
      <c r="S6" s="60">
        <f>IF(ResourceScopes[[#This Row],[Resource for Scope]]="","id",-1+COUNTA($Q$1:ResourceScopes[[#This Row],[Resource for Scope]])+VLOOKUP('Table Seed Map'!$A$9,SeedMap[],9,0))</f>
        <v>307104</v>
      </c>
      <c r="T6" s="60">
        <f>IFERROR(VLOOKUP(ResourceScopes[[#This Row],[Resource for Scope]],CHOOSE({1,2},ResourceTable[Name],ResourceTable[No]),2,0),"resource")</f>
        <v>305121</v>
      </c>
      <c r="U6" s="4" t="s">
        <v>1717</v>
      </c>
      <c r="V6" s="4" t="s">
        <v>1719</v>
      </c>
      <c r="W6" s="4" t="s">
        <v>1718</v>
      </c>
    </row>
    <row r="7" spans="1:23" x14ac:dyDescent="0.25">
      <c r="A7" s="61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AreaUser/Customer</v>
      </c>
      <c r="D7" s="60">
        <f>RelationTable[[#This Row],[No]]</f>
        <v>308105</v>
      </c>
      <c r="E7" s="7" t="s">
        <v>1299</v>
      </c>
      <c r="F7" s="7" t="s">
        <v>74</v>
      </c>
      <c r="G7" s="60">
        <f>RelationTable[[#This Row],[No]]</f>
        <v>308105</v>
      </c>
      <c r="H7" s="60">
        <f>IF(RelationTable[[#This Row],[No]]="id","resource",VLOOKUP(RelationTable[Resource],CHOOSE({1,2},ResourceTable[Name],ResourceTable[No]),2,0))</f>
        <v>305111</v>
      </c>
      <c r="I7" s="60" t="s">
        <v>1702</v>
      </c>
      <c r="J7" s="60" t="s">
        <v>1711</v>
      </c>
      <c r="K7" s="60" t="s">
        <v>1702</v>
      </c>
      <c r="L7" s="60" t="s">
        <v>1363</v>
      </c>
      <c r="M7" s="62">
        <f>VLOOKUP(RelationTable[Relate Resource],CHOOSE({1,2},ResourceTable[Name],ResourceTable[No]),2,0)</f>
        <v>305101</v>
      </c>
      <c r="N7" s="63">
        <f>RelationTable[RELID]</f>
        <v>308105</v>
      </c>
      <c r="P7" s="7" t="str">
        <f>'Table Seed Map'!$A$9&amp;"-"&amp;COUNTA($Q$1:ResourceScopes[[#This Row],[Resource for Scope]])-1</f>
        <v>Resource Scopes-5</v>
      </c>
      <c r="Q7" s="4" t="s">
        <v>1306</v>
      </c>
      <c r="R7" s="7" t="str">
        <f>ResourceScopes[[#This Row],[Resource for Scope]]&amp;"/"&amp;ResourceScopes[[#This Row],[Name]]</f>
        <v>Transaction/AssignedCustomerTransactions</v>
      </c>
      <c r="S7" s="60">
        <f>IF(ResourceScopes[[#This Row],[Resource for Scope]]="","id",-1+COUNTA($Q$1:ResourceScopes[[#This Row],[Resource for Scope]])+VLOOKUP('Table Seed Map'!$A$9,SeedMap[],9,0))</f>
        <v>307105</v>
      </c>
      <c r="T7" s="60">
        <f>IFERROR(VLOOKUP(ResourceScopes[[#This Row],[Resource for Scope]],CHOOSE({1,2},ResourceTable[Name],ResourceTable[No]),2,0),"resource")</f>
        <v>305118</v>
      </c>
      <c r="U7" s="4" t="s">
        <v>1722</v>
      </c>
      <c r="V7" s="4" t="s">
        <v>1723</v>
      </c>
      <c r="W7" s="4" t="s">
        <v>1724</v>
      </c>
    </row>
    <row r="8" spans="1:23" x14ac:dyDescent="0.25">
      <c r="A8" s="61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Area/User</v>
      </c>
      <c r="D8" s="60">
        <f>RelationTable[[#This Row],[No]]</f>
        <v>308106</v>
      </c>
      <c r="E8" s="7" t="s">
        <v>1298</v>
      </c>
      <c r="F8" s="7" t="s">
        <v>74</v>
      </c>
      <c r="G8" s="60">
        <f>RelationTable[[#This Row],[No]]</f>
        <v>308106</v>
      </c>
      <c r="H8" s="60">
        <f>IF(RelationTable[[#This Row],[No]]="id","resource",VLOOKUP(RelationTable[Resource],CHOOSE({1,2},ResourceTable[Name],ResourceTable[No]),2,0))</f>
        <v>305110</v>
      </c>
      <c r="I8" s="60" t="s">
        <v>74</v>
      </c>
      <c r="J8" s="60" t="s">
        <v>1362</v>
      </c>
      <c r="K8" s="60" t="s">
        <v>74</v>
      </c>
      <c r="L8" s="60" t="s">
        <v>1364</v>
      </c>
      <c r="M8" s="62">
        <f>VLOOKUP(RelationTable[Relate Resource],CHOOSE({1,2},ResourceTable[Name],ResourceTable[No]),2,0)</f>
        <v>305101</v>
      </c>
      <c r="N8" s="63">
        <f>RelationTable[RELID]</f>
        <v>308106</v>
      </c>
      <c r="P8" s="7" t="str">
        <f>'Table Seed Map'!$A$9&amp;"-"&amp;COUNTA($Q$1:ResourceScopes[[#This Row],[Resource for Scope]])-1</f>
        <v>Resource Scopes-6</v>
      </c>
      <c r="Q8" s="4" t="s">
        <v>1770</v>
      </c>
      <c r="R8" s="7" t="str">
        <f>ResourceScopes[[#This Row],[Resource for Scope]]&amp;"/"&amp;ResourceScopes[[#This Row],[Name]]</f>
        <v>Receipt/AssignedCustomerReceipts</v>
      </c>
      <c r="S8" s="60">
        <f>IF(ResourceScopes[[#This Row],[Resource for Scope]]="","id",-1+COUNTA($Q$1:ResourceScopes[[#This Row],[Resource for Scope]])+VLOOKUP('Table Seed Map'!$A$9,SeedMap[],9,0))</f>
        <v>307106</v>
      </c>
      <c r="T8" s="60">
        <f>IFERROR(VLOOKUP(ResourceScopes[[#This Row],[Resource for Scope]],CHOOSE({1,2},ResourceTable[Name],ResourceTable[No]),2,0),"resource")</f>
        <v>305125</v>
      </c>
      <c r="U8" s="4" t="s">
        <v>1787</v>
      </c>
      <c r="V8" s="4" t="s">
        <v>1788</v>
      </c>
      <c r="W8" s="4" t="s">
        <v>1789</v>
      </c>
    </row>
    <row r="9" spans="1:23" x14ac:dyDescent="0.25">
      <c r="A9" s="61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Setting/Users</v>
      </c>
      <c r="D9" s="60">
        <f>RelationTable[[#This Row],[No]]</f>
        <v>308107</v>
      </c>
      <c r="E9" s="7" t="s">
        <v>1291</v>
      </c>
      <c r="F9" s="7" t="s">
        <v>1300</v>
      </c>
      <c r="G9" s="60">
        <f>RelationTable[[#This Row],[No]]</f>
        <v>308107</v>
      </c>
      <c r="H9" s="60">
        <f>IF(RelationTable[[#This Row],[No]]="id","resource",VLOOKUP(RelationTable[Resource],CHOOSE({1,2},ResourceTable[Name],ResourceTable[No]),2,0))</f>
        <v>305103</v>
      </c>
      <c r="I9" s="60" t="s">
        <v>78</v>
      </c>
      <c r="J9" s="60" t="s">
        <v>1490</v>
      </c>
      <c r="K9" s="60" t="s">
        <v>78</v>
      </c>
      <c r="L9" s="60" t="s">
        <v>1355</v>
      </c>
      <c r="M9" s="62">
        <f>VLOOKUP(RelationTable[Relate Resource],CHOOSE({1,2},ResourceTable[Name],ResourceTable[No]),2,0)</f>
        <v>305112</v>
      </c>
      <c r="N9" s="63">
        <f>RelationTable[RELID]</f>
        <v>308107</v>
      </c>
      <c r="P9" s="7" t="str">
        <f>'Table Seed Map'!$A$9&amp;"-"&amp;COUNTA($Q$1:ResourceScopes[[#This Row],[Resource for Scope]])-1</f>
        <v>Resource Scopes-7</v>
      </c>
      <c r="Q9" s="4" t="s">
        <v>1798</v>
      </c>
      <c r="R9" s="7" t="str">
        <f>ResourceScopes[[#This Row],[Resource for Scope]]&amp;"/"&amp;ResourceScopes[[#This Row],[Name]]</f>
        <v>SalesOrderSale/AssignedCustomerSalesOrder</v>
      </c>
      <c r="S9" s="60">
        <f>IF(ResourceScopes[[#This Row],[Resource for Scope]]="","id",-1+COUNTA($Q$1:ResourceScopes[[#This Row],[Resource for Scope]])+VLOOKUP('Table Seed Map'!$A$9,SeedMap[],9,0))</f>
        <v>307107</v>
      </c>
      <c r="T9" s="60">
        <f>IFERROR(VLOOKUP(ResourceScopes[[#This Row],[Resource for Scope]],CHOOSE({1,2},ResourceTable[Name],ResourceTable[No]),2,0),"resource")</f>
        <v>305127</v>
      </c>
      <c r="U9" s="4" t="s">
        <v>1803</v>
      </c>
      <c r="V9" s="4" t="s">
        <v>1804</v>
      </c>
      <c r="W9" s="4" t="s">
        <v>1805</v>
      </c>
    </row>
    <row r="10" spans="1:23" x14ac:dyDescent="0.25">
      <c r="A10" s="61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User/Area</v>
      </c>
      <c r="D10" s="60">
        <f>RelationTable[[#This Row],[No]]</f>
        <v>308108</v>
      </c>
      <c r="E10" s="7" t="s">
        <v>74</v>
      </c>
      <c r="F10" s="7" t="s">
        <v>1298</v>
      </c>
      <c r="G10" s="60">
        <f>RelationTable[[#This Row],[No]]</f>
        <v>308108</v>
      </c>
      <c r="H10" s="60">
        <f>IF(RelationTable[[#This Row],[No]]="id","resource",VLOOKUP(RelationTable[Resource],CHOOSE({1,2},ResourceTable[Name],ResourceTable[No]),2,0))</f>
        <v>305101</v>
      </c>
      <c r="I10" s="60" t="s">
        <v>1298</v>
      </c>
      <c r="J10" s="60" t="s">
        <v>1360</v>
      </c>
      <c r="K10" s="60" t="s">
        <v>1298</v>
      </c>
      <c r="L10" s="60" t="s">
        <v>1364</v>
      </c>
      <c r="M10" s="62">
        <f>VLOOKUP(RelationTable[Relate Resource],CHOOSE({1,2},ResourceTable[Name],ResourceTable[No]),2,0)</f>
        <v>305110</v>
      </c>
      <c r="N10" s="63">
        <f>RelationTable[RELID]</f>
        <v>308108</v>
      </c>
      <c r="P10" s="7" t="str">
        <f>'Table Seed Map'!$A$9&amp;"-"&amp;COUNTA($Q$1:ResourceScopes[[#This Row],[Resource for Scope]])-1</f>
        <v>Resource Scopes-8</v>
      </c>
      <c r="Q10" s="4" t="s">
        <v>1306</v>
      </c>
      <c r="R10" s="7" t="str">
        <f>ResourceScopes[[#This Row],[Resource for Scope]]&amp;"/"&amp;ResourceScopes[[#This Row],[Name]]</f>
        <v>Transaction/StockTransferPending</v>
      </c>
      <c r="S10" s="60">
        <f>IF(ResourceScopes[[#This Row],[Resource for Scope]]="","id",-1+COUNTA($Q$1:ResourceScopes[[#This Row],[Resource for Scope]])+VLOOKUP('Table Seed Map'!$A$9,SeedMap[],9,0))</f>
        <v>307108</v>
      </c>
      <c r="T10" s="60">
        <f>IFERROR(VLOOKUP(ResourceScopes[[#This Row],[Resource for Scope]],CHOOSE({1,2},ResourceTable[Name],ResourceTable[No]),2,0),"resource")</f>
        <v>305118</v>
      </c>
      <c r="U10" s="4" t="s">
        <v>1843</v>
      </c>
      <c r="V10" s="4" t="s">
        <v>1835</v>
      </c>
      <c r="W10" s="4" t="s">
        <v>1836</v>
      </c>
    </row>
    <row r="11" spans="1:23" x14ac:dyDescent="0.25">
      <c r="A11" s="61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UserSetting/Settings</v>
      </c>
      <c r="D11" s="60">
        <f>RelationTable[[#This Row],[No]]</f>
        <v>308109</v>
      </c>
      <c r="E11" s="7" t="s">
        <v>1300</v>
      </c>
      <c r="F11" s="7" t="s">
        <v>1291</v>
      </c>
      <c r="G11" s="60">
        <f>RelationTable[[#This Row],[No]]</f>
        <v>308109</v>
      </c>
      <c r="H11" s="60">
        <f>IF(RelationTable[[#This Row],[No]]="id","resource",VLOOKUP(RelationTable[Resource],CHOOSE({1,2},ResourceTable[Name],ResourceTable[No]),2,0))</f>
        <v>305112</v>
      </c>
      <c r="I11" s="60" t="s">
        <v>1313</v>
      </c>
      <c r="J11" s="60" t="s">
        <v>1365</v>
      </c>
      <c r="K11" s="60" t="s">
        <v>1313</v>
      </c>
      <c r="L11" s="60" t="s">
        <v>1363</v>
      </c>
      <c r="M11" s="62">
        <f>VLOOKUP(RelationTable[Relate Resource],CHOOSE({1,2},ResourceTable[Name],ResourceTable[No]),2,0)</f>
        <v>305103</v>
      </c>
      <c r="N11" s="63">
        <f>RelationTable[RELID]</f>
        <v>308109</v>
      </c>
      <c r="P11" s="7" t="str">
        <f>'Table Seed Map'!$A$9&amp;"-"&amp;COUNTA($Q$1:ResourceScopes[[#This Row],[Resource for Scope]])-1</f>
        <v>Resource Scopes-9</v>
      </c>
      <c r="Q11" s="4" t="s">
        <v>1311</v>
      </c>
      <c r="R11" s="7" t="str">
        <f>ResourceScopes[[#This Row],[Resource for Scope]]&amp;"/"&amp;ResourceScopes[[#This Row],[Name]]</f>
        <v>StockTransfer/PendingStockTransfer</v>
      </c>
      <c r="S11" s="60">
        <f>IF(ResourceScopes[[#This Row],[Resource for Scope]]="","id",-1+COUNTA($Q$1:ResourceScopes[[#This Row],[Resource for Scope]])+VLOOKUP('Table Seed Map'!$A$9,SeedMap[],9,0))</f>
        <v>307109</v>
      </c>
      <c r="T11" s="60">
        <f>IFERROR(VLOOKUP(ResourceScopes[[#This Row],[Resource for Scope]],CHOOSE({1,2},ResourceTable[Name],ResourceTable[No]),2,0),"resource")</f>
        <v>305123</v>
      </c>
      <c r="U11" s="4" t="s">
        <v>1837</v>
      </c>
      <c r="V11" s="4" t="s">
        <v>1838</v>
      </c>
      <c r="W11" s="4" t="s">
        <v>1839</v>
      </c>
    </row>
    <row r="12" spans="1:23" x14ac:dyDescent="0.25">
      <c r="A12" s="61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User/Settings</v>
      </c>
      <c r="D12" s="60">
        <f>RelationTable[[#This Row],[No]]</f>
        <v>308110</v>
      </c>
      <c r="E12" s="7" t="s">
        <v>74</v>
      </c>
      <c r="F12" s="7" t="s">
        <v>1300</v>
      </c>
      <c r="G12" s="60">
        <f>RelationTable[[#This Row],[No]]</f>
        <v>308110</v>
      </c>
      <c r="H12" s="60">
        <f>IF(RelationTable[[#This Row],[No]]="id","resource",VLOOKUP(RelationTable[Resource],CHOOSE({1,2},ResourceTable[Name],ResourceTable[No]),2,0))</f>
        <v>305101</v>
      </c>
      <c r="I12" s="60" t="s">
        <v>1313</v>
      </c>
      <c r="J12" s="60" t="s">
        <v>1366</v>
      </c>
      <c r="K12" s="60" t="s">
        <v>1313</v>
      </c>
      <c r="L12" s="60" t="s">
        <v>1355</v>
      </c>
      <c r="M12" s="62">
        <f>VLOOKUP(RelationTable[Relate Resource],CHOOSE({1,2},ResourceTable[Name],ResourceTable[No]),2,0)</f>
        <v>305112</v>
      </c>
      <c r="N12" s="63">
        <f>RelationTable[RELID]</f>
        <v>308110</v>
      </c>
      <c r="P12" s="7" t="str">
        <f>'Table Seed Map'!$A$9&amp;"-"&amp;COUNTA($Q$1:ResourceScopes[[#This Row],[Resource for Scope]])-1</f>
        <v>Resource Scopes-10</v>
      </c>
      <c r="Q12" s="4" t="s">
        <v>1305</v>
      </c>
      <c r="R12" s="7" t="str">
        <f>ResourceScopes[[#This Row],[Resource for Scope]]&amp;"/"&amp;ResourceScopes[[#This Row],[Name]]</f>
        <v>StoreProductTransaction/PendingStockTransferOut</v>
      </c>
      <c r="S12" s="60">
        <f>IF(ResourceScopes[[#This Row],[Resource for Scope]]="","id",-1+COUNTA($Q$1:ResourceScopes[[#This Row],[Resource for Scope]])+VLOOKUP('Table Seed Map'!$A$9,SeedMap[],9,0))</f>
        <v>307110</v>
      </c>
      <c r="T12" s="60">
        <f>IFERROR(VLOOKUP(ResourceScopes[[#This Row],[Resource for Scope]],CHOOSE({1,2},ResourceTable[Name],ResourceTable[No]),2,0),"resource")</f>
        <v>305117</v>
      </c>
      <c r="U12" s="4" t="s">
        <v>1840</v>
      </c>
      <c r="V12" s="4" t="s">
        <v>1841</v>
      </c>
      <c r="W12" s="4" t="s">
        <v>1842</v>
      </c>
    </row>
    <row r="13" spans="1:23" x14ac:dyDescent="0.25">
      <c r="A13" s="61" t="str">
        <f>Page&amp;"-"&amp;(COUNTA($E$1:RelationTable[[#This Row],[Resource]])-1)</f>
        <v>Resource Relations-11</v>
      </c>
      <c r="B13" s="58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60" t="str">
        <f>RelationTable[[#This Row],[Resource]]&amp;"/"&amp;RelationTable[[#This Row],[Method]]</f>
        <v>UserSetting/User</v>
      </c>
      <c r="D13" s="60">
        <f>RelationTable[[#This Row],[No]]</f>
        <v>308111</v>
      </c>
      <c r="E13" s="7" t="s">
        <v>1300</v>
      </c>
      <c r="F13" s="7" t="s">
        <v>74</v>
      </c>
      <c r="G13" s="60">
        <f>RelationTable[[#This Row],[No]]</f>
        <v>308111</v>
      </c>
      <c r="H13" s="60">
        <f>IF(RelationTable[[#This Row],[No]]="id","resource",VLOOKUP(RelationTable[Resource],CHOOSE({1,2},ResourceTable[Name],ResourceTable[No]),2,0))</f>
        <v>305112</v>
      </c>
      <c r="I13" s="60" t="s">
        <v>74</v>
      </c>
      <c r="J13" s="60" t="s">
        <v>1491</v>
      </c>
      <c r="K13" s="60" t="s">
        <v>74</v>
      </c>
      <c r="L13" s="60" t="s">
        <v>1363</v>
      </c>
      <c r="M13" s="62">
        <f>VLOOKUP(RelationTable[Relate Resource],CHOOSE({1,2},ResourceTable[Name],ResourceTable[No]),2,0)</f>
        <v>305101</v>
      </c>
      <c r="N13" s="63">
        <f>RelationTable[RELID]</f>
        <v>308111</v>
      </c>
    </row>
    <row r="14" spans="1:23" x14ac:dyDescent="0.25">
      <c r="A14" s="61" t="str">
        <f>Page&amp;"-"&amp;(COUNTA($E$1:RelationTable[[#This Row],[Resource]])-1)</f>
        <v>Resource Relations-12</v>
      </c>
      <c r="B14" s="58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60" t="str">
        <f>RelationTable[[#This Row],[Resource]]&amp;"/"&amp;RelationTable[[#This Row],[Method]]</f>
        <v>User/StoreAndArea</v>
      </c>
      <c r="D14" s="60">
        <f>RelationTable[[#This Row],[No]]</f>
        <v>308112</v>
      </c>
      <c r="E14" s="7" t="s">
        <v>74</v>
      </c>
      <c r="F14" s="7" t="s">
        <v>1301</v>
      </c>
      <c r="G14" s="60">
        <f>RelationTable[[#This Row],[No]]</f>
        <v>308112</v>
      </c>
      <c r="H14" s="60">
        <f>IF(RelationTable[[#This Row],[No]]="id","resource",VLOOKUP(RelationTable[Resource],CHOOSE({1,2},ResourceTable[Name],ResourceTable[No]),2,0))</f>
        <v>305101</v>
      </c>
      <c r="I14" s="60" t="s">
        <v>1367</v>
      </c>
      <c r="J14" s="60" t="s">
        <v>1368</v>
      </c>
      <c r="K14" s="60" t="s">
        <v>1367</v>
      </c>
      <c r="L14" s="60" t="s">
        <v>1355</v>
      </c>
      <c r="M14" s="62">
        <f>VLOOKUP(RelationTable[Relate Resource],CHOOSE({1,2},ResourceTable[Name],ResourceTable[No]),2,0)</f>
        <v>305113</v>
      </c>
      <c r="N14" s="63">
        <f>RelationTable[RELID]</f>
        <v>308112</v>
      </c>
    </row>
    <row r="15" spans="1:23" x14ac:dyDescent="0.25">
      <c r="A15" s="61" t="str">
        <f>Page&amp;"-"&amp;(COUNTA($E$1:RelationTable[[#This Row],[Resource]])-1)</f>
        <v>Resource Relations-13</v>
      </c>
      <c r="B15" s="58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60" t="str">
        <f>RelationTable[[#This Row],[Resource]]&amp;"/"&amp;RelationTable[[#This Row],[Method]]</f>
        <v>UserStoreArea/Area</v>
      </c>
      <c r="D15" s="60">
        <f>RelationTable[[#This Row],[No]]</f>
        <v>308113</v>
      </c>
      <c r="E15" s="7" t="s">
        <v>1301</v>
      </c>
      <c r="F15" s="7" t="s">
        <v>1298</v>
      </c>
      <c r="G15" s="60">
        <f>RelationTable[[#This Row],[No]]</f>
        <v>308113</v>
      </c>
      <c r="H15" s="60">
        <f>IF(RelationTable[[#This Row],[No]]="id","resource",VLOOKUP(RelationTable[Resource],CHOOSE({1,2},ResourceTable[Name],ResourceTable[No]),2,0))</f>
        <v>305113</v>
      </c>
      <c r="I15" s="60" t="s">
        <v>1298</v>
      </c>
      <c r="J15" s="60" t="s">
        <v>1369</v>
      </c>
      <c r="K15" s="60" t="s">
        <v>1298</v>
      </c>
      <c r="L15" s="60" t="s">
        <v>1363</v>
      </c>
      <c r="M15" s="62">
        <f>VLOOKUP(RelationTable[Relate Resource],CHOOSE({1,2},ResourceTable[Name],ResourceTable[No]),2,0)</f>
        <v>305110</v>
      </c>
      <c r="N15" s="63">
        <f>RelationTable[RELID]</f>
        <v>308113</v>
      </c>
    </row>
    <row r="16" spans="1:23" x14ac:dyDescent="0.25">
      <c r="A16" s="61" t="str">
        <f>Page&amp;"-"&amp;(COUNTA($E$1:RelationTable[[#This Row],[Resource]])-1)</f>
        <v>Resource Relations-14</v>
      </c>
      <c r="B16" s="58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60" t="str">
        <f>RelationTable[[#This Row],[Resource]]&amp;"/"&amp;RelationTable[[#This Row],[Method]]</f>
        <v>UserStoreArea/Store</v>
      </c>
      <c r="D16" s="60">
        <f>RelationTable[[#This Row],[No]]</f>
        <v>308114</v>
      </c>
      <c r="E16" s="7" t="s">
        <v>1301</v>
      </c>
      <c r="F16" s="7" t="s">
        <v>1297</v>
      </c>
      <c r="G16" s="60">
        <f>RelationTable[[#This Row],[No]]</f>
        <v>308114</v>
      </c>
      <c r="H16" s="60">
        <f>IF(RelationTable[[#This Row],[No]]="id","resource",VLOOKUP(RelationTable[Resource],CHOOSE({1,2},ResourceTable[Name],ResourceTable[No]),2,0))</f>
        <v>305113</v>
      </c>
      <c r="I16" s="60" t="s">
        <v>1297</v>
      </c>
      <c r="J16" s="60" t="s">
        <v>1370</v>
      </c>
      <c r="K16" s="60" t="s">
        <v>1297</v>
      </c>
      <c r="L16" s="60" t="s">
        <v>1363</v>
      </c>
      <c r="M16" s="62">
        <f>VLOOKUP(RelationTable[Relate Resource],CHOOSE({1,2},ResourceTable[Name],ResourceTable[No]),2,0)</f>
        <v>305109</v>
      </c>
      <c r="N16" s="63">
        <f>RelationTable[RELID]</f>
        <v>308114</v>
      </c>
    </row>
    <row r="17" spans="1:14" x14ac:dyDescent="0.25">
      <c r="A17" s="61" t="str">
        <f>Page&amp;"-"&amp;(COUNTA($E$1:RelationTable[[#This Row],[Resource]])-1)</f>
        <v>Resource Relations-15</v>
      </c>
      <c r="B17" s="58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60" t="str">
        <f>RelationTable[[#This Row],[Resource]]&amp;"/"&amp;RelationTable[[#This Row],[Method]]</f>
        <v>UserStoreArea/User</v>
      </c>
      <c r="D17" s="60">
        <f>RelationTable[[#This Row],[No]]</f>
        <v>308115</v>
      </c>
      <c r="E17" s="7" t="s">
        <v>1301</v>
      </c>
      <c r="F17" s="7" t="s">
        <v>74</v>
      </c>
      <c r="G17" s="60">
        <f>RelationTable[[#This Row],[No]]</f>
        <v>308115</v>
      </c>
      <c r="H17" s="60">
        <f>IF(RelationTable[[#This Row],[No]]="id","resource",VLOOKUP(RelationTable[Resource],CHOOSE({1,2},ResourceTable[Name],ResourceTable[No]),2,0))</f>
        <v>305113</v>
      </c>
      <c r="I17" s="60" t="s">
        <v>74</v>
      </c>
      <c r="J17" s="60" t="s">
        <v>1371</v>
      </c>
      <c r="K17" s="60" t="s">
        <v>74</v>
      </c>
      <c r="L17" s="60" t="s">
        <v>1363</v>
      </c>
      <c r="M17" s="62">
        <f>VLOOKUP(RelationTable[Relate Resource],CHOOSE({1,2},ResourceTable[Name],ResourceTable[No]),2,0)</f>
        <v>305101</v>
      </c>
      <c r="N17" s="63">
        <f>RelationTable[RELID]</f>
        <v>308115</v>
      </c>
    </row>
    <row r="18" spans="1:14" x14ac:dyDescent="0.25">
      <c r="A18" s="61" t="str">
        <f>Page&amp;"-"&amp;(COUNTA($E$1:RelationTable[[#This Row],[Resource]])-1)</f>
        <v>Resource Relations-16</v>
      </c>
      <c r="B18" s="58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60" t="str">
        <f>RelationTable[[#This Row],[Resource]]&amp;"/"&amp;RelationTable[[#This Row],[Method]]</f>
        <v>Store/Users</v>
      </c>
      <c r="D18" s="60">
        <f>RelationTable[[#This Row],[No]]</f>
        <v>308116</v>
      </c>
      <c r="E18" s="7" t="s">
        <v>1297</v>
      </c>
      <c r="F18" s="7" t="s">
        <v>74</v>
      </c>
      <c r="G18" s="60">
        <f>RelationTable[[#This Row],[No]]</f>
        <v>308116</v>
      </c>
      <c r="H18" s="60">
        <f>IF(RelationTable[[#This Row],[No]]="id","resource",VLOOKUP(RelationTable[Resource],CHOOSE({1,2},ResourceTable[Name],ResourceTable[No]),2,0))</f>
        <v>305109</v>
      </c>
      <c r="I18" s="60" t="s">
        <v>78</v>
      </c>
      <c r="J18" s="60" t="s">
        <v>1372</v>
      </c>
      <c r="K18" s="60" t="s">
        <v>78</v>
      </c>
      <c r="L18" s="60" t="s">
        <v>1364</v>
      </c>
      <c r="M18" s="62">
        <f>VLOOKUP(RelationTable[Relate Resource],CHOOSE({1,2},ResourceTable[Name],ResourceTable[No]),2,0)</f>
        <v>305101</v>
      </c>
      <c r="N18" s="63">
        <f>RelationTable[RELID]</f>
        <v>308116</v>
      </c>
    </row>
    <row r="19" spans="1:14" x14ac:dyDescent="0.25">
      <c r="A19" s="61" t="str">
        <f>Page&amp;"-"&amp;(COUNTA($E$1:RelationTable[[#This Row],[Resource]])-1)</f>
        <v>Resource Relations-17</v>
      </c>
      <c r="B19" s="58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60" t="str">
        <f>RelationTable[[#This Row],[Resource]]&amp;"/"&amp;RelationTable[[#This Row],[Method]]</f>
        <v>Area/StoreAndUser</v>
      </c>
      <c r="D19" s="60">
        <f>RelationTable[[#This Row],[No]]</f>
        <v>308117</v>
      </c>
      <c r="E19" s="7" t="s">
        <v>1298</v>
      </c>
      <c r="F19" s="7" t="s">
        <v>1301</v>
      </c>
      <c r="G19" s="60">
        <f>RelationTable[[#This Row],[No]]</f>
        <v>308117</v>
      </c>
      <c r="H19" s="60">
        <f>IF(RelationTable[[#This Row],[No]]="id","resource",VLOOKUP(RelationTable[Resource],CHOOSE({1,2},ResourceTable[Name],ResourceTable[No]),2,0))</f>
        <v>305110</v>
      </c>
      <c r="I19" s="60" t="s">
        <v>1373</v>
      </c>
      <c r="J19" s="60" t="s">
        <v>1374</v>
      </c>
      <c r="K19" s="60" t="s">
        <v>1373</v>
      </c>
      <c r="L19" s="60" t="s">
        <v>1355</v>
      </c>
      <c r="M19" s="62">
        <f>VLOOKUP(RelationTable[Relate Resource],CHOOSE({1,2},ResourceTable[Name],ResourceTable[No]),2,0)</f>
        <v>305113</v>
      </c>
      <c r="N19" s="63">
        <f>RelationTable[RELID]</f>
        <v>308117</v>
      </c>
    </row>
    <row r="20" spans="1:14" x14ac:dyDescent="0.25">
      <c r="A20" s="61" t="str">
        <f>Page&amp;"-"&amp;(COUNTA($E$1:RelationTable[[#This Row],[Resource]])-1)</f>
        <v>Resource Relations-18</v>
      </c>
      <c r="B20" s="58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60" t="str">
        <f>RelationTable[[#This Row],[Resource]]&amp;"/"&amp;RelationTable[[#This Row],[Method]]</f>
        <v>StoreProductTransaction/Product</v>
      </c>
      <c r="D20" s="60">
        <f>RelationTable[[#This Row],[No]]</f>
        <v>308118</v>
      </c>
      <c r="E20" s="7" t="s">
        <v>1305</v>
      </c>
      <c r="F20" s="7" t="s">
        <v>1294</v>
      </c>
      <c r="G20" s="60">
        <f>RelationTable[[#This Row],[No]]</f>
        <v>308118</v>
      </c>
      <c r="H20" s="60">
        <f>IF(RelationTable[[#This Row],[No]]="id","resource",VLOOKUP(RelationTable[Resource],CHOOSE({1,2},ResourceTable[Name],ResourceTable[No]),2,0))</f>
        <v>305117</v>
      </c>
      <c r="I20" s="60" t="s">
        <v>1294</v>
      </c>
      <c r="J20" s="60" t="s">
        <v>1376</v>
      </c>
      <c r="K20" s="60" t="s">
        <v>1294</v>
      </c>
      <c r="L20" s="60" t="s">
        <v>1363</v>
      </c>
      <c r="M20" s="62">
        <f>VLOOKUP(RelationTable[Relate Resource],CHOOSE({1,2},ResourceTable[Name],ResourceTable[No]),2,0)</f>
        <v>305106</v>
      </c>
      <c r="N20" s="63">
        <f>RelationTable[RELID]</f>
        <v>308118</v>
      </c>
    </row>
    <row r="21" spans="1:14" x14ac:dyDescent="0.25">
      <c r="A21" s="61" t="str">
        <f>Page&amp;"-"&amp;(COUNTA($E$1:RelationTable[[#This Row],[Resource]])-1)</f>
        <v>Resource Relations-19</v>
      </c>
      <c r="B21" s="58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60" t="str">
        <f>RelationTable[[#This Row],[Resource]]&amp;"/"&amp;RelationTable[[#This Row],[Method]]</f>
        <v>StoreProductTransaction/Store</v>
      </c>
      <c r="D21" s="60">
        <f>RelationTable[[#This Row],[No]]</f>
        <v>308119</v>
      </c>
      <c r="E21" s="7" t="s">
        <v>1305</v>
      </c>
      <c r="F21" s="7" t="s">
        <v>1297</v>
      </c>
      <c r="G21" s="60">
        <f>RelationTable[[#This Row],[No]]</f>
        <v>308119</v>
      </c>
      <c r="H21" s="60">
        <f>IF(RelationTable[[#This Row],[No]]="id","resource",VLOOKUP(RelationTable[Resource],CHOOSE({1,2},ResourceTable[Name],ResourceTable[No]),2,0))</f>
        <v>305117</v>
      </c>
      <c r="I21" s="60" t="s">
        <v>1297</v>
      </c>
      <c r="J21" s="60" t="s">
        <v>1377</v>
      </c>
      <c r="K21" s="60" t="s">
        <v>1297</v>
      </c>
      <c r="L21" s="60" t="s">
        <v>1363</v>
      </c>
      <c r="M21" s="62">
        <f>VLOOKUP(RelationTable[Relate Resource],CHOOSE({1,2},ResourceTable[Name],ResourceTable[No]),2,0)</f>
        <v>305109</v>
      </c>
      <c r="N21" s="63">
        <f>RelationTable[RELID]</f>
        <v>308119</v>
      </c>
    </row>
    <row r="22" spans="1:14" x14ac:dyDescent="0.25">
      <c r="A22" s="61" t="str">
        <f>Page&amp;"-"&amp;(COUNTA($E$1:RelationTable[[#This Row],[Resource]])-1)</f>
        <v>Resource Relations-20</v>
      </c>
      <c r="B22" s="58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60" t="str">
        <f>RelationTable[[#This Row],[Resource]]&amp;"/"&amp;RelationTable[[#This Row],[Method]]</f>
        <v>StoreProductTransaction/User</v>
      </c>
      <c r="D22" s="60">
        <f>RelationTable[[#This Row],[No]]</f>
        <v>308120</v>
      </c>
      <c r="E22" s="7" t="s">
        <v>1305</v>
      </c>
      <c r="F22" s="7" t="s">
        <v>74</v>
      </c>
      <c r="G22" s="60">
        <f>RelationTable[[#This Row],[No]]</f>
        <v>308120</v>
      </c>
      <c r="H22" s="60">
        <f>IF(RelationTable[[#This Row],[No]]="id","resource",VLOOKUP(RelationTable[Resource],CHOOSE({1,2},ResourceTable[Name],ResourceTable[No]),2,0))</f>
        <v>305117</v>
      </c>
      <c r="I22" s="60" t="s">
        <v>74</v>
      </c>
      <c r="J22" s="60" t="s">
        <v>1362</v>
      </c>
      <c r="K22" s="60" t="s">
        <v>74</v>
      </c>
      <c r="L22" s="60" t="s">
        <v>1363</v>
      </c>
      <c r="M22" s="62">
        <f>VLOOKUP(RelationTable[Relate Resource],CHOOSE({1,2},ResourceTable[Name],ResourceTable[No]),2,0)</f>
        <v>305101</v>
      </c>
      <c r="N22" s="63">
        <f>RelationTable[RELID]</f>
        <v>308120</v>
      </c>
    </row>
    <row r="23" spans="1:14" x14ac:dyDescent="0.25">
      <c r="A23" s="61" t="str">
        <f>Page&amp;"-"&amp;(COUNTA($E$1:RelationTable[[#This Row],[Resource]])-1)</f>
        <v>Resource Relations-21</v>
      </c>
      <c r="B23" s="58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60" t="str">
        <f>RelationTable[[#This Row],[Resource]]&amp;"/"&amp;RelationTable[[#This Row],[Method]]</f>
        <v>StoreProductTransaction/Nature</v>
      </c>
      <c r="D23" s="60">
        <f>RelationTable[[#This Row],[No]]</f>
        <v>308121</v>
      </c>
      <c r="E23" s="7" t="s">
        <v>1305</v>
      </c>
      <c r="F23" s="7" t="s">
        <v>1303</v>
      </c>
      <c r="G23" s="60">
        <f>RelationTable[[#This Row],[No]]</f>
        <v>308121</v>
      </c>
      <c r="H23" s="60">
        <f>IF(RelationTable[[#This Row],[No]]="id","resource",VLOOKUP(RelationTable[Resource],CHOOSE({1,2},ResourceTable[Name],ResourceTable[No]),2,0))</f>
        <v>305117</v>
      </c>
      <c r="I23" s="60" t="s">
        <v>1375</v>
      </c>
      <c r="J23" s="60" t="s">
        <v>1378</v>
      </c>
      <c r="K23" s="60" t="s">
        <v>1375</v>
      </c>
      <c r="L23" s="60" t="s">
        <v>1363</v>
      </c>
      <c r="M23" s="62">
        <f>VLOOKUP(RelationTable[Relate Resource],CHOOSE({1,2},ResourceTable[Name],ResourceTable[No]),2,0)</f>
        <v>305115</v>
      </c>
      <c r="N23" s="63">
        <f>RelationTable[RELID]</f>
        <v>308121</v>
      </c>
    </row>
    <row r="24" spans="1:14" x14ac:dyDescent="0.25">
      <c r="A24" s="61" t="str">
        <f>Page&amp;"-"&amp;(COUNTA($E$1:RelationTable[[#This Row],[Resource]])-1)</f>
        <v>Resource Relations-22</v>
      </c>
      <c r="B24" s="58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60" t="str">
        <f>RelationTable[[#This Row],[Resource]]&amp;"/"&amp;RelationTable[[#This Row],[Method]]</f>
        <v>StoreProductTransaction/Type</v>
      </c>
      <c r="D24" s="60">
        <f>RelationTable[[#This Row],[No]]</f>
        <v>308122</v>
      </c>
      <c r="E24" s="7" t="s">
        <v>1305</v>
      </c>
      <c r="F24" s="7" t="s">
        <v>1304</v>
      </c>
      <c r="G24" s="60">
        <f>RelationTable[[#This Row],[No]]</f>
        <v>308122</v>
      </c>
      <c r="H24" s="60">
        <f>IF(RelationTable[[#This Row],[No]]="id","resource",VLOOKUP(RelationTable[Resource],CHOOSE({1,2},ResourceTable[Name],ResourceTable[No]),2,0))</f>
        <v>305117</v>
      </c>
      <c r="I24" s="60" t="s">
        <v>14</v>
      </c>
      <c r="J24" s="60" t="s">
        <v>1379</v>
      </c>
      <c r="K24" s="60" t="s">
        <v>14</v>
      </c>
      <c r="L24" s="60" t="s">
        <v>1363</v>
      </c>
      <c r="M24" s="62">
        <f>VLOOKUP(RelationTable[Relate Resource],CHOOSE({1,2},ResourceTable[Name],ResourceTable[No]),2,0)</f>
        <v>305116</v>
      </c>
      <c r="N24" s="63">
        <f>RelationTable[RELID]</f>
        <v>308122</v>
      </c>
    </row>
    <row r="25" spans="1:14" x14ac:dyDescent="0.25">
      <c r="A25" s="61" t="str">
        <f>Page&amp;"-"&amp;(COUNTA($E$1:RelationTable[[#This Row],[Resource]])-1)</f>
        <v>Resource Relations-23</v>
      </c>
      <c r="B25" s="58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60" t="str">
        <f>RelationTable[[#This Row],[Resource]]&amp;"/"&amp;RelationTable[[#This Row],[Method]]</f>
        <v>Store/ProductTransaction</v>
      </c>
      <c r="D25" s="60">
        <f>RelationTable[[#This Row],[No]]</f>
        <v>308123</v>
      </c>
      <c r="E25" s="7" t="s">
        <v>1297</v>
      </c>
      <c r="F25" s="7" t="s">
        <v>1305</v>
      </c>
      <c r="G25" s="60">
        <f>RelationTable[[#This Row],[No]]</f>
        <v>308123</v>
      </c>
      <c r="H25" s="60">
        <f>IF(RelationTable[[#This Row],[No]]="id","resource",VLOOKUP(RelationTable[Resource],CHOOSE({1,2},ResourceTable[Name],ResourceTable[No]),2,0))</f>
        <v>305109</v>
      </c>
      <c r="I25" s="60" t="s">
        <v>1380</v>
      </c>
      <c r="J25" s="60" t="s">
        <v>1381</v>
      </c>
      <c r="K25" s="60" t="s">
        <v>1380</v>
      </c>
      <c r="L25" s="60" t="s">
        <v>1355</v>
      </c>
      <c r="M25" s="62">
        <f>VLOOKUP(RelationTable[Relate Resource],CHOOSE({1,2},ResourceTable[Name],ResourceTable[No]),2,0)</f>
        <v>305117</v>
      </c>
      <c r="N25" s="63">
        <f>RelationTable[RELID]</f>
        <v>308123</v>
      </c>
    </row>
    <row r="26" spans="1:14" x14ac:dyDescent="0.25">
      <c r="A26" s="61" t="str">
        <f>Page&amp;"-"&amp;(COUNTA($E$1:RelationTable[[#This Row],[Resource]])-1)</f>
        <v>Resource Relations-24</v>
      </c>
      <c r="B26" s="58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60" t="str">
        <f>RelationTable[[#This Row],[Resource]]&amp;"/"&amp;RelationTable[[#This Row],[Method]]</f>
        <v>Transaction/Details</v>
      </c>
      <c r="D26" s="60">
        <f>RelationTable[[#This Row],[No]]</f>
        <v>308124</v>
      </c>
      <c r="E26" s="7" t="s">
        <v>1306</v>
      </c>
      <c r="F26" s="7" t="s">
        <v>1307</v>
      </c>
      <c r="G26" s="60">
        <f>RelationTable[[#This Row],[No]]</f>
        <v>308124</v>
      </c>
      <c r="H26" s="60">
        <f>IF(RelationTable[[#This Row],[No]]="id","resource",VLOOKUP(RelationTable[Resource],CHOOSE({1,2},ResourceTable[Name],ResourceTable[No]),2,0))</f>
        <v>305118</v>
      </c>
      <c r="I26" s="60" t="s">
        <v>1382</v>
      </c>
      <c r="J26" s="60" t="s">
        <v>1383</v>
      </c>
      <c r="K26" s="60" t="s">
        <v>1382</v>
      </c>
      <c r="L26" s="60" t="s">
        <v>1355</v>
      </c>
      <c r="M26" s="62">
        <f>VLOOKUP(RelationTable[Relate Resource],CHOOSE({1,2},ResourceTable[Name],ResourceTable[No]),2,0)</f>
        <v>305119</v>
      </c>
      <c r="N26" s="63">
        <f>RelationTable[RELID]</f>
        <v>308124</v>
      </c>
    </row>
    <row r="27" spans="1:14" x14ac:dyDescent="0.25">
      <c r="A27" s="61" t="str">
        <f>Page&amp;"-"&amp;(COUNTA($E$1:RelationTable[[#This Row],[Resource]])-1)</f>
        <v>Resource Relations-25</v>
      </c>
      <c r="B27" s="58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60" t="str">
        <f>RelationTable[[#This Row],[Resource]]&amp;"/"&amp;RelationTable[[#This Row],[Method]]</f>
        <v>Transaction/Products</v>
      </c>
      <c r="D27" s="60">
        <f>RelationTable[[#This Row],[No]]</f>
        <v>308125</v>
      </c>
      <c r="E27" s="7" t="s">
        <v>1306</v>
      </c>
      <c r="F27" s="7" t="s">
        <v>1305</v>
      </c>
      <c r="G27" s="60">
        <f>RelationTable[[#This Row],[No]]</f>
        <v>308125</v>
      </c>
      <c r="H27" s="60">
        <f>IF(RelationTable[[#This Row],[No]]="id","resource",VLOOKUP(RelationTable[Resource],CHOOSE({1,2},ResourceTable[Name],ResourceTable[No]),2,0))</f>
        <v>305118</v>
      </c>
      <c r="I27" s="60" t="s">
        <v>1316</v>
      </c>
      <c r="J27" s="60" t="s">
        <v>1384</v>
      </c>
      <c r="K27" s="60" t="s">
        <v>1316</v>
      </c>
      <c r="L27" s="60" t="s">
        <v>1364</v>
      </c>
      <c r="M27" s="62">
        <f>VLOOKUP(RelationTable[Relate Resource],CHOOSE({1,2},ResourceTable[Name],ResourceTable[No]),2,0)</f>
        <v>305117</v>
      </c>
      <c r="N27" s="63">
        <f>RelationTable[RELID]</f>
        <v>308125</v>
      </c>
    </row>
    <row r="28" spans="1:14" x14ac:dyDescent="0.25">
      <c r="A28" s="61" t="str">
        <f>Page&amp;"-"&amp;(COUNTA($E$1:RelationTable[[#This Row],[Resource]])-1)</f>
        <v>Resource Relations-26</v>
      </c>
      <c r="B28" s="58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60" t="str">
        <f>RelationTable[[#This Row],[Resource]]&amp;"/"&amp;RelationTable[[#This Row],[Method]]</f>
        <v>TransactionDetail/Product</v>
      </c>
      <c r="D28" s="60">
        <f>RelationTable[[#This Row],[No]]</f>
        <v>308126</v>
      </c>
      <c r="E28" s="7" t="s">
        <v>1307</v>
      </c>
      <c r="F28" s="7" t="s">
        <v>1305</v>
      </c>
      <c r="G28" s="60">
        <f>RelationTable[[#This Row],[No]]</f>
        <v>308126</v>
      </c>
      <c r="H28" s="60">
        <f>IF(RelationTable[[#This Row],[No]]="id","resource",VLOOKUP(RelationTable[Resource],CHOOSE({1,2},ResourceTable[Name],ResourceTable[No]),2,0))</f>
        <v>305119</v>
      </c>
      <c r="I28" s="60" t="s">
        <v>1294</v>
      </c>
      <c r="J28" s="60" t="s">
        <v>1385</v>
      </c>
      <c r="K28" s="60" t="s">
        <v>1294</v>
      </c>
      <c r="L28" s="60" t="s">
        <v>1363</v>
      </c>
      <c r="M28" s="62">
        <f>VLOOKUP(RelationTable[Relate Resource],CHOOSE({1,2},ResourceTable[Name],ResourceTable[No]),2,0)</f>
        <v>305117</v>
      </c>
      <c r="N28" s="63">
        <f>RelationTable[RELID]</f>
        <v>308126</v>
      </c>
    </row>
    <row r="29" spans="1:14" x14ac:dyDescent="0.25">
      <c r="A29" s="61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SalesOrder/Items</v>
      </c>
      <c r="D29" s="60">
        <f>RelationTable[[#This Row],[No]]</f>
        <v>308127</v>
      </c>
      <c r="E29" s="7" t="s">
        <v>1309</v>
      </c>
      <c r="F29" s="7" t="s">
        <v>1310</v>
      </c>
      <c r="G29" s="60">
        <f>RelationTable[[#This Row],[No]]</f>
        <v>308127</v>
      </c>
      <c r="H29" s="60">
        <f>IF(RelationTable[[#This Row],[No]]="id","resource",VLOOKUP(RelationTable[Resource],CHOOSE({1,2},ResourceTable[Name],ResourceTable[No]),2,0))</f>
        <v>305121</v>
      </c>
      <c r="I29" s="60" t="s">
        <v>1356</v>
      </c>
      <c r="J29" s="60" t="s">
        <v>1386</v>
      </c>
      <c r="K29" s="60" t="s">
        <v>1356</v>
      </c>
      <c r="L29" s="60" t="s">
        <v>1355</v>
      </c>
      <c r="M29" s="62">
        <f>VLOOKUP(RelationTable[Relate Resource],CHOOSE({1,2},ResourceTable[Name],ResourceTable[No]),2,0)</f>
        <v>305122</v>
      </c>
      <c r="N29" s="63">
        <f>RelationTable[RELID]</f>
        <v>308127</v>
      </c>
    </row>
    <row r="30" spans="1:14" x14ac:dyDescent="0.25">
      <c r="A30" s="61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SalesOrderItem/Product</v>
      </c>
      <c r="D30" s="60">
        <f>RelationTable[[#This Row],[No]]</f>
        <v>308128</v>
      </c>
      <c r="E30" s="7" t="s">
        <v>1310</v>
      </c>
      <c r="F30" s="7" t="s">
        <v>1294</v>
      </c>
      <c r="G30" s="60">
        <f>RelationTable[[#This Row],[No]]</f>
        <v>308128</v>
      </c>
      <c r="H30" s="60">
        <f>IF(RelationTable[[#This Row],[No]]="id","resource",VLOOKUP(RelationTable[Resource],CHOOSE({1,2},ResourceTable[Name],ResourceTable[No]),2,0))</f>
        <v>305122</v>
      </c>
      <c r="I30" s="60" t="s">
        <v>1294</v>
      </c>
      <c r="J30" s="60" t="s">
        <v>1387</v>
      </c>
      <c r="K30" s="60" t="s">
        <v>1294</v>
      </c>
      <c r="L30" s="60" t="s">
        <v>1363</v>
      </c>
      <c r="M30" s="62">
        <f>VLOOKUP(RelationTable[Relate Resource],CHOOSE({1,2},ResourceTable[Name],ResourceTable[No]),2,0)</f>
        <v>305106</v>
      </c>
      <c r="N30" s="63">
        <f>RelationTable[RELID]</f>
        <v>308128</v>
      </c>
    </row>
    <row r="31" spans="1:14" x14ac:dyDescent="0.25">
      <c r="A31" s="61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StockTransfer/IN</v>
      </c>
      <c r="D31" s="60">
        <f>RelationTable[[#This Row],[No]]</f>
        <v>308129</v>
      </c>
      <c r="E31" s="7" t="s">
        <v>1311</v>
      </c>
      <c r="F31" s="7" t="s">
        <v>1306</v>
      </c>
      <c r="G31" s="60">
        <f>RelationTable[[#This Row],[No]]</f>
        <v>308129</v>
      </c>
      <c r="H31" s="60">
        <f>IF(RelationTable[[#This Row],[No]]="id","resource",VLOOKUP(RelationTable[Resource],CHOOSE({1,2},ResourceTable[Name],ResourceTable[No]),2,0))</f>
        <v>305123</v>
      </c>
      <c r="I31" s="60" t="s">
        <v>1388</v>
      </c>
      <c r="J31" s="60" t="s">
        <v>1389</v>
      </c>
      <c r="K31" s="60" t="s">
        <v>1388</v>
      </c>
      <c r="L31" s="60" t="s">
        <v>1363</v>
      </c>
      <c r="M31" s="62">
        <f>VLOOKUP(RelationTable[Relate Resource],CHOOSE({1,2},ResourceTable[Name],ResourceTable[No]),2,0)</f>
        <v>305118</v>
      </c>
      <c r="N31" s="63">
        <f>RelationTable[RELID]</f>
        <v>308129</v>
      </c>
    </row>
    <row r="32" spans="1:14" x14ac:dyDescent="0.25">
      <c r="A32" s="61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StockTransfer/OUT</v>
      </c>
      <c r="D32" s="60">
        <f>RelationTable[[#This Row],[No]]</f>
        <v>308130</v>
      </c>
      <c r="E32" s="7" t="s">
        <v>1311</v>
      </c>
      <c r="F32" s="7" t="s">
        <v>1306</v>
      </c>
      <c r="G32" s="60">
        <f>RelationTable[[#This Row],[No]]</f>
        <v>308130</v>
      </c>
      <c r="H32" s="60">
        <f>IF(RelationTable[[#This Row],[No]]="id","resource",VLOOKUP(RelationTable[Resource],CHOOSE({1,2},ResourceTable[Name],ResourceTable[No]),2,0))</f>
        <v>305123</v>
      </c>
      <c r="I32" s="60" t="s">
        <v>1390</v>
      </c>
      <c r="J32" s="60" t="s">
        <v>1391</v>
      </c>
      <c r="K32" s="60" t="s">
        <v>1390</v>
      </c>
      <c r="L32" s="60" t="s">
        <v>1363</v>
      </c>
      <c r="M32" s="62">
        <f>VLOOKUP(RelationTable[Relate Resource],CHOOSE({1,2},ResourceTable[Name],ResourceTable[No]),2,0)</f>
        <v>305118</v>
      </c>
      <c r="N32" s="63">
        <f>RelationTable[RELID]</f>
        <v>308130</v>
      </c>
    </row>
    <row r="33" spans="1:14" x14ac:dyDescent="0.25">
      <c r="A33" s="61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SalesOrder/Customer</v>
      </c>
      <c r="D33" s="60">
        <f>RelationTable[[#This Row],[No]]</f>
        <v>308131</v>
      </c>
      <c r="E33" s="7" t="s">
        <v>1309</v>
      </c>
      <c r="F33" s="7" t="s">
        <v>74</v>
      </c>
      <c r="G33" s="60">
        <f>RelationTable[[#This Row],[No]]</f>
        <v>308131</v>
      </c>
      <c r="H33" s="60">
        <f>IF(RelationTable[[#This Row],[No]]="id","resource",VLOOKUP(RelationTable[Resource],CHOOSE({1,2},ResourceTable[Name],ResourceTable[No]),2,0))</f>
        <v>305121</v>
      </c>
      <c r="I33" s="60" t="s">
        <v>1702</v>
      </c>
      <c r="J33" s="60" t="s">
        <v>1703</v>
      </c>
      <c r="K33" s="60" t="s">
        <v>1702</v>
      </c>
      <c r="L33" s="60" t="s">
        <v>1363</v>
      </c>
      <c r="M33" s="62">
        <f>VLOOKUP(RelationTable[Relate Resource],CHOOSE({1,2},ResourceTable[Name],ResourceTable[No]),2,0)</f>
        <v>305101</v>
      </c>
      <c r="N33" s="63">
        <f>RelationTable[RELID]</f>
        <v>308131</v>
      </c>
    </row>
    <row r="34" spans="1:14" x14ac:dyDescent="0.25">
      <c r="A34" s="61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UserStoreArea/AssignedAreas</v>
      </c>
      <c r="D34" s="60">
        <f>RelationTable[[#This Row],[No]]</f>
        <v>308132</v>
      </c>
      <c r="E34" s="7" t="s">
        <v>1301</v>
      </c>
      <c r="F34" s="7" t="s">
        <v>1299</v>
      </c>
      <c r="G34" s="60">
        <f>RelationTable[[#This Row],[No]]</f>
        <v>308132</v>
      </c>
      <c r="H34" s="60">
        <f>IF(RelationTable[[#This Row],[No]]="id","resource",VLOOKUP(RelationTable[Resource],CHOOSE({1,2},ResourceTable[Name],ResourceTable[No]),2,0))</f>
        <v>305113</v>
      </c>
      <c r="I34" s="60" t="s">
        <v>1707</v>
      </c>
      <c r="J34" s="60" t="s">
        <v>1708</v>
      </c>
      <c r="K34" s="60" t="s">
        <v>1707</v>
      </c>
      <c r="L34" s="60" t="s">
        <v>1355</v>
      </c>
      <c r="M34" s="62">
        <f>VLOOKUP(RelationTable[Relate Resource],CHOOSE({1,2},ResourceTable[Name],ResourceTable[No]),2,0)</f>
        <v>305111</v>
      </c>
      <c r="N34" s="63">
        <f>RelationTable[RELID]</f>
        <v>308132</v>
      </c>
    </row>
    <row r="35" spans="1:14" x14ac:dyDescent="0.25">
      <c r="A35" s="61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AreaUser/Users</v>
      </c>
      <c r="D35" s="60">
        <f>RelationTable[[#This Row],[No]]</f>
        <v>308133</v>
      </c>
      <c r="E35" s="7" t="s">
        <v>1299</v>
      </c>
      <c r="F35" s="7" t="s">
        <v>1301</v>
      </c>
      <c r="G35" s="60">
        <f>RelationTable[[#This Row],[No]]</f>
        <v>308133</v>
      </c>
      <c r="H35" s="60">
        <f>IF(RelationTable[[#This Row],[No]]="id","resource",VLOOKUP(RelationTable[Resource],CHOOSE({1,2},ResourceTable[Name],ResourceTable[No]),2,0))</f>
        <v>305111</v>
      </c>
      <c r="I35" s="60" t="s">
        <v>78</v>
      </c>
      <c r="J35" s="60" t="s">
        <v>1709</v>
      </c>
      <c r="K35" s="60" t="s">
        <v>78</v>
      </c>
      <c r="L35" s="60" t="s">
        <v>1355</v>
      </c>
      <c r="M35" s="62">
        <f>VLOOKUP(RelationTable[Relate Resource],CHOOSE({1,2},ResourceTable[Name],ResourceTable[No]),2,0)</f>
        <v>305113</v>
      </c>
      <c r="N35" s="63">
        <f>RelationTable[RELID]</f>
        <v>308133</v>
      </c>
    </row>
    <row r="36" spans="1:14" x14ac:dyDescent="0.25">
      <c r="A36" s="61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UserStoreArea/Customers</v>
      </c>
      <c r="D36" s="60">
        <f>RelationTable[[#This Row],[No]]</f>
        <v>308134</v>
      </c>
      <c r="E36" s="7" t="s">
        <v>1301</v>
      </c>
      <c r="F36" s="7" t="s">
        <v>74</v>
      </c>
      <c r="G36" s="60">
        <f>RelationTable[[#This Row],[No]]</f>
        <v>308134</v>
      </c>
      <c r="H36" s="60">
        <f>IF(RelationTable[[#This Row],[No]]="id","resource",VLOOKUP(RelationTable[Resource],CHOOSE({1,2},ResourceTable[Name],ResourceTable[No]),2,0))</f>
        <v>305113</v>
      </c>
      <c r="I36" s="60" t="s">
        <v>1712</v>
      </c>
      <c r="J36" s="60" t="s">
        <v>1713</v>
      </c>
      <c r="K36" s="60" t="s">
        <v>1712</v>
      </c>
      <c r="L36" s="60" t="s">
        <v>1364</v>
      </c>
      <c r="M36" s="62">
        <f>VLOOKUP(RelationTable[Relate Resource],CHOOSE({1,2},ResourceTable[Name],ResourceTable[No]),2,0)</f>
        <v>305101</v>
      </c>
      <c r="N36" s="63">
        <f>RelationTable[RELID]</f>
        <v>308134</v>
      </c>
    </row>
    <row r="37" spans="1:14" x14ac:dyDescent="0.25">
      <c r="A37" s="61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User/AreaCustomers</v>
      </c>
      <c r="D37" s="60">
        <f>RelationTable[[#This Row],[No]]</f>
        <v>308135</v>
      </c>
      <c r="E37" s="7" t="s">
        <v>74</v>
      </c>
      <c r="F37" s="7" t="s">
        <v>1299</v>
      </c>
      <c r="G37" s="60">
        <f>RelationTable[[#This Row],[No]]</f>
        <v>308135</v>
      </c>
      <c r="H37" s="60">
        <f>IF(RelationTable[[#This Row],[No]]="id","resource",VLOOKUP(RelationTable[Resource],CHOOSE({1,2},ResourceTable[Name],ResourceTable[No]),2,0))</f>
        <v>305101</v>
      </c>
      <c r="I37" s="60" t="s">
        <v>1714</v>
      </c>
      <c r="J37" s="60" t="s">
        <v>1716</v>
      </c>
      <c r="K37" s="60" t="s">
        <v>1714</v>
      </c>
      <c r="L37" s="60" t="s">
        <v>1715</v>
      </c>
      <c r="M37" s="62">
        <f>VLOOKUP(RelationTable[Relate Resource],CHOOSE({1,2},ResourceTable[Name],ResourceTable[No]),2,0)</f>
        <v>305111</v>
      </c>
      <c r="N37" s="63">
        <f>RelationTable[RELID]</f>
        <v>308135</v>
      </c>
    </row>
    <row r="38" spans="1:14" x14ac:dyDescent="0.25">
      <c r="A38" s="61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SalesOrderItem/SalesOrder</v>
      </c>
      <c r="D38" s="60">
        <f>RelationTable[[#This Row],[No]]</f>
        <v>308136</v>
      </c>
      <c r="E38" s="7" t="s">
        <v>1310</v>
      </c>
      <c r="F38" s="7" t="s">
        <v>1309</v>
      </c>
      <c r="G38" s="60">
        <f>RelationTable[[#This Row],[No]]</f>
        <v>308136</v>
      </c>
      <c r="H38" s="60">
        <f>IF(RelationTable[[#This Row],[No]]="id","resource",VLOOKUP(RelationTable[Resource],CHOOSE({1,2},ResourceTable[Name],ResourceTable[No]),2,0))</f>
        <v>305122</v>
      </c>
      <c r="I38" s="60" t="s">
        <v>1309</v>
      </c>
      <c r="J38" s="60" t="s">
        <v>1720</v>
      </c>
      <c r="K38" s="60" t="s">
        <v>1309</v>
      </c>
      <c r="L38" s="60" t="s">
        <v>1363</v>
      </c>
      <c r="M38" s="62">
        <f>VLOOKUP(RelationTable[Relate Resource],CHOOSE({1,2},ResourceTable[Name],ResourceTable[No]),2,0)</f>
        <v>305121</v>
      </c>
      <c r="N38" s="63">
        <f>RelationTable[RELID]</f>
        <v>308136</v>
      </c>
    </row>
    <row r="39" spans="1:14" x14ac:dyDescent="0.25">
      <c r="A39" s="61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TransactionDetail/Transaction</v>
      </c>
      <c r="D39" s="60">
        <f>RelationTable[[#This Row],[No]]</f>
        <v>308137</v>
      </c>
      <c r="E39" s="7" t="s">
        <v>1307</v>
      </c>
      <c r="F39" s="7" t="s">
        <v>1306</v>
      </c>
      <c r="G39" s="60">
        <f>RelationTable[[#This Row],[No]]</f>
        <v>308137</v>
      </c>
      <c r="H39" s="60">
        <f>IF(RelationTable[[#This Row],[No]]="id","resource",VLOOKUP(RelationTable[Resource],CHOOSE({1,2},ResourceTable[Name],ResourceTable[No]),2,0))</f>
        <v>305119</v>
      </c>
      <c r="I39" s="60" t="s">
        <v>1306</v>
      </c>
      <c r="J39" s="60" t="s">
        <v>1725</v>
      </c>
      <c r="K39" s="60" t="s">
        <v>1306</v>
      </c>
      <c r="L39" s="60" t="s">
        <v>1363</v>
      </c>
      <c r="M39" s="62">
        <f>VLOOKUP(RelationTable[Relate Resource],CHOOSE({1,2},ResourceTable[Name],ResourceTable[No]),2,0)</f>
        <v>305118</v>
      </c>
      <c r="N39" s="63">
        <f>RelationTable[RELID]</f>
        <v>308137</v>
      </c>
    </row>
    <row r="40" spans="1:14" x14ac:dyDescent="0.25">
      <c r="A40" s="61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SalesOrderSale/SalesOrder</v>
      </c>
      <c r="D40" s="60">
        <f>RelationTable[[#This Row],[No]]</f>
        <v>308138</v>
      </c>
      <c r="E40" s="7" t="s">
        <v>1798</v>
      </c>
      <c r="F40" s="7" t="s">
        <v>1309</v>
      </c>
      <c r="G40" s="60">
        <f>RelationTable[[#This Row],[No]]</f>
        <v>308138</v>
      </c>
      <c r="H40" s="60">
        <f>IF(RelationTable[[#This Row],[No]]="id","resource",VLOOKUP(RelationTable[Resource],CHOOSE({1,2},ResourceTable[Name],ResourceTable[No]),2,0))</f>
        <v>305127</v>
      </c>
      <c r="I40" s="60" t="s">
        <v>1309</v>
      </c>
      <c r="J40" s="60" t="s">
        <v>1801</v>
      </c>
      <c r="K40" s="60" t="s">
        <v>1309</v>
      </c>
      <c r="L40" s="60" t="s">
        <v>1363</v>
      </c>
      <c r="M40" s="62">
        <f>VLOOKUP(RelationTable[Relate Resource],CHOOSE({1,2},ResourceTable[Name],ResourceTable[No]),2,0)</f>
        <v>305121</v>
      </c>
      <c r="N40" s="63">
        <f>RelationTable[RELID]</f>
        <v>308138</v>
      </c>
    </row>
    <row r="41" spans="1:14" x14ac:dyDescent="0.25">
      <c r="A41" s="61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SalesOrderSale/Transaction</v>
      </c>
      <c r="D41" s="60">
        <f>RelationTable[[#This Row],[No]]</f>
        <v>308139</v>
      </c>
      <c r="E41" s="7" t="s">
        <v>1798</v>
      </c>
      <c r="F41" s="7" t="s">
        <v>1306</v>
      </c>
      <c r="G41" s="60">
        <f>RelationTable[[#This Row],[No]]</f>
        <v>308139</v>
      </c>
      <c r="H41" s="60">
        <f>IF(RelationTable[[#This Row],[No]]="id","resource",VLOOKUP(RelationTable[Resource],CHOOSE({1,2},ResourceTable[Name],ResourceTable[No]),2,0))</f>
        <v>305127</v>
      </c>
      <c r="I41" s="60" t="s">
        <v>1306</v>
      </c>
      <c r="J41" s="60" t="s">
        <v>1802</v>
      </c>
      <c r="K41" s="60" t="s">
        <v>1306</v>
      </c>
      <c r="L41" s="60" t="s">
        <v>1363</v>
      </c>
      <c r="M41" s="62">
        <f>VLOOKUP(RelationTable[Relate Resource],CHOOSE({1,2},ResourceTable[Name],ResourceTable[No]),2,0)</f>
        <v>305118</v>
      </c>
      <c r="N41" s="63">
        <f>RelationTable[RELID]</f>
        <v>308139</v>
      </c>
    </row>
    <row r="42" spans="1:14" x14ac:dyDescent="0.25">
      <c r="A42" s="61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Transaction/STOut</v>
      </c>
      <c r="D42" s="60">
        <f>RelationTable[[#This Row],[No]]</f>
        <v>308140</v>
      </c>
      <c r="E42" s="7" t="s">
        <v>1306</v>
      </c>
      <c r="F42" s="7" t="s">
        <v>1311</v>
      </c>
      <c r="G42" s="60">
        <f>RelationTable[[#This Row],[No]]</f>
        <v>308140</v>
      </c>
      <c r="H42" s="60">
        <f>IF(RelationTable[[#This Row],[No]]="id","resource",VLOOKUP(RelationTable[Resource],CHOOSE({1,2},ResourceTable[Name],ResourceTable[No]),2,0))</f>
        <v>305118</v>
      </c>
      <c r="I42" s="60" t="s">
        <v>1827</v>
      </c>
      <c r="J42" s="60" t="s">
        <v>1831</v>
      </c>
      <c r="K42" s="60" t="s">
        <v>1828</v>
      </c>
      <c r="L42" s="60" t="s">
        <v>1833</v>
      </c>
      <c r="M42" s="62">
        <f>VLOOKUP(RelationTable[Relate Resource],CHOOSE({1,2},ResourceTable[Name],ResourceTable[No]),2,0)</f>
        <v>305123</v>
      </c>
      <c r="N42" s="63">
        <f>RelationTable[RELID]</f>
        <v>308140</v>
      </c>
    </row>
    <row r="43" spans="1:14" x14ac:dyDescent="0.25">
      <c r="A43" s="61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Transaction/STIn</v>
      </c>
      <c r="D43" s="60">
        <f>RelationTable[[#This Row],[No]]</f>
        <v>308141</v>
      </c>
      <c r="E43" s="7" t="s">
        <v>1306</v>
      </c>
      <c r="F43" s="7" t="s">
        <v>1311</v>
      </c>
      <c r="G43" s="60">
        <f>RelationTable[[#This Row],[No]]</f>
        <v>308141</v>
      </c>
      <c r="H43" s="60">
        <f>IF(RelationTable[[#This Row],[No]]="id","resource",VLOOKUP(RelationTable[Resource],CHOOSE({1,2},ResourceTable[Name],ResourceTable[No]),2,0))</f>
        <v>305118</v>
      </c>
      <c r="I43" s="60" t="s">
        <v>1829</v>
      </c>
      <c r="J43" s="60" t="s">
        <v>1830</v>
      </c>
      <c r="K43" s="60" t="s">
        <v>1832</v>
      </c>
      <c r="L43" s="60" t="s">
        <v>1833</v>
      </c>
      <c r="M43" s="62">
        <f>VLOOKUP(RelationTable[Relate Resource],CHOOSE({1,2},ResourceTable[Name],ResourceTable[No]),2,0)</f>
        <v>305123</v>
      </c>
      <c r="N43" s="63">
        <f>RelationTable[RELID]</f>
        <v>308141</v>
      </c>
    </row>
    <row r="44" spans="1:14" x14ac:dyDescent="0.25">
      <c r="A44" s="61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StoreProductTransaction/TransactionDetail</v>
      </c>
      <c r="D44" s="60">
        <f>RelationTable[[#This Row],[No]]</f>
        <v>308142</v>
      </c>
      <c r="E44" s="7" t="s">
        <v>1305</v>
      </c>
      <c r="F44" s="7" t="s">
        <v>1307</v>
      </c>
      <c r="G44" s="60">
        <f>RelationTable[[#This Row],[No]]</f>
        <v>308142</v>
      </c>
      <c r="H44" s="60">
        <f>IF(RelationTable[[#This Row],[No]]="id","resource",VLOOKUP(RelationTable[Resource],CHOOSE({1,2},ResourceTable[Name],ResourceTable[No]),2,0))</f>
        <v>305117</v>
      </c>
      <c r="I44" s="60" t="s">
        <v>1307</v>
      </c>
      <c r="J44" s="60" t="s">
        <v>1834</v>
      </c>
      <c r="K44" s="60" t="s">
        <v>1307</v>
      </c>
      <c r="L44" s="60" t="s">
        <v>1833</v>
      </c>
      <c r="M44" s="62">
        <f>VLOOKUP(RelationTable[Relate Resource],CHOOSE({1,2},ResourceTable[Name],ResourceTable[No]),2,0)</f>
        <v>305119</v>
      </c>
      <c r="N44" s="63">
        <f>RelationTable[RELID]</f>
        <v>308142</v>
      </c>
    </row>
  </sheetData>
  <dataValidations count="1">
    <dataValidation type="list" allowBlank="1" showInputMessage="1" showErrorMessage="1" sqref="Q2:Q12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"/>
  <sheetViews>
    <sheetView topLeftCell="C13" workbookViewId="0">
      <selection activeCell="G18" sqref="G18"/>
    </sheetView>
  </sheetViews>
  <sheetFormatPr defaultRowHeight="15" x14ac:dyDescent="0.2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 x14ac:dyDescent="0.2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 x14ac:dyDescent="0.2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ResourceAction[No]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 x14ac:dyDescent="0.25">
      <c r="A3" s="67" t="str">
        <f>'Table Seed Map'!$A$34&amp;"-"&amp;(COUNTA($E$1:ResourceAction[[#This Row],[Resource]])-2)</f>
        <v>Resource Actions-1</v>
      </c>
      <c r="B3" s="67" t="str">
        <f>ResourceAction[[#This Row],[Resource Name]]&amp;"/"&amp;ResourceAction[[#This Row],[Name]]</f>
        <v>ProductTransactionNature/ProductTransactionNewNature</v>
      </c>
      <c r="C3" s="74" t="s">
        <v>1303</v>
      </c>
      <c r="D3" s="67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67">
        <f>IFERROR(VLOOKUP(ResourceAction[[#This Row],[Resource Name]],ResourceTable[[RName]:[No]],3,0),"resource")</f>
        <v>305115</v>
      </c>
      <c r="F3" s="67" t="s">
        <v>1421</v>
      </c>
      <c r="G3" s="67" t="s">
        <v>1422</v>
      </c>
      <c r="H3" s="67"/>
      <c r="I3" s="67"/>
      <c r="J3" s="67" t="s">
        <v>1423</v>
      </c>
      <c r="K3" s="65" t="str">
        <f>'Table Seed Map'!$A$35&amp;"-"&amp;(COUNTA($E$1:ResourceAction[[#This Row],[Resource]])-2)</f>
        <v>Action Method-1</v>
      </c>
      <c r="L3" s="67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67">
        <f>IF(ResourceAction[[#This Row],[No]]="id","resource_action",ResourceAction[[#This Row],[No]])</f>
        <v>332101</v>
      </c>
      <c r="N3" s="85" t="s">
        <v>121</v>
      </c>
      <c r="O3" s="86">
        <f ca="1">IF(ResourceAction[[#This Row],[Resource Name]]="","idn1",IF(ResourceAction[[#This Row],[IDN1]]="","",VLOOKUP(ResourceAction[[#This Row],[IDN1]],IDNMaps[[Display]:[ID]],2,0)))</f>
        <v>309101</v>
      </c>
      <c r="P3" s="86" t="str">
        <f>IF(ResourceAction[[#This Row],[Resource Name]]="","idn2",IF(ResourceAction[[#This Row],[IDN2]]="","",VLOOKUP(ResourceAction[[#This Row],[IDN2]],IDNMaps[[Display]:[ID]],2,0)))</f>
        <v/>
      </c>
      <c r="Q3" s="86" t="str">
        <f>IF(ResourceAction[[#This Row],[Resource Name]]="","idn3",IF(ResourceAction[[#This Row],[IDN3]]="","",VLOOKUP(ResourceAction[[#This Row],[IDN3]],IDNMaps[[Display]:[ID]],2,0)))</f>
        <v/>
      </c>
      <c r="R3" s="86" t="str">
        <f>IF(ResourceAction[[#This Row],[Resource Name]]="","idn4",IF(ResourceAction[[#This Row],[IDN4]]="","",VLOOKUP(ResourceAction[[#This Row],[IDN4]],IDNMaps[[Display]:[ID]],2,0)))</f>
        <v/>
      </c>
      <c r="S3" s="86" t="str">
        <f>IF(ResourceAction[[#This Row],[Resource Name]]="","idn5",IF(ResourceAction[[#This Row],[IDN5]]="","",VLOOKUP(ResourceAction[[#This Row],[IDN5]],IDNMaps[[Display]:[ID]],2,0)))</f>
        <v/>
      </c>
      <c r="T3" s="87" t="s">
        <v>1424</v>
      </c>
      <c r="U3" s="87"/>
      <c r="V3" s="87"/>
      <c r="W3" s="87"/>
      <c r="X3" s="87"/>
      <c r="Y3" s="73">
        <f>ResourceAction[No]</f>
        <v>332101</v>
      </c>
      <c r="Z3"/>
      <c r="AA3" s="4" t="s">
        <v>1444</v>
      </c>
      <c r="AB3" s="60">
        <f>VLOOKUP(ActionListNData[[#This Row],[Action Name]],ResourceAction[[Display]:[No]],3,0)</f>
        <v>332105</v>
      </c>
      <c r="AC3" s="60" t="s">
        <v>1398</v>
      </c>
      <c r="AD3" s="60" t="s">
        <v>1435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 x14ac:dyDescent="0.25">
      <c r="A4" s="67" t="str">
        <f>'Table Seed Map'!$A$34&amp;"-"&amp;(COUNTA($E$1:ResourceAction[[#This Row],[Resource]])-2)</f>
        <v>Resource Actions-2</v>
      </c>
      <c r="B4" s="67" t="str">
        <f>ResourceAction[[#This Row],[Resource Name]]&amp;"/"&amp;ResourceAction[[#This Row],[Name]]</f>
        <v>ProductTransactionNature/ProductTransactionViewNature</v>
      </c>
      <c r="C4" s="74" t="s">
        <v>1303</v>
      </c>
      <c r="D4" s="67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67">
        <f>IFERROR(VLOOKUP(ResourceAction[[#This Row],[Resource Name]],ResourceTable[[RName]:[No]],3,0),"resource")</f>
        <v>305115</v>
      </c>
      <c r="F4" s="67" t="s">
        <v>1425</v>
      </c>
      <c r="G4" s="67" t="s">
        <v>1426</v>
      </c>
      <c r="H4" s="67"/>
      <c r="I4" s="67"/>
      <c r="J4" s="67" t="s">
        <v>122</v>
      </c>
      <c r="K4" s="65" t="str">
        <f>'Table Seed Map'!$A$35&amp;"-"&amp;(COUNTA($E$1:ResourceAction[[#This Row],[Resource]])-2)</f>
        <v>Action Method-2</v>
      </c>
      <c r="L4" s="67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67">
        <f>IF(ResourceAction[[#This Row],[No]]="id","resource_action",ResourceAction[[#This Row],[No]])</f>
        <v>332102</v>
      </c>
      <c r="N4" s="85" t="s">
        <v>122</v>
      </c>
      <c r="O4" s="86">
        <f ca="1">IF(ResourceAction[[#This Row],[Resource Name]]="","idn1",IF(ResourceAction[[#This Row],[IDN1]]="","",VLOOKUP(ResourceAction[[#This Row],[IDN1]],IDNMaps[[Display]:[ID]],2,0)))</f>
        <v>322101</v>
      </c>
      <c r="P4" s="86" t="str">
        <f>IF(ResourceAction[[#This Row],[Resource Name]]="","idn2",IF(ResourceAction[[#This Row],[IDN2]]="","",VLOOKUP(ResourceAction[[#This Row],[IDN2]],IDNMaps[[Display]:[ID]],2,0)))</f>
        <v/>
      </c>
      <c r="Q4" s="86" t="str">
        <f>IF(ResourceAction[[#This Row],[Resource Name]]="","idn3",IF(ResourceAction[[#This Row],[IDN3]]="","",VLOOKUP(ResourceAction[[#This Row],[IDN3]],IDNMaps[[Display]:[ID]],2,0)))</f>
        <v/>
      </c>
      <c r="R4" s="86" t="str">
        <f>IF(ResourceAction[[#This Row],[Resource Name]]="","idn4",IF(ResourceAction[[#This Row],[IDN4]]="","",VLOOKUP(ResourceAction[[#This Row],[IDN4]],IDNMaps[[Display]:[ID]],2,0)))</f>
        <v/>
      </c>
      <c r="S4" s="86" t="str">
        <f>IF(ResourceAction[[#This Row],[Resource Name]]="","idn5",IF(ResourceAction[[#This Row],[IDN5]]="","",VLOOKUP(ResourceAction[[#This Row],[IDN5]],IDNMaps[[Display]:[ID]],2,0)))</f>
        <v/>
      </c>
      <c r="T4" s="87" t="s">
        <v>1476</v>
      </c>
      <c r="U4" s="87"/>
      <c r="V4" s="87"/>
      <c r="W4" s="87"/>
      <c r="X4" s="87"/>
      <c r="Y4" s="73">
        <f>ResourceAction[No]</f>
        <v>332102</v>
      </c>
      <c r="Z4"/>
      <c r="AA4" s="4" t="s">
        <v>1449</v>
      </c>
      <c r="AB4" s="60">
        <f>VLOOKUP(ActionListNData[[#This Row],[Action Name]],ResourceAction[[Display]:[No]],3,0)</f>
        <v>332106</v>
      </c>
      <c r="AC4" s="60" t="s">
        <v>1400</v>
      </c>
      <c r="AD4" s="60" t="s">
        <v>1436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 x14ac:dyDescent="0.25">
      <c r="A5" s="67" t="str">
        <f>'Table Seed Map'!$A$34&amp;"-"&amp;(COUNTA($E$1:ResourceAction[[#This Row],[Resource]])-2)</f>
        <v>Resource Actions-3</v>
      </c>
      <c r="B5" s="67" t="str">
        <f>ResourceAction[[#This Row],[Resource Name]]&amp;"/"&amp;ResourceAction[[#This Row],[Name]]</f>
        <v>ProductTransactionType/ProductTransactionNewType</v>
      </c>
      <c r="C5" s="74" t="s">
        <v>1304</v>
      </c>
      <c r="D5" s="67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67">
        <f>IFERROR(VLOOKUP(ResourceAction[[#This Row],[Resource Name]],ResourceTable[[RName]:[No]],3,0),"resource")</f>
        <v>305116</v>
      </c>
      <c r="F5" s="67" t="s">
        <v>1427</v>
      </c>
      <c r="G5" s="67" t="s">
        <v>1429</v>
      </c>
      <c r="H5" s="67"/>
      <c r="I5" s="67"/>
      <c r="J5" s="67" t="s">
        <v>1423</v>
      </c>
      <c r="K5" s="65" t="str">
        <f>'Table Seed Map'!$A$35&amp;"-"&amp;(COUNTA($E$1:ResourceAction[[#This Row],[Resource]])-2)</f>
        <v>Action Method-3</v>
      </c>
      <c r="L5" s="67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67">
        <f>IF(ResourceAction[[#This Row],[No]]="id","resource_action",ResourceAction[[#This Row],[No]])</f>
        <v>332103</v>
      </c>
      <c r="N5" s="85" t="s">
        <v>121</v>
      </c>
      <c r="O5" s="86">
        <f ca="1">IF(ResourceAction[[#This Row],[Resource Name]]="","idn1",IF(ResourceAction[[#This Row],[IDN1]]="","",VLOOKUP(ResourceAction[[#This Row],[IDN1]],IDNMaps[[Display]:[ID]],2,0)))</f>
        <v>309101</v>
      </c>
      <c r="P5" s="86" t="str">
        <f>IF(ResourceAction[[#This Row],[Resource Name]]="","idn2",IF(ResourceAction[[#This Row],[IDN2]]="","",VLOOKUP(ResourceAction[[#This Row],[IDN2]],IDNMaps[[Display]:[ID]],2,0)))</f>
        <v/>
      </c>
      <c r="Q5" s="86" t="str">
        <f>IF(ResourceAction[[#This Row],[Resource Name]]="","idn3",IF(ResourceAction[[#This Row],[IDN3]]="","",VLOOKUP(ResourceAction[[#This Row],[IDN3]],IDNMaps[[Display]:[ID]],2,0)))</f>
        <v/>
      </c>
      <c r="R5" s="86" t="str">
        <f>IF(ResourceAction[[#This Row],[Resource Name]]="","idn4",IF(ResourceAction[[#This Row],[IDN4]]="","",VLOOKUP(ResourceAction[[#This Row],[IDN4]],IDNMaps[[Display]:[ID]],2,0)))</f>
        <v/>
      </c>
      <c r="S5" s="86" t="str">
        <f>IF(ResourceAction[[#This Row],[Resource Name]]="","idn5",IF(ResourceAction[[#This Row],[IDN5]]="","",VLOOKUP(ResourceAction[[#This Row],[IDN5]],IDNMaps[[Display]:[ID]],2,0)))</f>
        <v/>
      </c>
      <c r="T5" s="87" t="s">
        <v>1424</v>
      </c>
      <c r="U5" s="87"/>
      <c r="V5" s="87"/>
      <c r="W5" s="87"/>
      <c r="X5" s="87"/>
      <c r="Y5" s="73">
        <f>ResourceAction[No]</f>
        <v>332103</v>
      </c>
      <c r="Z5"/>
      <c r="AA5" s="4" t="s">
        <v>1485</v>
      </c>
      <c r="AB5" s="60">
        <f>VLOOKUP(ActionListNData[[#This Row],[Action Name]],ResourceAction[[Display]:[No]],3,0)</f>
        <v>332109</v>
      </c>
      <c r="AC5" s="60" t="s">
        <v>1460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 x14ac:dyDescent="0.25">
      <c r="A6" s="79" t="str">
        <f>'Table Seed Map'!$A$34&amp;"-"&amp;(COUNTA($E$1:ResourceAction[[#This Row],[Resource]])-2)</f>
        <v>Resource Actions-4</v>
      </c>
      <c r="B6" s="79" t="str">
        <f>ResourceAction[[#This Row],[Resource Name]]&amp;"/"&amp;ResourceAction[[#This Row],[Name]]</f>
        <v>ProductTransactionType/ProductTransactionViewTypes</v>
      </c>
      <c r="C6" s="74" t="s">
        <v>1304</v>
      </c>
      <c r="D6" s="79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79">
        <f>IFERROR(VLOOKUP(ResourceAction[[#This Row],[Resource Name]],ResourceTable[[RName]:[No]],3,0),"resource")</f>
        <v>305116</v>
      </c>
      <c r="F6" s="67" t="s">
        <v>1428</v>
      </c>
      <c r="G6" s="67" t="s">
        <v>1430</v>
      </c>
      <c r="H6" s="67"/>
      <c r="I6" s="79"/>
      <c r="J6" s="79" t="s">
        <v>122</v>
      </c>
      <c r="K6" s="80" t="str">
        <f>'Table Seed Map'!$A$35&amp;"-"&amp;(COUNTA($E$1:ResourceAction[[#This Row],[Resource]])-2)</f>
        <v>Action Method-4</v>
      </c>
      <c r="L6" s="79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79">
        <f>IF(ResourceAction[[#This Row],[No]]="id","resource_action",ResourceAction[[#This Row],[No]])</f>
        <v>332104</v>
      </c>
      <c r="N6" s="81" t="s">
        <v>122</v>
      </c>
      <c r="O6" s="82">
        <f ca="1">IF(ResourceAction[[#This Row],[Resource Name]]="","idn1",IF(ResourceAction[[#This Row],[IDN1]]="","",VLOOKUP(ResourceAction[[#This Row],[IDN1]],IDNMaps[[Display]:[ID]],2,0)))</f>
        <v>322102</v>
      </c>
      <c r="P6" s="82" t="str">
        <f>IF(ResourceAction[[#This Row],[Resource Name]]="","idn2",IF(ResourceAction[[#This Row],[IDN2]]="","",VLOOKUP(ResourceAction[[#This Row],[IDN2]],IDNMaps[[Display]:[ID]],2,0)))</f>
        <v/>
      </c>
      <c r="Q6" s="82" t="str">
        <f>IF(ResourceAction[[#This Row],[Resource Name]]="","idn3",IF(ResourceAction[[#This Row],[IDN3]]="","",VLOOKUP(ResourceAction[[#This Row],[IDN3]],IDNMaps[[Display]:[ID]],2,0)))</f>
        <v/>
      </c>
      <c r="R6" s="82" t="str">
        <f>IF(ResourceAction[[#This Row],[Resource Name]]="","idn4",IF(ResourceAction[[#This Row],[IDN4]]="","",VLOOKUP(ResourceAction[[#This Row],[IDN4]],IDNMaps[[Display]:[ID]],2,0)))</f>
        <v/>
      </c>
      <c r="S6" s="82" t="str">
        <f>IF(ResourceAction[[#This Row],[Resource Name]]="","idn5",IF(ResourceAction[[#This Row],[IDN5]]="","",VLOOKUP(ResourceAction[[#This Row],[IDN5]],IDNMaps[[Display]:[ID]],2,0)))</f>
        <v/>
      </c>
      <c r="T6" s="87" t="s">
        <v>1475</v>
      </c>
      <c r="U6" s="83"/>
      <c r="V6" s="83"/>
      <c r="W6" s="83"/>
      <c r="X6" s="83"/>
      <c r="Y6" s="84">
        <f>ResourceAction[No]</f>
        <v>332104</v>
      </c>
      <c r="Z6"/>
      <c r="AA6" s="4" t="s">
        <v>1486</v>
      </c>
      <c r="AB6" s="60">
        <f>VLOOKUP(ActionListNData[[#This Row],[Action Name]],ResourceAction[[Display]:[No]],3,0)</f>
        <v>332110</v>
      </c>
      <c r="AC6" s="60" t="s">
        <v>1460</v>
      </c>
      <c r="AD6" s="60" t="s">
        <v>1463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 x14ac:dyDescent="0.25">
      <c r="A7" s="67" t="str">
        <f>'Table Seed Map'!$A$34&amp;"-"&amp;(COUNTA($E$1:ResourceAction[[#This Row],[Resource]])-2)</f>
        <v>Resource Actions-5</v>
      </c>
      <c r="B7" s="67" t="str">
        <f>ResourceAction[[#This Row],[Resource Name]]&amp;"/"&amp;ResourceAction[[#This Row],[Name]]</f>
        <v>ProductTransactionNature/UpdateProductTransactionNature</v>
      </c>
      <c r="C7" s="74" t="s">
        <v>1303</v>
      </c>
      <c r="D7" s="67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67">
        <f>IFERROR(VLOOKUP(ResourceAction[[#This Row],[Resource Name]],ResourceTable[[RName]:[No]],3,0),"resource")</f>
        <v>305115</v>
      </c>
      <c r="F7" s="67" t="s">
        <v>1438</v>
      </c>
      <c r="G7" s="67" t="s">
        <v>1440</v>
      </c>
      <c r="H7" s="67" t="s">
        <v>335</v>
      </c>
      <c r="I7" s="67" t="s">
        <v>1439</v>
      </c>
      <c r="J7" s="67"/>
      <c r="K7" s="65" t="str">
        <f>'Table Seed Map'!$A$35&amp;"-"&amp;(COUNTA($E$1:ResourceAction[[#This Row],[Resource]])-2)</f>
        <v>Action Method-5</v>
      </c>
      <c r="L7" s="67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67">
        <f>IF(ResourceAction[[#This Row],[No]]="id","resource_action",ResourceAction[[#This Row],[No]])</f>
        <v>332105</v>
      </c>
      <c r="N7" s="85" t="s">
        <v>224</v>
      </c>
      <c r="O7" s="86">
        <f ca="1">IF(ResourceAction[[#This Row],[Resource Name]]="","idn1",IF(ResourceAction[[#This Row],[IDN1]]="","",VLOOKUP(ResourceAction[[#This Row],[IDN1]],IDNMaps[[Display]:[ID]],2,0)))</f>
        <v>309101</v>
      </c>
      <c r="P7" s="86">
        <f ca="1">IF(ResourceAction[[#This Row],[Resource Name]]="","idn2",IF(ResourceAction[[#This Row],[IDN2]]="","",VLOOKUP(ResourceAction[[#This Row],[IDN2]],IDNMaps[[Display]:[ID]],2,0)))</f>
        <v>327101</v>
      </c>
      <c r="Q7" s="86" t="str">
        <f>IF(ResourceAction[[#This Row],[Resource Name]]="","idn3",IF(ResourceAction[[#This Row],[IDN3]]="","",VLOOKUP(ResourceAction[[#This Row],[IDN3]],IDNMaps[[Display]:[ID]],2,0)))</f>
        <v/>
      </c>
      <c r="R7" s="86" t="str">
        <f>IF(ResourceAction[[#This Row],[Resource Name]]="","idn4",IF(ResourceAction[[#This Row],[IDN4]]="","",VLOOKUP(ResourceAction[[#This Row],[IDN4]],IDNMaps[[Display]:[ID]],2,0)))</f>
        <v/>
      </c>
      <c r="S7" s="86" t="str">
        <f>IF(ResourceAction[[#This Row],[Resource Name]]="","idn5",IF(ResourceAction[[#This Row],[IDN5]]="","",VLOOKUP(ResourceAction[[#This Row],[IDN5]],IDNMaps[[Display]:[ID]],2,0)))</f>
        <v/>
      </c>
      <c r="T7" s="87" t="s">
        <v>1424</v>
      </c>
      <c r="U7" s="87" t="s">
        <v>1477</v>
      </c>
      <c r="V7" s="87"/>
      <c r="W7" s="87"/>
      <c r="X7" s="87"/>
      <c r="Y7" s="73">
        <f>ResourceAction[No]</f>
        <v>332105</v>
      </c>
      <c r="Z7"/>
      <c r="AA7" s="4" t="s">
        <v>1511</v>
      </c>
      <c r="AB7" s="60">
        <f>VLOOKUP(ActionListNData[[#This Row],[Action Name]],ResourceAction[[Display]:[No]],3,0)</f>
        <v>332112</v>
      </c>
      <c r="AC7" s="60" t="s">
        <v>1550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 x14ac:dyDescent="0.25">
      <c r="A8" s="67" t="str">
        <f>'Table Seed Map'!$A$34&amp;"-"&amp;(COUNTA($E$1:ResourceAction[[#This Row],[Resource]])-2)</f>
        <v>Resource Actions-6</v>
      </c>
      <c r="B8" s="67" t="str">
        <f>ResourceAction[[#This Row],[Resource Name]]&amp;"/"&amp;ResourceAction[[#This Row],[Name]]</f>
        <v>ProductTransactionType/UpdateProductTransactionType</v>
      </c>
      <c r="C8" s="74" t="s">
        <v>1304</v>
      </c>
      <c r="D8" s="67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67">
        <f>IFERROR(VLOOKUP(ResourceAction[[#This Row],[Resource Name]],ResourceTable[[RName]:[No]],3,0),"resource")</f>
        <v>305116</v>
      </c>
      <c r="F8" s="67" t="s">
        <v>1441</v>
      </c>
      <c r="G8" s="67" t="s">
        <v>1442</v>
      </c>
      <c r="H8" s="67" t="s">
        <v>335</v>
      </c>
      <c r="I8" s="67" t="s">
        <v>1439</v>
      </c>
      <c r="J8" s="67"/>
      <c r="K8" s="65" t="str">
        <f>'Table Seed Map'!$A$35&amp;"-"&amp;(COUNTA($E$1:ResourceAction[[#This Row],[Resource]])-2)</f>
        <v>Action Method-6</v>
      </c>
      <c r="L8" s="67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67">
        <f>IF(ResourceAction[[#This Row],[No]]="id","resource_action",ResourceAction[[#This Row],[No]])</f>
        <v>332106</v>
      </c>
      <c r="N8" s="85" t="s">
        <v>224</v>
      </c>
      <c r="O8" s="86">
        <f ca="1">IF(ResourceAction[[#This Row],[Resource Name]]="","idn1",IF(ResourceAction[[#This Row],[IDN1]]="","",VLOOKUP(ResourceAction[[#This Row],[IDN1]],IDNMaps[[Display]:[ID]],2,0)))</f>
        <v>309102</v>
      </c>
      <c r="P8" s="86">
        <f ca="1">IF(ResourceAction[[#This Row],[Resource Name]]="","idn2",IF(ResourceAction[[#This Row],[IDN2]]="","",VLOOKUP(ResourceAction[[#This Row],[IDN2]],IDNMaps[[Display]:[ID]],2,0)))</f>
        <v>327102</v>
      </c>
      <c r="Q8" s="86" t="str">
        <f>IF(ResourceAction[[#This Row],[Resource Name]]="","idn3",IF(ResourceAction[[#This Row],[IDN3]]="","",VLOOKUP(ResourceAction[[#This Row],[IDN3]],IDNMaps[[Display]:[ID]],2,0)))</f>
        <v/>
      </c>
      <c r="R8" s="86" t="str">
        <f>IF(ResourceAction[[#This Row],[Resource Name]]="","idn4",IF(ResourceAction[[#This Row],[IDN4]]="","",VLOOKUP(ResourceAction[[#This Row],[IDN4]],IDNMaps[[Display]:[ID]],2,0)))</f>
        <v/>
      </c>
      <c r="S8" s="86" t="str">
        <f>IF(ResourceAction[[#This Row],[Resource Name]]="","idn5",IF(ResourceAction[[#This Row],[IDN5]]="","",VLOOKUP(ResourceAction[[#This Row],[IDN5]],IDNMaps[[Display]:[ID]],2,0)))</f>
        <v/>
      </c>
      <c r="T8" s="87" t="s">
        <v>1443</v>
      </c>
      <c r="U8" s="87" t="s">
        <v>1478</v>
      </c>
      <c r="V8" s="87"/>
      <c r="W8" s="87"/>
      <c r="X8" s="87"/>
      <c r="Y8" s="73">
        <f>ResourceAction[No]</f>
        <v>332106</v>
      </c>
      <c r="Z8"/>
      <c r="AA8" s="2" t="s">
        <v>1567</v>
      </c>
      <c r="AB8" s="16">
        <f>VLOOKUP(ActionListNData[[#This Row],[Action Name]],ResourceAction[[Display]:[No]],3,0)</f>
        <v>332115</v>
      </c>
      <c r="AC8" s="60" t="s">
        <v>1550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 x14ac:dyDescent="0.25">
      <c r="A9" s="67" t="str">
        <f>'Table Seed Map'!$A$34&amp;"-"&amp;(COUNTA($E$1:ResourceAction[[#This Row],[Resource]])-2)</f>
        <v>Resource Actions-7</v>
      </c>
      <c r="B9" s="67" t="str">
        <f>ResourceAction[[#This Row],[Resource Name]]&amp;"/"&amp;ResourceAction[[#This Row],[Name]]</f>
        <v>Setting/NewSettings</v>
      </c>
      <c r="C9" s="74" t="s">
        <v>1291</v>
      </c>
      <c r="D9" s="67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67">
        <f>IFERROR(VLOOKUP(ResourceAction[[#This Row],[Resource Name]],ResourceTable[[RName]:[No]],3,0),"resource")</f>
        <v>305103</v>
      </c>
      <c r="F9" s="67" t="s">
        <v>1468</v>
      </c>
      <c r="G9" s="67" t="s">
        <v>1469</v>
      </c>
      <c r="H9" s="67"/>
      <c r="I9" s="67"/>
      <c r="J9" s="67" t="s">
        <v>1423</v>
      </c>
      <c r="K9" s="65" t="str">
        <f>'Table Seed Map'!$A$35&amp;"-"&amp;(COUNTA($E$1:ResourceAction[[#This Row],[Resource]])-2)</f>
        <v>Action Method-7</v>
      </c>
      <c r="L9" s="67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67">
        <f>IF(ResourceAction[[#This Row],[No]]="id","resource_action",ResourceAction[[#This Row],[No]])</f>
        <v>332107</v>
      </c>
      <c r="N9" s="85" t="s">
        <v>121</v>
      </c>
      <c r="O9" s="86">
        <f ca="1">IF(ResourceAction[[#This Row],[Resource Name]]="","idn1",IF(ResourceAction[[#This Row],[IDN1]]="","",VLOOKUP(ResourceAction[[#This Row],[IDN1]],IDNMaps[[Display]:[ID]],2,0)))</f>
        <v>309103</v>
      </c>
      <c r="P9" s="86" t="str">
        <f>IF(ResourceAction[[#This Row],[Resource Name]]="","idn2",IF(ResourceAction[[#This Row],[IDN2]]="","",VLOOKUP(ResourceAction[[#This Row],[IDN2]],IDNMaps[[Display]:[ID]],2,0)))</f>
        <v/>
      </c>
      <c r="Q9" s="86" t="str">
        <f>IF(ResourceAction[[#This Row],[Resource Name]]="","idn3",IF(ResourceAction[[#This Row],[IDN3]]="","",VLOOKUP(ResourceAction[[#This Row],[IDN3]],IDNMaps[[Display]:[ID]],2,0)))</f>
        <v/>
      </c>
      <c r="R9" s="86" t="str">
        <f>IF(ResourceAction[[#This Row],[Resource Name]]="","idn4",IF(ResourceAction[[#This Row],[IDN4]]="","",VLOOKUP(ResourceAction[[#This Row],[IDN4]],IDNMaps[[Display]:[ID]],2,0)))</f>
        <v/>
      </c>
      <c r="S9" s="86" t="str">
        <f>IF(ResourceAction[[#This Row],[Resource Name]]="","idn5",IF(ResourceAction[[#This Row],[IDN5]]="","",VLOOKUP(ResourceAction[[#This Row],[IDN5]],IDNMaps[[Display]:[ID]],2,0)))</f>
        <v/>
      </c>
      <c r="T9" s="87" t="s">
        <v>1470</v>
      </c>
      <c r="U9" s="87"/>
      <c r="V9" s="87"/>
      <c r="W9" s="87"/>
      <c r="X9" s="87"/>
      <c r="Y9" s="73">
        <f>ResourceAction[No]</f>
        <v>332107</v>
      </c>
      <c r="Z9"/>
      <c r="AA9" s="2" t="s">
        <v>1575</v>
      </c>
      <c r="AB9" s="16">
        <f>VLOOKUP(ActionListNData[[#This Row],[Action Name]],ResourceAction[[Display]:[No]],3,0)</f>
        <v>332116</v>
      </c>
      <c r="AC9" s="60" t="s">
        <v>1460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 x14ac:dyDescent="0.25">
      <c r="A10" s="67" t="str">
        <f>'Table Seed Map'!$A$34&amp;"-"&amp;(COUNTA($E$1:ResourceAction[[#This Row],[Resource]])-2)</f>
        <v>Resource Actions-8</v>
      </c>
      <c r="B10" s="67" t="str">
        <f>ResourceAction[[#This Row],[Resource Name]]&amp;"/"&amp;ResourceAction[[#This Row],[Name]]</f>
        <v>Setting/ListSettings</v>
      </c>
      <c r="C10" s="74" t="s">
        <v>1291</v>
      </c>
      <c r="D10" s="67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67">
        <f>IFERROR(VLOOKUP(ResourceAction[[#This Row],[Resource Name]],ResourceTable[[RName]:[No]],3,0),"resource")</f>
        <v>305103</v>
      </c>
      <c r="F10" s="67" t="s">
        <v>1471</v>
      </c>
      <c r="G10" s="67" t="s">
        <v>1472</v>
      </c>
      <c r="H10" s="67"/>
      <c r="I10" s="67"/>
      <c r="J10" s="67" t="s">
        <v>1473</v>
      </c>
      <c r="K10" s="65" t="str">
        <f>'Table Seed Map'!$A$35&amp;"-"&amp;(COUNTA($E$1:ResourceAction[[#This Row],[Resource]])-2)</f>
        <v>Action Method-8</v>
      </c>
      <c r="L10" s="67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67">
        <f>IF(ResourceAction[[#This Row],[No]]="id","resource_action",ResourceAction[[#This Row],[No]])</f>
        <v>332108</v>
      </c>
      <c r="N10" s="85" t="s">
        <v>122</v>
      </c>
      <c r="O10" s="86">
        <f ca="1">IF(ResourceAction[[#This Row],[Resource Name]]="","idn1",IF(ResourceAction[[#This Row],[IDN1]]="","",VLOOKUP(ResourceAction[[#This Row],[IDN1]],IDNMaps[[Display]:[ID]],2,0)))</f>
        <v>322103</v>
      </c>
      <c r="P10" s="86" t="str">
        <f>IF(ResourceAction[[#This Row],[Resource Name]]="","idn2",IF(ResourceAction[[#This Row],[IDN2]]="","",VLOOKUP(ResourceAction[[#This Row],[IDN2]],IDNMaps[[Display]:[ID]],2,0)))</f>
        <v/>
      </c>
      <c r="Q10" s="86" t="str">
        <f>IF(ResourceAction[[#This Row],[Resource Name]]="","idn3",IF(ResourceAction[[#This Row],[IDN3]]="","",VLOOKUP(ResourceAction[[#This Row],[IDN3]],IDNMaps[[Display]:[ID]],2,0)))</f>
        <v/>
      </c>
      <c r="R10" s="86" t="str">
        <f>IF(ResourceAction[[#This Row],[Resource Name]]="","idn4",IF(ResourceAction[[#This Row],[IDN4]]="","",VLOOKUP(ResourceAction[[#This Row],[IDN4]],IDNMaps[[Display]:[ID]],2,0)))</f>
        <v/>
      </c>
      <c r="S10" s="86" t="str">
        <f>IF(ResourceAction[[#This Row],[Resource Name]]="","idn5",IF(ResourceAction[[#This Row],[IDN5]]="","",VLOOKUP(ResourceAction[[#This Row],[IDN5]],IDNMaps[[Display]:[ID]],2,0)))</f>
        <v/>
      </c>
      <c r="T10" s="87" t="s">
        <v>1474</v>
      </c>
      <c r="U10" s="87"/>
      <c r="V10" s="87"/>
      <c r="W10" s="87"/>
      <c r="X10" s="87"/>
      <c r="Y10" s="73">
        <f>ResourceAction[No]</f>
        <v>332108</v>
      </c>
      <c r="Z10"/>
      <c r="AA10" s="2" t="s">
        <v>1576</v>
      </c>
      <c r="AB10" s="16">
        <f>VLOOKUP(ActionListNData[[#This Row],[Action Name]],ResourceAction[[Display]:[No]],3,0)</f>
        <v>332117</v>
      </c>
      <c r="AC10" s="60" t="s">
        <v>1460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 x14ac:dyDescent="0.25">
      <c r="A11" s="67" t="str">
        <f>'Table Seed Map'!$A$34&amp;"-"&amp;(COUNTA($E$1:ResourceAction[[#This Row],[Resource]])-2)</f>
        <v>Resource Actions-9</v>
      </c>
      <c r="B11" s="67" t="str">
        <f>ResourceAction[[#This Row],[Resource Name]]&amp;"/"&amp;ResourceAction[[#This Row],[Name]]</f>
        <v>Setting/ViewSettingsDetails</v>
      </c>
      <c r="C11" s="74" t="s">
        <v>1291</v>
      </c>
      <c r="D11" s="67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67">
        <f>IFERROR(VLOOKUP(ResourceAction[[#This Row],[Resource Name]],ResourceTable[[RName]:[No]],3,0),"resource")</f>
        <v>305103</v>
      </c>
      <c r="F11" s="67" t="s">
        <v>1479</v>
      </c>
      <c r="G11" s="67" t="s">
        <v>1480</v>
      </c>
      <c r="H11" s="67" t="s">
        <v>1382</v>
      </c>
      <c r="I11" s="67" t="s">
        <v>1439</v>
      </c>
      <c r="J11" s="67"/>
      <c r="K11" s="65" t="str">
        <f>'Table Seed Map'!$A$35&amp;"-"&amp;(COUNTA($E$1:ResourceAction[[#This Row],[Resource]])-2)</f>
        <v>Action Method-9</v>
      </c>
      <c r="L11" s="67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67">
        <f>IF(ResourceAction[[#This Row],[No]]="id","resource_action",ResourceAction[[#This Row],[No]])</f>
        <v>332109</v>
      </c>
      <c r="N11" s="85" t="s">
        <v>130</v>
      </c>
      <c r="O11" s="86">
        <f ca="1">IF(ResourceAction[[#This Row],[Resource Name]]="","idn1",IF(ResourceAction[[#This Row],[IDN1]]="","",VLOOKUP(ResourceAction[[#This Row],[IDN1]],IDNMaps[[Display]:[ID]],2,0)))</f>
        <v>327103</v>
      </c>
      <c r="P11" s="86" t="str">
        <f>IF(ResourceAction[[#This Row],[Resource Name]]="","idn2",IF(ResourceAction[[#This Row],[IDN2]]="","",VLOOKUP(ResourceAction[[#This Row],[IDN2]],IDNMaps[[Display]:[ID]],2,0)))</f>
        <v/>
      </c>
      <c r="Q11" s="86" t="str">
        <f>IF(ResourceAction[[#This Row],[Resource Name]]="","idn3",IF(ResourceAction[[#This Row],[IDN3]]="","",VLOOKUP(ResourceAction[[#This Row],[IDN3]],IDNMaps[[Display]:[ID]],2,0)))</f>
        <v/>
      </c>
      <c r="R11" s="86" t="str">
        <f>IF(ResourceAction[[#This Row],[Resource Name]]="","idn4",IF(ResourceAction[[#This Row],[IDN4]]="","",VLOOKUP(ResourceAction[[#This Row],[IDN4]],IDNMaps[[Display]:[ID]],2,0)))</f>
        <v/>
      </c>
      <c r="S11" s="86" t="str">
        <f>IF(ResourceAction[[#This Row],[Resource Name]]="","idn5",IF(ResourceAction[[#This Row],[IDN5]]="","",VLOOKUP(ResourceAction[[#This Row],[IDN5]],IDNMaps[[Display]:[ID]],2,0)))</f>
        <v/>
      </c>
      <c r="T11" s="87" t="s">
        <v>1481</v>
      </c>
      <c r="U11" s="87"/>
      <c r="V11" s="87"/>
      <c r="W11" s="87"/>
      <c r="X11" s="87"/>
      <c r="Y11" s="73">
        <f>ResourceAction[No]</f>
        <v>332109</v>
      </c>
      <c r="Z11"/>
      <c r="AA11" s="2" t="s">
        <v>1601</v>
      </c>
      <c r="AB11" s="16">
        <f>VLOOKUP(ActionListNData[[#This Row],[Action Name]],ResourceAction[[Display]:[No]],3,0)</f>
        <v>332120</v>
      </c>
      <c r="AC11" s="60" t="s">
        <v>1506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 x14ac:dyDescent="0.25">
      <c r="A12" s="67" t="str">
        <f>'Table Seed Map'!$A$34&amp;"-"&amp;(COUNTA($E$1:ResourceAction[[#This Row],[Resource]])-2)</f>
        <v>Resource Actions-10</v>
      </c>
      <c r="B12" s="67" t="str">
        <f>ResourceAction[[#This Row],[Resource Name]]&amp;"/"&amp;ResourceAction[[#This Row],[Name]]</f>
        <v>Setting/UpdateSettings</v>
      </c>
      <c r="C12" s="74" t="s">
        <v>1291</v>
      </c>
      <c r="D12" s="67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67">
        <f>IFERROR(VLOOKUP(ResourceAction[[#This Row],[Resource Name]],ResourceTable[[RName]:[No]],3,0),"resource")</f>
        <v>305103</v>
      </c>
      <c r="F12" s="67" t="s">
        <v>1482</v>
      </c>
      <c r="G12" s="67" t="s">
        <v>1483</v>
      </c>
      <c r="H12" s="67" t="s">
        <v>1484</v>
      </c>
      <c r="I12" s="67" t="s">
        <v>1439</v>
      </c>
      <c r="J12" s="67"/>
      <c r="K12" s="65" t="str">
        <f>'Table Seed Map'!$A$35&amp;"-"&amp;(COUNTA($E$1:ResourceAction[[#This Row],[Resource]])-2)</f>
        <v>Action Method-10</v>
      </c>
      <c r="L12" s="67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67">
        <f>IF(ResourceAction[[#This Row],[No]]="id","resource_action",ResourceAction[[#This Row],[No]])</f>
        <v>332110</v>
      </c>
      <c r="N12" s="85" t="s">
        <v>224</v>
      </c>
      <c r="O12" s="86">
        <f ca="1">IF(ResourceAction[[#This Row],[Resource Name]]="","idn1",IF(ResourceAction[[#This Row],[IDN1]]="","",VLOOKUP(ResourceAction[[#This Row],[IDN1]],IDNMaps[[Display]:[ID]],2,0)))</f>
        <v>309103</v>
      </c>
      <c r="P12" s="86">
        <f ca="1">IF(ResourceAction[[#This Row],[Resource Name]]="","idn2",IF(ResourceAction[[#This Row],[IDN2]]="","",VLOOKUP(ResourceAction[[#This Row],[IDN2]],IDNMaps[[Display]:[ID]],2,0)))</f>
        <v>327103</v>
      </c>
      <c r="Q12" s="86" t="str">
        <f>IF(ResourceAction[[#This Row],[Resource Name]]="","idn3",IF(ResourceAction[[#This Row],[IDN3]]="","",VLOOKUP(ResourceAction[[#This Row],[IDN3]],IDNMaps[[Display]:[ID]],2,0)))</f>
        <v/>
      </c>
      <c r="R12" s="86" t="str">
        <f>IF(ResourceAction[[#This Row],[Resource Name]]="","idn4",IF(ResourceAction[[#This Row],[IDN4]]="","",VLOOKUP(ResourceAction[[#This Row],[IDN4]],IDNMaps[[Display]:[ID]],2,0)))</f>
        <v/>
      </c>
      <c r="S12" s="86" t="str">
        <f>IF(ResourceAction[[#This Row],[Resource Name]]="","idn5",IF(ResourceAction[[#This Row],[IDN5]]="","",VLOOKUP(ResourceAction[[#This Row],[IDN5]],IDNMaps[[Display]:[ID]],2,0)))</f>
        <v/>
      </c>
      <c r="T12" s="87" t="s">
        <v>1470</v>
      </c>
      <c r="U12" s="87" t="s">
        <v>1481</v>
      </c>
      <c r="V12" s="87"/>
      <c r="W12" s="87"/>
      <c r="X12" s="87"/>
      <c r="Y12" s="73">
        <f>ResourceAction[No]</f>
        <v>332110</v>
      </c>
      <c r="Z12"/>
      <c r="AA12" s="2" t="s">
        <v>1602</v>
      </c>
      <c r="AB12" s="16">
        <f>VLOOKUP(ActionListNData[[#This Row],[Action Name]],ResourceAction[[Display]:[No]],3,0)</f>
        <v>332119</v>
      </c>
      <c r="AC12" s="16" t="s">
        <v>1506</v>
      </c>
      <c r="AD12" s="16" t="s">
        <v>1593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 x14ac:dyDescent="0.25">
      <c r="A13" s="67" t="str">
        <f>'Table Seed Map'!$A$34&amp;"-"&amp;(COUNTA($E$1:ResourceAction[[#This Row],[Resource]])-2)</f>
        <v>Resource Actions-11</v>
      </c>
      <c r="B13" s="67" t="str">
        <f>ResourceAction[[#This Row],[Resource Name]]&amp;"/"&amp;ResourceAction[[#This Row],[Name]]</f>
        <v>User/UsersList</v>
      </c>
      <c r="C13" s="74" t="s">
        <v>74</v>
      </c>
      <c r="D13" s="67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67">
        <f>IFERROR(VLOOKUP(ResourceAction[[#This Row],[Resource Name]],ResourceTable[[RName]:[No]],3,0),"resource")</f>
        <v>305101</v>
      </c>
      <c r="F13" s="67" t="s">
        <v>1502</v>
      </c>
      <c r="G13" s="67" t="s">
        <v>1496</v>
      </c>
      <c r="H13" s="67"/>
      <c r="I13" s="67"/>
      <c r="J13" s="67" t="s">
        <v>1473</v>
      </c>
      <c r="K13" s="65" t="str">
        <f>'Table Seed Map'!$A$35&amp;"-"&amp;(COUNTA($E$1:ResourceAction[[#This Row],[Resource]])-2)</f>
        <v>Action Method-11</v>
      </c>
      <c r="L13" s="67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67">
        <f>IF(ResourceAction[[#This Row],[No]]="id","resource_action",ResourceAction[[#This Row],[No]])</f>
        <v>332111</v>
      </c>
      <c r="N13" s="85" t="s">
        <v>122</v>
      </c>
      <c r="O13" s="86">
        <f ca="1">IF(ResourceAction[[#This Row],[Resource Name]]="","idn1",IF(ResourceAction[[#This Row],[IDN1]]="","",VLOOKUP(ResourceAction[[#This Row],[IDN1]],IDNMaps[[Display]:[ID]],2,0)))</f>
        <v>322104</v>
      </c>
      <c r="P13" s="86" t="str">
        <f>IF(ResourceAction[[#This Row],[Resource Name]]="","idn2",IF(ResourceAction[[#This Row],[IDN2]]="","",VLOOKUP(ResourceAction[[#This Row],[IDN2]],IDNMaps[[Display]:[ID]],2,0)))</f>
        <v/>
      </c>
      <c r="Q13" s="86" t="str">
        <f>IF(ResourceAction[[#This Row],[Resource Name]]="","idn3",IF(ResourceAction[[#This Row],[IDN3]]="","",VLOOKUP(ResourceAction[[#This Row],[IDN3]],IDNMaps[[Display]:[ID]],2,0)))</f>
        <v/>
      </c>
      <c r="R13" s="86" t="str">
        <f>IF(ResourceAction[[#This Row],[Resource Name]]="","idn4",IF(ResourceAction[[#This Row],[IDN4]]="","",VLOOKUP(ResourceAction[[#This Row],[IDN4]],IDNMaps[[Display]:[ID]],2,0)))</f>
        <v/>
      </c>
      <c r="S13" s="86" t="str">
        <f>IF(ResourceAction[[#This Row],[Resource Name]]="","idn5",IF(ResourceAction[[#This Row],[IDN5]]="","",VLOOKUP(ResourceAction[[#This Row],[IDN5]],IDNMaps[[Display]:[ID]],2,0)))</f>
        <v/>
      </c>
      <c r="T13" s="87" t="s">
        <v>1503</v>
      </c>
      <c r="U13" s="87"/>
      <c r="V13" s="87"/>
      <c r="W13" s="87"/>
      <c r="X13" s="87"/>
      <c r="Y13" s="73">
        <f>ResourceAction[No]</f>
        <v>332111</v>
      </c>
      <c r="AA13" s="2" t="s">
        <v>1637</v>
      </c>
      <c r="AB13" s="60">
        <f>VLOOKUP(ActionListNData[[#This Row],[Action Name]],ResourceAction[[Display]:[No]],3,0)</f>
        <v>332123</v>
      </c>
      <c r="AC13" s="16" t="s">
        <v>1612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 x14ac:dyDescent="0.25">
      <c r="A14" s="67" t="str">
        <f>'Table Seed Map'!$A$34&amp;"-"&amp;(COUNTA($E$1:ResourceAction[[#This Row],[Resource]])-2)</f>
        <v>Resource Actions-12</v>
      </c>
      <c r="B14" s="67" t="str">
        <f>ResourceAction[[#This Row],[Resource Name]]&amp;"/"&amp;ResourceAction[[#This Row],[Name]]</f>
        <v>User/UserSettingsListAction</v>
      </c>
      <c r="C14" s="74" t="s">
        <v>74</v>
      </c>
      <c r="D14" s="67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67">
        <f>IFERROR(VLOOKUP(ResourceAction[[#This Row],[Resource Name]],ResourceTable[[RName]:[No]],3,0),"resource")</f>
        <v>305101</v>
      </c>
      <c r="F14" s="67" t="s">
        <v>1507</v>
      </c>
      <c r="G14" s="67" t="s">
        <v>1508</v>
      </c>
      <c r="H14" s="67" t="s">
        <v>1562</v>
      </c>
      <c r="I14" s="67" t="s">
        <v>1439</v>
      </c>
      <c r="J14" s="67"/>
      <c r="K14" s="65" t="str">
        <f>'Table Seed Map'!$A$35&amp;"-"&amp;(COUNTA($E$1:ResourceAction[[#This Row],[Resource]])-2)</f>
        <v>Action Method-12</v>
      </c>
      <c r="L14" s="67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67">
        <f>IF(ResourceAction[[#This Row],[No]]="id","resource_action",ResourceAction[[#This Row],[No]])</f>
        <v>332112</v>
      </c>
      <c r="N14" s="85" t="s">
        <v>1494</v>
      </c>
      <c r="O14" s="86">
        <f ca="1">IF(ResourceAction[[#This Row],[Resource Name]]="","idn1",IF(ResourceAction[[#This Row],[IDN1]]="","",VLOOKUP(ResourceAction[[#This Row],[IDN1]],IDNMaps[[Display]:[ID]],2,0)))</f>
        <v>308110</v>
      </c>
      <c r="P14" s="86">
        <f ca="1">IF(ResourceAction[[#This Row],[Resource Name]]="","idn2",IF(ResourceAction[[#This Row],[IDN2]]="","",VLOOKUP(ResourceAction[[#This Row],[IDN2]],IDNMaps[[Display]:[ID]],2,0)))</f>
        <v>322105</v>
      </c>
      <c r="Q14" s="86" t="str">
        <f>IF(ResourceAction[[#This Row],[Resource Name]]="","idn3",IF(ResourceAction[[#This Row],[IDN3]]="","",VLOOKUP(ResourceAction[[#This Row],[IDN3]],IDNMaps[[Display]:[ID]],2,0)))</f>
        <v/>
      </c>
      <c r="R14" s="86" t="str">
        <f>IF(ResourceAction[[#This Row],[Resource Name]]="","idn4",IF(ResourceAction[[#This Row],[IDN4]]="","",VLOOKUP(ResourceAction[[#This Row],[IDN4]],IDNMaps[[Display]:[ID]],2,0)))</f>
        <v/>
      </c>
      <c r="S14" s="86" t="str">
        <f>IF(ResourceAction[[#This Row],[Resource Name]]="","idn5",IF(ResourceAction[[#This Row],[IDN5]]="","",VLOOKUP(ResourceAction[[#This Row],[IDN5]],IDNMaps[[Display]:[ID]],2,0)))</f>
        <v/>
      </c>
      <c r="T14" s="87" t="s">
        <v>1509</v>
      </c>
      <c r="U14" s="87" t="s">
        <v>1510</v>
      </c>
      <c r="V14" s="87"/>
      <c r="W14" s="87"/>
      <c r="X14" s="87"/>
      <c r="Y14" s="73">
        <f>ResourceAction[No]</f>
        <v>332112</v>
      </c>
      <c r="AA14" s="2" t="s">
        <v>1638</v>
      </c>
      <c r="AB14" s="60">
        <f>VLOOKUP(ActionListNData[[#This Row],[Action Name]],ResourceAction[[Display]:[No]],3,0)</f>
        <v>332124</v>
      </c>
      <c r="AC14" s="16" t="s">
        <v>1612</v>
      </c>
      <c r="AD14" s="60" t="s">
        <v>1630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 x14ac:dyDescent="0.25">
      <c r="A15" s="67" t="str">
        <f>'Table Seed Map'!$A$34&amp;"-"&amp;(COUNTA($E$1:ResourceAction[[#This Row],[Resource]])-2)</f>
        <v>Resource Actions-13</v>
      </c>
      <c r="B15" s="67" t="str">
        <f>ResourceAction[[#This Row],[Resource Name]]&amp;"/"&amp;ResourceAction[[#This Row],[Name]]</f>
        <v>User/ListSalesExecutiveAction</v>
      </c>
      <c r="C15" s="74" t="s">
        <v>74</v>
      </c>
      <c r="D15" s="67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67">
        <f>IFERROR(VLOOKUP(ResourceAction[[#This Row],[Resource Name]],ResourceTable[[RName]:[No]],3,0),"resource")</f>
        <v>305101</v>
      </c>
      <c r="F15" s="67" t="s">
        <v>1552</v>
      </c>
      <c r="G15" s="67" t="s">
        <v>1553</v>
      </c>
      <c r="H15" s="67"/>
      <c r="I15" s="67"/>
      <c r="J15" s="67" t="s">
        <v>1549</v>
      </c>
      <c r="K15" s="65" t="str">
        <f>'Table Seed Map'!$A$35&amp;"-"&amp;(COUNTA($E$1:ResourceAction[[#This Row],[Resource]])-2)</f>
        <v>Action Method-13</v>
      </c>
      <c r="L15" s="67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67">
        <f>IF(ResourceAction[[#This Row],[No]]="id","resource_action",ResourceAction[[#This Row],[No]])</f>
        <v>332113</v>
      </c>
      <c r="N15" s="85" t="s">
        <v>122</v>
      </c>
      <c r="O15" s="86">
        <f ca="1">IF(ResourceAction[[#This Row],[Resource Name]]="","idn1",IF(ResourceAction[[#This Row],[IDN1]]="","",VLOOKUP(ResourceAction[[#This Row],[IDN1]],IDNMaps[[Display]:[ID]],2,0)))</f>
        <v>322106</v>
      </c>
      <c r="P15" s="86" t="str">
        <f>IF(ResourceAction[[#This Row],[Resource Name]]="","idn2",IF(ResourceAction[[#This Row],[IDN2]]="","",VLOOKUP(ResourceAction[[#This Row],[IDN2]],IDNMaps[[Display]:[ID]],2,0)))</f>
        <v/>
      </c>
      <c r="Q15" s="86" t="str">
        <f>IF(ResourceAction[[#This Row],[Resource Name]]="","idn3",IF(ResourceAction[[#This Row],[IDN3]]="","",VLOOKUP(ResourceAction[[#This Row],[IDN3]],IDNMaps[[Display]:[ID]],2,0)))</f>
        <v/>
      </c>
      <c r="R15" s="86" t="str">
        <f>IF(ResourceAction[[#This Row],[Resource Name]]="","idn4",IF(ResourceAction[[#This Row],[IDN4]]="","",VLOOKUP(ResourceAction[[#This Row],[IDN4]],IDNMaps[[Display]:[ID]],2,0)))</f>
        <v/>
      </c>
      <c r="S15" s="86" t="str">
        <f>IF(ResourceAction[[#This Row],[Resource Name]]="","idn5",IF(ResourceAction[[#This Row],[IDN5]]="","",VLOOKUP(ResourceAction[[#This Row],[IDN5]],IDNMaps[[Display]:[ID]],2,0)))</f>
        <v/>
      </c>
      <c r="T15" s="87" t="s">
        <v>1554</v>
      </c>
      <c r="U15" s="87"/>
      <c r="V15" s="87"/>
      <c r="W15" s="87"/>
      <c r="X15" s="87"/>
      <c r="Y15" s="73">
        <f>ResourceAction[No]</f>
        <v>332113</v>
      </c>
      <c r="AA15" s="2" t="s">
        <v>1660</v>
      </c>
      <c r="AB15" s="60">
        <f>VLOOKUP(ActionListNData[[#This Row],[Action Name]],ResourceAction[[Display]:[No]],3,0)</f>
        <v>332127</v>
      </c>
      <c r="AC15" s="60" t="s">
        <v>1550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 x14ac:dyDescent="0.25">
      <c r="A16" s="67" t="str">
        <f>'Table Seed Map'!$A$34&amp;"-"&amp;(COUNTA($E$1:ResourceAction[[#This Row],[Resource]])-2)</f>
        <v>Resource Actions-14</v>
      </c>
      <c r="B16" s="67" t="str">
        <f>ResourceAction[[#This Row],[Resource Name]]&amp;"/"&amp;ResourceAction[[#This Row],[Name]]</f>
        <v>UserSetting/AddNewUserSettingAction</v>
      </c>
      <c r="C16" s="74" t="s">
        <v>1300</v>
      </c>
      <c r="D16" s="67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67">
        <f>IFERROR(VLOOKUP(ResourceAction[[#This Row],[Resource Name]],ResourceTable[[RName]:[No]],3,0),"resource")</f>
        <v>305112</v>
      </c>
      <c r="F16" s="67" t="s">
        <v>1557</v>
      </c>
      <c r="G16" s="67" t="s">
        <v>1558</v>
      </c>
      <c r="H16" s="67"/>
      <c r="I16" s="67"/>
      <c r="J16" s="67" t="s">
        <v>1559</v>
      </c>
      <c r="K16" s="65" t="str">
        <f>'Table Seed Map'!$A$35&amp;"-"&amp;(COUNTA($E$1:ResourceAction[[#This Row],[Resource]])-2)</f>
        <v>Action Method-14</v>
      </c>
      <c r="L16" s="67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67">
        <f>IF(ResourceAction[[#This Row],[No]]="id","resource_action",ResourceAction[[#This Row],[No]])</f>
        <v>332114</v>
      </c>
      <c r="N16" s="85" t="s">
        <v>121</v>
      </c>
      <c r="O16" s="86">
        <f ca="1">IF(ResourceAction[[#This Row],[Resource Name]]="","idn1",IF(ResourceAction[[#This Row],[IDN1]]="","",VLOOKUP(ResourceAction[[#This Row],[IDN1]],IDNMaps[[Display]:[ID]],2,0)))</f>
        <v>309104</v>
      </c>
      <c r="P16" s="86" t="str">
        <f>IF(ResourceAction[[#This Row],[Resource Name]]="","idn2",IF(ResourceAction[[#This Row],[IDN2]]="","",VLOOKUP(ResourceAction[[#This Row],[IDN2]],IDNMaps[[Display]:[ID]],2,0)))</f>
        <v/>
      </c>
      <c r="Q16" s="86" t="str">
        <f>IF(ResourceAction[[#This Row],[Resource Name]]="","idn3",IF(ResourceAction[[#This Row],[IDN3]]="","",VLOOKUP(ResourceAction[[#This Row],[IDN3]],IDNMaps[[Display]:[ID]],2,0)))</f>
        <v/>
      </c>
      <c r="R16" s="86" t="str">
        <f>IF(ResourceAction[[#This Row],[Resource Name]]="","idn4",IF(ResourceAction[[#This Row],[IDN4]]="","",VLOOKUP(ResourceAction[[#This Row],[IDN4]],IDNMaps[[Display]:[ID]],2,0)))</f>
        <v/>
      </c>
      <c r="S16" s="86" t="str">
        <f>IF(ResourceAction[[#This Row],[Resource Name]]="","idn5",IF(ResourceAction[[#This Row],[IDN5]]="","",VLOOKUP(ResourceAction[[#This Row],[IDN5]],IDNMaps[[Display]:[ID]],2,0)))</f>
        <v/>
      </c>
      <c r="T16" s="87" t="s">
        <v>1560</v>
      </c>
      <c r="U16" s="87"/>
      <c r="V16" s="87"/>
      <c r="W16" s="87"/>
      <c r="X16" s="87"/>
      <c r="Y16" s="73">
        <f>ResourceAction[No]</f>
        <v>332114</v>
      </c>
      <c r="AA16" s="2" t="s">
        <v>1664</v>
      </c>
      <c r="AB16" s="60">
        <f>VLOOKUP(ActionListNData[[#This Row],[Action Name]],ResourceAction[[Display]:[No]],3,0)</f>
        <v>332128</v>
      </c>
      <c r="AC16" s="60" t="s">
        <v>1550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 x14ac:dyDescent="0.25">
      <c r="A17" s="67" t="str">
        <f>'Table Seed Map'!$A$34&amp;"-"&amp;(COUNTA($E$1:ResourceAction[[#This Row],[Resource]])-2)</f>
        <v>Resource Actions-15</v>
      </c>
      <c r="B17" s="67" t="str">
        <f>ResourceAction[[#This Row],[Resource Name]]&amp;"/"&amp;ResourceAction[[#This Row],[Name]]</f>
        <v>User/AddSettingsForSelectedUser</v>
      </c>
      <c r="C17" s="74" t="s">
        <v>74</v>
      </c>
      <c r="D17" s="67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67">
        <f>IFERROR(VLOOKUP(ResourceAction[[#This Row],[Resource Name]],ResourceTable[[RName]:[No]],3,0),"resource")</f>
        <v>305101</v>
      </c>
      <c r="F17" s="67" t="s">
        <v>1563</v>
      </c>
      <c r="G17" s="67" t="s">
        <v>1564</v>
      </c>
      <c r="H17" s="67" t="s">
        <v>1565</v>
      </c>
      <c r="I17" s="67" t="s">
        <v>1439</v>
      </c>
      <c r="J17" s="67"/>
      <c r="K17" s="65" t="str">
        <f>'Table Seed Map'!$A$35&amp;"-"&amp;(COUNTA($E$1:ResourceAction[[#This Row],[Resource]])-2)</f>
        <v>Action Method-15</v>
      </c>
      <c r="L17" s="67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67">
        <f>IF(ResourceAction[[#This Row],[No]]="id","resource_action",ResourceAction[[#This Row],[No]])</f>
        <v>332115</v>
      </c>
      <c r="N17" s="85" t="s">
        <v>1566</v>
      </c>
      <c r="O17" s="86">
        <f ca="1">IF(ResourceAction[[#This Row],[Resource Name]]="","idn1",IF(ResourceAction[[#This Row],[IDN1]]="","",VLOOKUP(ResourceAction[[#This Row],[IDN1]],IDNMaps[[Display]:[ID]],2,0)))</f>
        <v>308110</v>
      </c>
      <c r="P17" s="86">
        <f ca="1">IF(ResourceAction[[#This Row],[Resource Name]]="","idn2",IF(ResourceAction[[#This Row],[IDN2]]="","",VLOOKUP(ResourceAction[[#This Row],[IDN2]],IDNMaps[[Display]:[ID]],2,0)))</f>
        <v>309104</v>
      </c>
      <c r="Q17" s="86">
        <f ca="1">IF(ResourceAction[[#This Row],[Resource Name]]="","idn3",IF(ResourceAction[[#This Row],[IDN3]]="","",VLOOKUP(ResourceAction[[#This Row],[IDN3]],IDNMaps[[Display]:[ID]],2,0)))</f>
        <v>310109</v>
      </c>
      <c r="R17" s="86" t="str">
        <f>IF(ResourceAction[[#This Row],[Resource Name]]="","idn4",IF(ResourceAction[[#This Row],[IDN4]]="","",VLOOKUP(ResourceAction[[#This Row],[IDN4]],IDNMaps[[Display]:[ID]],2,0)))</f>
        <v/>
      </c>
      <c r="S17" s="86" t="str">
        <f>IF(ResourceAction[[#This Row],[Resource Name]]="","idn5",IF(ResourceAction[[#This Row],[IDN5]]="","",VLOOKUP(ResourceAction[[#This Row],[IDN5]],IDNMaps[[Display]:[ID]],2,0)))</f>
        <v/>
      </c>
      <c r="T17" s="87" t="s">
        <v>1509</v>
      </c>
      <c r="U17" s="87" t="s">
        <v>1560</v>
      </c>
      <c r="V17" s="87" t="s">
        <v>1579</v>
      </c>
      <c r="W17" s="87"/>
      <c r="X17" s="87"/>
      <c r="Y17" s="73">
        <f>ResourceAction[No]</f>
        <v>332115</v>
      </c>
      <c r="AA17" s="2" t="s">
        <v>1674</v>
      </c>
      <c r="AB17" s="60">
        <f>VLOOKUP(ActionListNData[[#This Row],[Action Name]],ResourceAction[[Display]:[No]],3,0)</f>
        <v>332129</v>
      </c>
      <c r="AC17" s="60" t="s">
        <v>1643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 x14ac:dyDescent="0.25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2" t="s">
        <v>1291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1571</v>
      </c>
      <c r="G18" s="38" t="s">
        <v>1572</v>
      </c>
      <c r="H18" s="38" t="s">
        <v>1573</v>
      </c>
      <c r="I18" s="67" t="s">
        <v>1439</v>
      </c>
      <c r="J18" s="38"/>
      <c r="K18" s="93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4" t="s">
        <v>1494</v>
      </c>
      <c r="O18" s="95">
        <f ca="1">IF(ResourceAction[[#This Row],[Resource Name]]="","idn1",IF(ResourceAction[[#This Row],[IDN1]]="","",VLOOKUP(ResourceAction[[#This Row],[IDN1]],IDNMaps[[Display]:[ID]],2,0)))</f>
        <v>308107</v>
      </c>
      <c r="P18" s="95">
        <f ca="1">IF(ResourceAction[[#This Row],[Resource Name]]="","idn2",IF(ResourceAction[[#This Row],[IDN2]]="","",VLOOKUP(ResourceAction[[#This Row],[IDN2]],IDNMaps[[Display]:[ID]],2,0)))</f>
        <v>322105</v>
      </c>
      <c r="Q18" s="95" t="str">
        <f>IF(ResourceAction[[#This Row],[Resource Name]]="","idn3",IF(ResourceAction[[#This Row],[IDN3]]="","",VLOOKUP(ResourceAction[[#This Row],[IDN3]],IDNMaps[[Display]:[ID]],2,0)))</f>
        <v/>
      </c>
      <c r="R18" s="95" t="str">
        <f>IF(ResourceAction[[#This Row],[Resource Name]]="","idn4",IF(ResourceAction[[#This Row],[IDN4]]="","",VLOOKUP(ResourceAction[[#This Row],[IDN4]],IDNMaps[[Display]:[ID]],2,0)))</f>
        <v/>
      </c>
      <c r="S18" s="95" t="str">
        <f>IF(ResourceAction[[#This Row],[Resource Name]]="","idn5",IF(ResourceAction[[#This Row],[IDN5]]="","",VLOOKUP(ResourceAction[[#This Row],[IDN5]],IDNMaps[[Display]:[ID]],2,0)))</f>
        <v/>
      </c>
      <c r="T18" s="96" t="s">
        <v>1574</v>
      </c>
      <c r="U18" s="96" t="s">
        <v>1510</v>
      </c>
      <c r="V18" s="87"/>
      <c r="W18" s="96"/>
      <c r="X18" s="96"/>
      <c r="Y18" s="55">
        <f>ResourceAction[No]</f>
        <v>332116</v>
      </c>
      <c r="AA18" s="2" t="s">
        <v>1675</v>
      </c>
      <c r="AB18" s="60">
        <f>VLOOKUP(ActionListNData[[#This Row],[Action Name]],ResourceAction[[Display]:[No]],3,0)</f>
        <v>332130</v>
      </c>
      <c r="AC18" s="60" t="s">
        <v>1643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 x14ac:dyDescent="0.25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2" t="s">
        <v>1291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1568</v>
      </c>
      <c r="G19" s="38" t="s">
        <v>1569</v>
      </c>
      <c r="H19" s="38" t="s">
        <v>1570</v>
      </c>
      <c r="I19" s="67" t="s">
        <v>1439</v>
      </c>
      <c r="J19" s="38"/>
      <c r="K19" s="93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5" t="s">
        <v>1566</v>
      </c>
      <c r="O19" s="95">
        <f ca="1">IF(ResourceAction[[#This Row],[Resource Name]]="","idn1",IF(ResourceAction[[#This Row],[IDN1]]="","",VLOOKUP(ResourceAction[[#This Row],[IDN1]],IDNMaps[[Display]:[ID]],2,0)))</f>
        <v>308107</v>
      </c>
      <c r="P19" s="95">
        <f ca="1">IF(ResourceAction[[#This Row],[Resource Name]]="","idn2",IF(ResourceAction[[#This Row],[IDN2]]="","",VLOOKUP(ResourceAction[[#This Row],[IDN2]],IDNMaps[[Display]:[ID]],2,0)))</f>
        <v>309104</v>
      </c>
      <c r="Q19" s="95">
        <f ca="1">IF(ResourceAction[[#This Row],[Resource Name]]="","idn3",IF(ResourceAction[[#This Row],[IDN3]]="","",VLOOKUP(ResourceAction[[#This Row],[IDN3]],IDNMaps[[Display]:[ID]],2,0)))</f>
        <v>310110</v>
      </c>
      <c r="R19" s="95" t="str">
        <f>IF(ResourceAction[[#This Row],[Resource Name]]="","idn4",IF(ResourceAction[[#This Row],[IDN4]]="","",VLOOKUP(ResourceAction[[#This Row],[IDN4]],IDNMaps[[Display]:[ID]],2,0)))</f>
        <v/>
      </c>
      <c r="S19" s="95" t="str">
        <f>IF(ResourceAction[[#This Row],[Resource Name]]="","idn5",IF(ResourceAction[[#This Row],[IDN5]]="","",VLOOKUP(ResourceAction[[#This Row],[IDN5]],IDNMaps[[Display]:[ID]],2,0)))</f>
        <v/>
      </c>
      <c r="T19" s="96" t="s">
        <v>1574</v>
      </c>
      <c r="U19" s="96" t="s">
        <v>1560</v>
      </c>
      <c r="V19" s="87" t="s">
        <v>1580</v>
      </c>
      <c r="W19" s="96"/>
      <c r="X19" s="96"/>
      <c r="Y19" s="55">
        <f>ResourceAction[No]</f>
        <v>332117</v>
      </c>
      <c r="AA19" s="2" t="s">
        <v>1681</v>
      </c>
      <c r="AB19" s="60">
        <f>VLOOKUP(ActionListNData[[#This Row],[Action Name]],ResourceAction[[Display]:[No]],3,0)</f>
        <v>332131</v>
      </c>
      <c r="AC19" s="60" t="s">
        <v>1647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 x14ac:dyDescent="0.25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2" t="s">
        <v>1300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305112</v>
      </c>
      <c r="F20" s="38" t="s">
        <v>1581</v>
      </c>
      <c r="G20" s="38" t="s">
        <v>1582</v>
      </c>
      <c r="H20" s="38"/>
      <c r="I20" s="38"/>
      <c r="J20" s="38" t="s">
        <v>1473</v>
      </c>
      <c r="K20" s="93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4" t="s">
        <v>122</v>
      </c>
      <c r="O20" s="95">
        <f ca="1">IF(ResourceAction[[#This Row],[Resource Name]]="","idn1",IF(ResourceAction[[#This Row],[IDN1]]="","",VLOOKUP(ResourceAction[[#This Row],[IDN1]],IDNMaps[[Display]:[ID]],2,0)))</f>
        <v>322105</v>
      </c>
      <c r="P20" s="95" t="str">
        <f>IF(ResourceAction[[#This Row],[Resource Name]]="","idn2",IF(ResourceAction[[#This Row],[IDN2]]="","",VLOOKUP(ResourceAction[[#This Row],[IDN2]],IDNMaps[[Display]:[ID]],2,0)))</f>
        <v/>
      </c>
      <c r="Q20" s="95" t="str">
        <f>IF(ResourceAction[[#This Row],[Resource Name]]="","idn3",IF(ResourceAction[[#This Row],[IDN3]]="","",VLOOKUP(ResourceAction[[#This Row],[IDN3]],IDNMaps[[Display]:[ID]],2,0)))</f>
        <v/>
      </c>
      <c r="R20" s="95" t="str">
        <f>IF(ResourceAction[[#This Row],[Resource Name]]="","idn4",IF(ResourceAction[[#This Row],[IDN4]]="","",VLOOKUP(ResourceAction[[#This Row],[IDN4]],IDNMaps[[Display]:[ID]],2,0)))</f>
        <v/>
      </c>
      <c r="S20" s="95" t="str">
        <f>IF(ResourceAction[[#This Row],[Resource Name]]="","idn5",IF(ResourceAction[[#This Row],[IDN5]]="","",VLOOKUP(ResourceAction[[#This Row],[IDN5]],IDNMaps[[Display]:[ID]],2,0)))</f>
        <v/>
      </c>
      <c r="T20" s="96" t="s">
        <v>1510</v>
      </c>
      <c r="U20" s="96"/>
      <c r="V20" s="96"/>
      <c r="W20" s="96"/>
      <c r="X20" s="96"/>
      <c r="Y20" s="55">
        <f>ResourceAction[No]</f>
        <v>332118</v>
      </c>
    </row>
    <row r="21" spans="1:38" x14ac:dyDescent="0.25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2" t="s">
        <v>1300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305112</v>
      </c>
      <c r="F21" s="38" t="s">
        <v>1588</v>
      </c>
      <c r="G21" s="38" t="s">
        <v>1589</v>
      </c>
      <c r="H21" s="38" t="s">
        <v>1585</v>
      </c>
      <c r="I21" s="38" t="s">
        <v>1439</v>
      </c>
      <c r="J21" s="38"/>
      <c r="K21" s="93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4" t="s">
        <v>224</v>
      </c>
      <c r="O21" s="95">
        <f ca="1">IF(ResourceAction[[#This Row],[Resource Name]]="","idn1",IF(ResourceAction[[#This Row],[IDN1]]="","",VLOOKUP(ResourceAction[[#This Row],[IDN1]],IDNMaps[[Display]:[ID]],2,0)))</f>
        <v>309105</v>
      </c>
      <c r="P21" s="95">
        <f ca="1">IF(ResourceAction[[#This Row],[Resource Name]]="","idn2",IF(ResourceAction[[#This Row],[IDN2]]="","",VLOOKUP(ResourceAction[[#This Row],[IDN2]],IDNMaps[[Display]:[ID]],2,0)))</f>
        <v>327104</v>
      </c>
      <c r="Q21" s="95" t="str">
        <f>IF(ResourceAction[[#This Row],[Resource Name]]="","idn3",IF(ResourceAction[[#This Row],[IDN3]]="","",VLOOKUP(ResourceAction[[#This Row],[IDN3]],IDNMaps[[Display]:[ID]],2,0)))</f>
        <v/>
      </c>
      <c r="R21" s="95" t="str">
        <f>IF(ResourceAction[[#This Row],[Resource Name]]="","idn4",IF(ResourceAction[[#This Row],[IDN4]]="","",VLOOKUP(ResourceAction[[#This Row],[IDN4]],IDNMaps[[Display]:[ID]],2,0)))</f>
        <v/>
      </c>
      <c r="S21" s="95" t="str">
        <f>IF(ResourceAction[[#This Row],[Resource Name]]="","idn5",IF(ResourceAction[[#This Row],[IDN5]]="","",VLOOKUP(ResourceAction[[#This Row],[IDN5]],IDNMaps[[Display]:[ID]],2,0)))</f>
        <v/>
      </c>
      <c r="T21" s="96" t="s">
        <v>1590</v>
      </c>
      <c r="U21" s="96" t="s">
        <v>1597</v>
      </c>
      <c r="V21" s="96"/>
      <c r="W21" s="96"/>
      <c r="X21" s="96"/>
      <c r="Y21" s="55">
        <f>ResourceAction[No]</f>
        <v>332119</v>
      </c>
    </row>
    <row r="22" spans="1:38" x14ac:dyDescent="0.25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2" t="s">
        <v>1300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305112</v>
      </c>
      <c r="F22" s="38" t="s">
        <v>1598</v>
      </c>
      <c r="G22" s="38" t="s">
        <v>1599</v>
      </c>
      <c r="H22" s="38" t="s">
        <v>1600</v>
      </c>
      <c r="I22" s="38" t="s">
        <v>1439</v>
      </c>
      <c r="J22" s="38"/>
      <c r="K22" s="93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4" t="s">
        <v>130</v>
      </c>
      <c r="O22" s="95">
        <f ca="1">IF(ResourceAction[[#This Row],[Resource Name]]="","idn1",IF(ResourceAction[[#This Row],[IDN1]]="","",VLOOKUP(ResourceAction[[#This Row],[IDN1]],IDNMaps[[Display]:[ID]],2,0)))</f>
        <v>327104</v>
      </c>
      <c r="P22" s="95" t="str">
        <f>IF(ResourceAction[[#This Row],[Resource Name]]="","idn2",IF(ResourceAction[[#This Row],[IDN2]]="","",VLOOKUP(ResourceAction[[#This Row],[IDN2]],IDNMaps[[Display]:[ID]],2,0)))</f>
        <v/>
      </c>
      <c r="Q22" s="95" t="str">
        <f>IF(ResourceAction[[#This Row],[Resource Name]]="","idn3",IF(ResourceAction[[#This Row],[IDN3]]="","",VLOOKUP(ResourceAction[[#This Row],[IDN3]],IDNMaps[[Display]:[ID]],2,0)))</f>
        <v/>
      </c>
      <c r="R22" s="95" t="str">
        <f>IF(ResourceAction[[#This Row],[Resource Name]]="","idn4",IF(ResourceAction[[#This Row],[IDN4]]="","",VLOOKUP(ResourceAction[[#This Row],[IDN4]],IDNMaps[[Display]:[ID]],2,0)))</f>
        <v/>
      </c>
      <c r="S22" s="95" t="str">
        <f>IF(ResourceAction[[#This Row],[Resource Name]]="","idn5",IF(ResourceAction[[#This Row],[IDN5]]="","",VLOOKUP(ResourceAction[[#This Row],[IDN5]],IDNMaps[[Display]:[ID]],2,0)))</f>
        <v/>
      </c>
      <c r="T22" s="96" t="s">
        <v>1597</v>
      </c>
      <c r="U22" s="96"/>
      <c r="V22" s="96"/>
      <c r="W22" s="96"/>
      <c r="X22" s="96"/>
      <c r="Y22" s="55">
        <f>ResourceAction[No]</f>
        <v>332120</v>
      </c>
    </row>
    <row r="23" spans="1:38" x14ac:dyDescent="0.25">
      <c r="A23" s="67" t="str">
        <f>'Table Seed Map'!$A$34&amp;"-"&amp;(COUNTA($E$1:ResourceAction[[#This Row],[Resource]])-2)</f>
        <v>Resource Actions-21</v>
      </c>
      <c r="B23" s="67" t="str">
        <f>ResourceAction[[#This Row],[Resource Name]]&amp;"/"&amp;ResourceAction[[#This Row],[Name]]</f>
        <v>UserStoreArea/AddUserStoreAreaRecordAction</v>
      </c>
      <c r="C23" s="74" t="s">
        <v>1301</v>
      </c>
      <c r="D23" s="67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67">
        <f>IFERROR(VLOOKUP(ResourceAction[[#This Row],[Resource Name]],ResourceTable[[RName]:[No]],3,0),"resource")</f>
        <v>305113</v>
      </c>
      <c r="F23" s="67" t="s">
        <v>1617</v>
      </c>
      <c r="G23" s="67" t="s">
        <v>1618</v>
      </c>
      <c r="H23" s="67"/>
      <c r="I23" s="67"/>
      <c r="J23" s="67" t="s">
        <v>1423</v>
      </c>
      <c r="K23" s="65" t="str">
        <f>'Table Seed Map'!$A$35&amp;"-"&amp;(COUNTA($E$1:ResourceAction[[#This Row],[Resource]])-2)</f>
        <v>Action Method-21</v>
      </c>
      <c r="L23" s="67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67">
        <f>IF(ResourceAction[[#This Row],[No]]="id","resource_action",ResourceAction[[#This Row],[No]])</f>
        <v>332121</v>
      </c>
      <c r="N23" s="85" t="s">
        <v>121</v>
      </c>
      <c r="O23" s="86">
        <f ca="1">IF(ResourceAction[[#This Row],[Resource Name]]="","idn1",IF(ResourceAction[[#This Row],[IDN1]]="","",VLOOKUP(ResourceAction[[#This Row],[IDN1]],IDNMaps[[Display]:[ID]],2,0)))</f>
        <v>309106</v>
      </c>
      <c r="P23" s="86" t="str">
        <f>IF(ResourceAction[[#This Row],[Resource Name]]="","idn2",IF(ResourceAction[[#This Row],[IDN2]]="","",VLOOKUP(ResourceAction[[#This Row],[IDN2]],IDNMaps[[Display]:[ID]],2,0)))</f>
        <v/>
      </c>
      <c r="Q23" s="86" t="str">
        <f>IF(ResourceAction[[#This Row],[Resource Name]]="","idn3",IF(ResourceAction[[#This Row],[IDN3]]="","",VLOOKUP(ResourceAction[[#This Row],[IDN3]],IDNMaps[[Display]:[ID]],2,0)))</f>
        <v/>
      </c>
      <c r="R23" s="86" t="str">
        <f>IF(ResourceAction[[#This Row],[Resource Name]]="","idn4",IF(ResourceAction[[#This Row],[IDN4]]="","",VLOOKUP(ResourceAction[[#This Row],[IDN4]],IDNMaps[[Display]:[ID]],2,0)))</f>
        <v/>
      </c>
      <c r="S23" s="86" t="str">
        <f>IF(ResourceAction[[#This Row],[Resource Name]]="","idn5",IF(ResourceAction[[#This Row],[IDN5]]="","",VLOOKUP(ResourceAction[[#This Row],[IDN5]],IDNMaps[[Display]:[ID]],2,0)))</f>
        <v/>
      </c>
      <c r="T23" s="87" t="s">
        <v>1619</v>
      </c>
      <c r="U23" s="87"/>
      <c r="V23" s="87"/>
      <c r="W23" s="87"/>
      <c r="X23" s="87"/>
      <c r="Y23" s="73">
        <f>ResourceAction[No]</f>
        <v>332121</v>
      </c>
    </row>
    <row r="24" spans="1:38" x14ac:dyDescent="0.25">
      <c r="A24" s="67" t="str">
        <f>'Table Seed Map'!$A$34&amp;"-"&amp;(COUNTA($E$1:ResourceAction[[#This Row],[Resource]])-2)</f>
        <v>Resource Actions-22</v>
      </c>
      <c r="B24" s="67" t="str">
        <f>ResourceAction[[#This Row],[Resource Name]]&amp;"/"&amp;ResourceAction[[#This Row],[Name]]</f>
        <v>UserStoreArea/ListUserStoreAreaRecordAction</v>
      </c>
      <c r="C24" s="74" t="s">
        <v>1301</v>
      </c>
      <c r="D24" s="67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67">
        <f>IFERROR(VLOOKUP(ResourceAction[[#This Row],[Resource Name]],ResourceTable[[RName]:[No]],3,0),"resource")</f>
        <v>305113</v>
      </c>
      <c r="F24" s="67" t="s">
        <v>1620</v>
      </c>
      <c r="G24" s="67" t="s">
        <v>1621</v>
      </c>
      <c r="H24" s="67"/>
      <c r="I24" s="67"/>
      <c r="J24" s="67" t="s">
        <v>1473</v>
      </c>
      <c r="K24" s="65" t="str">
        <f>'Table Seed Map'!$A$35&amp;"-"&amp;(COUNTA($E$1:ResourceAction[[#This Row],[Resource]])-2)</f>
        <v>Action Method-22</v>
      </c>
      <c r="L24" s="67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67">
        <f>IF(ResourceAction[[#This Row],[No]]="id","resource_action",ResourceAction[[#This Row],[No]])</f>
        <v>332122</v>
      </c>
      <c r="N24" s="85" t="s">
        <v>122</v>
      </c>
      <c r="O24" s="86">
        <f ca="1">IF(ResourceAction[[#This Row],[Resource Name]]="","idn1",IF(ResourceAction[[#This Row],[IDN1]]="","",VLOOKUP(ResourceAction[[#This Row],[IDN1]],IDNMaps[[Display]:[ID]],2,0)))</f>
        <v>322107</v>
      </c>
      <c r="P24" s="86" t="str">
        <f>IF(ResourceAction[[#This Row],[Resource Name]]="","idn2",IF(ResourceAction[[#This Row],[IDN2]]="","",VLOOKUP(ResourceAction[[#This Row],[IDN2]],IDNMaps[[Display]:[ID]],2,0)))</f>
        <v/>
      </c>
      <c r="Q24" s="86" t="str">
        <f>IF(ResourceAction[[#This Row],[Resource Name]]="","idn3",IF(ResourceAction[[#This Row],[IDN3]]="","",VLOOKUP(ResourceAction[[#This Row],[IDN3]],IDNMaps[[Display]:[ID]],2,0)))</f>
        <v/>
      </c>
      <c r="R24" s="86" t="str">
        <f>IF(ResourceAction[[#This Row],[Resource Name]]="","idn4",IF(ResourceAction[[#This Row],[IDN4]]="","",VLOOKUP(ResourceAction[[#This Row],[IDN4]],IDNMaps[[Display]:[ID]],2,0)))</f>
        <v/>
      </c>
      <c r="S24" s="86" t="str">
        <f>IF(ResourceAction[[#This Row],[Resource Name]]="","idn5",IF(ResourceAction[[#This Row],[IDN5]]="","",VLOOKUP(ResourceAction[[#This Row],[IDN5]],IDNMaps[[Display]:[ID]],2,0)))</f>
        <v/>
      </c>
      <c r="T24" s="87" t="s">
        <v>1622</v>
      </c>
      <c r="U24" s="87"/>
      <c r="V24" s="87"/>
      <c r="W24" s="87"/>
      <c r="X24" s="87"/>
      <c r="Y24" s="73">
        <f>ResourceAction[No]</f>
        <v>332122</v>
      </c>
    </row>
    <row r="25" spans="1:38" x14ac:dyDescent="0.25">
      <c r="A25" s="67" t="str">
        <f>'Table Seed Map'!$A$34&amp;"-"&amp;(COUNTA($E$1:ResourceAction[[#This Row],[Resource]])-2)</f>
        <v>Resource Actions-23</v>
      </c>
      <c r="B25" s="67" t="str">
        <f>ResourceAction[[#This Row],[Resource Name]]&amp;"/"&amp;ResourceAction[[#This Row],[Name]]</f>
        <v>UserStoreArea/ViewUserStoreAreaAction</v>
      </c>
      <c r="C25" s="74" t="s">
        <v>1301</v>
      </c>
      <c r="D25" s="67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67">
        <f>IFERROR(VLOOKUP(ResourceAction[[#This Row],[Resource Name]],ResourceTable[[RName]:[No]],3,0),"resource")</f>
        <v>305113</v>
      </c>
      <c r="F25" s="67" t="s">
        <v>1632</v>
      </c>
      <c r="G25" s="67" t="s">
        <v>1633</v>
      </c>
      <c r="H25" s="67" t="s">
        <v>1600</v>
      </c>
      <c r="I25" s="67" t="s">
        <v>1439</v>
      </c>
      <c r="J25" s="67"/>
      <c r="K25" s="65" t="str">
        <f>'Table Seed Map'!$A$35&amp;"-"&amp;(COUNTA($E$1:ResourceAction[[#This Row],[Resource]])-2)</f>
        <v>Action Method-23</v>
      </c>
      <c r="L25" s="67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67">
        <f>IF(ResourceAction[[#This Row],[No]]="id","resource_action",ResourceAction[[#This Row],[No]])</f>
        <v>332123</v>
      </c>
      <c r="N25" s="85" t="s">
        <v>130</v>
      </c>
      <c r="O25" s="86">
        <f ca="1">IF(ResourceAction[[#This Row],[Resource Name]]="","idn1",IF(ResourceAction[[#This Row],[IDN1]]="","",VLOOKUP(ResourceAction[[#This Row],[IDN1]],IDNMaps[[Display]:[ID]],2,0)))</f>
        <v>327105</v>
      </c>
      <c r="P25" s="86" t="str">
        <f>IF(ResourceAction[[#This Row],[Resource Name]]="","idn2",IF(ResourceAction[[#This Row],[IDN2]]="","",VLOOKUP(ResourceAction[[#This Row],[IDN2]],IDNMaps[[Display]:[ID]],2,0)))</f>
        <v/>
      </c>
      <c r="Q25" s="86" t="str">
        <f>IF(ResourceAction[[#This Row],[Resource Name]]="","idn3",IF(ResourceAction[[#This Row],[IDN3]]="","",VLOOKUP(ResourceAction[[#This Row],[IDN3]],IDNMaps[[Display]:[ID]],2,0)))</f>
        <v/>
      </c>
      <c r="R25" s="86" t="str">
        <f>IF(ResourceAction[[#This Row],[Resource Name]]="","idn4",IF(ResourceAction[[#This Row],[IDN4]]="","",VLOOKUP(ResourceAction[[#This Row],[IDN4]],IDNMaps[[Display]:[ID]],2,0)))</f>
        <v/>
      </c>
      <c r="S25" s="86" t="str">
        <f>IF(ResourceAction[[#This Row],[Resource Name]]="","idn5",IF(ResourceAction[[#This Row],[IDN5]]="","",VLOOKUP(ResourceAction[[#This Row],[IDN5]],IDNMaps[[Display]:[ID]],2,0)))</f>
        <v/>
      </c>
      <c r="T25" s="87" t="s">
        <v>1634</v>
      </c>
      <c r="U25" s="87"/>
      <c r="V25" s="87"/>
      <c r="W25" s="87"/>
      <c r="X25" s="87"/>
      <c r="Y25" s="73">
        <f>ResourceAction[No]</f>
        <v>332123</v>
      </c>
    </row>
    <row r="26" spans="1:38" x14ac:dyDescent="0.25">
      <c r="A26" s="67" t="str">
        <f>'Table Seed Map'!$A$34&amp;"-"&amp;(COUNTA($E$1:ResourceAction[[#This Row],[Resource]])-2)</f>
        <v>Resource Actions-24</v>
      </c>
      <c r="B26" s="67" t="str">
        <f>ResourceAction[[#This Row],[Resource Name]]&amp;"/"&amp;ResourceAction[[#This Row],[Name]]</f>
        <v>UserStoreArea/EditUserStoreAreaAction</v>
      </c>
      <c r="C26" s="74" t="s">
        <v>1301</v>
      </c>
      <c r="D26" s="67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67">
        <f>IFERROR(VLOOKUP(ResourceAction[[#This Row],[Resource Name]],ResourceTable[[RName]:[No]],3,0),"resource")</f>
        <v>305113</v>
      </c>
      <c r="F26" s="67" t="s">
        <v>1635</v>
      </c>
      <c r="G26" s="67" t="s">
        <v>1636</v>
      </c>
      <c r="H26" s="67" t="s">
        <v>1484</v>
      </c>
      <c r="I26" s="67" t="s">
        <v>1439</v>
      </c>
      <c r="J26" s="67"/>
      <c r="K26" s="65" t="str">
        <f>'Table Seed Map'!$A$35&amp;"-"&amp;(COUNTA($E$1:ResourceAction[[#This Row],[Resource]])-2)</f>
        <v>Action Method-24</v>
      </c>
      <c r="L26" s="67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67">
        <f>IF(ResourceAction[[#This Row],[No]]="id","resource_action",ResourceAction[[#This Row],[No]])</f>
        <v>332124</v>
      </c>
      <c r="N26" s="85" t="s">
        <v>224</v>
      </c>
      <c r="O26" s="86">
        <f ca="1">IF(ResourceAction[[#This Row],[Resource Name]]="","idn1",IF(ResourceAction[[#This Row],[IDN1]]="","",VLOOKUP(ResourceAction[[#This Row],[IDN1]],IDNMaps[[Display]:[ID]],2,0)))</f>
        <v>309106</v>
      </c>
      <c r="P26" s="86">
        <f ca="1">IF(ResourceAction[[#This Row],[Resource Name]]="","idn2",IF(ResourceAction[[#This Row],[IDN2]]="","",VLOOKUP(ResourceAction[[#This Row],[IDN2]],IDNMaps[[Display]:[ID]],2,0)))</f>
        <v>327105</v>
      </c>
      <c r="Q26" s="86" t="str">
        <f>IF(ResourceAction[[#This Row],[Resource Name]]="","idn3",IF(ResourceAction[[#This Row],[IDN3]]="","",VLOOKUP(ResourceAction[[#This Row],[IDN3]],IDNMaps[[Display]:[ID]],2,0)))</f>
        <v/>
      </c>
      <c r="R26" s="86" t="str">
        <f>IF(ResourceAction[[#This Row],[Resource Name]]="","idn4",IF(ResourceAction[[#This Row],[IDN4]]="","",VLOOKUP(ResourceAction[[#This Row],[IDN4]],IDNMaps[[Display]:[ID]],2,0)))</f>
        <v/>
      </c>
      <c r="S26" s="86" t="str">
        <f>IF(ResourceAction[[#This Row],[Resource Name]]="","idn5",IF(ResourceAction[[#This Row],[IDN5]]="","",VLOOKUP(ResourceAction[[#This Row],[IDN5]],IDNMaps[[Display]:[ID]],2,0)))</f>
        <v/>
      </c>
      <c r="T26" s="87" t="s">
        <v>1619</v>
      </c>
      <c r="U26" s="87" t="s">
        <v>1634</v>
      </c>
      <c r="V26" s="87"/>
      <c r="W26" s="87"/>
      <c r="X26" s="87"/>
      <c r="Y26" s="73">
        <f>ResourceAction[No]</f>
        <v>332124</v>
      </c>
    </row>
    <row r="27" spans="1:38" x14ac:dyDescent="0.25">
      <c r="A27" s="67" t="str">
        <f>'Table Seed Map'!$A$34&amp;"-"&amp;(COUNTA($E$1:ResourceAction[[#This Row],[Resource]])-2)</f>
        <v>Resource Actions-25</v>
      </c>
      <c r="B27" s="67" t="str">
        <f>ResourceAction[[#This Row],[Resource Name]]&amp;"/"&amp;ResourceAction[[#This Row],[Name]]</f>
        <v>Area/ListAreaAction</v>
      </c>
      <c r="C27" s="74" t="s">
        <v>1298</v>
      </c>
      <c r="D27" s="67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67">
        <f>IFERROR(VLOOKUP(ResourceAction[[#This Row],[Resource Name]],ResourceTable[[RName]:[No]],3,0),"resource")</f>
        <v>305110</v>
      </c>
      <c r="F27" s="67" t="s">
        <v>1650</v>
      </c>
      <c r="G27" s="67" t="s">
        <v>1651</v>
      </c>
      <c r="H27" s="67"/>
      <c r="I27" s="67"/>
      <c r="J27" s="67" t="s">
        <v>1473</v>
      </c>
      <c r="K27" s="65" t="str">
        <f>'Table Seed Map'!$A$35&amp;"-"&amp;(COUNTA($E$1:ResourceAction[[#This Row],[Resource]])-2)</f>
        <v>Action Method-25</v>
      </c>
      <c r="L27" s="67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67">
        <f>IF(ResourceAction[[#This Row],[No]]="id","resource_action",ResourceAction[[#This Row],[No]])</f>
        <v>332125</v>
      </c>
      <c r="N27" s="85" t="s">
        <v>122</v>
      </c>
      <c r="O27" s="86">
        <f ca="1">IF(ResourceAction[[#This Row],[Resource Name]]="","idn1",IF(ResourceAction[[#This Row],[IDN1]]="","",VLOOKUP(ResourceAction[[#This Row],[IDN1]],IDNMaps[[Display]:[ID]],2,0)))</f>
        <v>322108</v>
      </c>
      <c r="P27" s="86" t="str">
        <f>IF(ResourceAction[[#This Row],[Resource Name]]="","idn2",IF(ResourceAction[[#This Row],[IDN2]]="","",VLOOKUP(ResourceAction[[#This Row],[IDN2]],IDNMaps[[Display]:[ID]],2,0)))</f>
        <v/>
      </c>
      <c r="Q27" s="86" t="str">
        <f>IF(ResourceAction[[#This Row],[Resource Name]]="","idn3",IF(ResourceAction[[#This Row],[IDN3]]="","",VLOOKUP(ResourceAction[[#This Row],[IDN3]],IDNMaps[[Display]:[ID]],2,0)))</f>
        <v/>
      </c>
      <c r="R27" s="86" t="str">
        <f>IF(ResourceAction[[#This Row],[Resource Name]]="","idn4",IF(ResourceAction[[#This Row],[IDN4]]="","",VLOOKUP(ResourceAction[[#This Row],[IDN4]],IDNMaps[[Display]:[ID]],2,0)))</f>
        <v/>
      </c>
      <c r="S27" s="86" t="str">
        <f>IF(ResourceAction[[#This Row],[Resource Name]]="","idn5",IF(ResourceAction[[#This Row],[IDN5]]="","",VLOOKUP(ResourceAction[[#This Row],[IDN5]],IDNMaps[[Display]:[ID]],2,0)))</f>
        <v/>
      </c>
      <c r="T27" s="87" t="s">
        <v>1652</v>
      </c>
      <c r="U27" s="87"/>
      <c r="V27" s="87"/>
      <c r="W27" s="87"/>
      <c r="X27" s="87"/>
      <c r="Y27" s="73">
        <f>ResourceAction[No]</f>
        <v>332125</v>
      </c>
    </row>
    <row r="28" spans="1:38" x14ac:dyDescent="0.25">
      <c r="A28" s="67" t="str">
        <f>'Table Seed Map'!$A$34&amp;"-"&amp;(COUNTA($E$1:ResourceAction[[#This Row],[Resource]])-2)</f>
        <v>Resource Actions-26</v>
      </c>
      <c r="B28" s="67" t="str">
        <f>ResourceAction[[#This Row],[Resource Name]]&amp;"/"&amp;ResourceAction[[#This Row],[Name]]</f>
        <v>Store/ListStoreAction</v>
      </c>
      <c r="C28" s="74" t="s">
        <v>1297</v>
      </c>
      <c r="D28" s="67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67">
        <f>IFERROR(VLOOKUP(ResourceAction[[#This Row],[Resource Name]],ResourceTable[[RName]:[No]],3,0),"resource")</f>
        <v>305109</v>
      </c>
      <c r="F28" s="67" t="s">
        <v>1653</v>
      </c>
      <c r="G28" s="67" t="s">
        <v>1654</v>
      </c>
      <c r="H28" s="67"/>
      <c r="I28" s="67"/>
      <c r="J28" s="67" t="s">
        <v>1473</v>
      </c>
      <c r="K28" s="65" t="str">
        <f>'Table Seed Map'!$A$35&amp;"-"&amp;(COUNTA($E$1:ResourceAction[[#This Row],[Resource]])-2)</f>
        <v>Action Method-26</v>
      </c>
      <c r="L28" s="67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67">
        <f>IF(ResourceAction[[#This Row],[No]]="id","resource_action",ResourceAction[[#This Row],[No]])</f>
        <v>332126</v>
      </c>
      <c r="N28" s="85" t="s">
        <v>122</v>
      </c>
      <c r="O28" s="86">
        <f ca="1">IF(ResourceAction[[#This Row],[Resource Name]]="","idn1",IF(ResourceAction[[#This Row],[IDN1]]="","",VLOOKUP(ResourceAction[[#This Row],[IDN1]],IDNMaps[[Display]:[ID]],2,0)))</f>
        <v>322109</v>
      </c>
      <c r="P28" s="86" t="str">
        <f>IF(ResourceAction[[#This Row],[Resource Name]]="","idn2",IF(ResourceAction[[#This Row],[IDN2]]="","",VLOOKUP(ResourceAction[[#This Row],[IDN2]],IDNMaps[[Display]:[ID]],2,0)))</f>
        <v/>
      </c>
      <c r="Q28" s="86" t="str">
        <f>IF(ResourceAction[[#This Row],[Resource Name]]="","idn3",IF(ResourceAction[[#This Row],[IDN3]]="","",VLOOKUP(ResourceAction[[#This Row],[IDN3]],IDNMaps[[Display]:[ID]],2,0)))</f>
        <v/>
      </c>
      <c r="R28" s="86" t="str">
        <f>IF(ResourceAction[[#This Row],[Resource Name]]="","idn4",IF(ResourceAction[[#This Row],[IDN4]]="","",VLOOKUP(ResourceAction[[#This Row],[IDN4]],IDNMaps[[Display]:[ID]],2,0)))</f>
        <v/>
      </c>
      <c r="S28" s="86" t="str">
        <f>IF(ResourceAction[[#This Row],[Resource Name]]="","idn5",IF(ResourceAction[[#This Row],[IDN5]]="","",VLOOKUP(ResourceAction[[#This Row],[IDN5]],IDNMaps[[Display]:[ID]],2,0)))</f>
        <v/>
      </c>
      <c r="T28" s="87" t="s">
        <v>1655</v>
      </c>
      <c r="U28" s="87"/>
      <c r="V28" s="87"/>
      <c r="W28" s="87"/>
      <c r="X28" s="87"/>
      <c r="Y28" s="73">
        <f>ResourceAction[No]</f>
        <v>332126</v>
      </c>
    </row>
    <row r="29" spans="1:38" x14ac:dyDescent="0.25">
      <c r="A29" s="67" t="str">
        <f>'Table Seed Map'!$A$34&amp;"-"&amp;(COUNTA($E$1:ResourceAction[[#This Row],[Resource]])-2)</f>
        <v>Resource Actions-27</v>
      </c>
      <c r="B29" s="67" t="str">
        <f>ResourceAction[[#This Row],[Resource Name]]&amp;"/"&amp;ResourceAction[[#This Row],[Name]]</f>
        <v>User/ListStoreAreaOfUserAction</v>
      </c>
      <c r="C29" s="74" t="s">
        <v>74</v>
      </c>
      <c r="D29" s="67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67">
        <f>IFERROR(VLOOKUP(ResourceAction[[#This Row],[Resource Name]],ResourceTable[[RName]:[No]],3,0),"resource")</f>
        <v>305101</v>
      </c>
      <c r="F29" s="67" t="s">
        <v>1656</v>
      </c>
      <c r="G29" s="67" t="s">
        <v>1657</v>
      </c>
      <c r="H29" s="67" t="s">
        <v>1658</v>
      </c>
      <c r="I29" s="67" t="s">
        <v>1439</v>
      </c>
      <c r="J29" s="67"/>
      <c r="K29" s="65" t="str">
        <f>'Table Seed Map'!$A$35&amp;"-"&amp;(COUNTA($E$1:ResourceAction[[#This Row],[Resource]])-2)</f>
        <v>Action Method-27</v>
      </c>
      <c r="L29" s="67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67">
        <f>IF(ResourceAction[[#This Row],[No]]="id","resource_action",ResourceAction[[#This Row],[No]])</f>
        <v>332127</v>
      </c>
      <c r="N29" s="85" t="s">
        <v>1494</v>
      </c>
      <c r="O29" s="86">
        <f ca="1">IF(ResourceAction[[#This Row],[Resource Name]]="","idn1",IF(ResourceAction[[#This Row],[IDN1]]="","",VLOOKUP(ResourceAction[[#This Row],[IDN1]],IDNMaps[[Display]:[ID]],2,0)))</f>
        <v>308112</v>
      </c>
      <c r="P29" s="86">
        <f ca="1">IF(ResourceAction[[#This Row],[Resource Name]]="","idn2",IF(ResourceAction[[#This Row],[IDN2]]="","",VLOOKUP(ResourceAction[[#This Row],[IDN2]],IDNMaps[[Display]:[ID]],2,0)))</f>
        <v>322107</v>
      </c>
      <c r="Q29" s="86" t="str">
        <f>IF(ResourceAction[[#This Row],[Resource Name]]="","idn3",IF(ResourceAction[[#This Row],[IDN3]]="","",VLOOKUP(ResourceAction[[#This Row],[IDN3]],IDNMaps[[Display]:[ID]],2,0)))</f>
        <v/>
      </c>
      <c r="R29" s="86" t="str">
        <f>IF(ResourceAction[[#This Row],[Resource Name]]="","idn4",IF(ResourceAction[[#This Row],[IDN4]]="","",VLOOKUP(ResourceAction[[#This Row],[IDN4]],IDNMaps[[Display]:[ID]],2,0)))</f>
        <v/>
      </c>
      <c r="S29" s="86" t="str">
        <f>IF(ResourceAction[[#This Row],[Resource Name]]="","idn5",IF(ResourceAction[[#This Row],[IDN5]]="","",VLOOKUP(ResourceAction[[#This Row],[IDN5]],IDNMaps[[Display]:[ID]],2,0)))</f>
        <v/>
      </c>
      <c r="T29" s="87" t="s">
        <v>1659</v>
      </c>
      <c r="U29" s="87" t="s">
        <v>1622</v>
      </c>
      <c r="V29" s="87"/>
      <c r="W29" s="87"/>
      <c r="X29" s="87"/>
      <c r="Y29" s="73">
        <f>ResourceAction[No]</f>
        <v>332127</v>
      </c>
    </row>
    <row r="30" spans="1:38" x14ac:dyDescent="0.25">
      <c r="A30" s="67" t="str">
        <f>'Table Seed Map'!$A$34&amp;"-"&amp;(COUNTA($E$1:ResourceAction[[#This Row],[Resource]])-2)</f>
        <v>Resource Actions-28</v>
      </c>
      <c r="B30" s="67" t="str">
        <f>ResourceAction[[#This Row],[Resource Name]]&amp;"/"&amp;ResourceAction[[#This Row],[Name]]</f>
        <v>User/AddStoreAreaForUser</v>
      </c>
      <c r="C30" s="74" t="s">
        <v>74</v>
      </c>
      <c r="D30" s="67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67">
        <f>IFERROR(VLOOKUP(ResourceAction[[#This Row],[Resource Name]],ResourceTable[[RName]:[No]],3,0),"resource")</f>
        <v>305101</v>
      </c>
      <c r="F30" s="67" t="s">
        <v>1661</v>
      </c>
      <c r="G30" s="67" t="s">
        <v>1662</v>
      </c>
      <c r="H30" s="67" t="s">
        <v>1663</v>
      </c>
      <c r="I30" s="67" t="s">
        <v>1439</v>
      </c>
      <c r="J30" s="67"/>
      <c r="K30" s="65" t="str">
        <f>'Table Seed Map'!$A$35&amp;"-"&amp;(COUNTA($E$1:ResourceAction[[#This Row],[Resource]])-2)</f>
        <v>Action Method-28</v>
      </c>
      <c r="L30" s="67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67">
        <f>IF(ResourceAction[[#This Row],[No]]="id","resource_action",ResourceAction[[#This Row],[No]])</f>
        <v>332128</v>
      </c>
      <c r="N30" s="85" t="s">
        <v>1566</v>
      </c>
      <c r="O30" s="86">
        <f ca="1">IF(ResourceAction[[#This Row],[Resource Name]]="","idn1",IF(ResourceAction[[#This Row],[IDN1]]="","",VLOOKUP(ResourceAction[[#This Row],[IDN1]],IDNMaps[[Display]:[ID]],2,0)))</f>
        <v>308112</v>
      </c>
      <c r="P30" s="86">
        <f ca="1">IF(ResourceAction[[#This Row],[Resource Name]]="","idn2",IF(ResourceAction[[#This Row],[IDN2]]="","",VLOOKUP(ResourceAction[[#This Row],[IDN2]],IDNMaps[[Display]:[ID]],2,0)))</f>
        <v>309106</v>
      </c>
      <c r="Q30" s="86">
        <f ca="1">IF(ResourceAction[[#This Row],[Resource Name]]="","idn3",IF(ResourceAction[[#This Row],[IDN3]]="","",VLOOKUP(ResourceAction[[#This Row],[IDN3]],IDNMaps[[Display]:[ID]],2,0)))</f>
        <v>310113</v>
      </c>
      <c r="R30" s="86" t="str">
        <f>IF(ResourceAction[[#This Row],[Resource Name]]="","idn4",IF(ResourceAction[[#This Row],[IDN4]]="","",VLOOKUP(ResourceAction[[#This Row],[IDN4]],IDNMaps[[Display]:[ID]],2,0)))</f>
        <v/>
      </c>
      <c r="S30" s="86" t="str">
        <f>IF(ResourceAction[[#This Row],[Resource Name]]="","idn5",IF(ResourceAction[[#This Row],[IDN5]]="","",VLOOKUP(ResourceAction[[#This Row],[IDN5]],IDNMaps[[Display]:[ID]],2,0)))</f>
        <v/>
      </c>
      <c r="T30" s="87" t="s">
        <v>1659</v>
      </c>
      <c r="U30" s="87" t="s">
        <v>1619</v>
      </c>
      <c r="V30" s="87" t="s">
        <v>1665</v>
      </c>
      <c r="W30" s="87"/>
      <c r="X30" s="87"/>
      <c r="Y30" s="73">
        <f>ResourceAction[No]</f>
        <v>332128</v>
      </c>
    </row>
    <row r="31" spans="1:38" x14ac:dyDescent="0.25">
      <c r="A31" s="67" t="str">
        <f>'Table Seed Map'!$A$34&amp;"-"&amp;(COUNTA($E$1:ResourceAction[[#This Row],[Resource]])-2)</f>
        <v>Resource Actions-29</v>
      </c>
      <c r="B31" s="67" t="str">
        <f>ResourceAction[[#This Row],[Resource Name]]&amp;"/"&amp;ResourceAction[[#This Row],[Name]]</f>
        <v>Area/ListStoreAndUserOfArea</v>
      </c>
      <c r="C31" s="74" t="s">
        <v>1298</v>
      </c>
      <c r="D31" s="67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67">
        <f>IFERROR(VLOOKUP(ResourceAction[[#This Row],[Resource Name]],ResourceTable[[RName]:[No]],3,0),"resource")</f>
        <v>305110</v>
      </c>
      <c r="F31" s="67" t="s">
        <v>1666</v>
      </c>
      <c r="G31" s="67" t="s">
        <v>1667</v>
      </c>
      <c r="H31" s="67" t="s">
        <v>1668</v>
      </c>
      <c r="I31" s="67" t="s">
        <v>1439</v>
      </c>
      <c r="J31" s="67"/>
      <c r="K31" s="65" t="str">
        <f>'Table Seed Map'!$A$35&amp;"-"&amp;(COUNTA($E$1:ResourceAction[[#This Row],[Resource]])-2)</f>
        <v>Action Method-29</v>
      </c>
      <c r="L31" s="67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67">
        <f>IF(ResourceAction[[#This Row],[No]]="id","resource_action",ResourceAction[[#This Row],[No]])</f>
        <v>332129</v>
      </c>
      <c r="N31" s="85" t="s">
        <v>1494</v>
      </c>
      <c r="O31" s="86">
        <f ca="1">IF(ResourceAction[[#This Row],[Resource Name]]="","idn1",IF(ResourceAction[[#This Row],[IDN1]]="","",VLOOKUP(ResourceAction[[#This Row],[IDN1]],IDNMaps[[Display]:[ID]],2,0)))</f>
        <v>308117</v>
      </c>
      <c r="P31" s="86">
        <f ca="1">IF(ResourceAction[[#This Row],[Resource Name]]="","idn2",IF(ResourceAction[[#This Row],[IDN2]]="","",VLOOKUP(ResourceAction[[#This Row],[IDN2]],IDNMaps[[Display]:[ID]],2,0)))</f>
        <v>322107</v>
      </c>
      <c r="Q31" s="86" t="str">
        <f>IF(ResourceAction[[#This Row],[Resource Name]]="","idn3",IF(ResourceAction[[#This Row],[IDN3]]="","",VLOOKUP(ResourceAction[[#This Row],[IDN3]],IDNMaps[[Display]:[ID]],2,0)))</f>
        <v/>
      </c>
      <c r="R31" s="86" t="str">
        <f>IF(ResourceAction[[#This Row],[Resource Name]]="","idn4",IF(ResourceAction[[#This Row],[IDN4]]="","",VLOOKUP(ResourceAction[[#This Row],[IDN4]],IDNMaps[[Display]:[ID]],2,0)))</f>
        <v/>
      </c>
      <c r="S31" s="86" t="str">
        <f>IF(ResourceAction[[#This Row],[Resource Name]]="","idn5",IF(ResourceAction[[#This Row],[IDN5]]="","",VLOOKUP(ResourceAction[[#This Row],[IDN5]],IDNMaps[[Display]:[ID]],2,0)))</f>
        <v/>
      </c>
      <c r="T31" s="87" t="s">
        <v>1669</v>
      </c>
      <c r="U31" s="87" t="s">
        <v>1622</v>
      </c>
      <c r="V31" s="87"/>
      <c r="W31" s="87"/>
      <c r="X31" s="87"/>
      <c r="Y31" s="73">
        <f>ResourceAction[No]</f>
        <v>332129</v>
      </c>
    </row>
    <row r="32" spans="1:38" x14ac:dyDescent="0.25">
      <c r="A32" s="67" t="str">
        <f>'Table Seed Map'!$A$34&amp;"-"&amp;(COUNTA($E$1:ResourceAction[[#This Row],[Resource]])-2)</f>
        <v>Resource Actions-30</v>
      </c>
      <c r="B32" s="67" t="str">
        <f>ResourceAction[[#This Row],[Resource Name]]&amp;"/"&amp;ResourceAction[[#This Row],[Name]]</f>
        <v>Area/AssignStoreAndUserForArea</v>
      </c>
      <c r="C32" s="74" t="s">
        <v>1298</v>
      </c>
      <c r="D32" s="67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67">
        <f>IFERROR(VLOOKUP(ResourceAction[[#This Row],[Resource Name]],ResourceTable[[RName]:[No]],3,0),"resource")</f>
        <v>305110</v>
      </c>
      <c r="F32" s="67" t="s">
        <v>1670</v>
      </c>
      <c r="G32" s="67" t="s">
        <v>1671</v>
      </c>
      <c r="H32" s="67" t="s">
        <v>1672</v>
      </c>
      <c r="I32" s="67" t="s">
        <v>1439</v>
      </c>
      <c r="J32" s="67"/>
      <c r="K32" s="65" t="str">
        <f>'Table Seed Map'!$A$35&amp;"-"&amp;(COUNTA($E$1:ResourceAction[[#This Row],[Resource]])-2)</f>
        <v>Action Method-30</v>
      </c>
      <c r="L32" s="67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67">
        <f>IF(ResourceAction[[#This Row],[No]]="id","resource_action",ResourceAction[[#This Row],[No]])</f>
        <v>332130</v>
      </c>
      <c r="N32" s="85" t="s">
        <v>1566</v>
      </c>
      <c r="O32" s="86">
        <f ca="1">IF(ResourceAction[[#This Row],[Resource Name]]="","idn1",IF(ResourceAction[[#This Row],[IDN1]]="","",VLOOKUP(ResourceAction[[#This Row],[IDN1]],IDNMaps[[Display]:[ID]],2,0)))</f>
        <v>308117</v>
      </c>
      <c r="P32" s="86">
        <f ca="1">IF(ResourceAction[[#This Row],[Resource Name]]="","idn2",IF(ResourceAction[[#This Row],[IDN2]]="","",VLOOKUP(ResourceAction[[#This Row],[IDN2]],IDNMaps[[Display]:[ID]],2,0)))</f>
        <v>309106</v>
      </c>
      <c r="Q32" s="86">
        <f ca="1">IF(ResourceAction[[#This Row],[Resource Name]]="","idn3",IF(ResourceAction[[#This Row],[IDN3]]="","",VLOOKUP(ResourceAction[[#This Row],[IDN3]],IDNMaps[[Display]:[ID]],2,0)))</f>
        <v>310115</v>
      </c>
      <c r="R32" s="86" t="str">
        <f>IF(ResourceAction[[#This Row],[Resource Name]]="","idn4",IF(ResourceAction[[#This Row],[IDN4]]="","",VLOOKUP(ResourceAction[[#This Row],[IDN4]],IDNMaps[[Display]:[ID]],2,0)))</f>
        <v/>
      </c>
      <c r="S32" s="86" t="str">
        <f>IF(ResourceAction[[#This Row],[Resource Name]]="","idn5",IF(ResourceAction[[#This Row],[IDN5]]="","",VLOOKUP(ResourceAction[[#This Row],[IDN5]],IDNMaps[[Display]:[ID]],2,0)))</f>
        <v/>
      </c>
      <c r="T32" s="87" t="s">
        <v>1669</v>
      </c>
      <c r="U32" s="87" t="s">
        <v>1619</v>
      </c>
      <c r="V32" s="87" t="s">
        <v>1673</v>
      </c>
      <c r="W32" s="87"/>
      <c r="X32" s="87"/>
      <c r="Y32" s="73">
        <f>ResourceAction[No]</f>
        <v>332130</v>
      </c>
    </row>
    <row r="33" spans="1:25" x14ac:dyDescent="0.25">
      <c r="A33" s="67" t="str">
        <f>'Table Seed Map'!$A$34&amp;"-"&amp;(COUNTA($E$1:ResourceAction[[#This Row],[Resource]])-2)</f>
        <v>Resource Actions-31</v>
      </c>
      <c r="B33" s="67" t="str">
        <f>ResourceAction[[#This Row],[Resource Name]]&amp;"/"&amp;ResourceAction[[#This Row],[Name]]</f>
        <v>Store/ListUsersAssigned</v>
      </c>
      <c r="C33" s="74" t="s">
        <v>1297</v>
      </c>
      <c r="D33" s="67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67">
        <f>IFERROR(VLOOKUP(ResourceAction[[#This Row],[Resource Name]],ResourceTable[[RName]:[No]],3,0),"resource")</f>
        <v>305109</v>
      </c>
      <c r="F33" s="67" t="s">
        <v>1677</v>
      </c>
      <c r="G33" s="67" t="s">
        <v>1678</v>
      </c>
      <c r="H33" s="67" t="s">
        <v>1679</v>
      </c>
      <c r="I33" s="67" t="s">
        <v>1439</v>
      </c>
      <c r="J33" s="67"/>
      <c r="K33" s="65" t="str">
        <f>'Table Seed Map'!$A$35&amp;"-"&amp;(COUNTA($E$1:ResourceAction[[#This Row],[Resource]])-2)</f>
        <v>Action Method-31</v>
      </c>
      <c r="L33" s="67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67">
        <f>IF(ResourceAction[[#This Row],[No]]="id","resource_action",ResourceAction[[#This Row],[No]])</f>
        <v>332131</v>
      </c>
      <c r="N33" s="85" t="s">
        <v>1680</v>
      </c>
      <c r="O33" s="86">
        <f ca="1">IF(ResourceAction[[#This Row],[Resource Name]]="","idn1",IF(ResourceAction[[#This Row],[IDN1]]="","",VLOOKUP(ResourceAction[[#This Row],[IDN1]],IDNMaps[[Display]:[ID]],2,0)))</f>
        <v>308116</v>
      </c>
      <c r="P33" s="86">
        <f ca="1">IF(ResourceAction[[#This Row],[Resource Name]]="","idn2",IF(ResourceAction[[#This Row],[IDN2]]="","",VLOOKUP(ResourceAction[[#This Row],[IDN2]],IDNMaps[[Display]:[ID]],2,0)))</f>
        <v>322106</v>
      </c>
      <c r="Q33" s="86" t="str">
        <f>IF(ResourceAction[[#This Row],[Resource Name]]="","idn3",IF(ResourceAction[[#This Row],[IDN3]]="","",VLOOKUP(ResourceAction[[#This Row],[IDN3]],IDNMaps[[Display]:[ID]],2,0)))</f>
        <v/>
      </c>
      <c r="R33" s="86" t="str">
        <f>IF(ResourceAction[[#This Row],[Resource Name]]="","idn4",IF(ResourceAction[[#This Row],[IDN4]]="","",VLOOKUP(ResourceAction[[#This Row],[IDN4]],IDNMaps[[Display]:[ID]],2,0)))</f>
        <v/>
      </c>
      <c r="S33" s="86" t="str">
        <f>IF(ResourceAction[[#This Row],[Resource Name]]="","idn5",IF(ResourceAction[[#This Row],[IDN5]]="","",VLOOKUP(ResourceAction[[#This Row],[IDN5]],IDNMaps[[Display]:[ID]],2,0)))</f>
        <v/>
      </c>
      <c r="T33" s="87" t="s">
        <v>1676</v>
      </c>
      <c r="U33" s="87" t="s">
        <v>1554</v>
      </c>
      <c r="V33" s="87"/>
      <c r="W33" s="87"/>
      <c r="X33" s="87"/>
      <c r="Y33" s="73">
        <f>ResourceAction[No]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2019-08-13T14:37:48Z</dcterms:modified>
</cp:coreProperties>
</file>