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MaidJobEntry\"/>
    </mc:Choice>
  </mc:AlternateContent>
  <bookViews>
    <workbookView xWindow="0" yWindow="0" windowWidth="15315" windowHeight="4575" tabRatio="912" firstSheet="5" activeTab="5"/>
  </bookViews>
  <sheets>
    <sheet name="Tables" sheetId="1" state="hidden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'Helper-Relation'!$F$2:$F$5,'Helper-Relation'!#REF!,'Helper-Relation'!#REF!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BS5" i="9" l="1"/>
  <c r="BD13" i="9" l="1"/>
  <c r="BE13" i="9"/>
  <c r="BD12" i="9"/>
  <c r="BE12" i="9"/>
  <c r="BD11" i="9"/>
  <c r="BE11" i="9"/>
  <c r="BD10" i="9"/>
  <c r="BE10" i="9"/>
  <c r="B25" i="27" l="1"/>
  <c r="D25" i="27"/>
  <c r="Y25" i="27" s="1"/>
  <c r="P25" i="27"/>
  <c r="Q25" i="27"/>
  <c r="R25" i="27"/>
  <c r="S25" i="27"/>
  <c r="B24" i="27"/>
  <c r="D24" i="27"/>
  <c r="Y24" i="27" s="1"/>
  <c r="P24" i="27"/>
  <c r="Q24" i="27"/>
  <c r="R24" i="27"/>
  <c r="S24" i="27"/>
  <c r="AV6" i="28"/>
  <c r="AV7" i="28"/>
  <c r="AZ6" i="28"/>
  <c r="AZ7" i="28"/>
  <c r="BA6" i="28"/>
  <c r="BA7" i="28"/>
  <c r="BB6" i="28"/>
  <c r="BB7" i="28"/>
  <c r="AZ3" i="28"/>
  <c r="AZ4" i="28"/>
  <c r="AZ5" i="28"/>
  <c r="BA3" i="28"/>
  <c r="BA4" i="28"/>
  <c r="BA5" i="28"/>
  <c r="BB3" i="28"/>
  <c r="BB4" i="28"/>
  <c r="BB5" i="28"/>
  <c r="AV10" i="28"/>
  <c r="BA10" i="28"/>
  <c r="BB10" i="28"/>
  <c r="AV11" i="28"/>
  <c r="AZ11" i="28"/>
  <c r="BA11" i="28"/>
  <c r="BB11" i="28"/>
  <c r="AH4" i="28"/>
  <c r="AK4" i="28"/>
  <c r="AL4" i="28"/>
  <c r="AM4" i="28"/>
  <c r="AN4" i="28"/>
  <c r="AH5" i="28"/>
  <c r="AL5" i="28"/>
  <c r="AM5" i="28"/>
  <c r="AN5" i="28"/>
  <c r="A3" i="28"/>
  <c r="A4" i="28"/>
  <c r="C3" i="28"/>
  <c r="C4" i="28"/>
  <c r="D3" i="28"/>
  <c r="K3" i="28" s="1"/>
  <c r="D4" i="28"/>
  <c r="K4" i="28" s="1"/>
  <c r="BK4" i="9"/>
  <c r="BM4" i="9" s="1"/>
  <c r="BK5" i="9"/>
  <c r="BL5" i="9" s="1"/>
  <c r="BK3" i="9"/>
  <c r="BL3" i="9" s="1"/>
  <c r="BD3" i="9"/>
  <c r="BD4" i="9"/>
  <c r="BD5" i="9"/>
  <c r="BE3" i="9"/>
  <c r="BE4" i="9"/>
  <c r="BE5" i="9"/>
  <c r="O6" i="9"/>
  <c r="M6" i="9" s="1"/>
  <c r="O7" i="9"/>
  <c r="M7" i="9" s="1"/>
  <c r="O8" i="9"/>
  <c r="M8" i="9" s="1"/>
  <c r="P6" i="9"/>
  <c r="P7" i="9"/>
  <c r="P8" i="9"/>
  <c r="AJ3" i="9"/>
  <c r="AJ4" i="9"/>
  <c r="AJ5" i="9"/>
  <c r="AJ6" i="9"/>
  <c r="AJ7" i="9"/>
  <c r="AJ8" i="9"/>
  <c r="AT3" i="9"/>
  <c r="AT4" i="9"/>
  <c r="AT5" i="9"/>
  <c r="AT6" i="9"/>
  <c r="AT7" i="9"/>
  <c r="AT8" i="9"/>
  <c r="B3" i="9"/>
  <c r="B4" i="9"/>
  <c r="A17" i="24"/>
  <c r="C17" i="24"/>
  <c r="C7" i="3"/>
  <c r="C8" i="3"/>
  <c r="D7" i="3"/>
  <c r="D8" i="3"/>
  <c r="E7" i="3"/>
  <c r="E8" i="3"/>
  <c r="F7" i="3"/>
  <c r="F8" i="3"/>
  <c r="G7" i="3"/>
  <c r="G8" i="3"/>
  <c r="H7" i="3"/>
  <c r="H8" i="3"/>
  <c r="I7" i="3"/>
  <c r="I8" i="3"/>
  <c r="J7" i="3"/>
  <c r="J8" i="3"/>
  <c r="J6" i="2"/>
  <c r="J8" i="2"/>
  <c r="A5" i="19"/>
  <c r="B5" i="19"/>
  <c r="D5" i="19" s="1"/>
  <c r="N5" i="19" s="1"/>
  <c r="C5" i="19"/>
  <c r="A4" i="14"/>
  <c r="B4" i="14"/>
  <c r="H4" i="14"/>
  <c r="A3" i="14"/>
  <c r="B3" i="14"/>
  <c r="C44" i="21"/>
  <c r="D44" i="21"/>
  <c r="J44" i="21"/>
  <c r="K44" i="21"/>
  <c r="A4" i="26"/>
  <c r="C4" i="26"/>
  <c r="E4" i="26" s="1"/>
  <c r="D4" i="26"/>
  <c r="C3" i="3"/>
  <c r="C4" i="3"/>
  <c r="D3" i="3"/>
  <c r="D4" i="3"/>
  <c r="E3" i="3"/>
  <c r="E4" i="3"/>
  <c r="F3" i="3"/>
  <c r="F4" i="3"/>
  <c r="G3" i="3"/>
  <c r="G4" i="3"/>
  <c r="H3" i="3"/>
  <c r="H4" i="3"/>
  <c r="I3" i="3"/>
  <c r="I4" i="3"/>
  <c r="J3" i="3"/>
  <c r="J4" i="3"/>
  <c r="C2" i="3"/>
  <c r="D2" i="3"/>
  <c r="E2" i="3"/>
  <c r="F2" i="3"/>
  <c r="G2" i="3"/>
  <c r="H2" i="3"/>
  <c r="I2" i="3"/>
  <c r="J2" i="3"/>
  <c r="B46" i="1"/>
  <c r="F46" i="1" s="1"/>
  <c r="C46" i="1"/>
  <c r="E46" i="1" s="1"/>
  <c r="D46" i="1"/>
  <c r="H5" i="14"/>
  <c r="H6" i="14"/>
  <c r="H3" i="14"/>
  <c r="M25" i="27" l="1"/>
  <c r="M24" i="27"/>
  <c r="BL4" i="9"/>
  <c r="BM5" i="9"/>
  <c r="BM3" i="9"/>
  <c r="Q6" i="9"/>
  <c r="AN6" i="9" s="1"/>
  <c r="AE8" i="9"/>
  <c r="AB8" i="9" s="1"/>
  <c r="Q8" i="9"/>
  <c r="AD8" i="9" s="1"/>
  <c r="AE7" i="9"/>
  <c r="AB7" i="9" s="1"/>
  <c r="AE6" i="9"/>
  <c r="AB6" i="9" s="1"/>
  <c r="Q7" i="9"/>
  <c r="K7" i="3"/>
  <c r="K8" i="3"/>
  <c r="G5" i="19"/>
  <c r="F4" i="26"/>
  <c r="G4" i="26" s="1"/>
  <c r="H4" i="26" s="1"/>
  <c r="K2" i="3"/>
  <c r="K3" i="3"/>
  <c r="K4" i="3"/>
  <c r="G46" i="1"/>
  <c r="J46" i="1"/>
  <c r="I46" i="1"/>
  <c r="H46" i="1"/>
  <c r="D2" i="26"/>
  <c r="D3" i="26"/>
  <c r="A2" i="26"/>
  <c r="A3" i="26"/>
  <c r="C2" i="26"/>
  <c r="C3" i="26"/>
  <c r="AD6" i="9" l="1"/>
  <c r="AY6" i="9"/>
  <c r="BA6" i="9"/>
  <c r="AN8" i="9"/>
  <c r="BA8" i="9"/>
  <c r="AY8" i="9"/>
  <c r="BA7" i="9"/>
  <c r="AD7" i="9"/>
  <c r="AN7" i="9"/>
  <c r="AY7" i="9"/>
  <c r="DC3" i="9"/>
  <c r="DD3" i="9"/>
  <c r="B18" i="27"/>
  <c r="B19" i="27"/>
  <c r="B20" i="27"/>
  <c r="B21" i="27"/>
  <c r="B22" i="27"/>
  <c r="B23" i="27"/>
  <c r="D18" i="27"/>
  <c r="D19" i="27"/>
  <c r="M19" i="27" s="1"/>
  <c r="D20" i="27"/>
  <c r="D21" i="27"/>
  <c r="D22" i="27"/>
  <c r="M22" i="27" s="1"/>
  <c r="D23" i="27"/>
  <c r="M23" i="27" s="1"/>
  <c r="Q18" i="27"/>
  <c r="Q19" i="27"/>
  <c r="Q20" i="27"/>
  <c r="Q21" i="27"/>
  <c r="Q22" i="27"/>
  <c r="Q23" i="27"/>
  <c r="R18" i="27"/>
  <c r="R19" i="27"/>
  <c r="R20" i="27"/>
  <c r="R21" i="27"/>
  <c r="R22" i="27"/>
  <c r="R23" i="27"/>
  <c r="S18" i="27"/>
  <c r="S19" i="27"/>
  <c r="S20" i="27"/>
  <c r="S21" i="27"/>
  <c r="S22" i="27"/>
  <c r="S23" i="27"/>
  <c r="Y23" i="27" l="1"/>
  <c r="Y22" i="27"/>
  <c r="Y19" i="27"/>
  <c r="M21" i="27"/>
  <c r="M20" i="27"/>
  <c r="M18" i="27"/>
  <c r="Y18" i="27"/>
  <c r="Y21" i="27"/>
  <c r="Y20" i="27"/>
  <c r="D47" i="1"/>
  <c r="D48" i="1"/>
  <c r="A16" i="24"/>
  <c r="C16" i="24"/>
  <c r="AE11" i="27"/>
  <c r="AF11" i="27"/>
  <c r="AI11" i="27"/>
  <c r="AJ11" i="27"/>
  <c r="B17" i="27"/>
  <c r="D17" i="27"/>
  <c r="Y17" i="27" s="1"/>
  <c r="Q17" i="27"/>
  <c r="R17" i="27"/>
  <c r="S17" i="27"/>
  <c r="B16" i="27"/>
  <c r="D16" i="27"/>
  <c r="Y16" i="27" s="1"/>
  <c r="P16" i="27"/>
  <c r="Q16" i="27"/>
  <c r="R16" i="27"/>
  <c r="S16" i="27"/>
  <c r="B15" i="27"/>
  <c r="D15" i="27"/>
  <c r="M15" i="27" s="1"/>
  <c r="P15" i="27"/>
  <c r="Q15" i="27"/>
  <c r="R15" i="27"/>
  <c r="S15" i="27"/>
  <c r="C5" i="29"/>
  <c r="BK11" i="9"/>
  <c r="BM11" i="9" s="1"/>
  <c r="BK10" i="9"/>
  <c r="BL10" i="9" s="1"/>
  <c r="BK9" i="9"/>
  <c r="BL9" i="9" s="1"/>
  <c r="BD9" i="9"/>
  <c r="BE9" i="9"/>
  <c r="BD8" i="9"/>
  <c r="BE8" i="9"/>
  <c r="BD7" i="9"/>
  <c r="BE7" i="9"/>
  <c r="O5" i="9"/>
  <c r="P5" i="9"/>
  <c r="O4" i="9"/>
  <c r="P4" i="9"/>
  <c r="O3" i="9"/>
  <c r="P3" i="9"/>
  <c r="AV5" i="28"/>
  <c r="AV4" i="28"/>
  <c r="AV3" i="28"/>
  <c r="AH14" i="28"/>
  <c r="AH13" i="28"/>
  <c r="A15" i="24"/>
  <c r="C15" i="24"/>
  <c r="A14" i="24"/>
  <c r="C14" i="24"/>
  <c r="A13" i="24"/>
  <c r="C13" i="24"/>
  <c r="A12" i="24"/>
  <c r="C12" i="24"/>
  <c r="A10" i="24"/>
  <c r="A11" i="24"/>
  <c r="C10" i="24"/>
  <c r="C11" i="24"/>
  <c r="A9" i="24"/>
  <c r="C9" i="24"/>
  <c r="A8" i="24"/>
  <c r="C8" i="24"/>
  <c r="A3" i="24"/>
  <c r="A4" i="24"/>
  <c r="A5" i="24"/>
  <c r="A6" i="24"/>
  <c r="A7" i="24"/>
  <c r="C3" i="24"/>
  <c r="C4" i="24"/>
  <c r="C5" i="24"/>
  <c r="C6" i="24"/>
  <c r="C7" i="24"/>
  <c r="A2" i="24"/>
  <c r="C2" i="24"/>
  <c r="M5" i="9" l="1"/>
  <c r="AE5" i="9"/>
  <c r="AB5" i="9" s="1"/>
  <c r="M3" i="9"/>
  <c r="AE3" i="9"/>
  <c r="AB3" i="9" s="1"/>
  <c r="Q4" i="9"/>
  <c r="M4" i="9"/>
  <c r="AE4" i="9"/>
  <c r="AB4" i="9" s="1"/>
  <c r="M17" i="27"/>
  <c r="M16" i="27"/>
  <c r="Y15" i="27"/>
  <c r="BL11" i="9"/>
  <c r="BM10" i="9"/>
  <c r="BM9" i="9"/>
  <c r="Q5" i="9"/>
  <c r="Q3" i="9"/>
  <c r="AE10" i="27"/>
  <c r="AF10" i="27"/>
  <c r="AI10" i="27"/>
  <c r="AJ10" i="27"/>
  <c r="AE9" i="27"/>
  <c r="AF9" i="27"/>
  <c r="AI9" i="27"/>
  <c r="AJ9" i="27"/>
  <c r="AE8" i="27"/>
  <c r="AF8" i="27"/>
  <c r="AI8" i="27"/>
  <c r="AJ8" i="27"/>
  <c r="AE7" i="27"/>
  <c r="AF7" i="27"/>
  <c r="AI7" i="27"/>
  <c r="AJ7" i="27"/>
  <c r="AE6" i="27"/>
  <c r="AF6" i="27"/>
  <c r="AI6" i="27"/>
  <c r="AJ6" i="27"/>
  <c r="AE5" i="27"/>
  <c r="AF5" i="27"/>
  <c r="AI5" i="27"/>
  <c r="AJ5" i="27"/>
  <c r="B14" i="27"/>
  <c r="D14" i="27"/>
  <c r="Y14" i="27" s="1"/>
  <c r="P14" i="27"/>
  <c r="Q14" i="27"/>
  <c r="R14" i="27"/>
  <c r="S14" i="27"/>
  <c r="B13" i="27"/>
  <c r="D13" i="27"/>
  <c r="Y13" i="27" s="1"/>
  <c r="P13" i="27"/>
  <c r="Q13" i="27"/>
  <c r="R13" i="27"/>
  <c r="S13" i="27"/>
  <c r="B12" i="27"/>
  <c r="D12" i="27"/>
  <c r="M12" i="27" s="1"/>
  <c r="P12" i="27"/>
  <c r="Q12" i="27"/>
  <c r="R12" i="27"/>
  <c r="S12" i="27"/>
  <c r="B11" i="27"/>
  <c r="D11" i="27"/>
  <c r="Y11" i="27" s="1"/>
  <c r="P11" i="27"/>
  <c r="Q11" i="27"/>
  <c r="R11" i="27"/>
  <c r="S11" i="27"/>
  <c r="B10" i="27"/>
  <c r="D10" i="27"/>
  <c r="P10" i="27"/>
  <c r="Q10" i="27"/>
  <c r="R10" i="27"/>
  <c r="S10" i="27"/>
  <c r="B9" i="27"/>
  <c r="D9" i="27"/>
  <c r="Y9" i="27" s="1"/>
  <c r="P9" i="27"/>
  <c r="Q9" i="27"/>
  <c r="R9" i="27"/>
  <c r="S9" i="27"/>
  <c r="AV45" i="28"/>
  <c r="AV44" i="28"/>
  <c r="AV43" i="28"/>
  <c r="AV42" i="28"/>
  <c r="AV41" i="28"/>
  <c r="AV40" i="28"/>
  <c r="AV39" i="28"/>
  <c r="AV38" i="28"/>
  <c r="AV37" i="28"/>
  <c r="AV36" i="28"/>
  <c r="AV35" i="28"/>
  <c r="AV34" i="28"/>
  <c r="AV33" i="28"/>
  <c r="AV32" i="28"/>
  <c r="AV31" i="28"/>
  <c r="AV30" i="28"/>
  <c r="AV29" i="28"/>
  <c r="AV28" i="28"/>
  <c r="AV27" i="28"/>
  <c r="AV26" i="28"/>
  <c r="AV25" i="28"/>
  <c r="AV24" i="28"/>
  <c r="AV23" i="28"/>
  <c r="AV22" i="28"/>
  <c r="AV21" i="28"/>
  <c r="AH12" i="28"/>
  <c r="AH11" i="28"/>
  <c r="AH10" i="28"/>
  <c r="AH9" i="28"/>
  <c r="AH8" i="28"/>
  <c r="A12" i="28"/>
  <c r="C12" i="28"/>
  <c r="D12" i="28"/>
  <c r="K12" i="28" s="1"/>
  <c r="A11" i="28"/>
  <c r="C11" i="28"/>
  <c r="D11" i="28"/>
  <c r="K11" i="28" s="1"/>
  <c r="A10" i="28"/>
  <c r="C10" i="28"/>
  <c r="D10" i="28"/>
  <c r="K10" i="28" s="1"/>
  <c r="A9" i="28"/>
  <c r="C9" i="28"/>
  <c r="D9" i="28"/>
  <c r="K9" i="28" s="1"/>
  <c r="A8" i="28"/>
  <c r="C8" i="28"/>
  <c r="D8" i="28"/>
  <c r="K8" i="28" s="1"/>
  <c r="AV17" i="28"/>
  <c r="AV18" i="28"/>
  <c r="AV19" i="28"/>
  <c r="AV20" i="28"/>
  <c r="AV16" i="28"/>
  <c r="AH7" i="28"/>
  <c r="A7" i="28"/>
  <c r="C7" i="28"/>
  <c r="D7" i="28"/>
  <c r="K7" i="28" s="1"/>
  <c r="AE4" i="27"/>
  <c r="AF4" i="27"/>
  <c r="AI4" i="27"/>
  <c r="AJ4" i="27"/>
  <c r="AE3" i="27"/>
  <c r="AF3" i="27"/>
  <c r="AI3" i="27"/>
  <c r="AJ3" i="27"/>
  <c r="B8" i="27"/>
  <c r="D8" i="27"/>
  <c r="Y8" i="27" s="1"/>
  <c r="Q8" i="27"/>
  <c r="R8" i="27"/>
  <c r="S8" i="27"/>
  <c r="C4" i="29"/>
  <c r="C3" i="29"/>
  <c r="B7" i="27"/>
  <c r="D7" i="27"/>
  <c r="Y7" i="27" s="1"/>
  <c r="Q7" i="27"/>
  <c r="R7" i="27"/>
  <c r="S7" i="27"/>
  <c r="B6" i="27"/>
  <c r="D6" i="27"/>
  <c r="Y6" i="27" s="1"/>
  <c r="P6" i="27"/>
  <c r="Q6" i="27"/>
  <c r="R6" i="27"/>
  <c r="S6" i="27"/>
  <c r="AV15" i="28"/>
  <c r="AV14" i="28"/>
  <c r="AV13" i="28"/>
  <c r="AV12" i="28"/>
  <c r="AH6" i="28"/>
  <c r="A6" i="28"/>
  <c r="C6" i="28"/>
  <c r="D6" i="28"/>
  <c r="K6" i="28" s="1"/>
  <c r="B5" i="27"/>
  <c r="D5" i="27"/>
  <c r="Y5" i="27" s="1"/>
  <c r="P5" i="27"/>
  <c r="Q5" i="27"/>
  <c r="R5" i="27"/>
  <c r="S5" i="27"/>
  <c r="BK8" i="9"/>
  <c r="BL8" i="9" s="1"/>
  <c r="BK7" i="9"/>
  <c r="BM7" i="9" s="1"/>
  <c r="BK6" i="9"/>
  <c r="BL6" i="9" s="1"/>
  <c r="BD6" i="9"/>
  <c r="BE6" i="9"/>
  <c r="O13" i="9"/>
  <c r="M13" i="9" s="1"/>
  <c r="P13" i="9"/>
  <c r="AJ13" i="9"/>
  <c r="AT13" i="9"/>
  <c r="O12" i="9"/>
  <c r="AE12" i="9" s="1"/>
  <c r="AB12" i="9" s="1"/>
  <c r="P12" i="9"/>
  <c r="AJ12" i="9"/>
  <c r="AT12" i="9"/>
  <c r="O11" i="9"/>
  <c r="AE11" i="9" s="1"/>
  <c r="AB11" i="9" s="1"/>
  <c r="P11" i="9"/>
  <c r="AJ11" i="9"/>
  <c r="AT11" i="9"/>
  <c r="O10" i="9"/>
  <c r="M10" i="9" s="1"/>
  <c r="P10" i="9"/>
  <c r="AJ10" i="9"/>
  <c r="AT10" i="9"/>
  <c r="B6" i="9"/>
  <c r="B4" i="27"/>
  <c r="D4" i="27"/>
  <c r="Y4" i="27" s="1"/>
  <c r="P4" i="27"/>
  <c r="Q4" i="27"/>
  <c r="R4" i="27"/>
  <c r="S4" i="27"/>
  <c r="AV9" i="28"/>
  <c r="AV8" i="28"/>
  <c r="AH3" i="28"/>
  <c r="A5" i="28"/>
  <c r="C5" i="28"/>
  <c r="D5" i="28"/>
  <c r="K5" i="28" s="1"/>
  <c r="B3" i="27"/>
  <c r="D3" i="27"/>
  <c r="P3" i="27"/>
  <c r="Q3" i="27"/>
  <c r="R3" i="27"/>
  <c r="S3" i="27"/>
  <c r="O9" i="9"/>
  <c r="Q9" i="9" s="1"/>
  <c r="P9" i="9"/>
  <c r="AJ9" i="9"/>
  <c r="AT9" i="9"/>
  <c r="B5" i="9"/>
  <c r="P9" i="19"/>
  <c r="R9" i="19"/>
  <c r="S9" i="19"/>
  <c r="P8" i="19"/>
  <c r="R8" i="19"/>
  <c r="S8" i="19"/>
  <c r="P7" i="19"/>
  <c r="R7" i="19"/>
  <c r="S7" i="19"/>
  <c r="P6" i="19"/>
  <c r="R6" i="19"/>
  <c r="S6" i="19"/>
  <c r="P5" i="19"/>
  <c r="R5" i="19"/>
  <c r="S5" i="19"/>
  <c r="P4" i="19"/>
  <c r="R4" i="19"/>
  <c r="S4" i="19"/>
  <c r="A4" i="19"/>
  <c r="B4" i="19"/>
  <c r="C4" i="19"/>
  <c r="P3" i="19"/>
  <c r="R3" i="19"/>
  <c r="S3" i="19"/>
  <c r="A3" i="19"/>
  <c r="B3" i="19"/>
  <c r="D3" i="19" s="1"/>
  <c r="N3" i="19" s="1"/>
  <c r="C3" i="19"/>
  <c r="A6" i="14"/>
  <c r="B6" i="14"/>
  <c r="A5" i="14"/>
  <c r="B5" i="14"/>
  <c r="C46" i="21"/>
  <c r="J46" i="21"/>
  <c r="K46" i="21"/>
  <c r="C45" i="21"/>
  <c r="J45" i="21"/>
  <c r="K45" i="21"/>
  <c r="C19" i="3"/>
  <c r="D19" i="3"/>
  <c r="E19" i="3"/>
  <c r="F19" i="3"/>
  <c r="G19" i="3"/>
  <c r="H19" i="3"/>
  <c r="I19" i="3"/>
  <c r="J19" i="3"/>
  <c r="C18" i="3"/>
  <c r="D18" i="3"/>
  <c r="E18" i="3"/>
  <c r="F18" i="3"/>
  <c r="G18" i="3"/>
  <c r="H18" i="3"/>
  <c r="I18" i="3"/>
  <c r="J18" i="3"/>
  <c r="C17" i="3"/>
  <c r="D17" i="3"/>
  <c r="E17" i="3"/>
  <c r="F17" i="3"/>
  <c r="G17" i="3"/>
  <c r="H17" i="3"/>
  <c r="I17" i="3"/>
  <c r="J17" i="3"/>
  <c r="C16" i="3"/>
  <c r="D16" i="3"/>
  <c r="E16" i="3"/>
  <c r="F16" i="3"/>
  <c r="G16" i="3"/>
  <c r="H16" i="3"/>
  <c r="I16" i="3"/>
  <c r="J16" i="3"/>
  <c r="C15" i="3"/>
  <c r="D15" i="3"/>
  <c r="E15" i="3"/>
  <c r="F15" i="3"/>
  <c r="G15" i="3"/>
  <c r="H15" i="3"/>
  <c r="I15" i="3"/>
  <c r="J15" i="3"/>
  <c r="C14" i="3"/>
  <c r="D14" i="3"/>
  <c r="E14" i="3"/>
  <c r="F14" i="3"/>
  <c r="G14" i="3"/>
  <c r="H14" i="3"/>
  <c r="I14" i="3"/>
  <c r="J14" i="3"/>
  <c r="C13" i="3"/>
  <c r="D13" i="3"/>
  <c r="E13" i="3"/>
  <c r="F13" i="3"/>
  <c r="G13" i="3"/>
  <c r="H13" i="3"/>
  <c r="I13" i="3"/>
  <c r="J13" i="3"/>
  <c r="C12" i="3"/>
  <c r="D12" i="3"/>
  <c r="E12" i="3"/>
  <c r="F12" i="3"/>
  <c r="G12" i="3"/>
  <c r="H12" i="3"/>
  <c r="I12" i="3"/>
  <c r="J12" i="3"/>
  <c r="C11" i="3"/>
  <c r="D11" i="3"/>
  <c r="E11" i="3"/>
  <c r="F11" i="3"/>
  <c r="G11" i="3"/>
  <c r="H11" i="3"/>
  <c r="I11" i="3"/>
  <c r="J11" i="3"/>
  <c r="C10" i="3"/>
  <c r="D10" i="3"/>
  <c r="E10" i="3"/>
  <c r="F10" i="3"/>
  <c r="G10" i="3"/>
  <c r="H10" i="3"/>
  <c r="I10" i="3"/>
  <c r="J10" i="3"/>
  <c r="C9" i="3"/>
  <c r="D9" i="3"/>
  <c r="E9" i="3"/>
  <c r="F9" i="3"/>
  <c r="G9" i="3"/>
  <c r="H9" i="3"/>
  <c r="I9" i="3"/>
  <c r="J9" i="3"/>
  <c r="C6" i="3"/>
  <c r="D6" i="3"/>
  <c r="E6" i="3"/>
  <c r="F6" i="3"/>
  <c r="G6" i="3"/>
  <c r="H6" i="3"/>
  <c r="I6" i="3"/>
  <c r="J6" i="3"/>
  <c r="C5" i="3"/>
  <c r="D5" i="3"/>
  <c r="E5" i="3"/>
  <c r="F5" i="3"/>
  <c r="G5" i="3"/>
  <c r="H5" i="3"/>
  <c r="I5" i="3"/>
  <c r="J5" i="3"/>
  <c r="J15" i="2"/>
  <c r="J14" i="2"/>
  <c r="J13" i="2"/>
  <c r="J12" i="2"/>
  <c r="J11" i="2"/>
  <c r="J10" i="2"/>
  <c r="J9" i="2"/>
  <c r="J7" i="2"/>
  <c r="J5" i="2"/>
  <c r="B48" i="1"/>
  <c r="F48" i="1" s="1"/>
  <c r="C48" i="1"/>
  <c r="E48" i="1" s="1"/>
  <c r="D46" i="21" s="1"/>
  <c r="BA4" i="9" l="1"/>
  <c r="AN4" i="9"/>
  <c r="AY4" i="9"/>
  <c r="AD4" i="9"/>
  <c r="AD5" i="9"/>
  <c r="AN5" i="9"/>
  <c r="BA5" i="9"/>
  <c r="AY5" i="9"/>
  <c r="AD3" i="9"/>
  <c r="AN3" i="9"/>
  <c r="BA3" i="9"/>
  <c r="AY3" i="9"/>
  <c r="Y12" i="27"/>
  <c r="M13" i="27"/>
  <c r="M10" i="27"/>
  <c r="Y10" i="27"/>
  <c r="M14" i="27"/>
  <c r="M11" i="27"/>
  <c r="M9" i="27"/>
  <c r="M8" i="27"/>
  <c r="M7" i="27"/>
  <c r="M6" i="27"/>
  <c r="M5" i="27"/>
  <c r="BM8" i="9"/>
  <c r="BL7" i="9"/>
  <c r="BM6" i="9"/>
  <c r="Q13" i="9"/>
  <c r="BF13" i="9" s="1"/>
  <c r="AE13" i="9"/>
  <c r="AB13" i="9" s="1"/>
  <c r="M12" i="9"/>
  <c r="M11" i="9"/>
  <c r="Q12" i="9"/>
  <c r="BF12" i="9" s="1"/>
  <c r="Q11" i="9"/>
  <c r="BF11" i="9" s="1"/>
  <c r="Q10" i="9"/>
  <c r="BF10" i="9" s="1"/>
  <c r="AE10" i="9"/>
  <c r="AB10" i="9" s="1"/>
  <c r="M4" i="27"/>
  <c r="Y3" i="27"/>
  <c r="M3" i="27"/>
  <c r="AE9" i="9"/>
  <c r="AB9" i="9" s="1"/>
  <c r="M9" i="9"/>
  <c r="AD9" i="9"/>
  <c r="AY9" i="9"/>
  <c r="BA9" i="9"/>
  <c r="AN9" i="9"/>
  <c r="G4" i="19"/>
  <c r="D4" i="19"/>
  <c r="G3" i="19"/>
  <c r="K19" i="3"/>
  <c r="K18" i="3"/>
  <c r="K17" i="3"/>
  <c r="K16" i="3"/>
  <c r="K15" i="3"/>
  <c r="K14" i="3"/>
  <c r="K13" i="3"/>
  <c r="K12" i="3"/>
  <c r="K11" i="3"/>
  <c r="K10" i="3"/>
  <c r="K9" i="3"/>
  <c r="K6" i="3"/>
  <c r="K5" i="3"/>
  <c r="G48" i="1"/>
  <c r="J48" i="1"/>
  <c r="I48" i="1"/>
  <c r="H48" i="1"/>
  <c r="DD2" i="9"/>
  <c r="EC2" i="9"/>
  <c r="EB2" i="9"/>
  <c r="AH2" i="29"/>
  <c r="AE2" i="29"/>
  <c r="BK2" i="9"/>
  <c r="BM2" i="9" s="1"/>
  <c r="CF2" i="9"/>
  <c r="CG2" i="9" s="1"/>
  <c r="BE2" i="9"/>
  <c r="BD2" i="9"/>
  <c r="S2" i="1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J2" i="21"/>
  <c r="C4" i="21"/>
  <c r="D4" i="21"/>
  <c r="J4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AH2" i="28"/>
  <c r="AR2" i="29"/>
  <c r="AP2" i="29"/>
  <c r="V2" i="14"/>
  <c r="AJ2" i="27"/>
  <c r="AI2" i="27"/>
  <c r="AF2" i="27"/>
  <c r="AE2" i="27"/>
  <c r="O2" i="9"/>
  <c r="M2" i="9" s="1"/>
  <c r="J2" i="2"/>
  <c r="J3" i="2"/>
  <c r="J4" i="2"/>
  <c r="B47" i="1"/>
  <c r="C47" i="1"/>
  <c r="E47" i="1" s="1"/>
  <c r="D45" i="21" s="1"/>
  <c r="D2" i="27"/>
  <c r="L2" i="27" s="1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E6" i="31"/>
  <c r="N4" i="19" l="1"/>
  <c r="AZ10" i="28"/>
  <c r="AK5" i="28"/>
  <c r="AT6" i="28"/>
  <c r="AT7" i="28"/>
  <c r="AT3" i="28"/>
  <c r="AT4" i="28"/>
  <c r="AT5" i="28"/>
  <c r="AT11" i="28"/>
  <c r="AT10" i="28"/>
  <c r="AF5" i="28"/>
  <c r="AF4" i="28"/>
  <c r="H47" i="1"/>
  <c r="E2" i="26"/>
  <c r="F2" i="26" s="1"/>
  <c r="G2" i="26" s="1"/>
  <c r="H2" i="26" s="1"/>
  <c r="E3" i="26"/>
  <c r="F3" i="26" s="1"/>
  <c r="G3" i="26" s="1"/>
  <c r="H3" i="26" s="1"/>
  <c r="AT45" i="28"/>
  <c r="AF13" i="28"/>
  <c r="AF14" i="28"/>
  <c r="AT43" i="28"/>
  <c r="AT44" i="28"/>
  <c r="AT41" i="28"/>
  <c r="AT42" i="28"/>
  <c r="AT39" i="28"/>
  <c r="AT40" i="28"/>
  <c r="AT37" i="28"/>
  <c r="AT38" i="28"/>
  <c r="AT35" i="28"/>
  <c r="AT36" i="28"/>
  <c r="AT33" i="28"/>
  <c r="AT34" i="28"/>
  <c r="AT31" i="28"/>
  <c r="AT32" i="28"/>
  <c r="AT29" i="28"/>
  <c r="AT30" i="28"/>
  <c r="AT27" i="28"/>
  <c r="AT28" i="28"/>
  <c r="AT25" i="28"/>
  <c r="AT26" i="28"/>
  <c r="AT23" i="28"/>
  <c r="AT24" i="28"/>
  <c r="AT21" i="28"/>
  <c r="AT22" i="28"/>
  <c r="AF11" i="28"/>
  <c r="AF12" i="28"/>
  <c r="AF9" i="28"/>
  <c r="AF10" i="28"/>
  <c r="AF7" i="28"/>
  <c r="AF8" i="28"/>
  <c r="AT16" i="28"/>
  <c r="AT17" i="28"/>
  <c r="AT18" i="28"/>
  <c r="AT19" i="28"/>
  <c r="AT20" i="28"/>
  <c r="AT14" i="28"/>
  <c r="AT15" i="28"/>
  <c r="AT12" i="28"/>
  <c r="AT13" i="28"/>
  <c r="AF3" i="28"/>
  <c r="AF6" i="28"/>
  <c r="AD13" i="9"/>
  <c r="AY13" i="9"/>
  <c r="BA13" i="9"/>
  <c r="AN13" i="9"/>
  <c r="BA12" i="9"/>
  <c r="AN12" i="9"/>
  <c r="AD12" i="9"/>
  <c r="AY12" i="9"/>
  <c r="AD11" i="9"/>
  <c r="AY11" i="9"/>
  <c r="BA11" i="9"/>
  <c r="AN11" i="9"/>
  <c r="AD10" i="9"/>
  <c r="AY10" i="9"/>
  <c r="BA10" i="9"/>
  <c r="AN10" i="9"/>
  <c r="AT8" i="28"/>
  <c r="AT9" i="28"/>
  <c r="BL2" i="9"/>
  <c r="CI2" i="9"/>
  <c r="AE2" i="9"/>
  <c r="AB2" i="9" s="1"/>
  <c r="M2" i="27"/>
  <c r="Q2" i="9"/>
  <c r="I47" i="1"/>
  <c r="J47" i="1"/>
  <c r="F47" i="1"/>
  <c r="G47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AL11" i="27" s="1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N3" i="28" s="1"/>
  <c r="BU2" i="9"/>
  <c r="BZ2" i="9"/>
  <c r="P2" i="19"/>
  <c r="AG2" i="27"/>
  <c r="AK2" i="27"/>
  <c r="B2" i="27"/>
  <c r="AB11" i="27" s="1"/>
  <c r="AT2" i="9"/>
  <c r="AJ2" i="9"/>
  <c r="P2" i="9"/>
  <c r="BN4" i="9" s="1"/>
  <c r="B2" i="9"/>
  <c r="C2" i="19"/>
  <c r="A2" i="14"/>
  <c r="C4" i="14" s="1"/>
  <c r="D4" i="14" s="1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M4" i="14" l="1"/>
  <c r="E4" i="28"/>
  <c r="E24" i="27"/>
  <c r="E25" i="27"/>
  <c r="F4" i="9"/>
  <c r="AA3" i="28"/>
  <c r="AD3" i="28"/>
  <c r="AB3" i="28"/>
  <c r="AC3" i="28"/>
  <c r="V3" i="28"/>
  <c r="W3" i="28"/>
  <c r="U3" i="28" s="1"/>
  <c r="Z3" i="28"/>
  <c r="AW7" i="28"/>
  <c r="AW6" i="28"/>
  <c r="AW11" i="28"/>
  <c r="AW10" i="28"/>
  <c r="AI5" i="28"/>
  <c r="AI4" i="28"/>
  <c r="BN3" i="9"/>
  <c r="BN5" i="9"/>
  <c r="BF5" i="9"/>
  <c r="BF4" i="9"/>
  <c r="BF3" i="9"/>
  <c r="AA5" i="9"/>
  <c r="AA7" i="9"/>
  <c r="AA8" i="9"/>
  <c r="AA4" i="9"/>
  <c r="AA6" i="9"/>
  <c r="AA3" i="9"/>
  <c r="AL5" i="9"/>
  <c r="AL7" i="9"/>
  <c r="AL8" i="9"/>
  <c r="AL3" i="9"/>
  <c r="AL6" i="9"/>
  <c r="AL4" i="9"/>
  <c r="AV5" i="9"/>
  <c r="AV7" i="9"/>
  <c r="AV8" i="9"/>
  <c r="AV6" i="9"/>
  <c r="AV4" i="9"/>
  <c r="AV3" i="9"/>
  <c r="BN10" i="9"/>
  <c r="BN11" i="9"/>
  <c r="BF9" i="9"/>
  <c r="BN9" i="9"/>
  <c r="BF7" i="9"/>
  <c r="BF8" i="9"/>
  <c r="DE3" i="9"/>
  <c r="AL13" i="28"/>
  <c r="AM14" i="28"/>
  <c r="AN13" i="28"/>
  <c r="AL14" i="28"/>
  <c r="AN14" i="28"/>
  <c r="AK14" i="28"/>
  <c r="AM13" i="28"/>
  <c r="AK13" i="28"/>
  <c r="C3" i="14"/>
  <c r="D3" i="14" s="1"/>
  <c r="AW3" i="28"/>
  <c r="AW5" i="28"/>
  <c r="AI13" i="28"/>
  <c r="AI14" i="28"/>
  <c r="AW4" i="28"/>
  <c r="AH11" i="27"/>
  <c r="AK11" i="27"/>
  <c r="AG11" i="27"/>
  <c r="AB8" i="27"/>
  <c r="AB6" i="27"/>
  <c r="AB9" i="27"/>
  <c r="AB7" i="27"/>
  <c r="AB10" i="27"/>
  <c r="AB5" i="27"/>
  <c r="AI2" i="29"/>
  <c r="AG2" i="29" s="1"/>
  <c r="AL4" i="27"/>
  <c r="AL10" i="27"/>
  <c r="AL6" i="27"/>
  <c r="AL7" i="27"/>
  <c r="AL9" i="27"/>
  <c r="AL8" i="27"/>
  <c r="AL3" i="27"/>
  <c r="AL5" i="27"/>
  <c r="BF2" i="9"/>
  <c r="BN6" i="9"/>
  <c r="BN8" i="9"/>
  <c r="BN7" i="9"/>
  <c r="BF6" i="9"/>
  <c r="AH9" i="27"/>
  <c r="N9" i="28"/>
  <c r="AB9" i="28" s="1"/>
  <c r="N6" i="28"/>
  <c r="AB6" i="28" s="1"/>
  <c r="AW38" i="28"/>
  <c r="AW30" i="28"/>
  <c r="AW26" i="28"/>
  <c r="AI10" i="28"/>
  <c r="AH10" i="27"/>
  <c r="N8" i="28"/>
  <c r="AC8" i="28" s="1"/>
  <c r="AW43" i="28"/>
  <c r="AW39" i="28"/>
  <c r="AW35" i="28"/>
  <c r="AW31" i="28"/>
  <c r="AW27" i="28"/>
  <c r="AW23" i="28"/>
  <c r="AI11" i="28"/>
  <c r="N7" i="28"/>
  <c r="AB7" i="28" s="1"/>
  <c r="AW42" i="28"/>
  <c r="AW34" i="28"/>
  <c r="AW22" i="28"/>
  <c r="AH5" i="27"/>
  <c r="AH8" i="27"/>
  <c r="AW44" i="28"/>
  <c r="AW36" i="28"/>
  <c r="AW28" i="28"/>
  <c r="AI12" i="28"/>
  <c r="AH6" i="27"/>
  <c r="AW45" i="28"/>
  <c r="AW41" i="28"/>
  <c r="AW37" i="28"/>
  <c r="AW33" i="28"/>
  <c r="AW29" i="28"/>
  <c r="AW25" i="28"/>
  <c r="AW21" i="28"/>
  <c r="AI9" i="28"/>
  <c r="AH7" i="27"/>
  <c r="N10" i="28"/>
  <c r="AD10" i="28" s="1"/>
  <c r="AW40" i="28"/>
  <c r="AW32" i="28"/>
  <c r="AW24" i="28"/>
  <c r="AI8" i="28"/>
  <c r="W9" i="28"/>
  <c r="BB45" i="28"/>
  <c r="AZ43" i="28"/>
  <c r="BA40" i="28"/>
  <c r="BB37" i="28"/>
  <c r="AZ35" i="28"/>
  <c r="BA32" i="28"/>
  <c r="BB29" i="28"/>
  <c r="AZ27" i="28"/>
  <c r="BA24" i="28"/>
  <c r="BB21" i="28"/>
  <c r="AL12" i="28"/>
  <c r="AN11" i="28"/>
  <c r="AL8" i="28"/>
  <c r="AZ19" i="28"/>
  <c r="BB19" i="28"/>
  <c r="AL7" i="28"/>
  <c r="BA14" i="28"/>
  <c r="BA12" i="28"/>
  <c r="AL6" i="28"/>
  <c r="AN3" i="28"/>
  <c r="BA23" i="28"/>
  <c r="BA45" i="28"/>
  <c r="BB42" i="28"/>
  <c r="AZ40" i="28"/>
  <c r="BA37" i="28"/>
  <c r="BB34" i="28"/>
  <c r="AZ32" i="28"/>
  <c r="BA29" i="28"/>
  <c r="BB26" i="28"/>
  <c r="AZ24" i="28"/>
  <c r="BA21" i="28"/>
  <c r="AM12" i="28"/>
  <c r="AK9" i="28"/>
  <c r="AM8" i="28"/>
  <c r="AZ20" i="28"/>
  <c r="BB20" i="28"/>
  <c r="AM7" i="28"/>
  <c r="BB14" i="28"/>
  <c r="BB12" i="28"/>
  <c r="AM6" i="28"/>
  <c r="AZ8" i="28"/>
  <c r="AN7" i="28"/>
  <c r="AZ13" i="28"/>
  <c r="AZ45" i="28"/>
  <c r="BA42" i="28"/>
  <c r="BA34" i="28"/>
  <c r="AZ29" i="28"/>
  <c r="BA26" i="28"/>
  <c r="BA17" i="28"/>
  <c r="AZ16" i="28"/>
  <c r="BB44" i="28"/>
  <c r="AZ42" i="28"/>
  <c r="BA39" i="28"/>
  <c r="BB36" i="28"/>
  <c r="AZ34" i="28"/>
  <c r="BA31" i="28"/>
  <c r="BB28" i="28"/>
  <c r="AZ26" i="28"/>
  <c r="AK10" i="28"/>
  <c r="BA44" i="28"/>
  <c r="BB41" i="28"/>
  <c r="AZ39" i="28"/>
  <c r="BA36" i="28"/>
  <c r="BB33" i="28"/>
  <c r="AZ31" i="28"/>
  <c r="BA28" i="28"/>
  <c r="BB25" i="28"/>
  <c r="AZ23" i="28"/>
  <c r="AL10" i="28"/>
  <c r="AN9" i="28"/>
  <c r="BA19" i="28"/>
  <c r="BA16" i="28"/>
  <c r="BA15" i="28"/>
  <c r="BA13" i="28"/>
  <c r="BB31" i="28"/>
  <c r="AN8" i="28"/>
  <c r="AZ44" i="28"/>
  <c r="BA41" i="28"/>
  <c r="BB38" i="28"/>
  <c r="AZ36" i="28"/>
  <c r="BA33" i="28"/>
  <c r="BB30" i="28"/>
  <c r="AZ28" i="28"/>
  <c r="BA25" i="28"/>
  <c r="BB22" i="28"/>
  <c r="AK11" i="28"/>
  <c r="AM10" i="28"/>
  <c r="BA20" i="28"/>
  <c r="BB16" i="28"/>
  <c r="BB15" i="28"/>
  <c r="BB13" i="28"/>
  <c r="AZ9" i="28"/>
  <c r="AK3" i="28"/>
  <c r="AZ37" i="28"/>
  <c r="AZ21" i="28"/>
  <c r="AN12" i="28"/>
  <c r="BA18" i="28"/>
  <c r="BB8" i="28"/>
  <c r="BB43" i="28"/>
  <c r="AZ41" i="28"/>
  <c r="BA38" i="28"/>
  <c r="BB35" i="28"/>
  <c r="AZ33" i="28"/>
  <c r="BA30" i="28"/>
  <c r="BB27" i="28"/>
  <c r="AZ25" i="28"/>
  <c r="BA22" i="28"/>
  <c r="AL11" i="28"/>
  <c r="AN10" i="28"/>
  <c r="AZ17" i="28"/>
  <c r="BB17" i="28"/>
  <c r="BA9" i="28"/>
  <c r="AL3" i="28"/>
  <c r="AM3" i="28"/>
  <c r="BB39" i="28"/>
  <c r="BB23" i="28"/>
  <c r="AL9" i="28"/>
  <c r="AN6" i="28"/>
  <c r="AM9" i="28"/>
  <c r="BA43" i="28"/>
  <c r="BB40" i="28"/>
  <c r="AZ38" i="28"/>
  <c r="BA35" i="28"/>
  <c r="BB32" i="28"/>
  <c r="AZ30" i="28"/>
  <c r="BA27" i="28"/>
  <c r="BB24" i="28"/>
  <c r="AZ22" i="28"/>
  <c r="AK12" i="28"/>
  <c r="AM11" i="28"/>
  <c r="AK8" i="28"/>
  <c r="AZ18" i="28"/>
  <c r="BB18" i="28"/>
  <c r="AK7" i="28"/>
  <c r="AZ14" i="28"/>
  <c r="AZ12" i="28"/>
  <c r="AK6" i="28"/>
  <c r="BB9" i="28"/>
  <c r="BA8" i="28"/>
  <c r="AZ15" i="28"/>
  <c r="AB3" i="27"/>
  <c r="AB4" i="27"/>
  <c r="AW18" i="28"/>
  <c r="AW19" i="28"/>
  <c r="AW20" i="28"/>
  <c r="N5" i="28"/>
  <c r="AA5" i="28" s="1"/>
  <c r="AW17" i="28"/>
  <c r="AW16" i="28"/>
  <c r="AI7" i="28"/>
  <c r="N4" i="28"/>
  <c r="AA4" i="28" s="1"/>
  <c r="AW12" i="28"/>
  <c r="AI6" i="28"/>
  <c r="AW15" i="28"/>
  <c r="AW13" i="28"/>
  <c r="AH3" i="27"/>
  <c r="AH4" i="27"/>
  <c r="AW14" i="28"/>
  <c r="AW8" i="28"/>
  <c r="AW9" i="28"/>
  <c r="AI3" i="28"/>
  <c r="AA12" i="9"/>
  <c r="Z12" i="9" s="1"/>
  <c r="AA13" i="9"/>
  <c r="AL12" i="9"/>
  <c r="AM12" i="9" s="1"/>
  <c r="AL13" i="9"/>
  <c r="AV12" i="9"/>
  <c r="AW12" i="9" s="1"/>
  <c r="AV13" i="9"/>
  <c r="AL10" i="9"/>
  <c r="AK10" i="9" s="1"/>
  <c r="AL11" i="9"/>
  <c r="AV10" i="9"/>
  <c r="AW10" i="9" s="1"/>
  <c r="AV11" i="9"/>
  <c r="AA10" i="9"/>
  <c r="AF10" i="9" s="1"/>
  <c r="AA11" i="9"/>
  <c r="R2" i="9"/>
  <c r="AX2" i="9" s="1"/>
  <c r="AA2" i="9"/>
  <c r="AF2" i="9" s="1"/>
  <c r="AA9" i="9"/>
  <c r="AL2" i="9"/>
  <c r="AK2" i="9" s="1"/>
  <c r="AL9" i="9"/>
  <c r="AV2" i="9"/>
  <c r="AU2" i="9" s="1"/>
  <c r="AV9" i="9"/>
  <c r="C5" i="14"/>
  <c r="D5" i="14" s="1"/>
  <c r="C6" i="14"/>
  <c r="D6" i="14" s="1"/>
  <c r="M6" i="14" s="1"/>
  <c r="AY2" i="9"/>
  <c r="BA2" i="9"/>
  <c r="E2" i="27"/>
  <c r="E2" i="28"/>
  <c r="E2" i="29"/>
  <c r="F2" i="9"/>
  <c r="AD2" i="9"/>
  <c r="AN2" i="9"/>
  <c r="C2" i="14"/>
  <c r="DQ2" i="9"/>
  <c r="DE2" i="9"/>
  <c r="J6" i="31"/>
  <c r="Y2" i="27"/>
  <c r="AA2" i="28"/>
  <c r="AD2" i="28"/>
  <c r="AC2" i="28"/>
  <c r="AB2" i="28"/>
  <c r="K2" i="28"/>
  <c r="CA2" i="9"/>
  <c r="CB2" i="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M3" i="14" l="1"/>
  <c r="F3" i="9"/>
  <c r="E3" i="28"/>
  <c r="Y3" i="28"/>
  <c r="T3" i="28"/>
  <c r="X3" i="28"/>
  <c r="AW4" i="9"/>
  <c r="AU4" i="9"/>
  <c r="AK6" i="9"/>
  <c r="AM6" i="9"/>
  <c r="AU6" i="9"/>
  <c r="AW6" i="9"/>
  <c r="AK3" i="9"/>
  <c r="AM3" i="9"/>
  <c r="Z6" i="9"/>
  <c r="AC6" i="9"/>
  <c r="AF6" i="9"/>
  <c r="AG6" i="9"/>
  <c r="AH6" i="9"/>
  <c r="AI6" i="9"/>
  <c r="AU8" i="9"/>
  <c r="AW8" i="9"/>
  <c r="AK8" i="9"/>
  <c r="AM8" i="9"/>
  <c r="AF4" i="9"/>
  <c r="AG4" i="9"/>
  <c r="Z4" i="9"/>
  <c r="AI4" i="9"/>
  <c r="AC4" i="9"/>
  <c r="AH4" i="9"/>
  <c r="AU7" i="9"/>
  <c r="AW7" i="9"/>
  <c r="AK7" i="9"/>
  <c r="AM7" i="9"/>
  <c r="Z8" i="9"/>
  <c r="AG8" i="9"/>
  <c r="AI8" i="9"/>
  <c r="AC8" i="9"/>
  <c r="AF8" i="9"/>
  <c r="AH8" i="9"/>
  <c r="AU5" i="9"/>
  <c r="AW5" i="9"/>
  <c r="AK5" i="9"/>
  <c r="AM5" i="9"/>
  <c r="Z7" i="9"/>
  <c r="AF7" i="9"/>
  <c r="AG7" i="9"/>
  <c r="AI7" i="9"/>
  <c r="AC7" i="9"/>
  <c r="AH7" i="9"/>
  <c r="AU3" i="9"/>
  <c r="AW3" i="9"/>
  <c r="AM4" i="9"/>
  <c r="AK4" i="9"/>
  <c r="Z5" i="9"/>
  <c r="AC5" i="9"/>
  <c r="AF5" i="9"/>
  <c r="AG5" i="9"/>
  <c r="AH5" i="9"/>
  <c r="AI5" i="9"/>
  <c r="AH3" i="9"/>
  <c r="AI3" i="9"/>
  <c r="AF3" i="9"/>
  <c r="Z3" i="9"/>
  <c r="AC3" i="9"/>
  <c r="AG3" i="9"/>
  <c r="A3" i="9"/>
  <c r="A4" i="9"/>
  <c r="E16" i="27"/>
  <c r="E15" i="27"/>
  <c r="E17" i="27"/>
  <c r="E5" i="29"/>
  <c r="M5" i="14"/>
  <c r="E20" i="27"/>
  <c r="E21" i="27"/>
  <c r="E22" i="27"/>
  <c r="E23" i="27"/>
  <c r="E18" i="27"/>
  <c r="E19" i="27"/>
  <c r="AA6" i="28"/>
  <c r="Y6" i="28" s="1"/>
  <c r="W6" i="28"/>
  <c r="AA9" i="28"/>
  <c r="W5" i="28"/>
  <c r="W10" i="28"/>
  <c r="W8" i="28"/>
  <c r="AA7" i="28"/>
  <c r="AA10" i="28"/>
  <c r="AA8" i="28"/>
  <c r="W7" i="28"/>
  <c r="AG9" i="27"/>
  <c r="AK9" i="27"/>
  <c r="AG6" i="27"/>
  <c r="AK6" i="27"/>
  <c r="AG8" i="27"/>
  <c r="AK8" i="27"/>
  <c r="AG5" i="27"/>
  <c r="AK5" i="27"/>
  <c r="AG10" i="27"/>
  <c r="AK10" i="27"/>
  <c r="AG7" i="27"/>
  <c r="AK7" i="27"/>
  <c r="AU12" i="9"/>
  <c r="AC10" i="9"/>
  <c r="AH12" i="9"/>
  <c r="AG12" i="9"/>
  <c r="AF12" i="9"/>
  <c r="AC9" i="28"/>
  <c r="AD8" i="28"/>
  <c r="AB8" i="28"/>
  <c r="AC6" i="28"/>
  <c r="AC10" i="28"/>
  <c r="AC7" i="28"/>
  <c r="AB10" i="28"/>
  <c r="AD6" i="28"/>
  <c r="AD7" i="28"/>
  <c r="AD9" i="28"/>
  <c r="Z10" i="28"/>
  <c r="V10" i="28"/>
  <c r="Z6" i="28"/>
  <c r="V6" i="28"/>
  <c r="V9" i="28"/>
  <c r="Z9" i="28"/>
  <c r="Z7" i="28"/>
  <c r="V7" i="28"/>
  <c r="V8" i="28"/>
  <c r="Z8" i="28"/>
  <c r="E3" i="27"/>
  <c r="E5" i="28"/>
  <c r="E3" i="29"/>
  <c r="E4" i="27"/>
  <c r="F6" i="9"/>
  <c r="E10" i="27"/>
  <c r="E7" i="28"/>
  <c r="E6" i="27"/>
  <c r="E8" i="28"/>
  <c r="F5" i="9"/>
  <c r="A5" i="9" s="1"/>
  <c r="E8" i="27"/>
  <c r="E10" i="28"/>
  <c r="E7" i="27"/>
  <c r="E11" i="27"/>
  <c r="E12" i="28"/>
  <c r="E9" i="28"/>
  <c r="E12" i="27"/>
  <c r="E9" i="27"/>
  <c r="E11" i="28"/>
  <c r="E13" i="27"/>
  <c r="E4" i="29"/>
  <c r="E6" i="28"/>
  <c r="E14" i="27"/>
  <c r="E5" i="27"/>
  <c r="AG4" i="27"/>
  <c r="AK4" i="27"/>
  <c r="AG3" i="27"/>
  <c r="AK3" i="27"/>
  <c r="AD5" i="28"/>
  <c r="V5" i="28"/>
  <c r="AC5" i="28"/>
  <c r="AB5" i="28"/>
  <c r="Z5" i="28"/>
  <c r="Y5" i="28"/>
  <c r="X4" i="28"/>
  <c r="X5" i="28"/>
  <c r="W4" i="28"/>
  <c r="U4" i="28" s="1"/>
  <c r="AD4" i="28"/>
  <c r="V4" i="28"/>
  <c r="Z4" i="28"/>
  <c r="AC4" i="28"/>
  <c r="AB4" i="28"/>
  <c r="Y4" i="28"/>
  <c r="AG10" i="9"/>
  <c r="AK12" i="9"/>
  <c r="AC12" i="9"/>
  <c r="AW13" i="9"/>
  <c r="AU13" i="9"/>
  <c r="AI12" i="9"/>
  <c r="AK13" i="9"/>
  <c r="AM13" i="9"/>
  <c r="AC13" i="9"/>
  <c r="AF13" i="9"/>
  <c r="AG13" i="9"/>
  <c r="AI13" i="9"/>
  <c r="Z13" i="9"/>
  <c r="AH13" i="9"/>
  <c r="AM10" i="9"/>
  <c r="AI10" i="9"/>
  <c r="AU10" i="9"/>
  <c r="AH10" i="9"/>
  <c r="Z10" i="9"/>
  <c r="AC11" i="9"/>
  <c r="AF11" i="9"/>
  <c r="AG11" i="9"/>
  <c r="Z11" i="9"/>
  <c r="AH11" i="9"/>
  <c r="AI11" i="9"/>
  <c r="AU11" i="9"/>
  <c r="AW11" i="9"/>
  <c r="AM11" i="9"/>
  <c r="AK11" i="9"/>
  <c r="AM2" i="9"/>
  <c r="AG2" i="9"/>
  <c r="AM9" i="9"/>
  <c r="AK9" i="9"/>
  <c r="AI2" i="9"/>
  <c r="AH2" i="9"/>
  <c r="AC9" i="9"/>
  <c r="AF9" i="9"/>
  <c r="AG9" i="9"/>
  <c r="Z9" i="9"/>
  <c r="AH9" i="9"/>
  <c r="AI9" i="9"/>
  <c r="AW2" i="9"/>
  <c r="AW9" i="9"/>
  <c r="AU9" i="9"/>
  <c r="A2" i="9"/>
  <c r="K2" i="27"/>
  <c r="A2" i="27"/>
  <c r="A2" i="29"/>
  <c r="D2" i="29"/>
  <c r="J2" i="29" s="1"/>
  <c r="Z2" i="9"/>
  <c r="AC2" i="9"/>
  <c r="D2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K25" i="27" l="1"/>
  <c r="M5" i="19"/>
  <c r="H5" i="19"/>
  <c r="K24" i="27"/>
  <c r="L25" i="27"/>
  <c r="A25" i="27"/>
  <c r="L24" i="27"/>
  <c r="A24" i="27"/>
  <c r="C3" i="9"/>
  <c r="E3" i="9" s="1"/>
  <c r="K3" i="9" s="1"/>
  <c r="C4" i="9"/>
  <c r="E4" i="9" s="1"/>
  <c r="Y8" i="28"/>
  <c r="L22" i="27"/>
  <c r="L20" i="27"/>
  <c r="L21" i="27"/>
  <c r="Y7" i="28"/>
  <c r="A19" i="27"/>
  <c r="L23" i="27"/>
  <c r="L19" i="27"/>
  <c r="L18" i="27"/>
  <c r="K22" i="27"/>
  <c r="A22" i="27"/>
  <c r="A18" i="27"/>
  <c r="K21" i="27"/>
  <c r="K18" i="27"/>
  <c r="A21" i="27"/>
  <c r="K23" i="27"/>
  <c r="K19" i="27"/>
  <c r="K20" i="27"/>
  <c r="A20" i="27"/>
  <c r="A23" i="27"/>
  <c r="Y9" i="28"/>
  <c r="X6" i="28"/>
  <c r="X7" i="28"/>
  <c r="X10" i="28"/>
  <c r="X9" i="28"/>
  <c r="X8" i="28"/>
  <c r="Y10" i="28"/>
  <c r="A4" i="27"/>
  <c r="L3" i="27"/>
  <c r="A17" i="27"/>
  <c r="D5" i="29"/>
  <c r="J5" i="29" s="1"/>
  <c r="K16" i="27"/>
  <c r="L5" i="27"/>
  <c r="A3" i="27"/>
  <c r="A3" i="29"/>
  <c r="A4" i="29"/>
  <c r="A16" i="27"/>
  <c r="L4" i="27"/>
  <c r="D3" i="29"/>
  <c r="J3" i="29" s="1"/>
  <c r="L16" i="27"/>
  <c r="L17" i="27"/>
  <c r="K15" i="27"/>
  <c r="K17" i="27"/>
  <c r="A15" i="27"/>
  <c r="L15" i="27"/>
  <c r="K3" i="27"/>
  <c r="K5" i="27"/>
  <c r="K4" i="27"/>
  <c r="A5" i="29"/>
  <c r="A6" i="9"/>
  <c r="L6" i="27"/>
  <c r="A7" i="27"/>
  <c r="D4" i="29"/>
  <c r="J4" i="29" s="1"/>
  <c r="U9" i="28"/>
  <c r="A13" i="27"/>
  <c r="L13" i="27"/>
  <c r="A6" i="27"/>
  <c r="L7" i="27"/>
  <c r="K11" i="27"/>
  <c r="A12" i="27"/>
  <c r="U10" i="28"/>
  <c r="T6" i="19"/>
  <c r="T8" i="19"/>
  <c r="M3" i="19"/>
  <c r="T7" i="19"/>
  <c r="T3" i="19"/>
  <c r="T9" i="19"/>
  <c r="T5" i="19"/>
  <c r="M4" i="19"/>
  <c r="T4" i="19"/>
  <c r="H4" i="19"/>
  <c r="H3" i="19"/>
  <c r="K6" i="27"/>
  <c r="K7" i="27"/>
  <c r="K12" i="27"/>
  <c r="K14" i="27"/>
  <c r="U7" i="28"/>
  <c r="K8" i="27"/>
  <c r="L11" i="27"/>
  <c r="L12" i="27"/>
  <c r="A8" i="27"/>
  <c r="L9" i="27"/>
  <c r="L14" i="27"/>
  <c r="L10" i="27"/>
  <c r="A9" i="27"/>
  <c r="A11" i="27"/>
  <c r="K10" i="27"/>
  <c r="K9" i="27"/>
  <c r="K13" i="27"/>
  <c r="A10" i="27"/>
  <c r="A5" i="27"/>
  <c r="L8" i="27"/>
  <c r="A14" i="27"/>
  <c r="U8" i="28"/>
  <c r="T9" i="28"/>
  <c r="T10" i="28"/>
  <c r="T7" i="28"/>
  <c r="T8" i="28"/>
  <c r="U6" i="28"/>
  <c r="T6" i="28"/>
  <c r="U5" i="28"/>
  <c r="T5" i="28"/>
  <c r="T4" i="28"/>
  <c r="C2" i="9"/>
  <c r="E2" i="9" s="1"/>
  <c r="K2" i="9" s="1"/>
  <c r="C5" i="9"/>
  <c r="E5" i="9" s="1"/>
  <c r="M2" i="14"/>
  <c r="T2" i="19"/>
  <c r="D12" i="21"/>
  <c r="D16" i="21"/>
  <c r="D23" i="21"/>
  <c r="D11" i="21"/>
  <c r="J8" i="31"/>
  <c r="E4" i="31"/>
  <c r="R7" i="9" l="1"/>
  <c r="AX7" i="9" s="1"/>
  <c r="R8" i="9"/>
  <c r="AX8" i="9" s="1"/>
  <c r="K4" i="9"/>
  <c r="R6" i="9"/>
  <c r="AX6" i="9" s="1"/>
  <c r="R3" i="9"/>
  <c r="C6" i="9"/>
  <c r="E6" i="9" s="1"/>
  <c r="R13" i="9" s="1"/>
  <c r="AX13" i="9" s="1"/>
  <c r="K5" i="9"/>
  <c r="R9" i="9"/>
  <c r="AX9" i="9" s="1"/>
  <c r="J9" i="31"/>
  <c r="AX3" i="9" l="1"/>
  <c r="R4" i="9"/>
  <c r="R5" i="9"/>
  <c r="K6" i="9"/>
  <c r="R10" i="9"/>
  <c r="AX10" i="9" s="1"/>
  <c r="R12" i="9"/>
  <c r="AX12" i="9" s="1"/>
  <c r="R11" i="9"/>
  <c r="AX11" i="9" s="1"/>
  <c r="J10" i="31"/>
  <c r="AX5" i="9" l="1"/>
  <c r="AX4" i="9"/>
  <c r="J11" i="31"/>
  <c r="J12" i="31" l="1"/>
  <c r="J13" i="31" l="1"/>
  <c r="J14" i="31" l="1"/>
  <c r="D33" i="21"/>
  <c r="C33" i="21"/>
  <c r="D32" i="21"/>
  <c r="C32" i="21"/>
  <c r="J15" i="31" l="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J16" i="31" l="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D26" i="21" l="1"/>
  <c r="D39" i="21"/>
  <c r="D31" i="21"/>
  <c r="J17" i="31"/>
  <c r="D42" i="21"/>
  <c r="D43" i="21"/>
  <c r="D25" i="21"/>
  <c r="D41" i="21"/>
  <c r="D7" i="21"/>
  <c r="D10" i="21"/>
  <c r="D6" i="21"/>
  <c r="D40" i="21"/>
  <c r="D24" i="21"/>
  <c r="E1" i="25" s="1"/>
  <c r="D3" i="21"/>
  <c r="D38" i="21"/>
  <c r="D5" i="21"/>
  <c r="J18" i="31" l="1"/>
  <c r="B8" i="25"/>
  <c r="J19" i="31" l="1"/>
  <c r="J20" i="31" l="1"/>
  <c r="J21" i="31" l="1"/>
  <c r="J22" i="31" l="1"/>
  <c r="J23" i="31" l="1"/>
  <c r="J24" i="31" l="1"/>
  <c r="J25" i="31" l="1"/>
  <c r="J26" i="31" l="1"/>
  <c r="J27" i="31" l="1"/>
  <c r="J28" i="31" l="1"/>
  <c r="J29" i="31" l="1"/>
  <c r="J30" i="31" l="1"/>
  <c r="J31" i="31" l="1"/>
  <c r="E2" i="31"/>
  <c r="J32" i="31" l="1"/>
  <c r="J33" i="31" l="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C5" i="25"/>
  <c r="O5" i="25"/>
  <c r="M5" i="25"/>
  <c r="L5" i="25"/>
  <c r="E5" i="25"/>
  <c r="H5" i="25"/>
  <c r="N5" i="25"/>
  <c r="I5" i="25"/>
  <c r="E5" i="31"/>
  <c r="Q5" i="25"/>
  <c r="K5" i="25"/>
  <c r="D5" i="25"/>
  <c r="F5" i="25"/>
  <c r="J5" i="25"/>
  <c r="P5" i="25"/>
  <c r="B9" i="25"/>
  <c r="G5" i="25"/>
  <c r="K24" i="31" l="1"/>
  <c r="K39" i="31"/>
  <c r="K58" i="31"/>
  <c r="K22" i="31"/>
  <c r="K45" i="31"/>
  <c r="K44" i="31"/>
  <c r="K46" i="31"/>
  <c r="K51" i="31"/>
  <c r="K34" i="31"/>
  <c r="K33" i="31"/>
  <c r="K28" i="31"/>
  <c r="K26" i="31"/>
  <c r="K54" i="31"/>
  <c r="K57" i="31"/>
  <c r="K14" i="31"/>
  <c r="K37" i="31"/>
  <c r="K60" i="31"/>
  <c r="K43" i="31"/>
  <c r="K16" i="31"/>
  <c r="K31" i="31"/>
  <c r="K50" i="31"/>
  <c r="K13" i="31"/>
  <c r="K12" i="31"/>
  <c r="K35" i="31"/>
  <c r="K41" i="31"/>
  <c r="K52" i="31"/>
  <c r="K56" i="31"/>
  <c r="K21" i="31"/>
  <c r="K7" i="31"/>
  <c r="K49" i="31"/>
  <c r="K5" i="31"/>
  <c r="K20" i="31"/>
  <c r="K11" i="31"/>
  <c r="K8" i="31"/>
  <c r="K23" i="31"/>
  <c r="K42" i="31"/>
  <c r="K3" i="31"/>
  <c r="K53" i="31"/>
  <c r="K15" i="31"/>
  <c r="K6" i="31"/>
  <c r="K19" i="31"/>
  <c r="K25" i="31"/>
  <c r="K48" i="31"/>
  <c r="K38" i="31"/>
  <c r="K61" i="31"/>
  <c r="K18" i="31"/>
  <c r="K17" i="31"/>
  <c r="K40" i="31"/>
  <c r="K55" i="31"/>
  <c r="K30" i="31"/>
  <c r="K29" i="31"/>
  <c r="K36" i="31"/>
  <c r="K59" i="31"/>
  <c r="K10" i="31"/>
  <c r="K32" i="31"/>
  <c r="K47" i="31"/>
  <c r="K27" i="31"/>
  <c r="K9" i="31"/>
  <c r="K4" i="31"/>
  <c r="K2" i="31"/>
  <c r="L2" i="31" s="1"/>
  <c r="M2" i="31" s="1"/>
  <c r="R9" i="25"/>
  <c r="J62" i="31"/>
  <c r="K62" i="31" s="1"/>
  <c r="P9" i="25"/>
  <c r="M9" i="25"/>
  <c r="O9" i="25"/>
  <c r="N9" i="25"/>
  <c r="L9" i="25"/>
  <c r="Q9" i="25"/>
  <c r="K9" i="25"/>
  <c r="J9" i="25"/>
  <c r="I9" i="25"/>
  <c r="G9" i="25"/>
  <c r="H9" i="25"/>
  <c r="B10" i="25"/>
  <c r="D9" i="25"/>
  <c r="E9" i="25"/>
  <c r="P2" i="31"/>
  <c r="L17" i="31" l="1"/>
  <c r="M17" i="31" s="1"/>
  <c r="L16" i="31"/>
  <c r="M16" i="31" s="1"/>
  <c r="L15" i="31"/>
  <c r="M15" i="31" s="1"/>
  <c r="L14" i="31"/>
  <c r="M14" i="31" s="1"/>
  <c r="L13" i="31"/>
  <c r="M13" i="31" s="1"/>
  <c r="L12" i="31"/>
  <c r="M12" i="31" s="1"/>
  <c r="L11" i="31"/>
  <c r="M11" i="31" s="1"/>
  <c r="L10" i="31"/>
  <c r="M10" i="31" s="1"/>
  <c r="L9" i="31"/>
  <c r="M9" i="31" s="1"/>
  <c r="L8" i="31"/>
  <c r="M8" i="31" s="1"/>
  <c r="L7" i="31"/>
  <c r="M7" i="31" s="1"/>
  <c r="L4" i="31"/>
  <c r="M4" i="31" s="1"/>
  <c r="L6" i="31"/>
  <c r="M6" i="31" s="1"/>
  <c r="L5" i="31"/>
  <c r="M5" i="31" s="1"/>
  <c r="L3" i="31"/>
  <c r="M3" i="31" s="1"/>
  <c r="R10" i="25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O10" i="25"/>
  <c r="M10" i="25"/>
  <c r="Q10" i="25"/>
  <c r="L10" i="25"/>
  <c r="N10" i="25"/>
  <c r="P10" i="25"/>
  <c r="K10" i="25"/>
  <c r="J10" i="25"/>
  <c r="H10" i="25"/>
  <c r="I10" i="25"/>
  <c r="G10" i="25"/>
  <c r="N11" i="31"/>
  <c r="N9" i="31"/>
  <c r="P36" i="31"/>
  <c r="P40" i="31"/>
  <c r="P14" i="31"/>
  <c r="N26" i="31"/>
  <c r="P33" i="31"/>
  <c r="P47" i="31"/>
  <c r="N30" i="31"/>
  <c r="N37" i="31"/>
  <c r="P57" i="31"/>
  <c r="P43" i="31"/>
  <c r="N28" i="31"/>
  <c r="N39" i="31"/>
  <c r="P15" i="31"/>
  <c r="P10" i="31"/>
  <c r="P8" i="31"/>
  <c r="P41" i="31"/>
  <c r="P13" i="31"/>
  <c r="N16" i="31"/>
  <c r="P4" i="31"/>
  <c r="N8" i="31"/>
  <c r="N7" i="31"/>
  <c r="N55" i="31"/>
  <c r="P21" i="31"/>
  <c r="N10" i="31"/>
  <c r="P24" i="31"/>
  <c r="N52" i="31"/>
  <c r="P51" i="31"/>
  <c r="P5" i="31"/>
  <c r="N34" i="31"/>
  <c r="N29" i="31"/>
  <c r="N46" i="31"/>
  <c r="N42" i="31"/>
  <c r="D10" i="25"/>
  <c r="N23" i="31"/>
  <c r="P7" i="31"/>
  <c r="N6" i="31"/>
  <c r="P25" i="31"/>
  <c r="N13" i="31"/>
  <c r="N59" i="31"/>
  <c r="N5" i="31"/>
  <c r="P22" i="31"/>
  <c r="N15" i="31"/>
  <c r="C10" i="25"/>
  <c r="N45" i="31"/>
  <c r="P16" i="31"/>
  <c r="E10" i="25"/>
  <c r="N2" i="31"/>
  <c r="P35" i="31"/>
  <c r="P53" i="31"/>
  <c r="B11" i="25"/>
  <c r="N4" i="31"/>
  <c r="P20" i="31"/>
  <c r="P27" i="31"/>
  <c r="P60" i="31"/>
  <c r="P17" i="31"/>
  <c r="P9" i="31"/>
  <c r="N61" i="31"/>
  <c r="P44" i="31"/>
  <c r="P58" i="31"/>
  <c r="N32" i="31"/>
  <c r="P49" i="31"/>
  <c r="P31" i="31"/>
  <c r="N12" i="31"/>
  <c r="N56" i="31"/>
  <c r="P19" i="31"/>
  <c r="P38" i="31"/>
  <c r="P50" i="31"/>
  <c r="N48" i="31"/>
  <c r="P54" i="31"/>
  <c r="P11" i="31"/>
  <c r="P18" i="31"/>
  <c r="N3" i="31"/>
  <c r="O2" i="31" l="1"/>
  <c r="O15" i="31"/>
  <c r="O12" i="31"/>
  <c r="O3" i="31"/>
  <c r="O6" i="31"/>
  <c r="O10" i="31"/>
  <c r="O16" i="31"/>
  <c r="O8" i="31"/>
  <c r="O4" i="31"/>
  <c r="O7" i="31"/>
  <c r="O5" i="31"/>
  <c r="O9" i="31"/>
  <c r="O13" i="31"/>
  <c r="O11" i="31"/>
  <c r="R11" i="25"/>
  <c r="O42" i="31"/>
  <c r="O55" i="31"/>
  <c r="O52" i="31"/>
  <c r="O34" i="31"/>
  <c r="O56" i="31"/>
  <c r="O48" i="31"/>
  <c r="O45" i="31"/>
  <c r="O23" i="31"/>
  <c r="O26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Q11" i="25"/>
  <c r="L11" i="25"/>
  <c r="O11" i="25"/>
  <c r="N11" i="25"/>
  <c r="M11" i="25"/>
  <c r="P11" i="25"/>
  <c r="J11" i="25"/>
  <c r="K11" i="25"/>
  <c r="I11" i="25"/>
  <c r="H11" i="25"/>
  <c r="P3" i="31"/>
  <c r="B12" i="25"/>
  <c r="P37" i="31"/>
  <c r="P26" i="31"/>
  <c r="N58" i="31"/>
  <c r="N44" i="31"/>
  <c r="P32" i="31"/>
  <c r="N54" i="31"/>
  <c r="P12" i="31"/>
  <c r="P59" i="31"/>
  <c r="N60" i="31"/>
  <c r="N57" i="31"/>
  <c r="N21" i="31"/>
  <c r="N33" i="31"/>
  <c r="N20" i="31"/>
  <c r="C11" i="25"/>
  <c r="N24" i="31"/>
  <c r="P39" i="31"/>
  <c r="P42" i="31"/>
  <c r="P55" i="31"/>
  <c r="P34" i="31"/>
  <c r="N22" i="31"/>
  <c r="N38" i="31"/>
  <c r="P23" i="31"/>
  <c r="N62" i="31"/>
  <c r="D11" i="25"/>
  <c r="N51" i="31"/>
  <c r="N50" i="31"/>
  <c r="P6" i="31"/>
  <c r="N31" i="31"/>
  <c r="P56" i="31"/>
  <c r="N49" i="31"/>
  <c r="P61" i="31"/>
  <c r="P45" i="31"/>
  <c r="N25" i="31"/>
  <c r="P29" i="31"/>
  <c r="N47" i="31"/>
  <c r="N17" i="31"/>
  <c r="N41" i="31"/>
  <c r="P48" i="31"/>
  <c r="N36" i="31"/>
  <c r="P46" i="31"/>
  <c r="N19" i="31"/>
  <c r="N40" i="31"/>
  <c r="N35" i="31"/>
  <c r="N53" i="31"/>
  <c r="P52" i="31"/>
  <c r="E11" i="25"/>
  <c r="P30" i="31"/>
  <c r="N27" i="31"/>
  <c r="N18" i="31"/>
  <c r="P28" i="31"/>
  <c r="N14" i="31"/>
  <c r="N43" i="31"/>
  <c r="O17" i="31" l="1"/>
  <c r="O25" i="27"/>
  <c r="O14" i="31"/>
  <c r="P23" i="27" s="1"/>
  <c r="P21" i="27"/>
  <c r="P20" i="27"/>
  <c r="P19" i="27"/>
  <c r="P18" i="27"/>
  <c r="O3" i="27"/>
  <c r="O17" i="27"/>
  <c r="O15" i="27"/>
  <c r="O7" i="27"/>
  <c r="O4" i="27"/>
  <c r="O21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R12" i="25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12" i="25"/>
  <c r="Q12" i="25"/>
  <c r="L12" i="25"/>
  <c r="N12" i="25"/>
  <c r="O12" i="25"/>
  <c r="M12" i="25"/>
  <c r="J12" i="25"/>
  <c r="K12" i="25"/>
  <c r="H12" i="25"/>
  <c r="I12" i="25"/>
  <c r="B13" i="25"/>
  <c r="N63" i="31"/>
  <c r="P62" i="31"/>
  <c r="C12" i="25"/>
  <c r="D12" i="25"/>
  <c r="E12" i="25"/>
  <c r="P22" i="27" l="1"/>
  <c r="O24" i="27"/>
  <c r="P7" i="27"/>
  <c r="O20" i="27"/>
  <c r="O21" i="27"/>
  <c r="O16" i="27"/>
  <c r="O18" i="27"/>
  <c r="P17" i="27"/>
  <c r="O23" i="27"/>
  <c r="O22" i="27"/>
  <c r="O19" i="27"/>
  <c r="R13" i="25"/>
  <c r="O63" i="31"/>
  <c r="M64" i="31"/>
  <c r="L65" i="31"/>
  <c r="J66" i="31"/>
  <c r="K66" i="31" s="1"/>
  <c r="K13" i="25"/>
  <c r="M13" i="25"/>
  <c r="N13" i="25"/>
  <c r="Q13" i="25"/>
  <c r="P13" i="25"/>
  <c r="O13" i="25"/>
  <c r="L13" i="25"/>
  <c r="J13" i="25"/>
  <c r="H13" i="25"/>
  <c r="I13" i="25"/>
  <c r="E13" i="25"/>
  <c r="C13" i="25"/>
  <c r="P63" i="31"/>
  <c r="D13" i="25"/>
  <c r="B14" i="25"/>
  <c r="P64" i="31"/>
  <c r="R14" i="25" l="1"/>
  <c r="M65" i="31"/>
  <c r="L66" i="31"/>
  <c r="J67" i="31"/>
  <c r="K67" i="31" s="1"/>
  <c r="M14" i="25"/>
  <c r="K14" i="25"/>
  <c r="N14" i="25"/>
  <c r="P14" i="25"/>
  <c r="L14" i="25"/>
  <c r="Q14" i="25"/>
  <c r="O14" i="25"/>
  <c r="J14" i="25"/>
  <c r="H14" i="25"/>
  <c r="I14" i="25"/>
  <c r="E14" i="25"/>
  <c r="N64" i="31"/>
  <c r="N65" i="31"/>
  <c r="C14" i="25"/>
  <c r="D14" i="25"/>
  <c r="B15" i="25"/>
  <c r="R15" i="25" l="1"/>
  <c r="O64" i="31"/>
  <c r="O65" i="31"/>
  <c r="M66" i="31"/>
  <c r="L67" i="31"/>
  <c r="J68" i="31"/>
  <c r="K68" i="31" s="1"/>
  <c r="N15" i="25"/>
  <c r="M15" i="25"/>
  <c r="K15" i="25"/>
  <c r="Q15" i="25"/>
  <c r="L15" i="25"/>
  <c r="P15" i="25"/>
  <c r="O15" i="25"/>
  <c r="J15" i="25"/>
  <c r="I15" i="25"/>
  <c r="H15" i="25"/>
  <c r="C15" i="25"/>
  <c r="P65" i="31"/>
  <c r="E15" i="25"/>
  <c r="B16" i="25"/>
  <c r="D15" i="25"/>
  <c r="N66" i="31"/>
  <c r="R16" i="25" l="1"/>
  <c r="O66" i="31"/>
  <c r="M67" i="31"/>
  <c r="L68" i="31"/>
  <c r="J69" i="31"/>
  <c r="K69" i="31" s="1"/>
  <c r="M16" i="25"/>
  <c r="O16" i="25"/>
  <c r="Q16" i="25"/>
  <c r="K16" i="25"/>
  <c r="L16" i="25"/>
  <c r="N16" i="25"/>
  <c r="P16" i="25"/>
  <c r="J16" i="25"/>
  <c r="I16" i="25"/>
  <c r="H16" i="25"/>
  <c r="G16" i="25"/>
  <c r="D16" i="25"/>
  <c r="E16" i="25"/>
  <c r="P66" i="31"/>
  <c r="C16" i="25"/>
  <c r="B17" i="25"/>
  <c r="N67" i="31"/>
  <c r="R17" i="25" l="1"/>
  <c r="O67" i="31"/>
  <c r="M68" i="31"/>
  <c r="L69" i="31"/>
  <c r="J70" i="31"/>
  <c r="K70" i="31" s="1"/>
  <c r="M17" i="25"/>
  <c r="N17" i="25"/>
  <c r="O17" i="25"/>
  <c r="P17" i="25"/>
  <c r="L17" i="25"/>
  <c r="Q17" i="25"/>
  <c r="K17" i="25"/>
  <c r="J17" i="25"/>
  <c r="H17" i="25"/>
  <c r="I17" i="25"/>
  <c r="B18" i="25"/>
  <c r="D17" i="25"/>
  <c r="E17" i="25"/>
  <c r="P67" i="31"/>
  <c r="C17" i="25"/>
  <c r="N68" i="31"/>
  <c r="R18" i="25" l="1"/>
  <c r="O68" i="31"/>
  <c r="M69" i="31"/>
  <c r="L70" i="31"/>
  <c r="J71" i="31"/>
  <c r="K71" i="31" s="1"/>
  <c r="O18" i="25"/>
  <c r="K18" i="25"/>
  <c r="N18" i="25"/>
  <c r="Q18" i="25"/>
  <c r="L18" i="25"/>
  <c r="P18" i="25"/>
  <c r="M18" i="25"/>
  <c r="J18" i="25"/>
  <c r="G18" i="25"/>
  <c r="I18" i="25"/>
  <c r="H18" i="25"/>
  <c r="E18" i="25"/>
  <c r="D18" i="25"/>
  <c r="C18" i="25"/>
  <c r="N69" i="31"/>
  <c r="B19" i="25"/>
  <c r="P68" i="31"/>
  <c r="R19" i="25" l="1"/>
  <c r="O69" i="31"/>
  <c r="M70" i="31"/>
  <c r="L71" i="31"/>
  <c r="J72" i="31"/>
  <c r="K72" i="31" s="1"/>
  <c r="L19" i="25"/>
  <c r="M19" i="25"/>
  <c r="K19" i="25"/>
  <c r="N19" i="25"/>
  <c r="P19" i="25"/>
  <c r="Q19" i="25"/>
  <c r="O19" i="25"/>
  <c r="J19" i="25"/>
  <c r="H19" i="25"/>
  <c r="I19" i="25"/>
  <c r="E19" i="25"/>
  <c r="C19" i="25"/>
  <c r="D19" i="25"/>
  <c r="P69" i="31"/>
  <c r="B20" i="25"/>
  <c r="N70" i="31"/>
  <c r="R20" i="25" l="1"/>
  <c r="O70" i="31"/>
  <c r="M71" i="31"/>
  <c r="L72" i="31"/>
  <c r="J73" i="31"/>
  <c r="K73" i="31" s="1"/>
  <c r="Q20" i="25"/>
  <c r="L20" i="25"/>
  <c r="O20" i="25"/>
  <c r="N20" i="25"/>
  <c r="M20" i="25"/>
  <c r="K20" i="25"/>
  <c r="P20" i="25"/>
  <c r="J20" i="25"/>
  <c r="G20" i="25"/>
  <c r="I20" i="25"/>
  <c r="D20" i="25"/>
  <c r="C20" i="25"/>
  <c r="E20" i="25"/>
  <c r="B21" i="25"/>
  <c r="H20" i="25"/>
  <c r="N71" i="31"/>
  <c r="P70" i="31"/>
  <c r="R21" i="25" l="1"/>
  <c r="O71" i="31"/>
  <c r="M72" i="31"/>
  <c r="L73" i="31"/>
  <c r="J74" i="31"/>
  <c r="K74" i="31" s="1"/>
  <c r="P21" i="25"/>
  <c r="M21" i="25"/>
  <c r="Q21" i="25"/>
  <c r="O21" i="25"/>
  <c r="K21" i="25"/>
  <c r="N21" i="25"/>
  <c r="L21" i="25"/>
  <c r="J21" i="25"/>
  <c r="B22" i="25"/>
  <c r="I21" i="25"/>
  <c r="D21" i="25"/>
  <c r="C21" i="25"/>
  <c r="H21" i="25"/>
  <c r="E21" i="25"/>
  <c r="P71" i="31"/>
  <c r="N72" i="31"/>
  <c r="R22" i="25" l="1"/>
  <c r="O72" i="31"/>
  <c r="M73" i="31"/>
  <c r="L74" i="31"/>
  <c r="J75" i="31"/>
  <c r="K75" i="31" s="1"/>
  <c r="P22" i="25"/>
  <c r="L22" i="25"/>
  <c r="O22" i="25"/>
  <c r="N22" i="25"/>
  <c r="K22" i="25"/>
  <c r="M22" i="25"/>
  <c r="Q22" i="25"/>
  <c r="J22" i="25"/>
  <c r="I22" i="25"/>
  <c r="D22" i="25"/>
  <c r="B23" i="25"/>
  <c r="E22" i="25"/>
  <c r="H22" i="25"/>
  <c r="C22" i="25"/>
  <c r="G22" i="25"/>
  <c r="P72" i="31"/>
  <c r="N73" i="31"/>
  <c r="R23" i="25" l="1"/>
  <c r="O73" i="31"/>
  <c r="M74" i="31"/>
  <c r="L75" i="31"/>
  <c r="J76" i="31"/>
  <c r="K76" i="31" s="1"/>
  <c r="N23" i="25"/>
  <c r="Q23" i="25"/>
  <c r="O23" i="25"/>
  <c r="K23" i="25"/>
  <c r="M23" i="25"/>
  <c r="L23" i="25"/>
  <c r="P23" i="25"/>
  <c r="J23" i="25"/>
  <c r="H23" i="25"/>
  <c r="I23" i="25"/>
  <c r="C23" i="25"/>
  <c r="E23" i="25"/>
  <c r="D23" i="25"/>
  <c r="B24" i="25"/>
  <c r="N74" i="31"/>
  <c r="P73" i="31"/>
  <c r="R24" i="25" l="1"/>
  <c r="O74" i="31"/>
  <c r="M75" i="31"/>
  <c r="L76" i="31"/>
  <c r="J77" i="31"/>
  <c r="K77" i="31" s="1"/>
  <c r="N24" i="25"/>
  <c r="Q24" i="25"/>
  <c r="K24" i="25"/>
  <c r="P24" i="25"/>
  <c r="M24" i="25"/>
  <c r="L24" i="25"/>
  <c r="O24" i="25"/>
  <c r="J24" i="25"/>
  <c r="H24" i="25"/>
  <c r="I24" i="25"/>
  <c r="E24" i="25"/>
  <c r="C24" i="25"/>
  <c r="D24" i="25"/>
  <c r="B25" i="25"/>
  <c r="N75" i="31"/>
  <c r="P74" i="31"/>
  <c r="R25" i="25" l="1"/>
  <c r="O75" i="31"/>
  <c r="M76" i="31"/>
  <c r="L77" i="31"/>
  <c r="J78" i="31"/>
  <c r="K78" i="31" s="1"/>
  <c r="M25" i="25"/>
  <c r="O25" i="25"/>
  <c r="N25" i="25"/>
  <c r="L25" i="25"/>
  <c r="K25" i="25"/>
  <c r="Q25" i="25"/>
  <c r="P25" i="25"/>
  <c r="J25" i="25"/>
  <c r="I25" i="25"/>
  <c r="G25" i="25"/>
  <c r="H25" i="25"/>
  <c r="B26" i="25"/>
  <c r="E25" i="25"/>
  <c r="D25" i="25"/>
  <c r="N76" i="31"/>
  <c r="P75" i="31"/>
  <c r="R26" i="25" l="1"/>
  <c r="O76" i="31"/>
  <c r="M77" i="31"/>
  <c r="L78" i="31"/>
  <c r="J79" i="31"/>
  <c r="K79" i="31" s="1"/>
  <c r="K26" i="25"/>
  <c r="Q26" i="25"/>
  <c r="M26" i="25"/>
  <c r="L26" i="25"/>
  <c r="P26" i="25"/>
  <c r="N26" i="25"/>
  <c r="O26" i="25"/>
  <c r="J26" i="25"/>
  <c r="E26" i="25"/>
  <c r="I26" i="25"/>
  <c r="H26" i="25"/>
  <c r="D26" i="25"/>
  <c r="B27" i="25"/>
  <c r="N77" i="31"/>
  <c r="P76" i="31"/>
  <c r="R27" i="25" l="1"/>
  <c r="O77" i="31"/>
  <c r="M78" i="31"/>
  <c r="L79" i="31"/>
  <c r="J80" i="31"/>
  <c r="K80" i="31" s="1"/>
  <c r="Q27" i="25"/>
  <c r="K27" i="25"/>
  <c r="N27" i="25"/>
  <c r="M27" i="25"/>
  <c r="O27" i="25"/>
  <c r="P27" i="25"/>
  <c r="L27" i="25"/>
  <c r="J27" i="25"/>
  <c r="H27" i="25"/>
  <c r="D27" i="25"/>
  <c r="E27" i="25"/>
  <c r="I27" i="25"/>
  <c r="B28" i="25"/>
  <c r="P77" i="31"/>
  <c r="N78" i="31"/>
  <c r="R28" i="25" l="1"/>
  <c r="O78" i="31"/>
  <c r="M79" i="31"/>
  <c r="L80" i="31"/>
  <c r="J81" i="31"/>
  <c r="K81" i="31" s="1"/>
  <c r="O28" i="25"/>
  <c r="P28" i="25"/>
  <c r="K28" i="25"/>
  <c r="N28" i="25"/>
  <c r="L28" i="25"/>
  <c r="Q28" i="25"/>
  <c r="M28" i="25"/>
  <c r="J28" i="25"/>
  <c r="H28" i="25"/>
  <c r="D28" i="25"/>
  <c r="E28" i="25"/>
  <c r="B29" i="25"/>
  <c r="I28" i="25"/>
  <c r="N79" i="31"/>
  <c r="P78" i="31"/>
  <c r="R29" i="25" l="1"/>
  <c r="O79" i="31"/>
  <c r="M80" i="31"/>
  <c r="L81" i="31"/>
  <c r="J82" i="31"/>
  <c r="K82" i="31" s="1"/>
  <c r="P29" i="25"/>
  <c r="L29" i="25"/>
  <c r="O29" i="25"/>
  <c r="M29" i="25"/>
  <c r="K29" i="25"/>
  <c r="N29" i="25"/>
  <c r="Q29" i="25"/>
  <c r="J29" i="25"/>
  <c r="C29" i="25"/>
  <c r="B30" i="25"/>
  <c r="E29" i="25"/>
  <c r="I29" i="25"/>
  <c r="D29" i="25"/>
  <c r="H29" i="25"/>
  <c r="P79" i="31"/>
  <c r="N80" i="31"/>
  <c r="R30" i="25" l="1"/>
  <c r="O80" i="31"/>
  <c r="M81" i="31"/>
  <c r="L82" i="31"/>
  <c r="J83" i="31"/>
  <c r="K83" i="31" s="1"/>
  <c r="N30" i="25"/>
  <c r="P30" i="25"/>
  <c r="M30" i="25"/>
  <c r="L30" i="25"/>
  <c r="Q30" i="25"/>
  <c r="O30" i="25"/>
  <c r="K30" i="25"/>
  <c r="J30" i="25"/>
  <c r="B31" i="25"/>
  <c r="C30" i="25"/>
  <c r="H30" i="25"/>
  <c r="I30" i="25"/>
  <c r="E30" i="25"/>
  <c r="D30" i="25"/>
  <c r="P80" i="31"/>
  <c r="N81" i="31"/>
  <c r="R31" i="25" l="1"/>
  <c r="O81" i="31"/>
  <c r="M82" i="31"/>
  <c r="L83" i="31"/>
  <c r="J84" i="31"/>
  <c r="K84" i="31" s="1"/>
  <c r="M31" i="25"/>
  <c r="L31" i="25"/>
  <c r="N31" i="25"/>
  <c r="K31" i="25"/>
  <c r="Q31" i="25"/>
  <c r="P31" i="25"/>
  <c r="O31" i="25"/>
  <c r="J31" i="25"/>
  <c r="D31" i="25"/>
  <c r="I31" i="25"/>
  <c r="E31" i="25"/>
  <c r="C31" i="25"/>
  <c r="B32" i="25"/>
  <c r="H31" i="25"/>
  <c r="N82" i="31"/>
  <c r="P81" i="31"/>
  <c r="R32" i="25" l="1"/>
  <c r="O82" i="31"/>
  <c r="M83" i="31"/>
  <c r="L84" i="31"/>
  <c r="J85" i="31"/>
  <c r="K85" i="31" s="1"/>
  <c r="N32" i="25"/>
  <c r="J32" i="25"/>
  <c r="L32" i="25"/>
  <c r="P32" i="25"/>
  <c r="M32" i="25"/>
  <c r="K32" i="25"/>
  <c r="O32" i="25"/>
  <c r="Q32" i="25"/>
  <c r="D32" i="25"/>
  <c r="I32" i="25"/>
  <c r="B33" i="25"/>
  <c r="H32" i="25"/>
  <c r="C32" i="25"/>
  <c r="E32" i="25"/>
  <c r="P82" i="31"/>
  <c r="N83" i="31"/>
  <c r="R33" i="25" l="1"/>
  <c r="O83" i="31"/>
  <c r="M84" i="31"/>
  <c r="L85" i="31"/>
  <c r="J86" i="31"/>
  <c r="K86" i="31" s="1"/>
  <c r="L33" i="25"/>
  <c r="P33" i="25"/>
  <c r="O33" i="25"/>
  <c r="M33" i="25"/>
  <c r="K33" i="25"/>
  <c r="Q33" i="25"/>
  <c r="N33" i="25"/>
  <c r="J33" i="25"/>
  <c r="E33" i="25"/>
  <c r="H33" i="25"/>
  <c r="B34" i="25"/>
  <c r="C33" i="25"/>
  <c r="D33" i="25"/>
  <c r="I33" i="25"/>
  <c r="C25" i="25"/>
  <c r="N84" i="31"/>
  <c r="P83" i="31"/>
  <c r="R34" i="25" l="1"/>
  <c r="O84" i="31"/>
  <c r="M85" i="31"/>
  <c r="L86" i="31"/>
  <c r="J87" i="31"/>
  <c r="K87" i="31" s="1"/>
  <c r="J34" i="25"/>
  <c r="N34" i="25"/>
  <c r="L34" i="25"/>
  <c r="M34" i="25"/>
  <c r="Q34" i="25"/>
  <c r="O34" i="25"/>
  <c r="K34" i="25"/>
  <c r="P34" i="25"/>
  <c r="E34" i="25"/>
  <c r="B35" i="25"/>
  <c r="I34" i="25"/>
  <c r="D34" i="25"/>
  <c r="H34" i="25"/>
  <c r="C34" i="25"/>
  <c r="C26" i="25"/>
  <c r="P84" i="31"/>
  <c r="N85" i="31"/>
  <c r="R35" i="25" l="1"/>
  <c r="O85" i="31"/>
  <c r="M86" i="31"/>
  <c r="L87" i="31"/>
  <c r="J88" i="31"/>
  <c r="K88" i="31" s="1"/>
  <c r="P35" i="25"/>
  <c r="M35" i="25"/>
  <c r="L35" i="25"/>
  <c r="J35" i="25"/>
  <c r="N35" i="25"/>
  <c r="Q35" i="25"/>
  <c r="O35" i="25"/>
  <c r="K35" i="25"/>
  <c r="C35" i="25"/>
  <c r="I35" i="25"/>
  <c r="E35" i="25"/>
  <c r="B36" i="25"/>
  <c r="H35" i="25"/>
  <c r="D35" i="25"/>
  <c r="C28" i="25"/>
  <c r="C27" i="25"/>
  <c r="N86" i="31"/>
  <c r="P85" i="31"/>
  <c r="R36" i="25" l="1"/>
  <c r="O86" i="31"/>
  <c r="M87" i="31"/>
  <c r="L88" i="31"/>
  <c r="J89" i="31"/>
  <c r="K89" i="31" s="1"/>
  <c r="O36" i="25"/>
  <c r="K36" i="25"/>
  <c r="N36" i="25"/>
  <c r="L36" i="25"/>
  <c r="P36" i="25"/>
  <c r="Q36" i="25"/>
  <c r="M36" i="25"/>
  <c r="J36" i="25"/>
  <c r="H36" i="25"/>
  <c r="D36" i="25"/>
  <c r="I36" i="25"/>
  <c r="C36" i="25"/>
  <c r="E36" i="25"/>
  <c r="B37" i="25"/>
  <c r="P86" i="31"/>
  <c r="N87" i="31"/>
  <c r="R37" i="25" l="1"/>
  <c r="O87" i="31"/>
  <c r="M88" i="31"/>
  <c r="L89" i="31"/>
  <c r="J90" i="31"/>
  <c r="K90" i="31" s="1"/>
  <c r="Q37" i="25"/>
  <c r="N37" i="25"/>
  <c r="O37" i="25"/>
  <c r="L37" i="25"/>
  <c r="J37" i="25"/>
  <c r="M37" i="25"/>
  <c r="K37" i="25"/>
  <c r="P37" i="25"/>
  <c r="E37" i="25"/>
  <c r="I37" i="25"/>
  <c r="C37" i="25"/>
  <c r="H37" i="25"/>
  <c r="B38" i="25"/>
  <c r="D37" i="25"/>
  <c r="P87" i="31"/>
  <c r="N88" i="31"/>
  <c r="R38" i="25" l="1"/>
  <c r="O88" i="31"/>
  <c r="M89" i="31"/>
  <c r="L90" i="31"/>
  <c r="J91" i="31"/>
  <c r="K91" i="31" s="1"/>
  <c r="N38" i="25"/>
  <c r="J38" i="25"/>
  <c r="Q38" i="25"/>
  <c r="K38" i="25"/>
  <c r="P38" i="25"/>
  <c r="O38" i="25"/>
  <c r="M38" i="25"/>
  <c r="L38" i="25"/>
  <c r="E38" i="25"/>
  <c r="B39" i="25"/>
  <c r="C38" i="25"/>
  <c r="D38" i="25"/>
  <c r="I38" i="25"/>
  <c r="H38" i="25"/>
  <c r="N89" i="31"/>
  <c r="P88" i="31"/>
  <c r="R39" i="25" l="1"/>
  <c r="O89" i="31"/>
  <c r="M90" i="31"/>
  <c r="L91" i="31"/>
  <c r="J92" i="31"/>
  <c r="K92" i="31" s="1"/>
  <c r="N39" i="25"/>
  <c r="P39" i="25"/>
  <c r="Q39" i="25"/>
  <c r="O39" i="25"/>
  <c r="L39" i="25"/>
  <c r="M39" i="25"/>
  <c r="K39" i="25"/>
  <c r="J39" i="25"/>
  <c r="I39" i="25"/>
  <c r="B40" i="25"/>
  <c r="E39" i="25"/>
  <c r="H39" i="25"/>
  <c r="C39" i="25"/>
  <c r="D39" i="25"/>
  <c r="N90" i="31"/>
  <c r="P89" i="31"/>
  <c r="R40" i="25" l="1"/>
  <c r="O90" i="31"/>
  <c r="M91" i="31"/>
  <c r="L92" i="31"/>
  <c r="J93" i="31"/>
  <c r="K93" i="31" s="1"/>
  <c r="Q40" i="25"/>
  <c r="K40" i="25"/>
  <c r="L40" i="25"/>
  <c r="P40" i="25"/>
  <c r="O40" i="25"/>
  <c r="M40" i="25"/>
  <c r="J40" i="25"/>
  <c r="N40" i="25"/>
  <c r="B41" i="25"/>
  <c r="E40" i="25"/>
  <c r="D40" i="25"/>
  <c r="C40" i="25"/>
  <c r="H40" i="25"/>
  <c r="I40" i="25"/>
  <c r="P90" i="31"/>
  <c r="N91" i="31"/>
  <c r="R41" i="25" l="1"/>
  <c r="O91" i="31"/>
  <c r="M92" i="31"/>
  <c r="L93" i="31"/>
  <c r="J94" i="31"/>
  <c r="K94" i="31" s="1"/>
  <c r="N41" i="25"/>
  <c r="P41" i="25"/>
  <c r="J41" i="25"/>
  <c r="L41" i="25"/>
  <c r="Q41" i="25"/>
  <c r="M41" i="25"/>
  <c r="K41" i="25"/>
  <c r="O41" i="25"/>
  <c r="D41" i="25"/>
  <c r="I41" i="25"/>
  <c r="H41" i="25"/>
  <c r="C41" i="25"/>
  <c r="E41" i="25"/>
  <c r="B42" i="25"/>
  <c r="N92" i="31"/>
  <c r="P91" i="31"/>
  <c r="R42" i="25" l="1"/>
  <c r="O92" i="31"/>
  <c r="M93" i="31"/>
  <c r="L94" i="31"/>
  <c r="J95" i="31"/>
  <c r="K95" i="31" s="1"/>
  <c r="L42" i="25"/>
  <c r="K42" i="25"/>
  <c r="Q42" i="25"/>
  <c r="M42" i="25"/>
  <c r="J42" i="25"/>
  <c r="O42" i="25"/>
  <c r="N42" i="25"/>
  <c r="P42" i="25"/>
  <c r="D42" i="25"/>
  <c r="C42" i="25"/>
  <c r="I42" i="25"/>
  <c r="B43" i="25"/>
  <c r="H42" i="25"/>
  <c r="E42" i="25"/>
  <c r="N93" i="31"/>
  <c r="P92" i="31"/>
  <c r="R43" i="25" l="1"/>
  <c r="O93" i="31"/>
  <c r="M94" i="31"/>
  <c r="L95" i="31"/>
  <c r="J96" i="31"/>
  <c r="K96" i="31" s="1"/>
  <c r="J43" i="25"/>
  <c r="N43" i="25"/>
  <c r="P43" i="25"/>
  <c r="O43" i="25"/>
  <c r="K43" i="25"/>
  <c r="M43" i="25"/>
  <c r="Q43" i="25"/>
  <c r="L43" i="25"/>
  <c r="E43" i="25"/>
  <c r="C43" i="25"/>
  <c r="I43" i="25"/>
  <c r="B44" i="25"/>
  <c r="D43" i="25"/>
  <c r="H43" i="25"/>
  <c r="P93" i="31"/>
  <c r="N94" i="31"/>
  <c r="R44" i="25" l="1"/>
  <c r="O94" i="31"/>
  <c r="M95" i="31"/>
  <c r="L96" i="31"/>
  <c r="J97" i="31"/>
  <c r="K97" i="31" s="1"/>
  <c r="O44" i="25"/>
  <c r="P44" i="25"/>
  <c r="L44" i="25"/>
  <c r="N44" i="25"/>
  <c r="J44" i="25"/>
  <c r="M44" i="25"/>
  <c r="K44" i="25"/>
  <c r="Q44" i="25"/>
  <c r="B45" i="25"/>
  <c r="I44" i="25"/>
  <c r="H44" i="25"/>
  <c r="C44" i="25"/>
  <c r="E44" i="25"/>
  <c r="D44" i="25"/>
  <c r="N95" i="31"/>
  <c r="P94" i="31"/>
  <c r="R45" i="25" l="1"/>
  <c r="O95" i="31"/>
  <c r="M96" i="31"/>
  <c r="L97" i="31"/>
  <c r="J98" i="31"/>
  <c r="K98" i="31" s="1"/>
  <c r="K45" i="25"/>
  <c r="N45" i="25"/>
  <c r="M45" i="25"/>
  <c r="P45" i="25"/>
  <c r="L45" i="25"/>
  <c r="O45" i="25"/>
  <c r="J45" i="25"/>
  <c r="Q45" i="25"/>
  <c r="I45" i="25"/>
  <c r="C45" i="25"/>
  <c r="D45" i="25"/>
  <c r="B46" i="25"/>
  <c r="E45" i="25"/>
  <c r="H45" i="25"/>
  <c r="P95" i="31"/>
  <c r="N96" i="31"/>
  <c r="R46" i="25" l="1"/>
  <c r="O96" i="31"/>
  <c r="M97" i="31"/>
  <c r="L98" i="31"/>
  <c r="J99" i="31"/>
  <c r="K99" i="31" s="1"/>
  <c r="Q46" i="25"/>
  <c r="N46" i="25"/>
  <c r="L46" i="25"/>
  <c r="M46" i="25"/>
  <c r="O46" i="25"/>
  <c r="P46" i="25"/>
  <c r="K46" i="25"/>
  <c r="J46" i="25"/>
  <c r="B47" i="25"/>
  <c r="C46" i="25"/>
  <c r="D46" i="25"/>
  <c r="E46" i="25"/>
  <c r="I46" i="25"/>
  <c r="H46" i="25"/>
  <c r="P96" i="31"/>
  <c r="N97" i="31"/>
  <c r="R47" i="25" l="1"/>
  <c r="O97" i="31"/>
  <c r="M98" i="31"/>
  <c r="L99" i="31"/>
  <c r="J100" i="31"/>
  <c r="K100" i="31" s="1"/>
  <c r="N47" i="25"/>
  <c r="J47" i="25"/>
  <c r="K47" i="25"/>
  <c r="Q47" i="25"/>
  <c r="O47" i="25"/>
  <c r="M47" i="25"/>
  <c r="L47" i="25"/>
  <c r="P47" i="25"/>
  <c r="B48" i="25"/>
  <c r="D47" i="25"/>
  <c r="C47" i="25"/>
  <c r="E47" i="25"/>
  <c r="I47" i="25"/>
  <c r="H47" i="25"/>
  <c r="N98" i="31"/>
  <c r="P97" i="31"/>
  <c r="R48" i="25" l="1"/>
  <c r="O98" i="31"/>
  <c r="M99" i="31"/>
  <c r="L100" i="31"/>
  <c r="J101" i="31"/>
  <c r="K101" i="31" s="1"/>
  <c r="K48" i="25"/>
  <c r="M48" i="25"/>
  <c r="N48" i="25"/>
  <c r="J48" i="25"/>
  <c r="Q48" i="25"/>
  <c r="L48" i="25"/>
  <c r="P48" i="25"/>
  <c r="O48" i="25"/>
  <c r="B49" i="25"/>
  <c r="H48" i="25"/>
  <c r="C48" i="25"/>
  <c r="E48" i="25"/>
  <c r="D48" i="25"/>
  <c r="I48" i="25"/>
  <c r="P98" i="31"/>
  <c r="N99" i="31"/>
  <c r="R49" i="25" l="1"/>
  <c r="O99" i="31"/>
  <c r="M100" i="31"/>
  <c r="L101" i="31"/>
  <c r="J102" i="31"/>
  <c r="K102" i="31" s="1"/>
  <c r="P49" i="25"/>
  <c r="N49" i="25"/>
  <c r="Q49" i="25"/>
  <c r="O49" i="25"/>
  <c r="J49" i="25"/>
  <c r="L49" i="25"/>
  <c r="M49" i="25"/>
  <c r="K49" i="25"/>
  <c r="D49" i="25"/>
  <c r="C49" i="25"/>
  <c r="H49" i="25"/>
  <c r="B50" i="25"/>
  <c r="I49" i="25"/>
  <c r="E49" i="25"/>
  <c r="N100" i="31"/>
  <c r="P99" i="31"/>
  <c r="K50" i="25" l="1"/>
  <c r="R50" i="25"/>
  <c r="M50" i="25"/>
  <c r="P50" i="25"/>
  <c r="N50" i="25"/>
  <c r="O50" i="25"/>
  <c r="Q50" i="25"/>
  <c r="J50" i="25"/>
  <c r="L50" i="25"/>
  <c r="O100" i="31"/>
  <c r="M101" i="31"/>
  <c r="L102" i="31"/>
  <c r="J103" i="31"/>
  <c r="K103" i="31" s="1"/>
  <c r="E50" i="25"/>
  <c r="I50" i="25"/>
  <c r="D50" i="25"/>
  <c r="H50" i="25"/>
  <c r="C50" i="25"/>
  <c r="B51" i="25"/>
  <c r="P100" i="31"/>
  <c r="N101" i="31"/>
  <c r="L51" i="25" l="1"/>
  <c r="O51" i="25"/>
  <c r="M51" i="25"/>
  <c r="Q51" i="25"/>
  <c r="J51" i="25"/>
  <c r="P51" i="25"/>
  <c r="K51" i="25"/>
  <c r="N51" i="25"/>
  <c r="R51" i="25"/>
  <c r="O101" i="31"/>
  <c r="M102" i="31"/>
  <c r="L103" i="31"/>
  <c r="J104" i="31"/>
  <c r="K104" i="31" s="1"/>
  <c r="D51" i="25"/>
  <c r="I51" i="25"/>
  <c r="B52" i="25"/>
  <c r="E51" i="25"/>
  <c r="C51" i="25"/>
  <c r="H51" i="25"/>
  <c r="P101" i="31"/>
  <c r="N102" i="31"/>
  <c r="K52" i="25" l="1"/>
  <c r="L52" i="25"/>
  <c r="J52" i="25"/>
  <c r="Q52" i="25"/>
  <c r="M52" i="25"/>
  <c r="P52" i="25"/>
  <c r="O52" i="25"/>
  <c r="N52" i="25"/>
  <c r="R52" i="25"/>
  <c r="O102" i="31"/>
  <c r="M103" i="31"/>
  <c r="L104" i="31"/>
  <c r="J105" i="31"/>
  <c r="K105" i="31" s="1"/>
  <c r="I52" i="25"/>
  <c r="H52" i="25"/>
  <c r="E52" i="25"/>
  <c r="C52" i="25"/>
  <c r="D52" i="25"/>
  <c r="B53" i="25"/>
  <c r="P102" i="31"/>
  <c r="N103" i="31"/>
  <c r="O53" i="25" l="1"/>
  <c r="P53" i="25"/>
  <c r="Q53" i="25"/>
  <c r="J53" i="25"/>
  <c r="L53" i="25"/>
  <c r="K53" i="25"/>
  <c r="N53" i="25"/>
  <c r="M53" i="25"/>
  <c r="R53" i="25"/>
  <c r="O103" i="31"/>
  <c r="M104" i="31"/>
  <c r="L105" i="31"/>
  <c r="J106" i="31"/>
  <c r="K106" i="31" s="1"/>
  <c r="H53" i="25"/>
  <c r="I53" i="25"/>
  <c r="B54" i="25"/>
  <c r="C53" i="25"/>
  <c r="D53" i="25"/>
  <c r="E53" i="25"/>
  <c r="P103" i="31"/>
  <c r="N104" i="31"/>
  <c r="P54" i="25" l="1"/>
  <c r="N54" i="25"/>
  <c r="K54" i="25"/>
  <c r="M54" i="25"/>
  <c r="O54" i="25"/>
  <c r="J54" i="25"/>
  <c r="Q54" i="25"/>
  <c r="L54" i="25"/>
  <c r="R54" i="25"/>
  <c r="O104" i="31"/>
  <c r="M105" i="31"/>
  <c r="L106" i="31"/>
  <c r="J107" i="31"/>
  <c r="K107" i="31" s="1"/>
  <c r="I54" i="25"/>
  <c r="H54" i="25"/>
  <c r="C54" i="25"/>
  <c r="G54" i="25"/>
  <c r="E54" i="25"/>
  <c r="D54" i="25"/>
  <c r="B55" i="25"/>
  <c r="P104" i="31"/>
  <c r="N105" i="31"/>
  <c r="N55" i="25" l="1"/>
  <c r="J55" i="25"/>
  <c r="P55" i="25"/>
  <c r="L55" i="25"/>
  <c r="Q55" i="25"/>
  <c r="O55" i="25"/>
  <c r="M55" i="25"/>
  <c r="K55" i="25"/>
  <c r="R55" i="25"/>
  <c r="O105" i="31"/>
  <c r="M106" i="31"/>
  <c r="L107" i="31"/>
  <c r="J108" i="31"/>
  <c r="K108" i="31" s="1"/>
  <c r="H55" i="25"/>
  <c r="I55" i="25"/>
  <c r="C55" i="25"/>
  <c r="E55" i="25"/>
  <c r="D55" i="25"/>
  <c r="B56" i="25"/>
  <c r="P105" i="31"/>
  <c r="N106" i="31"/>
  <c r="Q56" i="25" l="1"/>
  <c r="P56" i="25"/>
  <c r="O56" i="25"/>
  <c r="N56" i="25"/>
  <c r="M56" i="25"/>
  <c r="K56" i="25"/>
  <c r="L56" i="25"/>
  <c r="J56" i="25"/>
  <c r="R56" i="25"/>
  <c r="O106" i="31"/>
  <c r="M107" i="31"/>
  <c r="L108" i="31"/>
  <c r="J109" i="31"/>
  <c r="K109" i="31" s="1"/>
  <c r="I56" i="25"/>
  <c r="H56" i="25"/>
  <c r="C56" i="25"/>
  <c r="D56" i="25"/>
  <c r="E56" i="25"/>
  <c r="B57" i="25"/>
  <c r="P106" i="31"/>
  <c r="N107" i="31"/>
  <c r="K57" i="25" l="1"/>
  <c r="O57" i="25"/>
  <c r="J57" i="25"/>
  <c r="Q57" i="25"/>
  <c r="P57" i="25"/>
  <c r="M57" i="25"/>
  <c r="L57" i="25"/>
  <c r="N57" i="25"/>
  <c r="R57" i="25"/>
  <c r="O107" i="31"/>
  <c r="M108" i="31"/>
  <c r="L109" i="31"/>
  <c r="J110" i="31"/>
  <c r="K110" i="31" s="1"/>
  <c r="I57" i="25"/>
  <c r="H57" i="25"/>
  <c r="C57" i="25"/>
  <c r="E57" i="25"/>
  <c r="D57" i="25"/>
  <c r="B58" i="25"/>
  <c r="P107" i="31"/>
  <c r="N108" i="31"/>
  <c r="J58" i="25" l="1"/>
  <c r="K58" i="25"/>
  <c r="P58" i="25"/>
  <c r="O58" i="25"/>
  <c r="N58" i="25"/>
  <c r="L58" i="25"/>
  <c r="M58" i="25"/>
  <c r="Q58" i="25"/>
  <c r="R58" i="25"/>
  <c r="O108" i="31"/>
  <c r="M109" i="31"/>
  <c r="L110" i="31"/>
  <c r="J111" i="31"/>
  <c r="K111" i="31" s="1"/>
  <c r="H58" i="25"/>
  <c r="I58" i="25"/>
  <c r="B59" i="25"/>
  <c r="D58" i="25"/>
  <c r="E58" i="25"/>
  <c r="C58" i="25"/>
  <c r="P108" i="31"/>
  <c r="N109" i="31"/>
  <c r="N59" i="25" l="1"/>
  <c r="K59" i="25"/>
  <c r="L59" i="25"/>
  <c r="J59" i="25"/>
  <c r="Q59" i="25"/>
  <c r="O59" i="25"/>
  <c r="M59" i="25"/>
  <c r="P59" i="25"/>
  <c r="R59" i="25"/>
  <c r="O109" i="31"/>
  <c r="M110" i="31"/>
  <c r="L111" i="31"/>
  <c r="J112" i="31"/>
  <c r="K112" i="31" s="1"/>
  <c r="I59" i="25"/>
  <c r="H59" i="25"/>
  <c r="B60" i="25"/>
  <c r="E59" i="25"/>
  <c r="D59" i="25"/>
  <c r="C59" i="25"/>
  <c r="P109" i="31"/>
  <c r="N110" i="31"/>
  <c r="N60" i="25" l="1"/>
  <c r="M60" i="25"/>
  <c r="L60" i="25"/>
  <c r="Q60" i="25"/>
  <c r="P60" i="25"/>
  <c r="J60" i="25"/>
  <c r="K60" i="25"/>
  <c r="O60" i="25"/>
  <c r="R60" i="25"/>
  <c r="O110" i="31"/>
  <c r="M111" i="31"/>
  <c r="L112" i="31"/>
  <c r="J113" i="31"/>
  <c r="K113" i="31" s="1"/>
  <c r="H60" i="25"/>
  <c r="I60" i="25"/>
  <c r="E60" i="25"/>
  <c r="D60" i="25"/>
  <c r="C60" i="25"/>
  <c r="B61" i="25"/>
  <c r="N111" i="31"/>
  <c r="P110" i="31"/>
  <c r="M61" i="25" l="1"/>
  <c r="O61" i="25"/>
  <c r="K61" i="25"/>
  <c r="P61" i="25"/>
  <c r="L61" i="25"/>
  <c r="J61" i="25"/>
  <c r="N61" i="25"/>
  <c r="Q61" i="25"/>
  <c r="R61" i="25"/>
  <c r="O111" i="31"/>
  <c r="M112" i="31"/>
  <c r="L113" i="31"/>
  <c r="J114" i="31"/>
  <c r="K114" i="31" s="1"/>
  <c r="I61" i="25"/>
  <c r="H61" i="25"/>
  <c r="F61" i="25"/>
  <c r="D61" i="25"/>
  <c r="B62" i="25"/>
  <c r="E61" i="25"/>
  <c r="C61" i="25"/>
  <c r="P111" i="31"/>
  <c r="N112" i="31"/>
  <c r="M62" i="25" l="1"/>
  <c r="K62" i="25"/>
  <c r="P62" i="25"/>
  <c r="N62" i="25"/>
  <c r="Q62" i="25"/>
  <c r="L62" i="25"/>
  <c r="J62" i="25"/>
  <c r="O62" i="25"/>
  <c r="R62" i="25"/>
  <c r="O112" i="31"/>
  <c r="M113" i="31"/>
  <c r="L114" i="31"/>
  <c r="J115" i="31"/>
  <c r="K115" i="31" s="1"/>
  <c r="I62" i="25"/>
  <c r="H62" i="25"/>
  <c r="G62" i="25"/>
  <c r="E62" i="25"/>
  <c r="F62" i="25"/>
  <c r="C62" i="25"/>
  <c r="D62" i="25"/>
  <c r="B63" i="25"/>
  <c r="P112" i="31"/>
  <c r="N113" i="31"/>
  <c r="M63" i="25" l="1"/>
  <c r="L63" i="25"/>
  <c r="K63" i="25"/>
  <c r="J63" i="25"/>
  <c r="P63" i="25"/>
  <c r="N63" i="25"/>
  <c r="Q63" i="25"/>
  <c r="O63" i="25"/>
  <c r="R63" i="25"/>
  <c r="O113" i="31"/>
  <c r="M114" i="31"/>
  <c r="L115" i="31"/>
  <c r="J116" i="31"/>
  <c r="K116" i="31" s="1"/>
  <c r="I63" i="25"/>
  <c r="H63" i="25"/>
  <c r="F63" i="25"/>
  <c r="D63" i="25"/>
  <c r="E63" i="25"/>
  <c r="B64" i="25"/>
  <c r="C63" i="25"/>
  <c r="G63" i="25"/>
  <c r="N114" i="31"/>
  <c r="P113" i="31"/>
  <c r="L64" i="25" l="1"/>
  <c r="P64" i="25"/>
  <c r="K64" i="25"/>
  <c r="J64" i="25"/>
  <c r="Q64" i="25"/>
  <c r="N64" i="25"/>
  <c r="M64" i="25"/>
  <c r="O64" i="25"/>
  <c r="R64" i="25"/>
  <c r="O114" i="31"/>
  <c r="M115" i="31"/>
  <c r="L116" i="31"/>
  <c r="J117" i="31"/>
  <c r="K117" i="31" s="1"/>
  <c r="I64" i="25"/>
  <c r="H64" i="25"/>
  <c r="C64" i="25"/>
  <c r="D64" i="25"/>
  <c r="B65" i="25"/>
  <c r="G64" i="25"/>
  <c r="F64" i="25"/>
  <c r="E64" i="25"/>
  <c r="N115" i="31"/>
  <c r="P114" i="31"/>
  <c r="M65" i="25" l="1"/>
  <c r="J65" i="25"/>
  <c r="L65" i="25"/>
  <c r="N65" i="25"/>
  <c r="K65" i="25"/>
  <c r="Q65" i="25"/>
  <c r="P65" i="25"/>
  <c r="O65" i="25"/>
  <c r="R65" i="25"/>
  <c r="O115" i="31"/>
  <c r="M116" i="31"/>
  <c r="L117" i="31"/>
  <c r="J118" i="31"/>
  <c r="K118" i="31" s="1"/>
  <c r="H65" i="25"/>
  <c r="I65" i="25"/>
  <c r="D65" i="25"/>
  <c r="E65" i="25"/>
  <c r="G65" i="25"/>
  <c r="B66" i="25"/>
  <c r="C65" i="25"/>
  <c r="F65" i="25"/>
  <c r="N116" i="31"/>
  <c r="P115" i="31"/>
  <c r="O66" i="25" l="1"/>
  <c r="P66" i="25"/>
  <c r="N66" i="25"/>
  <c r="K66" i="25"/>
  <c r="L66" i="25"/>
  <c r="Q66" i="25"/>
  <c r="M66" i="25"/>
  <c r="J66" i="25"/>
  <c r="R66" i="25"/>
  <c r="O116" i="31"/>
  <c r="M117" i="31"/>
  <c r="L118" i="31"/>
  <c r="J119" i="31"/>
  <c r="K119" i="31" s="1"/>
  <c r="I66" i="25"/>
  <c r="H66" i="25"/>
  <c r="E66" i="25"/>
  <c r="C66" i="25"/>
  <c r="D66" i="25"/>
  <c r="B67" i="25"/>
  <c r="G66" i="25"/>
  <c r="F66" i="25"/>
  <c r="N117" i="31"/>
  <c r="P116" i="31"/>
  <c r="L67" i="25" l="1"/>
  <c r="J67" i="25"/>
  <c r="P67" i="25"/>
  <c r="K67" i="25"/>
  <c r="Q67" i="25"/>
  <c r="N67" i="25"/>
  <c r="O67" i="25"/>
  <c r="M67" i="25"/>
  <c r="R67" i="25"/>
  <c r="O117" i="31"/>
  <c r="M118" i="31"/>
  <c r="L119" i="31"/>
  <c r="J120" i="31"/>
  <c r="K120" i="31" s="1"/>
  <c r="I67" i="25"/>
  <c r="H67" i="25"/>
  <c r="D67" i="25"/>
  <c r="F67" i="25"/>
  <c r="C67" i="25"/>
  <c r="B68" i="25"/>
  <c r="E67" i="25"/>
  <c r="G67" i="25"/>
  <c r="P117" i="31"/>
  <c r="N118" i="31"/>
  <c r="O68" i="25" l="1"/>
  <c r="N68" i="25"/>
  <c r="K68" i="25"/>
  <c r="Q68" i="25"/>
  <c r="M68" i="25"/>
  <c r="J68" i="25"/>
  <c r="L68" i="25"/>
  <c r="P68" i="25"/>
  <c r="R68" i="25"/>
  <c r="O118" i="31"/>
  <c r="M119" i="31"/>
  <c r="L120" i="31"/>
  <c r="J121" i="31"/>
  <c r="K121" i="31" s="1"/>
  <c r="I68" i="25"/>
  <c r="H68" i="25"/>
  <c r="E68" i="25"/>
  <c r="G68" i="25"/>
  <c r="D68" i="25"/>
  <c r="C68" i="25"/>
  <c r="B69" i="25"/>
  <c r="F68" i="25"/>
  <c r="P118" i="31"/>
  <c r="N119" i="31"/>
  <c r="J69" i="25" l="1"/>
  <c r="O69" i="25"/>
  <c r="N69" i="25"/>
  <c r="Q69" i="25"/>
  <c r="P69" i="25"/>
  <c r="M69" i="25"/>
  <c r="K69" i="25"/>
  <c r="L69" i="25"/>
  <c r="R69" i="25"/>
  <c r="O119" i="31"/>
  <c r="M120" i="31"/>
  <c r="L121" i="31"/>
  <c r="J122" i="31"/>
  <c r="K122" i="31" s="1"/>
  <c r="H69" i="25"/>
  <c r="I69" i="25"/>
  <c r="G69" i="25"/>
  <c r="B70" i="25"/>
  <c r="D69" i="25"/>
  <c r="F69" i="25"/>
  <c r="C69" i="25"/>
  <c r="E69" i="25"/>
  <c r="P119" i="31"/>
  <c r="N120" i="31"/>
  <c r="N70" i="25" l="1"/>
  <c r="M70" i="25"/>
  <c r="P70" i="25"/>
  <c r="Q70" i="25"/>
  <c r="J70" i="25"/>
  <c r="L70" i="25"/>
  <c r="K70" i="25"/>
  <c r="O70" i="25"/>
  <c r="R70" i="25"/>
  <c r="O120" i="31"/>
  <c r="M121" i="31"/>
  <c r="L122" i="31"/>
  <c r="J123" i="31"/>
  <c r="K123" i="31" s="1"/>
  <c r="I70" i="25"/>
  <c r="H70" i="25"/>
  <c r="G70" i="25"/>
  <c r="D70" i="25"/>
  <c r="B71" i="25"/>
  <c r="F70" i="25"/>
  <c r="E70" i="25"/>
  <c r="C70" i="25"/>
  <c r="P120" i="31"/>
  <c r="N121" i="31"/>
  <c r="P71" i="25" l="1"/>
  <c r="J71" i="25"/>
  <c r="N71" i="25"/>
  <c r="L71" i="25"/>
  <c r="O71" i="25"/>
  <c r="K71" i="25"/>
  <c r="M71" i="25"/>
  <c r="Q71" i="25"/>
  <c r="R71" i="25"/>
  <c r="O121" i="31"/>
  <c r="M122" i="31"/>
  <c r="L123" i="31"/>
  <c r="J124" i="31"/>
  <c r="K124" i="31" s="1"/>
  <c r="H71" i="25"/>
  <c r="I71" i="25"/>
  <c r="C71" i="25"/>
  <c r="D71" i="25"/>
  <c r="B72" i="25"/>
  <c r="G71" i="25"/>
  <c r="E71" i="25"/>
  <c r="F71" i="25"/>
  <c r="P121" i="31"/>
  <c r="N122" i="31"/>
  <c r="N72" i="25" l="1"/>
  <c r="L72" i="25"/>
  <c r="K72" i="25"/>
  <c r="J72" i="25"/>
  <c r="Q72" i="25"/>
  <c r="P72" i="25"/>
  <c r="O72" i="25"/>
  <c r="M72" i="25"/>
  <c r="R72" i="25"/>
  <c r="O122" i="31"/>
  <c r="M123" i="31"/>
  <c r="L124" i="31"/>
  <c r="J125" i="31"/>
  <c r="K125" i="31" s="1"/>
  <c r="I72" i="25"/>
  <c r="H72" i="25"/>
  <c r="D72" i="25"/>
  <c r="C72" i="25"/>
  <c r="B73" i="25"/>
  <c r="E72" i="25"/>
  <c r="G72" i="25"/>
  <c r="F72" i="25"/>
  <c r="N123" i="31"/>
  <c r="P122" i="31"/>
  <c r="L73" i="25" l="1"/>
  <c r="K73" i="25"/>
  <c r="J73" i="25"/>
  <c r="Q73" i="25"/>
  <c r="P73" i="25"/>
  <c r="O73" i="25"/>
  <c r="N73" i="25"/>
  <c r="M73" i="25"/>
  <c r="R73" i="25"/>
  <c r="O123" i="31"/>
  <c r="M124" i="31"/>
  <c r="L125" i="31"/>
  <c r="J126" i="31"/>
  <c r="K126" i="31" s="1"/>
  <c r="H73" i="25"/>
  <c r="I73" i="25"/>
  <c r="D73" i="25"/>
  <c r="C73" i="25"/>
  <c r="E73" i="25"/>
  <c r="G73" i="25"/>
  <c r="B74" i="25"/>
  <c r="F73" i="25"/>
  <c r="P123" i="31"/>
  <c r="N124" i="31"/>
  <c r="N74" i="25" l="1"/>
  <c r="M74" i="25"/>
  <c r="Q74" i="25"/>
  <c r="L74" i="25"/>
  <c r="P74" i="25"/>
  <c r="O74" i="25"/>
  <c r="J74" i="25"/>
  <c r="K74" i="25"/>
  <c r="R74" i="25"/>
  <c r="O124" i="31"/>
  <c r="M125" i="31"/>
  <c r="L126" i="31"/>
  <c r="J127" i="31"/>
  <c r="K127" i="31" s="1"/>
  <c r="H74" i="25"/>
  <c r="I74" i="25"/>
  <c r="G74" i="25"/>
  <c r="F74" i="25"/>
  <c r="B75" i="25"/>
  <c r="D74" i="25"/>
  <c r="E74" i="25"/>
  <c r="C74" i="25"/>
  <c r="N125" i="31"/>
  <c r="P124" i="31"/>
  <c r="P75" i="25" l="1"/>
  <c r="N75" i="25"/>
  <c r="L75" i="25"/>
  <c r="J75" i="25"/>
  <c r="K75" i="25"/>
  <c r="Q75" i="25"/>
  <c r="O75" i="25"/>
  <c r="M75" i="25"/>
  <c r="R75" i="25"/>
  <c r="O125" i="31"/>
  <c r="M126" i="31"/>
  <c r="L127" i="31"/>
  <c r="J128" i="31"/>
  <c r="K128" i="31" s="1"/>
  <c r="I75" i="25"/>
  <c r="H75" i="25"/>
  <c r="B76" i="25"/>
  <c r="D75" i="25"/>
  <c r="F75" i="25"/>
  <c r="G75" i="25"/>
  <c r="C75" i="25"/>
  <c r="E75" i="25"/>
  <c r="N126" i="31"/>
  <c r="P125" i="31"/>
  <c r="O76" i="25" l="1"/>
  <c r="N76" i="25"/>
  <c r="M76" i="25"/>
  <c r="L76" i="25"/>
  <c r="J76" i="25"/>
  <c r="K76" i="25"/>
  <c r="Q76" i="25"/>
  <c r="P76" i="25"/>
  <c r="R76" i="25"/>
  <c r="O126" i="31"/>
  <c r="M127" i="31"/>
  <c r="L128" i="31"/>
  <c r="J129" i="31"/>
  <c r="K129" i="31" s="1"/>
  <c r="H76" i="25"/>
  <c r="I76" i="25"/>
  <c r="B77" i="25"/>
  <c r="D76" i="25"/>
  <c r="E76" i="25"/>
  <c r="G76" i="25"/>
  <c r="C76" i="25"/>
  <c r="F76" i="25"/>
  <c r="N127" i="31"/>
  <c r="P126" i="31"/>
  <c r="J77" i="25" l="1"/>
  <c r="K77" i="25"/>
  <c r="P77" i="25"/>
  <c r="Q77" i="25"/>
  <c r="L77" i="25"/>
  <c r="O77" i="25"/>
  <c r="M77" i="25"/>
  <c r="N77" i="25"/>
  <c r="R77" i="25"/>
  <c r="O127" i="31"/>
  <c r="M128" i="31"/>
  <c r="L129" i="31"/>
  <c r="J130" i="31"/>
  <c r="K130" i="31" s="1"/>
  <c r="H77" i="25"/>
  <c r="I77" i="25"/>
  <c r="G77" i="25"/>
  <c r="E77" i="25"/>
  <c r="F77" i="25"/>
  <c r="B78" i="25"/>
  <c r="C77" i="25"/>
  <c r="D77" i="25"/>
  <c r="P127" i="31"/>
  <c r="N128" i="31"/>
  <c r="N78" i="25" l="1"/>
  <c r="Q78" i="25"/>
  <c r="M78" i="25"/>
  <c r="K78" i="25"/>
  <c r="L78" i="25"/>
  <c r="J78" i="25"/>
  <c r="O78" i="25"/>
  <c r="P78" i="25"/>
  <c r="R78" i="25"/>
  <c r="O128" i="31"/>
  <c r="M129" i="31"/>
  <c r="L130" i="31"/>
  <c r="J131" i="31"/>
  <c r="K131" i="31" s="1"/>
  <c r="H78" i="25"/>
  <c r="I78" i="25"/>
  <c r="D78" i="25"/>
  <c r="B79" i="25"/>
  <c r="C78" i="25"/>
  <c r="F78" i="25"/>
  <c r="E78" i="25"/>
  <c r="G78" i="25"/>
  <c r="P128" i="31"/>
  <c r="N129" i="31"/>
  <c r="M79" i="25" l="1"/>
  <c r="K79" i="25"/>
  <c r="N79" i="25"/>
  <c r="L79" i="25"/>
  <c r="O79" i="25"/>
  <c r="J79" i="25"/>
  <c r="P79" i="25"/>
  <c r="Q79" i="25"/>
  <c r="R79" i="25"/>
  <c r="O129" i="31"/>
  <c r="M130" i="31"/>
  <c r="L131" i="31"/>
  <c r="J132" i="31"/>
  <c r="K132" i="31" s="1"/>
  <c r="H79" i="25"/>
  <c r="I79" i="25"/>
  <c r="B80" i="25"/>
  <c r="D79" i="25"/>
  <c r="F79" i="25"/>
  <c r="G79" i="25"/>
  <c r="C79" i="25"/>
  <c r="E79" i="25"/>
  <c r="P129" i="31"/>
  <c r="N130" i="31"/>
  <c r="M80" i="25" l="1"/>
  <c r="J80" i="25"/>
  <c r="Q80" i="25"/>
  <c r="L80" i="25"/>
  <c r="K80" i="25"/>
  <c r="P80" i="25"/>
  <c r="O80" i="25"/>
  <c r="N80" i="25"/>
  <c r="R80" i="25"/>
  <c r="O130" i="31"/>
  <c r="M131" i="31"/>
  <c r="L132" i="31"/>
  <c r="J133" i="31"/>
  <c r="K133" i="31" s="1"/>
  <c r="I80" i="25"/>
  <c r="H80" i="25"/>
  <c r="D80" i="25"/>
  <c r="F80" i="25"/>
  <c r="C80" i="25"/>
  <c r="E80" i="25"/>
  <c r="B81" i="25"/>
  <c r="G80" i="25"/>
  <c r="P130" i="31"/>
  <c r="N131" i="31"/>
  <c r="N81" i="25" l="1"/>
  <c r="P81" i="25"/>
  <c r="M81" i="25"/>
  <c r="O81" i="25"/>
  <c r="L81" i="25"/>
  <c r="K81" i="25"/>
  <c r="J81" i="25"/>
  <c r="Q81" i="25"/>
  <c r="R81" i="25"/>
  <c r="O131" i="31"/>
  <c r="M132" i="31"/>
  <c r="L133" i="31"/>
  <c r="J134" i="31"/>
  <c r="K134" i="31" s="1"/>
  <c r="H81" i="25"/>
  <c r="I81" i="25"/>
  <c r="G81" i="25"/>
  <c r="F81" i="25"/>
  <c r="C81" i="25"/>
  <c r="E81" i="25"/>
  <c r="B82" i="25"/>
  <c r="D81" i="25"/>
  <c r="P131" i="31"/>
  <c r="N132" i="31"/>
  <c r="P82" i="25" l="1"/>
  <c r="Q82" i="25"/>
  <c r="J82" i="25"/>
  <c r="O82" i="25"/>
  <c r="N82" i="25"/>
  <c r="M82" i="25"/>
  <c r="K82" i="25"/>
  <c r="L82" i="25"/>
  <c r="R82" i="25"/>
  <c r="O132" i="31"/>
  <c r="M133" i="31"/>
  <c r="L134" i="31"/>
  <c r="J135" i="31"/>
  <c r="K135" i="31" s="1"/>
  <c r="I82" i="25"/>
  <c r="H82" i="25"/>
  <c r="G82" i="25"/>
  <c r="F82" i="25"/>
  <c r="E82" i="25"/>
  <c r="B83" i="25"/>
  <c r="C82" i="25"/>
  <c r="D82" i="25"/>
  <c r="N133" i="31"/>
  <c r="P132" i="31"/>
  <c r="M83" i="25" l="1"/>
  <c r="J83" i="25"/>
  <c r="P83" i="25"/>
  <c r="N83" i="25"/>
  <c r="L83" i="25"/>
  <c r="K83" i="25"/>
  <c r="Q83" i="25"/>
  <c r="O83" i="25"/>
  <c r="R83" i="25"/>
  <c r="O133" i="31"/>
  <c r="M134" i="31"/>
  <c r="L135" i="31"/>
  <c r="J136" i="31"/>
  <c r="K136" i="31" s="1"/>
  <c r="I83" i="25"/>
  <c r="H83" i="25"/>
  <c r="C83" i="25"/>
  <c r="E83" i="25"/>
  <c r="F83" i="25"/>
  <c r="D83" i="25"/>
  <c r="B84" i="25"/>
  <c r="G83" i="25"/>
  <c r="N134" i="31"/>
  <c r="P133" i="31"/>
  <c r="P84" i="25" l="1"/>
  <c r="K84" i="25"/>
  <c r="O84" i="25"/>
  <c r="N84" i="25"/>
  <c r="J84" i="25"/>
  <c r="Q84" i="25"/>
  <c r="M84" i="25"/>
  <c r="L84" i="25"/>
  <c r="R84" i="25"/>
  <c r="O134" i="31"/>
  <c r="M135" i="31"/>
  <c r="L136" i="31"/>
  <c r="J137" i="31"/>
  <c r="K137" i="31" s="1"/>
  <c r="H84" i="25"/>
  <c r="I84" i="25"/>
  <c r="D84" i="25"/>
  <c r="G84" i="25"/>
  <c r="C84" i="25"/>
  <c r="F84" i="25"/>
  <c r="B85" i="25"/>
  <c r="E84" i="25"/>
  <c r="P134" i="31"/>
  <c r="N135" i="31"/>
  <c r="K85" i="25" l="1"/>
  <c r="L85" i="25"/>
  <c r="J85" i="25"/>
  <c r="Q85" i="25"/>
  <c r="M85" i="25"/>
  <c r="P85" i="25"/>
  <c r="N85" i="25"/>
  <c r="O85" i="25"/>
  <c r="R85" i="25"/>
  <c r="O135" i="31"/>
  <c r="M136" i="31"/>
  <c r="L137" i="31"/>
  <c r="J138" i="31"/>
  <c r="K138" i="31" s="1"/>
  <c r="I85" i="25"/>
  <c r="H85" i="25"/>
  <c r="B86" i="25"/>
  <c r="E85" i="25"/>
  <c r="D85" i="25"/>
  <c r="G85" i="25"/>
  <c r="F85" i="25"/>
  <c r="C85" i="25"/>
  <c r="N136" i="31"/>
  <c r="P135" i="31"/>
  <c r="Q86" i="25" l="1"/>
  <c r="O86" i="25"/>
  <c r="M86" i="25"/>
  <c r="K86" i="25"/>
  <c r="N86" i="25"/>
  <c r="L86" i="25"/>
  <c r="P86" i="25"/>
  <c r="J86" i="25"/>
  <c r="R86" i="25"/>
  <c r="O136" i="31"/>
  <c r="M137" i="31"/>
  <c r="L138" i="31"/>
  <c r="J139" i="31"/>
  <c r="K139" i="31" s="1"/>
  <c r="H86" i="25"/>
  <c r="I86" i="25"/>
  <c r="G86" i="25"/>
  <c r="C86" i="25"/>
  <c r="D86" i="25"/>
  <c r="B87" i="25"/>
  <c r="E86" i="25"/>
  <c r="F86" i="25"/>
  <c r="P136" i="31"/>
  <c r="N137" i="31"/>
  <c r="M87" i="25" l="1"/>
  <c r="N87" i="25"/>
  <c r="Q87" i="25"/>
  <c r="P87" i="25"/>
  <c r="J87" i="25"/>
  <c r="L87" i="25"/>
  <c r="K87" i="25"/>
  <c r="O87" i="25"/>
  <c r="R87" i="25"/>
  <c r="O137" i="31"/>
  <c r="M138" i="31"/>
  <c r="L139" i="31"/>
  <c r="J140" i="31"/>
  <c r="K140" i="31" s="1"/>
  <c r="I87" i="25"/>
  <c r="H87" i="25"/>
  <c r="B88" i="25"/>
  <c r="G87" i="25"/>
  <c r="C87" i="25"/>
  <c r="E87" i="25"/>
  <c r="F87" i="25"/>
  <c r="D87" i="25"/>
  <c r="N138" i="31"/>
  <c r="P137" i="31"/>
  <c r="N88" i="25" l="1"/>
  <c r="M88" i="25"/>
  <c r="Q88" i="25"/>
  <c r="L88" i="25"/>
  <c r="O88" i="25"/>
  <c r="K88" i="25"/>
  <c r="J88" i="25"/>
  <c r="P88" i="25"/>
  <c r="R88" i="25"/>
  <c r="O138" i="31"/>
  <c r="M139" i="31"/>
  <c r="L140" i="31"/>
  <c r="J141" i="31"/>
  <c r="K141" i="31" s="1"/>
  <c r="H88" i="25"/>
  <c r="I88" i="25"/>
  <c r="F88" i="25"/>
  <c r="E88" i="25"/>
  <c r="G88" i="25"/>
  <c r="C88" i="25"/>
  <c r="B89" i="25"/>
  <c r="D88" i="25"/>
  <c r="N139" i="31"/>
  <c r="P138" i="31"/>
  <c r="N89" i="25" l="1"/>
  <c r="Q89" i="25"/>
  <c r="M89" i="25"/>
  <c r="L89" i="25"/>
  <c r="O89" i="25"/>
  <c r="K89" i="25"/>
  <c r="J89" i="25"/>
  <c r="P89" i="25"/>
  <c r="R89" i="25"/>
  <c r="O139" i="31"/>
  <c r="M140" i="31"/>
  <c r="L141" i="31"/>
  <c r="J142" i="31"/>
  <c r="K142" i="31" s="1"/>
  <c r="I89" i="25"/>
  <c r="H89" i="25"/>
  <c r="B90" i="25"/>
  <c r="C89" i="25"/>
  <c r="E89" i="25"/>
  <c r="D89" i="25"/>
  <c r="F89" i="25"/>
  <c r="G89" i="25"/>
  <c r="P139" i="31"/>
  <c r="N140" i="31"/>
  <c r="O90" i="25" l="1"/>
  <c r="M90" i="25"/>
  <c r="N90" i="25"/>
  <c r="L90" i="25"/>
  <c r="J90" i="25"/>
  <c r="K90" i="25"/>
  <c r="Q90" i="25"/>
  <c r="P90" i="25"/>
  <c r="R90" i="25"/>
  <c r="O140" i="31"/>
  <c r="M141" i="31"/>
  <c r="L142" i="31"/>
  <c r="J143" i="31"/>
  <c r="K143" i="31" s="1"/>
  <c r="I90" i="25"/>
  <c r="H90" i="25"/>
  <c r="C90" i="25"/>
  <c r="G90" i="25"/>
  <c r="B91" i="25"/>
  <c r="D90" i="25"/>
  <c r="E90" i="25"/>
  <c r="F90" i="25"/>
  <c r="P140" i="31"/>
  <c r="N141" i="31"/>
  <c r="N91" i="25" l="1"/>
  <c r="Q91" i="25"/>
  <c r="O91" i="25"/>
  <c r="L91" i="25"/>
  <c r="M91" i="25"/>
  <c r="K91" i="25"/>
  <c r="J91" i="25"/>
  <c r="P91" i="25"/>
  <c r="R91" i="25"/>
  <c r="O141" i="31"/>
  <c r="M142" i="31"/>
  <c r="L143" i="31"/>
  <c r="J144" i="31"/>
  <c r="K144" i="31" s="1"/>
  <c r="H91" i="25"/>
  <c r="I91" i="25"/>
  <c r="C91" i="25"/>
  <c r="G91" i="25"/>
  <c r="E91" i="25"/>
  <c r="B92" i="25"/>
  <c r="F91" i="25"/>
  <c r="D91" i="25"/>
  <c r="P141" i="31"/>
  <c r="N142" i="31"/>
  <c r="O92" i="25" l="1"/>
  <c r="L92" i="25"/>
  <c r="P92" i="25"/>
  <c r="N92" i="25"/>
  <c r="M92" i="25"/>
  <c r="K92" i="25"/>
  <c r="Q92" i="25"/>
  <c r="J92" i="25"/>
  <c r="R92" i="25"/>
  <c r="O142" i="31"/>
  <c r="M143" i="31"/>
  <c r="L144" i="31"/>
  <c r="J145" i="31"/>
  <c r="K145" i="31" s="1"/>
  <c r="H92" i="25"/>
  <c r="I92" i="25"/>
  <c r="F92" i="25"/>
  <c r="D92" i="25"/>
  <c r="B93" i="25"/>
  <c r="C92" i="25"/>
  <c r="G92" i="25"/>
  <c r="E92" i="25"/>
  <c r="P142" i="31"/>
  <c r="N143" i="31"/>
  <c r="O93" i="25" l="1"/>
  <c r="N93" i="25"/>
  <c r="M93" i="25"/>
  <c r="P93" i="25"/>
  <c r="K93" i="25"/>
  <c r="Q93" i="25"/>
  <c r="L93" i="25"/>
  <c r="J93" i="25"/>
  <c r="R93" i="25"/>
  <c r="O143" i="31"/>
  <c r="M144" i="31"/>
  <c r="L145" i="31"/>
  <c r="J146" i="31"/>
  <c r="K146" i="31" s="1"/>
  <c r="I93" i="25"/>
  <c r="H93" i="25"/>
  <c r="D93" i="25"/>
  <c r="G93" i="25"/>
  <c r="C93" i="25"/>
  <c r="B94" i="25"/>
  <c r="F93" i="25"/>
  <c r="E93" i="25"/>
  <c r="N144" i="31"/>
  <c r="P143" i="31"/>
  <c r="K94" i="25" l="1"/>
  <c r="J94" i="25"/>
  <c r="Q94" i="25"/>
  <c r="N94" i="25"/>
  <c r="O94" i="25"/>
  <c r="M94" i="25"/>
  <c r="P94" i="25"/>
  <c r="L94" i="25"/>
  <c r="R94" i="25"/>
  <c r="O144" i="31"/>
  <c r="M145" i="31"/>
  <c r="L146" i="31"/>
  <c r="J147" i="31"/>
  <c r="K147" i="31" s="1"/>
  <c r="I94" i="25"/>
  <c r="H94" i="25"/>
  <c r="G94" i="25"/>
  <c r="B95" i="25"/>
  <c r="C94" i="25"/>
  <c r="F94" i="25"/>
  <c r="E94" i="25"/>
  <c r="D94" i="25"/>
  <c r="N145" i="31"/>
  <c r="P144" i="31"/>
  <c r="Q95" i="25" l="1"/>
  <c r="L95" i="25"/>
  <c r="K95" i="25"/>
  <c r="J95" i="25"/>
  <c r="N95" i="25"/>
  <c r="P95" i="25"/>
  <c r="O95" i="25"/>
  <c r="M95" i="25"/>
  <c r="R95" i="25"/>
  <c r="O145" i="31"/>
  <c r="M146" i="31"/>
  <c r="L147" i="31"/>
  <c r="J148" i="31"/>
  <c r="K148" i="31" s="1"/>
  <c r="C95" i="25"/>
  <c r="H95" i="25"/>
  <c r="I95" i="25"/>
  <c r="F95" i="25"/>
  <c r="B96" i="25"/>
  <c r="G95" i="25"/>
  <c r="D95" i="25"/>
  <c r="E95" i="25"/>
  <c r="P145" i="31"/>
  <c r="N146" i="31"/>
  <c r="M96" i="25" l="1"/>
  <c r="L96" i="25"/>
  <c r="J96" i="25"/>
  <c r="O96" i="25"/>
  <c r="N96" i="25"/>
  <c r="K96" i="25"/>
  <c r="Q96" i="25"/>
  <c r="P96" i="25"/>
  <c r="R96" i="25"/>
  <c r="O146" i="31"/>
  <c r="M147" i="31"/>
  <c r="L148" i="31"/>
  <c r="J149" i="31"/>
  <c r="K149" i="31" s="1"/>
  <c r="D96" i="25"/>
  <c r="C96" i="25"/>
  <c r="I96" i="25"/>
  <c r="G96" i="25"/>
  <c r="B97" i="25"/>
  <c r="E96" i="25"/>
  <c r="F96" i="25"/>
  <c r="H96" i="25"/>
  <c r="P146" i="31"/>
  <c r="P147" i="31"/>
  <c r="M97" i="25" l="1"/>
  <c r="L97" i="25"/>
  <c r="K97" i="25"/>
  <c r="J97" i="25"/>
  <c r="O97" i="25"/>
  <c r="N97" i="25"/>
  <c r="Q97" i="25"/>
  <c r="P97" i="25"/>
  <c r="R97" i="25"/>
  <c r="M148" i="31"/>
  <c r="L149" i="31"/>
  <c r="J150" i="31"/>
  <c r="K150" i="31" s="1"/>
  <c r="E97" i="25"/>
  <c r="H97" i="25"/>
  <c r="I97" i="25"/>
  <c r="G97" i="25"/>
  <c r="B98" i="25"/>
  <c r="F97" i="25"/>
  <c r="C97" i="25"/>
  <c r="D97" i="25"/>
  <c r="N147" i="31"/>
  <c r="N148" i="31"/>
  <c r="L98" i="25" l="1"/>
  <c r="Q98" i="25"/>
  <c r="K98" i="25"/>
  <c r="P98" i="25"/>
  <c r="O98" i="25"/>
  <c r="N98" i="25"/>
  <c r="M98" i="25"/>
  <c r="J98" i="25"/>
  <c r="R98" i="25"/>
  <c r="O147" i="31"/>
  <c r="O148" i="31"/>
  <c r="M149" i="31"/>
  <c r="L150" i="31"/>
  <c r="J151" i="31"/>
  <c r="K151" i="31" s="1"/>
  <c r="D98" i="25"/>
  <c r="G98" i="25"/>
  <c r="F98" i="25"/>
  <c r="I98" i="25"/>
  <c r="B99" i="25"/>
  <c r="E98" i="25"/>
  <c r="C98" i="25"/>
  <c r="H98" i="25"/>
  <c r="P148" i="31"/>
  <c r="N149" i="31"/>
  <c r="Q99" i="25" l="1"/>
  <c r="L99" i="25"/>
  <c r="J99" i="25"/>
  <c r="P99" i="25"/>
  <c r="M99" i="25"/>
  <c r="K99" i="25"/>
  <c r="N99" i="25"/>
  <c r="O99" i="25"/>
  <c r="R99" i="25"/>
  <c r="O149" i="31"/>
  <c r="M150" i="31"/>
  <c r="L151" i="31"/>
  <c r="J152" i="31"/>
  <c r="K152" i="31" s="1"/>
  <c r="G99" i="25"/>
  <c r="D99" i="25"/>
  <c r="C99" i="25"/>
  <c r="E99" i="25"/>
  <c r="H99" i="25"/>
  <c r="F99" i="25"/>
  <c r="B100" i="25"/>
  <c r="I99" i="25"/>
  <c r="N150" i="31"/>
  <c r="P149" i="31"/>
  <c r="O100" i="25" l="1"/>
  <c r="J100" i="25"/>
  <c r="K100" i="25"/>
  <c r="Q100" i="25"/>
  <c r="P100" i="25"/>
  <c r="N100" i="25"/>
  <c r="M100" i="25"/>
  <c r="L100" i="25"/>
  <c r="R100" i="25"/>
  <c r="O150" i="31"/>
  <c r="M151" i="31"/>
  <c r="L152" i="31"/>
  <c r="J153" i="31"/>
  <c r="K153" i="31" s="1"/>
  <c r="H100" i="25"/>
  <c r="F100" i="25"/>
  <c r="G100" i="25"/>
  <c r="C100" i="25"/>
  <c r="E100" i="25"/>
  <c r="I100" i="25"/>
  <c r="D100" i="25"/>
  <c r="B101" i="25"/>
  <c r="N151" i="31"/>
  <c r="P150" i="31"/>
  <c r="O101" i="25" l="1"/>
  <c r="N101" i="25"/>
  <c r="L101" i="25"/>
  <c r="Q101" i="25"/>
  <c r="M101" i="25"/>
  <c r="P101" i="25"/>
  <c r="K101" i="25"/>
  <c r="J101" i="25"/>
  <c r="R101" i="25"/>
  <c r="O151" i="31"/>
  <c r="M152" i="31"/>
  <c r="L153" i="31"/>
  <c r="J154" i="31"/>
  <c r="K154" i="31" s="1"/>
  <c r="C101" i="25"/>
  <c r="I101" i="25"/>
  <c r="H101" i="25"/>
  <c r="F101" i="25"/>
  <c r="B102" i="25"/>
  <c r="D101" i="25"/>
  <c r="E101" i="25"/>
  <c r="G101" i="25"/>
  <c r="P151" i="31"/>
  <c r="N152" i="31"/>
  <c r="O102" i="25" l="1"/>
  <c r="J102" i="25"/>
  <c r="M102" i="25"/>
  <c r="L102" i="25"/>
  <c r="P102" i="25"/>
  <c r="N102" i="25"/>
  <c r="K102" i="25"/>
  <c r="Q102" i="25"/>
  <c r="R102" i="25"/>
  <c r="O152" i="31"/>
  <c r="M153" i="31"/>
  <c r="L154" i="31"/>
  <c r="J155" i="31"/>
  <c r="K155" i="31" s="1"/>
  <c r="D102" i="25"/>
  <c r="H102" i="25"/>
  <c r="B103" i="25"/>
  <c r="G102" i="25"/>
  <c r="F102" i="25"/>
  <c r="E102" i="25"/>
  <c r="I102" i="25"/>
  <c r="C102" i="25"/>
  <c r="P152" i="31"/>
  <c r="N153" i="31"/>
  <c r="O103" i="25" l="1"/>
  <c r="J103" i="25"/>
  <c r="N103" i="25"/>
  <c r="L103" i="25"/>
  <c r="Q103" i="25"/>
  <c r="K103" i="25"/>
  <c r="P103" i="25"/>
  <c r="M103" i="25"/>
  <c r="R103" i="25"/>
  <c r="O153" i="31"/>
  <c r="M154" i="31"/>
  <c r="L155" i="31"/>
  <c r="J156" i="31"/>
  <c r="K156" i="31" s="1"/>
  <c r="F103" i="25"/>
  <c r="G103" i="25"/>
  <c r="E103" i="25"/>
  <c r="C103" i="25"/>
  <c r="D103" i="25"/>
  <c r="H103" i="25"/>
  <c r="I103" i="25"/>
  <c r="B104" i="25"/>
  <c r="N154" i="31"/>
  <c r="P153" i="31"/>
  <c r="M104" i="25" l="1"/>
  <c r="L104" i="25"/>
  <c r="K104" i="25"/>
  <c r="J104" i="25"/>
  <c r="Q104" i="25"/>
  <c r="P104" i="25"/>
  <c r="O104" i="25"/>
  <c r="N104" i="25"/>
  <c r="R104" i="25"/>
  <c r="O154" i="31"/>
  <c r="M155" i="31"/>
  <c r="L156" i="31"/>
  <c r="J157" i="31"/>
  <c r="K157" i="31" s="1"/>
  <c r="G104" i="25"/>
  <c r="E104" i="25"/>
  <c r="I104" i="25"/>
  <c r="F104" i="25"/>
  <c r="B105" i="25"/>
  <c r="D104" i="25"/>
  <c r="H104" i="25"/>
  <c r="C104" i="25"/>
  <c r="N155" i="31"/>
  <c r="P154" i="31"/>
  <c r="M105" i="25" l="1"/>
  <c r="L105" i="25"/>
  <c r="K105" i="25"/>
  <c r="J105" i="25"/>
  <c r="Q105" i="25"/>
  <c r="P105" i="25"/>
  <c r="N105" i="25"/>
  <c r="O105" i="25"/>
  <c r="R105" i="25"/>
  <c r="O155" i="31"/>
  <c r="M156" i="31"/>
  <c r="L157" i="31"/>
  <c r="J158" i="31"/>
  <c r="K158" i="31" s="1"/>
  <c r="B106" i="25"/>
  <c r="H105" i="25"/>
  <c r="E105" i="25"/>
  <c r="G105" i="25"/>
  <c r="I105" i="25"/>
  <c r="C105" i="25"/>
  <c r="F105" i="25"/>
  <c r="D105" i="25"/>
  <c r="P155" i="31"/>
  <c r="N156" i="31"/>
  <c r="P106" i="25" l="1"/>
  <c r="O106" i="25"/>
  <c r="M106" i="25"/>
  <c r="Q106" i="25"/>
  <c r="K106" i="25"/>
  <c r="L106" i="25"/>
  <c r="N106" i="25"/>
  <c r="J106" i="25"/>
  <c r="R106" i="25"/>
  <c r="O156" i="31"/>
  <c r="M157" i="31"/>
  <c r="L158" i="31"/>
  <c r="J159" i="31"/>
  <c r="K159" i="31" s="1"/>
  <c r="E106" i="25"/>
  <c r="H106" i="25"/>
  <c r="D106" i="25"/>
  <c r="C106" i="25"/>
  <c r="F106" i="25"/>
  <c r="I106" i="25"/>
  <c r="G106" i="25"/>
  <c r="B107" i="25"/>
  <c r="P156" i="31"/>
  <c r="N157" i="31"/>
  <c r="F107" i="25" l="1"/>
  <c r="N107" i="25"/>
  <c r="L107" i="25"/>
  <c r="B108" i="25"/>
  <c r="K107" i="25"/>
  <c r="I107" i="25"/>
  <c r="E107" i="25"/>
  <c r="C107" i="25"/>
  <c r="D107" i="25"/>
  <c r="H107" i="25"/>
  <c r="M107" i="25"/>
  <c r="J107" i="25"/>
  <c r="Q107" i="25"/>
  <c r="O107" i="25"/>
  <c r="G107" i="25"/>
  <c r="P107" i="25"/>
  <c r="R107" i="25"/>
  <c r="O157" i="31"/>
  <c r="M158" i="31"/>
  <c r="L159" i="31"/>
  <c r="J160" i="31"/>
  <c r="K160" i="31" s="1"/>
  <c r="P157" i="31"/>
  <c r="N158" i="31"/>
  <c r="F108" i="25" l="1"/>
  <c r="Q108" i="25"/>
  <c r="C108" i="25"/>
  <c r="O108" i="25"/>
  <c r="B109" i="25"/>
  <c r="N108" i="25"/>
  <c r="M108" i="25"/>
  <c r="D108" i="25"/>
  <c r="P108" i="25"/>
  <c r="L108" i="25"/>
  <c r="K108" i="25"/>
  <c r="J108" i="25"/>
  <c r="E108" i="25"/>
  <c r="H108" i="25"/>
  <c r="I108" i="25"/>
  <c r="G108" i="25"/>
  <c r="R108" i="25"/>
  <c r="O158" i="31"/>
  <c r="M159" i="31"/>
  <c r="L160" i="31"/>
  <c r="J161" i="31"/>
  <c r="K161" i="31" s="1"/>
  <c r="P158" i="31"/>
  <c r="N159" i="31"/>
  <c r="H109" i="25" l="1"/>
  <c r="O109" i="25"/>
  <c r="G109" i="25"/>
  <c r="D109" i="25"/>
  <c r="M109" i="25"/>
  <c r="I109" i="25"/>
  <c r="E109" i="25"/>
  <c r="K109" i="25"/>
  <c r="N109" i="25"/>
  <c r="J109" i="25"/>
  <c r="P109" i="25"/>
  <c r="C109" i="25"/>
  <c r="Q109" i="25"/>
  <c r="F109" i="25"/>
  <c r="L109" i="25"/>
  <c r="B110" i="25"/>
  <c r="R109" i="25"/>
  <c r="O159" i="31"/>
  <c r="M160" i="31"/>
  <c r="L161" i="31"/>
  <c r="J162" i="31"/>
  <c r="K162" i="31" s="1"/>
  <c r="P159" i="31"/>
  <c r="N160" i="31"/>
  <c r="H110" i="25" l="1"/>
  <c r="C110" i="25"/>
  <c r="N110" i="25"/>
  <c r="D110" i="25"/>
  <c r="K110" i="25"/>
  <c r="B111" i="25"/>
  <c r="F110" i="25"/>
  <c r="E110" i="25"/>
  <c r="O110" i="25"/>
  <c r="Q110" i="25"/>
  <c r="L110" i="25"/>
  <c r="M110" i="25"/>
  <c r="J110" i="25"/>
  <c r="P110" i="25"/>
  <c r="I110" i="25"/>
  <c r="G110" i="25"/>
  <c r="R110" i="25"/>
  <c r="O160" i="31"/>
  <c r="M161" i="31"/>
  <c r="L162" i="31"/>
  <c r="J163" i="31"/>
  <c r="K163" i="31" s="1"/>
  <c r="N161" i="31"/>
  <c r="P160" i="31"/>
  <c r="F111" i="25" l="1"/>
  <c r="M111" i="25"/>
  <c r="L111" i="25"/>
  <c r="K111" i="25"/>
  <c r="E111" i="25"/>
  <c r="C111" i="25"/>
  <c r="I111" i="25"/>
  <c r="P111" i="25"/>
  <c r="J111" i="25"/>
  <c r="Q111" i="25"/>
  <c r="H111" i="25"/>
  <c r="N111" i="25"/>
  <c r="G111" i="25"/>
  <c r="O111" i="25"/>
  <c r="D111" i="25"/>
  <c r="B112" i="25"/>
  <c r="R111" i="25"/>
  <c r="O161" i="31"/>
  <c r="M162" i="31"/>
  <c r="L163" i="31"/>
  <c r="J164" i="31"/>
  <c r="K164" i="31" s="1"/>
  <c r="P161" i="31"/>
  <c r="N162" i="31"/>
  <c r="F112" i="25" l="1"/>
  <c r="M112" i="25"/>
  <c r="K112" i="25"/>
  <c r="Q112" i="25"/>
  <c r="I112" i="25"/>
  <c r="P112" i="25"/>
  <c r="J112" i="25"/>
  <c r="H112" i="25"/>
  <c r="O112" i="25"/>
  <c r="G112" i="25"/>
  <c r="N112" i="25"/>
  <c r="E112" i="25"/>
  <c r="C112" i="25"/>
  <c r="D112" i="25"/>
  <c r="L112" i="25"/>
  <c r="B113" i="25"/>
  <c r="R112" i="25"/>
  <c r="O162" i="31"/>
  <c r="M163" i="31"/>
  <c r="L164" i="31"/>
  <c r="J165" i="31"/>
  <c r="K165" i="31" s="1"/>
  <c r="N163" i="31"/>
  <c r="P162" i="31"/>
  <c r="E113" i="25" l="1"/>
  <c r="M113" i="25"/>
  <c r="H113" i="25"/>
  <c r="D113" i="25"/>
  <c r="L113" i="25"/>
  <c r="P113" i="25"/>
  <c r="G113" i="25"/>
  <c r="O113" i="25"/>
  <c r="I113" i="25"/>
  <c r="F113" i="25"/>
  <c r="N113" i="25"/>
  <c r="C113" i="25"/>
  <c r="K113" i="25"/>
  <c r="B114" i="25"/>
  <c r="J113" i="25"/>
  <c r="Q113" i="25"/>
  <c r="R113" i="25"/>
  <c r="O163" i="31"/>
  <c r="M164" i="31"/>
  <c r="L165" i="31"/>
  <c r="J166" i="31"/>
  <c r="K166" i="31" s="1"/>
  <c r="P163" i="31"/>
  <c r="N164" i="31"/>
  <c r="G114" i="25" l="1"/>
  <c r="F114" i="25"/>
  <c r="E114" i="25"/>
  <c r="D114" i="25"/>
  <c r="N114" i="25"/>
  <c r="L114" i="25"/>
  <c r="M114" i="25"/>
  <c r="Q114" i="25"/>
  <c r="K114" i="25"/>
  <c r="J114" i="25"/>
  <c r="C114" i="25"/>
  <c r="P114" i="25"/>
  <c r="B115" i="25"/>
  <c r="O114" i="25"/>
  <c r="I114" i="25"/>
  <c r="H114" i="25"/>
  <c r="R114" i="25"/>
  <c r="O164" i="31"/>
  <c r="M165" i="31"/>
  <c r="L166" i="31"/>
  <c r="J167" i="31"/>
  <c r="K167" i="31" s="1"/>
  <c r="P164" i="31"/>
  <c r="N165" i="31"/>
  <c r="F115" i="25" l="1"/>
  <c r="M115" i="25"/>
  <c r="D115" i="25"/>
  <c r="L115" i="25"/>
  <c r="B116" i="25"/>
  <c r="J115" i="25"/>
  <c r="Q115" i="25"/>
  <c r="G115" i="25"/>
  <c r="E115" i="25"/>
  <c r="C115" i="25"/>
  <c r="K115" i="25"/>
  <c r="I115" i="25"/>
  <c r="P115" i="25"/>
  <c r="N115" i="25"/>
  <c r="H115" i="25"/>
  <c r="O115" i="25"/>
  <c r="R115" i="25"/>
  <c r="O165" i="31"/>
  <c r="M166" i="31"/>
  <c r="L167" i="31"/>
  <c r="J168" i="31"/>
  <c r="K168" i="31" s="1"/>
  <c r="P165" i="31"/>
  <c r="N166" i="31"/>
  <c r="G116" i="25" l="1"/>
  <c r="D116" i="25"/>
  <c r="C116" i="25"/>
  <c r="P116" i="25"/>
  <c r="B117" i="25"/>
  <c r="E116" i="25"/>
  <c r="Q116" i="25"/>
  <c r="M116" i="25"/>
  <c r="L116" i="25"/>
  <c r="N116" i="25"/>
  <c r="K116" i="25"/>
  <c r="F116" i="25"/>
  <c r="I116" i="25"/>
  <c r="J116" i="25"/>
  <c r="O116" i="25"/>
  <c r="H116" i="25"/>
  <c r="R116" i="25"/>
  <c r="O166" i="31"/>
  <c r="M167" i="31"/>
  <c r="L168" i="31"/>
  <c r="J169" i="31"/>
  <c r="K169" i="31" s="1"/>
  <c r="N167" i="31"/>
  <c r="P166" i="31"/>
  <c r="E117" i="25" l="1"/>
  <c r="N117" i="25"/>
  <c r="G117" i="25"/>
  <c r="B118" i="25"/>
  <c r="K117" i="25"/>
  <c r="C117" i="25"/>
  <c r="J117" i="25"/>
  <c r="H117" i="25"/>
  <c r="M117" i="25"/>
  <c r="D117" i="25"/>
  <c r="O117" i="25"/>
  <c r="Q117" i="25"/>
  <c r="L117" i="25"/>
  <c r="F117" i="25"/>
  <c r="I117" i="25"/>
  <c r="P117" i="25"/>
  <c r="R117" i="25"/>
  <c r="O167" i="31"/>
  <c r="M168" i="31"/>
  <c r="L169" i="31"/>
  <c r="J170" i="31"/>
  <c r="K170" i="31" s="1"/>
  <c r="P167" i="31"/>
  <c r="N168" i="31"/>
  <c r="I118" i="25" l="1"/>
  <c r="M118" i="25"/>
  <c r="E118" i="25"/>
  <c r="B119" i="25"/>
  <c r="G118" i="25"/>
  <c r="C118" i="25"/>
  <c r="Q118" i="25"/>
  <c r="L118" i="25"/>
  <c r="J118" i="25"/>
  <c r="F118" i="25"/>
  <c r="O118" i="25"/>
  <c r="D118" i="25"/>
  <c r="P118" i="25"/>
  <c r="K118" i="25"/>
  <c r="N118" i="25"/>
  <c r="H118" i="25"/>
  <c r="R118" i="25"/>
  <c r="O168" i="31"/>
  <c r="M169" i="31"/>
  <c r="L170" i="31"/>
  <c r="J171" i="31"/>
  <c r="K171" i="31" s="1"/>
  <c r="N169" i="31"/>
  <c r="P168" i="31"/>
  <c r="F119" i="25" l="1"/>
  <c r="N119" i="25"/>
  <c r="Q119" i="25"/>
  <c r="E119" i="25"/>
  <c r="C119" i="25"/>
  <c r="D119" i="25"/>
  <c r="L119" i="25"/>
  <c r="B120" i="25"/>
  <c r="K119" i="25"/>
  <c r="J119" i="25"/>
  <c r="I119" i="25"/>
  <c r="O119" i="25"/>
  <c r="H119" i="25"/>
  <c r="P119" i="25"/>
  <c r="G119" i="25"/>
  <c r="M119" i="25"/>
  <c r="R119" i="25"/>
  <c r="O169" i="31"/>
  <c r="M170" i="31"/>
  <c r="L171" i="31"/>
  <c r="J172" i="31"/>
  <c r="K172" i="31" s="1"/>
  <c r="P169" i="31"/>
  <c r="N170" i="31"/>
  <c r="F120" i="25" l="1"/>
  <c r="M120" i="25"/>
  <c r="L120" i="25"/>
  <c r="B121" i="25"/>
  <c r="P120" i="25"/>
  <c r="H120" i="25"/>
  <c r="N120" i="25"/>
  <c r="E120" i="25"/>
  <c r="C120" i="25"/>
  <c r="J120" i="25"/>
  <c r="Q120" i="25"/>
  <c r="O120" i="25"/>
  <c r="G120" i="25"/>
  <c r="D120" i="25"/>
  <c r="K120" i="25"/>
  <c r="I120" i="25"/>
  <c r="R120" i="25"/>
  <c r="O170" i="31"/>
  <c r="M171" i="31"/>
  <c r="L172" i="31"/>
  <c r="J173" i="31"/>
  <c r="K173" i="31" s="1"/>
  <c r="N171" i="31"/>
  <c r="P170" i="31"/>
  <c r="E121" i="25" l="1"/>
  <c r="J121" i="25"/>
  <c r="H121" i="25"/>
  <c r="D121" i="25"/>
  <c r="L121" i="25"/>
  <c r="Q121" i="25"/>
  <c r="C121" i="25"/>
  <c r="K121" i="25"/>
  <c r="B122" i="25"/>
  <c r="I121" i="25"/>
  <c r="P121" i="25"/>
  <c r="G121" i="25"/>
  <c r="O121" i="25"/>
  <c r="F121" i="25"/>
  <c r="N121" i="25"/>
  <c r="M121" i="25"/>
  <c r="R121" i="25"/>
  <c r="O171" i="31"/>
  <c r="M172" i="31"/>
  <c r="L173" i="31"/>
  <c r="J174" i="31"/>
  <c r="K174" i="31" s="1"/>
  <c r="P171" i="31"/>
  <c r="N172" i="31"/>
  <c r="F122" i="25" l="1"/>
  <c r="P122" i="25"/>
  <c r="M122" i="25"/>
  <c r="Q122" i="25"/>
  <c r="D122" i="25"/>
  <c r="O122" i="25"/>
  <c r="K122" i="25"/>
  <c r="H122" i="25"/>
  <c r="E122" i="25"/>
  <c r="C122" i="25"/>
  <c r="N122" i="25"/>
  <c r="B123" i="25"/>
  <c r="L122" i="25"/>
  <c r="I122" i="25"/>
  <c r="J122" i="25"/>
  <c r="G122" i="25"/>
  <c r="R122" i="25"/>
  <c r="O172" i="31"/>
  <c r="M173" i="31"/>
  <c r="L174" i="31"/>
  <c r="J175" i="31"/>
  <c r="K175" i="31" s="1"/>
  <c r="P172" i="31"/>
  <c r="N173" i="31"/>
  <c r="E123" i="25" l="1"/>
  <c r="C123" i="25"/>
  <c r="D123" i="25"/>
  <c r="L123" i="25"/>
  <c r="B124" i="25"/>
  <c r="Q123" i="25"/>
  <c r="I123" i="25"/>
  <c r="M123" i="25"/>
  <c r="K123" i="25"/>
  <c r="J123" i="25"/>
  <c r="O123" i="25"/>
  <c r="H123" i="25"/>
  <c r="G123" i="25"/>
  <c r="P123" i="25"/>
  <c r="N123" i="25"/>
  <c r="F123" i="25"/>
  <c r="R123" i="25"/>
  <c r="O173" i="31"/>
  <c r="M174" i="31"/>
  <c r="L175" i="31"/>
  <c r="J176" i="31"/>
  <c r="K176" i="31" s="1"/>
  <c r="N174" i="31"/>
  <c r="P173" i="31"/>
  <c r="D124" i="25" l="1"/>
  <c r="P124" i="25"/>
  <c r="C124" i="25"/>
  <c r="O124" i="25"/>
  <c r="B125" i="25"/>
  <c r="I124" i="25"/>
  <c r="L124" i="25"/>
  <c r="J124" i="25"/>
  <c r="K124" i="25"/>
  <c r="H124" i="25"/>
  <c r="N124" i="25"/>
  <c r="M124" i="25"/>
  <c r="G124" i="25"/>
  <c r="E124" i="25"/>
  <c r="F124" i="25"/>
  <c r="Q124" i="25"/>
  <c r="R124" i="25"/>
  <c r="O174" i="31"/>
  <c r="M175" i="31"/>
  <c r="L176" i="31"/>
  <c r="J177" i="31"/>
  <c r="K177" i="31" s="1"/>
  <c r="N175" i="31"/>
  <c r="P174" i="31"/>
  <c r="D125" i="25" l="1"/>
  <c r="Q125" i="25"/>
  <c r="H125" i="25"/>
  <c r="O125" i="25"/>
  <c r="B126" i="25"/>
  <c r="I125" i="25"/>
  <c r="N125" i="25"/>
  <c r="L125" i="25"/>
  <c r="E125" i="25"/>
  <c r="J125" i="25"/>
  <c r="F125" i="25"/>
  <c r="M125" i="25"/>
  <c r="P125" i="25"/>
  <c r="C125" i="25"/>
  <c r="K125" i="25"/>
  <c r="G125" i="25"/>
  <c r="R125" i="25"/>
  <c r="O175" i="31"/>
  <c r="M176" i="31"/>
  <c r="L177" i="31"/>
  <c r="J178" i="31"/>
  <c r="K178" i="31" s="1"/>
  <c r="N176" i="31"/>
  <c r="P175" i="31"/>
  <c r="F126" i="25" l="1"/>
  <c r="C126" i="25"/>
  <c r="D126" i="25"/>
  <c r="K126" i="25"/>
  <c r="B127" i="25"/>
  <c r="I126" i="25"/>
  <c r="G126" i="25"/>
  <c r="E126" i="25"/>
  <c r="N126" i="25"/>
  <c r="J126" i="25"/>
  <c r="O126" i="25"/>
  <c r="P126" i="25"/>
  <c r="L126" i="25"/>
  <c r="Q126" i="25"/>
  <c r="H126" i="25"/>
  <c r="M126" i="25"/>
  <c r="R126" i="25"/>
  <c r="O176" i="31"/>
  <c r="M177" i="31"/>
  <c r="L178" i="31"/>
  <c r="J179" i="31"/>
  <c r="K179" i="31" s="1"/>
  <c r="N177" i="31"/>
  <c r="P176" i="31"/>
  <c r="F127" i="25" l="1"/>
  <c r="N127" i="25"/>
  <c r="E127" i="25"/>
  <c r="C127" i="25"/>
  <c r="D127" i="25"/>
  <c r="L127" i="25"/>
  <c r="B128" i="25"/>
  <c r="J127" i="25"/>
  <c r="P127" i="25"/>
  <c r="Q127" i="25"/>
  <c r="K127" i="25"/>
  <c r="I127" i="25"/>
  <c r="H127" i="25"/>
  <c r="O127" i="25"/>
  <c r="G127" i="25"/>
  <c r="M127" i="25"/>
  <c r="R127" i="25"/>
  <c r="O177" i="31"/>
  <c r="M178" i="31"/>
  <c r="L179" i="31"/>
  <c r="J180" i="31"/>
  <c r="K180" i="31" s="1"/>
  <c r="N178" i="31"/>
  <c r="P177" i="31"/>
  <c r="E128" i="25" l="1"/>
  <c r="C128" i="25"/>
  <c r="D128" i="25"/>
  <c r="L128" i="25"/>
  <c r="B129" i="25"/>
  <c r="J128" i="25"/>
  <c r="P128" i="25"/>
  <c r="H128" i="25"/>
  <c r="N128" i="25"/>
  <c r="K128" i="25"/>
  <c r="Q128" i="25"/>
  <c r="I128" i="25"/>
  <c r="F128" i="25"/>
  <c r="M128" i="25"/>
  <c r="O128" i="25"/>
  <c r="G128" i="25"/>
  <c r="R128" i="25"/>
  <c r="O178" i="31"/>
  <c r="M179" i="31"/>
  <c r="L180" i="31"/>
  <c r="J181" i="31"/>
  <c r="K181" i="31" s="1"/>
  <c r="N179" i="31"/>
  <c r="P178" i="31"/>
  <c r="E129" i="25" l="1"/>
  <c r="M129" i="25"/>
  <c r="J129" i="25"/>
  <c r="Q129" i="25"/>
  <c r="H129" i="25"/>
  <c r="G129" i="25"/>
  <c r="F129" i="25"/>
  <c r="N129" i="25"/>
  <c r="D129" i="25"/>
  <c r="L129" i="25"/>
  <c r="P129" i="25"/>
  <c r="O129" i="25"/>
  <c r="C129" i="25"/>
  <c r="K129" i="25"/>
  <c r="B130" i="25"/>
  <c r="I129" i="25"/>
  <c r="R129" i="25"/>
  <c r="O179" i="31"/>
  <c r="M180" i="31"/>
  <c r="L181" i="31"/>
  <c r="J182" i="31"/>
  <c r="K182" i="31" s="1"/>
  <c r="N180" i="31"/>
  <c r="P179" i="31"/>
  <c r="G130" i="25" l="1"/>
  <c r="D130" i="25"/>
  <c r="O130" i="25"/>
  <c r="E130" i="25"/>
  <c r="Q130" i="25"/>
  <c r="C130" i="25"/>
  <c r="P130" i="25"/>
  <c r="B131" i="25"/>
  <c r="N130" i="25"/>
  <c r="L130" i="25"/>
  <c r="M130" i="25"/>
  <c r="J130" i="25"/>
  <c r="K130" i="25"/>
  <c r="H130" i="25"/>
  <c r="I130" i="25"/>
  <c r="F130" i="25"/>
  <c r="R130" i="25"/>
  <c r="O180" i="31"/>
  <c r="M181" i="31"/>
  <c r="L182" i="31"/>
  <c r="J183" i="31"/>
  <c r="K183" i="31" s="1"/>
  <c r="P180" i="31"/>
  <c r="N181" i="31"/>
  <c r="F131" i="25" l="1"/>
  <c r="M131" i="25"/>
  <c r="I131" i="25"/>
  <c r="E131" i="25"/>
  <c r="C131" i="25"/>
  <c r="D131" i="25"/>
  <c r="L131" i="25"/>
  <c r="B132" i="25"/>
  <c r="N131" i="25"/>
  <c r="Q131" i="25"/>
  <c r="G131" i="25"/>
  <c r="O131" i="25"/>
  <c r="K131" i="25"/>
  <c r="J131" i="25"/>
  <c r="P131" i="25"/>
  <c r="H131" i="25"/>
  <c r="R131" i="25"/>
  <c r="O181" i="31"/>
  <c r="M182" i="31"/>
  <c r="L183" i="31"/>
  <c r="J184" i="31"/>
  <c r="K184" i="31" s="1"/>
  <c r="N182" i="31"/>
  <c r="P181" i="31"/>
  <c r="G132" i="25" l="1"/>
  <c r="F132" i="25"/>
  <c r="Q132" i="25"/>
  <c r="E132" i="25"/>
  <c r="C132" i="25"/>
  <c r="P132" i="25"/>
  <c r="B133" i="25"/>
  <c r="M132" i="25"/>
  <c r="D132" i="25"/>
  <c r="K132" i="25"/>
  <c r="J132" i="25"/>
  <c r="I132" i="25"/>
  <c r="H132" i="25"/>
  <c r="O132" i="25"/>
  <c r="N132" i="25"/>
  <c r="L132" i="25"/>
  <c r="R132" i="25"/>
  <c r="O182" i="31"/>
  <c r="M183" i="31"/>
  <c r="L184" i="31"/>
  <c r="J185" i="31"/>
  <c r="K185" i="31" s="1"/>
  <c r="N183" i="31"/>
  <c r="P182" i="31"/>
  <c r="E133" i="25" l="1"/>
  <c r="L133" i="25"/>
  <c r="I133" i="25"/>
  <c r="N133" i="25"/>
  <c r="B134" i="25"/>
  <c r="C133" i="25"/>
  <c r="P133" i="25"/>
  <c r="M133" i="25"/>
  <c r="J133" i="25"/>
  <c r="K133" i="25"/>
  <c r="F133" i="25"/>
  <c r="D133" i="25"/>
  <c r="G133" i="25"/>
  <c r="H133" i="25"/>
  <c r="Q133" i="25"/>
  <c r="O133" i="25"/>
  <c r="R133" i="25"/>
  <c r="O183" i="31"/>
  <c r="M184" i="31"/>
  <c r="L185" i="31"/>
  <c r="J186" i="31"/>
  <c r="K186" i="31" s="1"/>
  <c r="N184" i="31"/>
  <c r="P183" i="31"/>
  <c r="I134" i="25" l="1"/>
  <c r="Q134" i="25"/>
  <c r="H134" i="25"/>
  <c r="P134" i="25"/>
  <c r="G134" i="25"/>
  <c r="C134" i="25"/>
  <c r="J134" i="25"/>
  <c r="D134" i="25"/>
  <c r="N134" i="25"/>
  <c r="M134" i="25"/>
  <c r="F134" i="25"/>
  <c r="K134" i="25"/>
  <c r="O134" i="25"/>
  <c r="E134" i="25"/>
  <c r="L134" i="25"/>
  <c r="B135" i="25"/>
  <c r="R134" i="25"/>
  <c r="O184" i="31"/>
  <c r="M185" i="31"/>
  <c r="L186" i="31"/>
  <c r="J187" i="31"/>
  <c r="K187" i="31" s="1"/>
  <c r="N185" i="31"/>
  <c r="P184" i="31"/>
  <c r="E135" i="25" l="1"/>
  <c r="C135" i="25"/>
  <c r="D135" i="25"/>
  <c r="L135" i="25"/>
  <c r="B136" i="25"/>
  <c r="I135" i="25"/>
  <c r="N135" i="25"/>
  <c r="H135" i="25"/>
  <c r="Q135" i="25"/>
  <c r="G135" i="25"/>
  <c r="O135" i="25"/>
  <c r="F135" i="25"/>
  <c r="P135" i="25"/>
  <c r="K135" i="25"/>
  <c r="J135" i="25"/>
  <c r="M135" i="25"/>
  <c r="R135" i="25"/>
  <c r="O185" i="31"/>
  <c r="M186" i="31"/>
  <c r="L187" i="31"/>
  <c r="J188" i="31"/>
  <c r="K188" i="31" s="1"/>
  <c r="N186" i="31"/>
  <c r="P185" i="31"/>
  <c r="F136" i="25" l="1"/>
  <c r="M136" i="25"/>
  <c r="D136" i="25"/>
  <c r="L136" i="25"/>
  <c r="B137" i="25"/>
  <c r="J136" i="25"/>
  <c r="E136" i="25"/>
  <c r="C136" i="25"/>
  <c r="K136" i="25"/>
  <c r="Q136" i="25"/>
  <c r="I136" i="25"/>
  <c r="P136" i="25"/>
  <c r="H136" i="25"/>
  <c r="O136" i="25"/>
  <c r="G136" i="25"/>
  <c r="N136" i="25"/>
  <c r="R136" i="25"/>
  <c r="O186" i="31"/>
  <c r="M187" i="31"/>
  <c r="L188" i="31"/>
  <c r="J189" i="31"/>
  <c r="K189" i="31" s="1"/>
  <c r="N187" i="31"/>
  <c r="P186" i="31"/>
  <c r="E137" i="25" l="1"/>
  <c r="M137" i="25"/>
  <c r="B138" i="25"/>
  <c r="D137" i="25"/>
  <c r="L137" i="25"/>
  <c r="C137" i="25"/>
  <c r="K137" i="25"/>
  <c r="G137" i="25"/>
  <c r="O137" i="25"/>
  <c r="F137" i="25"/>
  <c r="N137" i="25"/>
  <c r="J137" i="25"/>
  <c r="I137" i="25"/>
  <c r="Q137" i="25"/>
  <c r="H137" i="25"/>
  <c r="P137" i="25"/>
  <c r="R137" i="25"/>
  <c r="O187" i="31"/>
  <c r="M188" i="31"/>
  <c r="L189" i="31"/>
  <c r="J190" i="31"/>
  <c r="K190" i="31" s="1"/>
  <c r="P187" i="31"/>
  <c r="N188" i="31"/>
  <c r="F138" i="25" l="1"/>
  <c r="E138" i="25"/>
  <c r="D138" i="25"/>
  <c r="P138" i="25"/>
  <c r="C138" i="25"/>
  <c r="O138" i="25"/>
  <c r="B139" i="25"/>
  <c r="J138" i="25"/>
  <c r="I138" i="25"/>
  <c r="N138" i="25"/>
  <c r="M138" i="25"/>
  <c r="Q138" i="25"/>
  <c r="L138" i="25"/>
  <c r="K138" i="25"/>
  <c r="H138" i="25"/>
  <c r="G138" i="25"/>
  <c r="R138" i="25"/>
  <c r="O188" i="31"/>
  <c r="M189" i="31"/>
  <c r="L190" i="31"/>
  <c r="J191" i="31"/>
  <c r="K191" i="31" s="1"/>
  <c r="N189" i="31"/>
  <c r="P188" i="31"/>
  <c r="F139" i="25" l="1"/>
  <c r="D139" i="25"/>
  <c r="B140" i="25"/>
  <c r="E139" i="25"/>
  <c r="C139" i="25"/>
  <c r="K139" i="25"/>
  <c r="I139" i="25"/>
  <c r="O139" i="25"/>
  <c r="L139" i="25"/>
  <c r="J139" i="25"/>
  <c r="Q139" i="25"/>
  <c r="H139" i="25"/>
  <c r="M139" i="25"/>
  <c r="G139" i="25"/>
  <c r="P139" i="25"/>
  <c r="N139" i="25"/>
  <c r="R139" i="25"/>
  <c r="O189" i="31"/>
  <c r="M190" i="31"/>
  <c r="L191" i="31"/>
  <c r="J192" i="31"/>
  <c r="K192" i="31" s="1"/>
  <c r="N190" i="31"/>
  <c r="P189" i="31"/>
  <c r="H140" i="25" l="1"/>
  <c r="G140" i="25"/>
  <c r="Q140" i="25"/>
  <c r="D140" i="25"/>
  <c r="P140" i="25"/>
  <c r="C140" i="25"/>
  <c r="O140" i="25"/>
  <c r="B141" i="25"/>
  <c r="M140" i="25"/>
  <c r="K140" i="25"/>
  <c r="I140" i="25"/>
  <c r="F140" i="25"/>
  <c r="N140" i="25"/>
  <c r="L140" i="25"/>
  <c r="E140" i="25"/>
  <c r="J140" i="25"/>
  <c r="R140" i="25"/>
  <c r="O190" i="31"/>
  <c r="M191" i="31"/>
  <c r="L192" i="31"/>
  <c r="J193" i="31"/>
  <c r="K193" i="31" s="1"/>
  <c r="P190" i="31"/>
  <c r="N191" i="31"/>
  <c r="D141" i="25" l="1"/>
  <c r="M141" i="25"/>
  <c r="F141" i="25"/>
  <c r="L141" i="25"/>
  <c r="B142" i="25"/>
  <c r="K141" i="25"/>
  <c r="N141" i="25"/>
  <c r="P141" i="25"/>
  <c r="C141" i="25"/>
  <c r="E141" i="25"/>
  <c r="G141" i="25"/>
  <c r="I141" i="25"/>
  <c r="Q141" i="25"/>
  <c r="H141" i="25"/>
  <c r="O141" i="25"/>
  <c r="J141" i="25"/>
  <c r="R141" i="25"/>
  <c r="O191" i="31"/>
  <c r="M192" i="31"/>
  <c r="L193" i="31"/>
  <c r="J194" i="31"/>
  <c r="K194" i="31" s="1"/>
  <c r="P191" i="31"/>
  <c r="N192" i="31"/>
  <c r="H142" i="25" l="1"/>
  <c r="N142" i="25"/>
  <c r="D142" i="25"/>
  <c r="B143" i="25"/>
  <c r="I142" i="25"/>
  <c r="G142" i="25"/>
  <c r="E142" i="25"/>
  <c r="O142" i="25"/>
  <c r="Q142" i="25"/>
  <c r="L142" i="25"/>
  <c r="M142" i="25"/>
  <c r="K142" i="25"/>
  <c r="J142" i="25"/>
  <c r="C142" i="25"/>
  <c r="F142" i="25"/>
  <c r="P142" i="25"/>
  <c r="R142" i="25"/>
  <c r="O192" i="31"/>
  <c r="M193" i="31"/>
  <c r="L194" i="31"/>
  <c r="J195" i="31"/>
  <c r="K195" i="31" s="1"/>
  <c r="N193" i="31"/>
  <c r="P192" i="31"/>
  <c r="F143" i="25" l="1"/>
  <c r="Q143" i="25"/>
  <c r="D143" i="25"/>
  <c r="L143" i="25"/>
  <c r="B144" i="25"/>
  <c r="E143" i="25"/>
  <c r="C143" i="25"/>
  <c r="I143" i="25"/>
  <c r="M143" i="25"/>
  <c r="K143" i="25"/>
  <c r="J143" i="25"/>
  <c r="H143" i="25"/>
  <c r="P143" i="25"/>
  <c r="G143" i="25"/>
  <c r="N143" i="25"/>
  <c r="O143" i="25"/>
  <c r="R143" i="25"/>
  <c r="O193" i="31"/>
  <c r="M194" i="31"/>
  <c r="L195" i="31"/>
  <c r="J196" i="31"/>
  <c r="K196" i="31" s="1"/>
  <c r="N194" i="31"/>
  <c r="P193" i="31"/>
  <c r="F144" i="25" l="1"/>
  <c r="M144" i="25"/>
  <c r="D144" i="25"/>
  <c r="L144" i="25"/>
  <c r="B145" i="25"/>
  <c r="K144" i="25"/>
  <c r="J144" i="25"/>
  <c r="G144" i="25"/>
  <c r="E144" i="25"/>
  <c r="C144" i="25"/>
  <c r="Q144" i="25"/>
  <c r="I144" i="25"/>
  <c r="P144" i="25"/>
  <c r="H144" i="25"/>
  <c r="O144" i="25"/>
  <c r="N144" i="25"/>
  <c r="R144" i="25"/>
  <c r="O194" i="31"/>
  <c r="M195" i="31"/>
  <c r="L196" i="31"/>
  <c r="J197" i="31"/>
  <c r="K197" i="31" s="1"/>
  <c r="P194" i="31"/>
  <c r="N195" i="31"/>
  <c r="E145" i="25" l="1"/>
  <c r="M145" i="25"/>
  <c r="G145" i="25"/>
  <c r="D145" i="25"/>
  <c r="L145" i="25"/>
  <c r="H145" i="25"/>
  <c r="P145" i="25"/>
  <c r="F145" i="25"/>
  <c r="N145" i="25"/>
  <c r="C145" i="25"/>
  <c r="K145" i="25"/>
  <c r="B146" i="25"/>
  <c r="J145" i="25"/>
  <c r="I145" i="25"/>
  <c r="Q145" i="25"/>
  <c r="O145" i="25"/>
  <c r="R145" i="25"/>
  <c r="O195" i="31"/>
  <c r="M196" i="31"/>
  <c r="L197" i="31"/>
  <c r="J198" i="31"/>
  <c r="K198" i="31" s="1"/>
  <c r="P195" i="31"/>
  <c r="N196" i="31"/>
  <c r="G146" i="25" l="1"/>
  <c r="D146" i="25"/>
  <c r="P146" i="25"/>
  <c r="C146" i="25"/>
  <c r="O146" i="25"/>
  <c r="B147" i="25"/>
  <c r="M146" i="25"/>
  <c r="J146" i="25"/>
  <c r="E146" i="25"/>
  <c r="K146" i="25"/>
  <c r="H146" i="25"/>
  <c r="I146" i="25"/>
  <c r="F146" i="25"/>
  <c r="N146" i="25"/>
  <c r="L146" i="25"/>
  <c r="Q146" i="25"/>
  <c r="R146" i="25"/>
  <c r="O196" i="31"/>
  <c r="M197" i="31"/>
  <c r="L198" i="31"/>
  <c r="J199" i="31"/>
  <c r="K199" i="31" s="1"/>
  <c r="N197" i="31"/>
  <c r="P196" i="31"/>
  <c r="F147" i="25" l="1"/>
  <c r="Q147" i="25"/>
  <c r="E147" i="25"/>
  <c r="C147" i="25"/>
  <c r="J147" i="25"/>
  <c r="P147" i="25"/>
  <c r="I147" i="25"/>
  <c r="N147" i="25"/>
  <c r="D147" i="25"/>
  <c r="L147" i="25"/>
  <c r="B148" i="25"/>
  <c r="G147" i="25"/>
  <c r="M147" i="25"/>
  <c r="K147" i="25"/>
  <c r="H147" i="25"/>
  <c r="O147" i="25"/>
  <c r="R147" i="25"/>
  <c r="O197" i="31"/>
  <c r="M198" i="31"/>
  <c r="L199" i="31"/>
  <c r="J200" i="31"/>
  <c r="K200" i="31" s="1"/>
  <c r="P197" i="31"/>
  <c r="N198" i="31"/>
  <c r="G148" i="25" l="1"/>
  <c r="L148" i="25"/>
  <c r="O148" i="25"/>
  <c r="E148" i="25"/>
  <c r="Q148" i="25"/>
  <c r="C148" i="25"/>
  <c r="P148" i="25"/>
  <c r="B149" i="25"/>
  <c r="N148" i="25"/>
  <c r="D148" i="25"/>
  <c r="J148" i="25"/>
  <c r="M148" i="25"/>
  <c r="K148" i="25"/>
  <c r="F148" i="25"/>
  <c r="I148" i="25"/>
  <c r="H148" i="25"/>
  <c r="R148" i="25"/>
  <c r="O198" i="31"/>
  <c r="M199" i="31"/>
  <c r="L200" i="31"/>
  <c r="J201" i="31"/>
  <c r="K201" i="31" s="1"/>
  <c r="N199" i="31"/>
  <c r="P198" i="31"/>
  <c r="G149" i="25" l="1"/>
  <c r="N149" i="25"/>
  <c r="C149" i="25"/>
  <c r="K149" i="25"/>
  <c r="E149" i="25"/>
  <c r="D149" i="25"/>
  <c r="B150" i="25"/>
  <c r="H149" i="25"/>
  <c r="L149" i="25"/>
  <c r="Q149" i="25"/>
  <c r="M149" i="25"/>
  <c r="I149" i="25"/>
  <c r="P149" i="25"/>
  <c r="J149" i="25"/>
  <c r="F149" i="25"/>
  <c r="O149" i="25"/>
  <c r="R149" i="25"/>
  <c r="O199" i="31"/>
  <c r="M200" i="31"/>
  <c r="L201" i="31"/>
  <c r="J202" i="31"/>
  <c r="K202" i="31" s="1"/>
  <c r="P199" i="31"/>
  <c r="N200" i="31"/>
  <c r="I150" i="25" l="1"/>
  <c r="O150" i="25"/>
  <c r="G150" i="25"/>
  <c r="C150" i="25"/>
  <c r="E150" i="25"/>
  <c r="L150" i="25"/>
  <c r="B151" i="25"/>
  <c r="J150" i="25"/>
  <c r="P150" i="25"/>
  <c r="N150" i="25"/>
  <c r="D150" i="25"/>
  <c r="Q150" i="25"/>
  <c r="H150" i="25"/>
  <c r="F150" i="25"/>
  <c r="K150" i="25"/>
  <c r="M150" i="25"/>
  <c r="R150" i="25"/>
  <c r="O200" i="31"/>
  <c r="M201" i="31"/>
  <c r="L202" i="31"/>
  <c r="J203" i="31"/>
  <c r="K203" i="31" s="1"/>
  <c r="P200" i="31"/>
  <c r="N201" i="31"/>
  <c r="F151" i="25" l="1"/>
  <c r="M151" i="25"/>
  <c r="D151" i="25"/>
  <c r="L151" i="25"/>
  <c r="B152" i="25"/>
  <c r="K151" i="25"/>
  <c r="J151" i="25"/>
  <c r="O151" i="25"/>
  <c r="H151" i="25"/>
  <c r="P151" i="25"/>
  <c r="Q151" i="25"/>
  <c r="I151" i="25"/>
  <c r="G151" i="25"/>
  <c r="N151" i="25"/>
  <c r="E151" i="25"/>
  <c r="C151" i="25"/>
  <c r="R151" i="25"/>
  <c r="O201" i="31"/>
  <c r="M202" i="31"/>
  <c r="L203" i="31"/>
  <c r="J204" i="31"/>
  <c r="K204" i="31" s="1"/>
  <c r="P201" i="31"/>
  <c r="N202" i="31"/>
  <c r="E152" i="25" l="1"/>
  <c r="C152" i="25"/>
  <c r="J152" i="25"/>
  <c r="P152" i="25"/>
  <c r="D152" i="25"/>
  <c r="L152" i="25"/>
  <c r="B153" i="25"/>
  <c r="K152" i="25"/>
  <c r="H152" i="25"/>
  <c r="O152" i="25"/>
  <c r="F152" i="25"/>
  <c r="G152" i="25"/>
  <c r="N152" i="25"/>
  <c r="M152" i="25"/>
  <c r="Q152" i="25"/>
  <c r="I152" i="25"/>
  <c r="R152" i="25"/>
  <c r="O202" i="31"/>
  <c r="M203" i="31"/>
  <c r="L204" i="31"/>
  <c r="J205" i="31"/>
  <c r="K205" i="31" s="1"/>
  <c r="P202" i="31"/>
  <c r="N203" i="31"/>
  <c r="E153" i="25" l="1"/>
  <c r="M153" i="25"/>
  <c r="D153" i="25"/>
  <c r="L153" i="25"/>
  <c r="C153" i="25"/>
  <c r="K153" i="25"/>
  <c r="B154" i="25"/>
  <c r="J153" i="25"/>
  <c r="I153" i="25"/>
  <c r="P153" i="25"/>
  <c r="Q153" i="25"/>
  <c r="G153" i="25"/>
  <c r="O153" i="25"/>
  <c r="H153" i="25"/>
  <c r="F153" i="25"/>
  <c r="N153" i="25"/>
  <c r="R153" i="25"/>
  <c r="O203" i="31"/>
  <c r="M204" i="31"/>
  <c r="L205" i="31"/>
  <c r="J206" i="31"/>
  <c r="K206" i="31" s="1"/>
  <c r="P203" i="31"/>
  <c r="N204" i="31"/>
  <c r="F154" i="25" l="1"/>
  <c r="E154" i="25"/>
  <c r="D154" i="25"/>
  <c r="P154" i="25"/>
  <c r="L154" i="25"/>
  <c r="C154" i="25"/>
  <c r="O154" i="25"/>
  <c r="B155" i="25"/>
  <c r="J154" i="25"/>
  <c r="I154" i="25"/>
  <c r="M154" i="25"/>
  <c r="Q154" i="25"/>
  <c r="K154" i="25"/>
  <c r="H154" i="25"/>
  <c r="G154" i="25"/>
  <c r="N154" i="25"/>
  <c r="R154" i="25"/>
  <c r="O204" i="31"/>
  <c r="M205" i="31"/>
  <c r="L206" i="31"/>
  <c r="J207" i="31"/>
  <c r="K207" i="31" s="1"/>
  <c r="N205" i="31"/>
  <c r="P204" i="31"/>
  <c r="F155" i="25" l="1"/>
  <c r="N155" i="25"/>
  <c r="L155" i="25"/>
  <c r="B156" i="25"/>
  <c r="K155" i="25"/>
  <c r="E155" i="25"/>
  <c r="C155" i="25"/>
  <c r="D155" i="25"/>
  <c r="I155" i="25"/>
  <c r="H155" i="25"/>
  <c r="M155" i="25"/>
  <c r="J155" i="25"/>
  <c r="Q155" i="25"/>
  <c r="O155" i="25"/>
  <c r="G155" i="25"/>
  <c r="P155" i="25"/>
  <c r="R155" i="25"/>
  <c r="O205" i="31"/>
  <c r="M206" i="31"/>
  <c r="L207" i="31"/>
  <c r="J208" i="31"/>
  <c r="K208" i="31" s="1"/>
  <c r="N206" i="31"/>
  <c r="P205" i="31"/>
  <c r="F156" i="25" l="1"/>
  <c r="Q156" i="25"/>
  <c r="P156" i="25"/>
  <c r="N156" i="25"/>
  <c r="D156" i="25"/>
  <c r="M156" i="25"/>
  <c r="G156" i="25"/>
  <c r="C156" i="25"/>
  <c r="O156" i="25"/>
  <c r="B157" i="25"/>
  <c r="E156" i="25"/>
  <c r="J156" i="25"/>
  <c r="I156" i="25"/>
  <c r="H156" i="25"/>
  <c r="K156" i="25"/>
  <c r="L156" i="25"/>
  <c r="R156" i="25"/>
  <c r="O206" i="31"/>
  <c r="M207" i="31"/>
  <c r="L208" i="31"/>
  <c r="J209" i="31"/>
  <c r="K209" i="31" s="1"/>
  <c r="N207" i="31"/>
  <c r="P206" i="31"/>
  <c r="H157" i="25" l="1"/>
  <c r="O157" i="25"/>
  <c r="J157" i="25"/>
  <c r="L157" i="25"/>
  <c r="P157" i="25"/>
  <c r="F157" i="25"/>
  <c r="M157" i="25"/>
  <c r="D157" i="25"/>
  <c r="C157" i="25"/>
  <c r="B158" i="25"/>
  <c r="I157" i="25"/>
  <c r="N157" i="25"/>
  <c r="E157" i="25"/>
  <c r="K157" i="25"/>
  <c r="Q157" i="25"/>
  <c r="G157" i="25"/>
  <c r="R157" i="25"/>
  <c r="O207" i="31"/>
  <c r="M208" i="31"/>
  <c r="L209" i="31"/>
  <c r="J210" i="31"/>
  <c r="K210" i="31" s="1"/>
  <c r="N208" i="31"/>
  <c r="P207" i="31"/>
  <c r="H158" i="25" l="1"/>
  <c r="C158" i="25"/>
  <c r="B159" i="25"/>
  <c r="I158" i="25"/>
  <c r="G158" i="25"/>
  <c r="Q158" i="25"/>
  <c r="F158" i="25"/>
  <c r="P158" i="25"/>
  <c r="D158" i="25"/>
  <c r="K158" i="25"/>
  <c r="N158" i="25"/>
  <c r="E158" i="25"/>
  <c r="J158" i="25"/>
  <c r="M158" i="25"/>
  <c r="L158" i="25"/>
  <c r="O158" i="25"/>
  <c r="R158" i="25"/>
  <c r="O208" i="31"/>
  <c r="M209" i="31"/>
  <c r="L210" i="31"/>
  <c r="J211" i="31"/>
  <c r="K211" i="31" s="1"/>
  <c r="P208" i="31"/>
  <c r="N209" i="31"/>
  <c r="F159" i="25" l="1"/>
  <c r="O159" i="25"/>
  <c r="E159" i="25"/>
  <c r="C159" i="25"/>
  <c r="D159" i="25"/>
  <c r="L159" i="25"/>
  <c r="B160" i="25"/>
  <c r="J159" i="25"/>
  <c r="P159" i="25"/>
  <c r="N159" i="25"/>
  <c r="H159" i="25"/>
  <c r="Q159" i="25"/>
  <c r="G159" i="25"/>
  <c r="M159" i="25"/>
  <c r="K159" i="25"/>
  <c r="I159" i="25"/>
  <c r="R159" i="25"/>
  <c r="O209" i="31"/>
  <c r="M210" i="31"/>
  <c r="L211" i="31"/>
  <c r="J212" i="31"/>
  <c r="K212" i="31" s="1"/>
  <c r="N210" i="31"/>
  <c r="P209" i="31"/>
  <c r="F160" i="25" l="1"/>
  <c r="M160" i="25"/>
  <c r="E160" i="25"/>
  <c r="J160" i="25"/>
  <c r="I160" i="25"/>
  <c r="C160" i="25"/>
  <c r="Q160" i="25"/>
  <c r="D160" i="25"/>
  <c r="L160" i="25"/>
  <c r="B161" i="25"/>
  <c r="K160" i="25"/>
  <c r="H160" i="25"/>
  <c r="O160" i="25"/>
  <c r="G160" i="25"/>
  <c r="N160" i="25"/>
  <c r="P160" i="25"/>
  <c r="R160" i="25"/>
  <c r="O210" i="31"/>
  <c r="M211" i="31"/>
  <c r="L212" i="31"/>
  <c r="J213" i="31"/>
  <c r="K213" i="31" s="1"/>
  <c r="N211" i="31"/>
  <c r="P210" i="31"/>
  <c r="E161" i="25" l="1"/>
  <c r="M161" i="25"/>
  <c r="C161" i="25"/>
  <c r="K161" i="25"/>
  <c r="B162" i="25"/>
  <c r="D161" i="25"/>
  <c r="L161" i="25"/>
  <c r="J161" i="25"/>
  <c r="I161" i="25"/>
  <c r="H161" i="25"/>
  <c r="G161" i="25"/>
  <c r="O161" i="25"/>
  <c r="F161" i="25"/>
  <c r="N161" i="25"/>
  <c r="Q161" i="25"/>
  <c r="P161" i="25"/>
  <c r="R161" i="25"/>
  <c r="O211" i="31"/>
  <c r="M212" i="31"/>
  <c r="L213" i="31"/>
  <c r="J214" i="31"/>
  <c r="K214" i="31" s="1"/>
  <c r="N212" i="31"/>
  <c r="P211" i="31"/>
  <c r="G162" i="25" l="1"/>
  <c r="D162" i="25"/>
  <c r="E162" i="25"/>
  <c r="Q162" i="25"/>
  <c r="M162" i="25"/>
  <c r="J162" i="25"/>
  <c r="C162" i="25"/>
  <c r="P162" i="25"/>
  <c r="B163" i="25"/>
  <c r="K162" i="25"/>
  <c r="H162" i="25"/>
  <c r="L162" i="25"/>
  <c r="I162" i="25"/>
  <c r="F162" i="25"/>
  <c r="O162" i="25"/>
  <c r="N162" i="25"/>
  <c r="R162" i="25"/>
  <c r="O212" i="31"/>
  <c r="M213" i="31"/>
  <c r="L214" i="31"/>
  <c r="J215" i="31"/>
  <c r="K215" i="31" s="1"/>
  <c r="P212" i="31"/>
  <c r="N213" i="31"/>
  <c r="F163" i="25" l="1"/>
  <c r="C163" i="25"/>
  <c r="D163" i="25"/>
  <c r="B164" i="25"/>
  <c r="K163" i="25"/>
  <c r="E163" i="25"/>
  <c r="M163" i="25"/>
  <c r="J163" i="25"/>
  <c r="I163" i="25"/>
  <c r="L163" i="25"/>
  <c r="H163" i="25"/>
  <c r="Q163" i="25"/>
  <c r="G163" i="25"/>
  <c r="O163" i="25"/>
  <c r="P163" i="25"/>
  <c r="N163" i="25"/>
  <c r="R163" i="25"/>
  <c r="O213" i="31"/>
  <c r="M214" i="31"/>
  <c r="L215" i="31"/>
  <c r="J216" i="31"/>
  <c r="K216" i="31" s="1"/>
  <c r="P213" i="31"/>
  <c r="N214" i="31"/>
  <c r="G164" i="25" l="1"/>
  <c r="D164" i="25"/>
  <c r="O164" i="25"/>
  <c r="E164" i="25"/>
  <c r="Q164" i="25"/>
  <c r="M164" i="25"/>
  <c r="C164" i="25"/>
  <c r="P164" i="25"/>
  <c r="B165" i="25"/>
  <c r="H164" i="25"/>
  <c r="K164" i="25"/>
  <c r="F164" i="25"/>
  <c r="N164" i="25"/>
  <c r="L164" i="25"/>
  <c r="I164" i="25"/>
  <c r="J164" i="25"/>
  <c r="R164" i="25"/>
  <c r="O214" i="31"/>
  <c r="M215" i="31"/>
  <c r="L216" i="31"/>
  <c r="J217" i="31"/>
  <c r="K217" i="31" s="1"/>
  <c r="P215" i="31"/>
  <c r="P214" i="31"/>
  <c r="E165" i="25" l="1"/>
  <c r="D165" i="25"/>
  <c r="F165" i="25"/>
  <c r="H165" i="25"/>
  <c r="M165" i="25"/>
  <c r="Q165" i="25"/>
  <c r="C165" i="25"/>
  <c r="P165" i="25"/>
  <c r="L165" i="25"/>
  <c r="G165" i="25"/>
  <c r="N165" i="25"/>
  <c r="B166" i="25"/>
  <c r="K165" i="25"/>
  <c r="O165" i="25"/>
  <c r="I165" i="25"/>
  <c r="J165" i="25"/>
  <c r="R165" i="25"/>
  <c r="M216" i="31"/>
  <c r="L217" i="31"/>
  <c r="J218" i="31"/>
  <c r="K218" i="31" s="1"/>
  <c r="N216" i="31"/>
  <c r="N215" i="31"/>
  <c r="I166" i="25" l="1"/>
  <c r="C166" i="25"/>
  <c r="H166" i="25"/>
  <c r="O166" i="25"/>
  <c r="M166" i="25"/>
  <c r="G166" i="25"/>
  <c r="L166" i="25"/>
  <c r="F166" i="25"/>
  <c r="D166" i="25"/>
  <c r="N166" i="25"/>
  <c r="E166" i="25"/>
  <c r="J166" i="25"/>
  <c r="B167" i="25"/>
  <c r="P166" i="25"/>
  <c r="K166" i="25"/>
  <c r="Q166" i="25"/>
  <c r="R166" i="25"/>
  <c r="O215" i="31"/>
  <c r="O216" i="31"/>
  <c r="M217" i="31"/>
  <c r="L218" i="31"/>
  <c r="J219" i="31"/>
  <c r="K219" i="31" s="1"/>
  <c r="N217" i="31"/>
  <c r="P216" i="31"/>
  <c r="F167" i="25" l="1"/>
  <c r="C167" i="25"/>
  <c r="J167" i="25"/>
  <c r="I167" i="25"/>
  <c r="O167" i="25"/>
  <c r="E167" i="25"/>
  <c r="M167" i="25"/>
  <c r="D167" i="25"/>
  <c r="L167" i="25"/>
  <c r="B168" i="25"/>
  <c r="K167" i="25"/>
  <c r="P167" i="25"/>
  <c r="G167" i="25"/>
  <c r="N167" i="25"/>
  <c r="Q167" i="25"/>
  <c r="H167" i="25"/>
  <c r="R167" i="25"/>
  <c r="O217" i="31"/>
  <c r="M218" i="31"/>
  <c r="L219" i="31"/>
  <c r="J220" i="31"/>
  <c r="K220" i="31" s="1"/>
  <c r="P217" i="31"/>
  <c r="C9" i="25"/>
  <c r="N218" i="31"/>
  <c r="F168" i="25" l="1"/>
  <c r="C168" i="25"/>
  <c r="H168" i="25"/>
  <c r="N168" i="25"/>
  <c r="E168" i="25"/>
  <c r="M168" i="25"/>
  <c r="O168" i="25"/>
  <c r="G168" i="25"/>
  <c r="D168" i="25"/>
  <c r="L168" i="25"/>
  <c r="B169" i="25"/>
  <c r="K168" i="25"/>
  <c r="J168" i="25"/>
  <c r="Q168" i="25"/>
  <c r="I168" i="25"/>
  <c r="P168" i="25"/>
  <c r="R168" i="25"/>
  <c r="O218" i="31"/>
  <c r="M219" i="31"/>
  <c r="L220" i="31"/>
  <c r="J221" i="31"/>
  <c r="K221" i="31" s="1"/>
  <c r="P218" i="31"/>
  <c r="N219" i="31"/>
  <c r="E169" i="25" l="1"/>
  <c r="M169" i="25"/>
  <c r="Q169" i="25"/>
  <c r="P169" i="25"/>
  <c r="G169" i="25"/>
  <c r="O169" i="25"/>
  <c r="N169" i="25"/>
  <c r="D169" i="25"/>
  <c r="L169" i="25"/>
  <c r="C169" i="25"/>
  <c r="K169" i="25"/>
  <c r="B170" i="25"/>
  <c r="J169" i="25"/>
  <c r="I169" i="25"/>
  <c r="H169" i="25"/>
  <c r="F169" i="25"/>
  <c r="R169" i="25"/>
  <c r="O219" i="31"/>
  <c r="M220" i="31"/>
  <c r="L221" i="31"/>
  <c r="J222" i="31"/>
  <c r="K222" i="31" s="1"/>
  <c r="P219" i="31"/>
  <c r="N220" i="31"/>
  <c r="F170" i="25" l="1"/>
  <c r="G170" i="25"/>
  <c r="O170" i="25"/>
  <c r="N170" i="25"/>
  <c r="Q170" i="25"/>
  <c r="D170" i="25"/>
  <c r="E170" i="25"/>
  <c r="J170" i="25"/>
  <c r="K170" i="25"/>
  <c r="C170" i="25"/>
  <c r="B171" i="25"/>
  <c r="M170" i="25"/>
  <c r="L170" i="25"/>
  <c r="H170" i="25"/>
  <c r="I170" i="25"/>
  <c r="P170" i="25"/>
  <c r="R170" i="25"/>
  <c r="O220" i="31"/>
  <c r="M221" i="31"/>
  <c r="L222" i="31"/>
  <c r="J223" i="31"/>
  <c r="K223" i="31" s="1"/>
  <c r="P220" i="31"/>
  <c r="N221" i="31"/>
  <c r="F171" i="25" l="1"/>
  <c r="C171" i="25"/>
  <c r="M171" i="25"/>
  <c r="E171" i="25"/>
  <c r="Q171" i="25"/>
  <c r="O171" i="25"/>
  <c r="G171" i="25"/>
  <c r="N171" i="25"/>
  <c r="D171" i="25"/>
  <c r="L171" i="25"/>
  <c r="B172" i="25"/>
  <c r="K171" i="25"/>
  <c r="J171" i="25"/>
  <c r="I171" i="25"/>
  <c r="H171" i="25"/>
  <c r="P171" i="25"/>
  <c r="R171" i="25"/>
  <c r="O221" i="31"/>
  <c r="M222" i="31"/>
  <c r="L223" i="31"/>
  <c r="J224" i="31"/>
  <c r="K224" i="31" s="1"/>
  <c r="N222" i="31"/>
  <c r="P221" i="31"/>
  <c r="F172" i="25" l="1"/>
  <c r="K172" i="25"/>
  <c r="L172" i="25"/>
  <c r="M172" i="25"/>
  <c r="E172" i="25"/>
  <c r="D172" i="25"/>
  <c r="Q172" i="25"/>
  <c r="C172" i="25"/>
  <c r="P172" i="25"/>
  <c r="B173" i="25"/>
  <c r="O172" i="25"/>
  <c r="N172" i="25"/>
  <c r="G172" i="25"/>
  <c r="J172" i="25"/>
  <c r="I172" i="25"/>
  <c r="H172" i="25"/>
  <c r="R172" i="25"/>
  <c r="O222" i="31"/>
  <c r="M223" i="31"/>
  <c r="L224" i="31"/>
  <c r="J225" i="31"/>
  <c r="K225" i="31" s="1"/>
  <c r="N223" i="31"/>
  <c r="P222" i="31"/>
  <c r="F173" i="25" l="1"/>
  <c r="O173" i="25"/>
  <c r="M173" i="25"/>
  <c r="I173" i="25"/>
  <c r="K173" i="25"/>
  <c r="J173" i="25"/>
  <c r="N173" i="25"/>
  <c r="C173" i="25"/>
  <c r="D173" i="25"/>
  <c r="L173" i="25"/>
  <c r="H173" i="25"/>
  <c r="G173" i="25"/>
  <c r="B174" i="25"/>
  <c r="P173" i="25"/>
  <c r="E173" i="25"/>
  <c r="Q173" i="25"/>
  <c r="R173" i="25"/>
  <c r="O223" i="31"/>
  <c r="M224" i="31"/>
  <c r="L225" i="31"/>
  <c r="J226" i="31"/>
  <c r="K226" i="31" s="1"/>
  <c r="P223" i="31"/>
  <c r="N224" i="31"/>
  <c r="H174" i="25" l="1"/>
  <c r="N174" i="25"/>
  <c r="B175" i="25"/>
  <c r="O174" i="25"/>
  <c r="J174" i="25"/>
  <c r="F174" i="25"/>
  <c r="M174" i="25"/>
  <c r="Q174" i="25"/>
  <c r="L174" i="25"/>
  <c r="C174" i="25"/>
  <c r="D174" i="25"/>
  <c r="K174" i="25"/>
  <c r="I174" i="25"/>
  <c r="G174" i="25"/>
  <c r="E174" i="25"/>
  <c r="P174" i="25"/>
  <c r="R174" i="25"/>
  <c r="O224" i="31"/>
  <c r="M225" i="31"/>
  <c r="L226" i="31"/>
  <c r="J227" i="31"/>
  <c r="K227" i="31" s="1"/>
  <c r="P224" i="31"/>
  <c r="N225" i="31"/>
  <c r="F175" i="25" l="1"/>
  <c r="C175" i="25"/>
  <c r="L175" i="25"/>
  <c r="I175" i="25"/>
  <c r="E175" i="25"/>
  <c r="M175" i="25"/>
  <c r="J175" i="25"/>
  <c r="D175" i="25"/>
  <c r="B176" i="25"/>
  <c r="K175" i="25"/>
  <c r="Q175" i="25"/>
  <c r="O175" i="25"/>
  <c r="H175" i="25"/>
  <c r="P175" i="25"/>
  <c r="G175" i="25"/>
  <c r="N175" i="25"/>
  <c r="R175" i="25"/>
  <c r="O225" i="31"/>
  <c r="M226" i="31"/>
  <c r="L227" i="31"/>
  <c r="J228" i="31"/>
  <c r="K228" i="31" s="1"/>
  <c r="N226" i="31"/>
  <c r="P225" i="31"/>
  <c r="F176" i="25" l="1"/>
  <c r="C176" i="25"/>
  <c r="K176" i="25"/>
  <c r="J176" i="25"/>
  <c r="I176" i="25"/>
  <c r="E176" i="25"/>
  <c r="M176" i="25"/>
  <c r="G176" i="25"/>
  <c r="D176" i="25"/>
  <c r="L176" i="25"/>
  <c r="B177" i="25"/>
  <c r="Q176" i="25"/>
  <c r="P176" i="25"/>
  <c r="H176" i="25"/>
  <c r="O176" i="25"/>
  <c r="N176" i="25"/>
  <c r="R176" i="25"/>
  <c r="O226" i="31"/>
  <c r="M227" i="31"/>
  <c r="L228" i="31"/>
  <c r="J229" i="31"/>
  <c r="K229" i="31" s="1"/>
  <c r="P226" i="31"/>
  <c r="N227" i="31"/>
  <c r="E177" i="25" l="1"/>
  <c r="M177" i="25"/>
  <c r="J177" i="25"/>
  <c r="I177" i="25"/>
  <c r="Q177" i="25"/>
  <c r="P177" i="25"/>
  <c r="N177" i="25"/>
  <c r="D177" i="25"/>
  <c r="L177" i="25"/>
  <c r="C177" i="25"/>
  <c r="K177" i="25"/>
  <c r="B178" i="25"/>
  <c r="H177" i="25"/>
  <c r="F177" i="25"/>
  <c r="G177" i="25"/>
  <c r="O177" i="25"/>
  <c r="R177" i="25"/>
  <c r="O227" i="31"/>
  <c r="M228" i="31"/>
  <c r="L229" i="31"/>
  <c r="J230" i="31"/>
  <c r="K230" i="31" s="1"/>
  <c r="N228" i="31"/>
  <c r="P227" i="31"/>
  <c r="G178" i="25" l="1"/>
  <c r="D178" i="25"/>
  <c r="M178" i="25"/>
  <c r="J178" i="25"/>
  <c r="K178" i="25"/>
  <c r="H178" i="25"/>
  <c r="C178" i="25"/>
  <c r="O178" i="25"/>
  <c r="B179" i="25"/>
  <c r="I178" i="25"/>
  <c r="F178" i="25"/>
  <c r="E178" i="25"/>
  <c r="P178" i="25"/>
  <c r="N178" i="25"/>
  <c r="Q178" i="25"/>
  <c r="L178" i="25"/>
  <c r="R178" i="25"/>
  <c r="O228" i="31"/>
  <c r="M229" i="31"/>
  <c r="L230" i="31"/>
  <c r="J231" i="31"/>
  <c r="K231" i="31" s="1"/>
  <c r="N229" i="31"/>
  <c r="P228" i="31"/>
  <c r="F179" i="25" l="1"/>
  <c r="C179" i="25"/>
  <c r="E179" i="25"/>
  <c r="I179" i="25"/>
  <c r="P179" i="25"/>
  <c r="H179" i="25"/>
  <c r="N179" i="25"/>
  <c r="D179" i="25"/>
  <c r="L179" i="25"/>
  <c r="B180" i="25"/>
  <c r="J179" i="25"/>
  <c r="G179" i="25"/>
  <c r="O179" i="25"/>
  <c r="M179" i="25"/>
  <c r="K179" i="25"/>
  <c r="Q179" i="25"/>
  <c r="R179" i="25"/>
  <c r="O229" i="31"/>
  <c r="M230" i="31"/>
  <c r="L231" i="31"/>
  <c r="J232" i="31"/>
  <c r="K232" i="31" s="1"/>
  <c r="P229" i="31"/>
  <c r="N230" i="31"/>
  <c r="G180" i="25" l="1"/>
  <c r="J180" i="25"/>
  <c r="D180" i="25"/>
  <c r="H180" i="25"/>
  <c r="E180" i="25"/>
  <c r="Q180" i="25"/>
  <c r="I180" i="25"/>
  <c r="C180" i="25"/>
  <c r="P180" i="25"/>
  <c r="B181" i="25"/>
  <c r="O180" i="25"/>
  <c r="N180" i="25"/>
  <c r="M180" i="25"/>
  <c r="K180" i="25"/>
  <c r="L180" i="25"/>
  <c r="F180" i="25"/>
  <c r="R180" i="25"/>
  <c r="O230" i="31"/>
  <c r="M231" i="31"/>
  <c r="L232" i="31"/>
  <c r="J233" i="31"/>
  <c r="K233" i="31" s="1"/>
  <c r="N231" i="31"/>
  <c r="P230" i="31"/>
  <c r="E181" i="25" l="1"/>
  <c r="F181" i="25"/>
  <c r="I181" i="25"/>
  <c r="N181" i="25"/>
  <c r="B182" i="25"/>
  <c r="C181" i="25"/>
  <c r="P181" i="25"/>
  <c r="D181" i="25"/>
  <c r="Q181" i="25"/>
  <c r="O181" i="25"/>
  <c r="J181" i="25"/>
  <c r="H181" i="25"/>
  <c r="K181" i="25"/>
  <c r="G181" i="25"/>
  <c r="L181" i="25"/>
  <c r="M181" i="25"/>
  <c r="R181" i="25"/>
  <c r="O231" i="31"/>
  <c r="M232" i="31"/>
  <c r="L233" i="31"/>
  <c r="J234" i="31"/>
  <c r="K234" i="31" s="1"/>
  <c r="N232" i="31"/>
  <c r="P231" i="31"/>
  <c r="I182" i="25" l="1"/>
  <c r="C182" i="25"/>
  <c r="E182" i="25"/>
  <c r="B183" i="25"/>
  <c r="G182" i="25"/>
  <c r="L182" i="25"/>
  <c r="J182" i="25"/>
  <c r="D182" i="25"/>
  <c r="P182" i="25"/>
  <c r="K182" i="25"/>
  <c r="O182" i="25"/>
  <c r="H182" i="25"/>
  <c r="F182" i="25"/>
  <c r="M182" i="25"/>
  <c r="N182" i="25"/>
  <c r="Q182" i="25"/>
  <c r="R182" i="25"/>
  <c r="O232" i="31"/>
  <c r="M233" i="31"/>
  <c r="L234" i="31"/>
  <c r="J235" i="31"/>
  <c r="K235" i="31" s="1"/>
  <c r="P233" i="31"/>
  <c r="P232" i="31"/>
  <c r="F183" i="25" l="1"/>
  <c r="C183" i="25"/>
  <c r="B184" i="25"/>
  <c r="Q183" i="25"/>
  <c r="E183" i="25"/>
  <c r="M183" i="25"/>
  <c r="J183" i="25"/>
  <c r="H183" i="25"/>
  <c r="N183" i="25"/>
  <c r="I183" i="25"/>
  <c r="G183" i="25"/>
  <c r="P183" i="25"/>
  <c r="D183" i="25"/>
  <c r="L183" i="25"/>
  <c r="K183" i="25"/>
  <c r="O183" i="25"/>
  <c r="R183" i="25"/>
  <c r="M234" i="31"/>
  <c r="L235" i="31"/>
  <c r="J236" i="31"/>
  <c r="K236" i="31" s="1"/>
  <c r="N233" i="31"/>
  <c r="N234" i="31"/>
  <c r="F184" i="25" l="1"/>
  <c r="C184" i="25"/>
  <c r="D184" i="25"/>
  <c r="L184" i="25"/>
  <c r="B185" i="25"/>
  <c r="E184" i="25"/>
  <c r="M184" i="25"/>
  <c r="I184" i="25"/>
  <c r="P184" i="25"/>
  <c r="H184" i="25"/>
  <c r="O184" i="25"/>
  <c r="G184" i="25"/>
  <c r="N184" i="25"/>
  <c r="K184" i="25"/>
  <c r="J184" i="25"/>
  <c r="Q184" i="25"/>
  <c r="R184" i="25"/>
  <c r="O233" i="31"/>
  <c r="O234" i="31"/>
  <c r="M235" i="31"/>
  <c r="L236" i="31"/>
  <c r="J237" i="31"/>
  <c r="K237" i="31" s="1"/>
  <c r="P234" i="31"/>
  <c r="N235" i="31"/>
  <c r="E185" i="25" l="1"/>
  <c r="M185" i="25"/>
  <c r="C185" i="25"/>
  <c r="K185" i="25"/>
  <c r="D185" i="25"/>
  <c r="L185" i="25"/>
  <c r="H185" i="25"/>
  <c r="P185" i="25"/>
  <c r="G185" i="25"/>
  <c r="O185" i="25"/>
  <c r="J185" i="25"/>
  <c r="I185" i="25"/>
  <c r="Q185" i="25"/>
  <c r="F185" i="25"/>
  <c r="N185" i="25"/>
  <c r="B186" i="25"/>
  <c r="R185" i="25"/>
  <c r="O235" i="31"/>
  <c r="M236" i="31"/>
  <c r="L237" i="31"/>
  <c r="J238" i="31"/>
  <c r="K238" i="31" s="1"/>
  <c r="N236" i="31"/>
  <c r="P235" i="31"/>
  <c r="F186" i="25" l="1"/>
  <c r="E186" i="25"/>
  <c r="M186" i="25"/>
  <c r="J186" i="25"/>
  <c r="I186" i="25"/>
  <c r="D186" i="25"/>
  <c r="Q186" i="25"/>
  <c r="O186" i="25"/>
  <c r="N186" i="25"/>
  <c r="L186" i="25"/>
  <c r="K186" i="25"/>
  <c r="H186" i="25"/>
  <c r="G186" i="25"/>
  <c r="C186" i="25"/>
  <c r="P186" i="25"/>
  <c r="B187" i="25"/>
  <c r="R186" i="25"/>
  <c r="O236" i="31"/>
  <c r="M237" i="31"/>
  <c r="L238" i="31"/>
  <c r="J239" i="31"/>
  <c r="K239" i="31" s="1"/>
  <c r="P236" i="31"/>
  <c r="N237" i="31"/>
  <c r="F187" i="25" l="1"/>
  <c r="C187" i="25"/>
  <c r="D187" i="25"/>
  <c r="B188" i="25"/>
  <c r="O187" i="25"/>
  <c r="E187" i="25"/>
  <c r="M187" i="25"/>
  <c r="J187" i="25"/>
  <c r="K187" i="25"/>
  <c r="I187" i="25"/>
  <c r="H187" i="25"/>
  <c r="P187" i="25"/>
  <c r="G187" i="25"/>
  <c r="N187" i="25"/>
  <c r="L187" i="25"/>
  <c r="Q187" i="25"/>
  <c r="R187" i="25"/>
  <c r="O237" i="31"/>
  <c r="M238" i="31"/>
  <c r="L239" i="31"/>
  <c r="J240" i="31"/>
  <c r="K240" i="31" s="1"/>
  <c r="P237" i="31"/>
  <c r="N238" i="31"/>
  <c r="F188" i="25" l="1"/>
  <c r="E188" i="25"/>
  <c r="C188" i="25"/>
  <c r="P188" i="25"/>
  <c r="B189" i="25"/>
  <c r="N188" i="25"/>
  <c r="M188" i="25"/>
  <c r="D188" i="25"/>
  <c r="Q188" i="25"/>
  <c r="O188" i="25"/>
  <c r="L188" i="25"/>
  <c r="J188" i="25"/>
  <c r="G188" i="25"/>
  <c r="H188" i="25"/>
  <c r="K188" i="25"/>
  <c r="I188" i="25"/>
  <c r="R188" i="25"/>
  <c r="O238" i="31"/>
  <c r="M239" i="31"/>
  <c r="L240" i="31"/>
  <c r="J241" i="31"/>
  <c r="K241" i="31" s="1"/>
  <c r="N239" i="31"/>
  <c r="P238" i="31"/>
  <c r="H189" i="25" l="1"/>
  <c r="G189" i="25"/>
  <c r="F189" i="25"/>
  <c r="Q189" i="25"/>
  <c r="C189" i="25"/>
  <c r="K189" i="25"/>
  <c r="P189" i="25"/>
  <c r="N189" i="25"/>
  <c r="E189" i="25"/>
  <c r="M189" i="25"/>
  <c r="L189" i="25"/>
  <c r="D189" i="25"/>
  <c r="O189" i="25"/>
  <c r="B190" i="25"/>
  <c r="I189" i="25"/>
  <c r="J189" i="25"/>
  <c r="R189" i="25"/>
  <c r="O239" i="31"/>
  <c r="M240" i="31"/>
  <c r="L241" i="31"/>
  <c r="J242" i="31"/>
  <c r="K242" i="31" s="1"/>
  <c r="P239" i="31"/>
  <c r="N240" i="31"/>
  <c r="H190" i="25" l="1"/>
  <c r="C190" i="25"/>
  <c r="D190" i="25"/>
  <c r="K190" i="25"/>
  <c r="F190" i="25"/>
  <c r="M190" i="25"/>
  <c r="I190" i="25"/>
  <c r="G190" i="25"/>
  <c r="E190" i="25"/>
  <c r="N190" i="25"/>
  <c r="J190" i="25"/>
  <c r="O190" i="25"/>
  <c r="B191" i="25"/>
  <c r="P190" i="25"/>
  <c r="L190" i="25"/>
  <c r="Q190" i="25"/>
  <c r="R190" i="25"/>
  <c r="O240" i="31"/>
  <c r="M241" i="31"/>
  <c r="L242" i="31"/>
  <c r="J243" i="31"/>
  <c r="K243" i="31" s="1"/>
  <c r="N241" i="31"/>
  <c r="P240" i="31"/>
  <c r="F191" i="25" l="1"/>
  <c r="C191" i="25"/>
  <c r="K191" i="25"/>
  <c r="J191" i="25"/>
  <c r="P191" i="25"/>
  <c r="H191" i="25"/>
  <c r="O191" i="25"/>
  <c r="E191" i="25"/>
  <c r="M191" i="25"/>
  <c r="I191" i="25"/>
  <c r="N191" i="25"/>
  <c r="G191" i="25"/>
  <c r="Q191" i="25"/>
  <c r="D191" i="25"/>
  <c r="L191" i="25"/>
  <c r="B192" i="25"/>
  <c r="R191" i="25"/>
  <c r="O241" i="31"/>
  <c r="M242" i="31"/>
  <c r="L243" i="31"/>
  <c r="J244" i="31"/>
  <c r="K244" i="31" s="1"/>
  <c r="P241" i="31"/>
  <c r="N242" i="31"/>
  <c r="F192" i="25" l="1"/>
  <c r="C192" i="25"/>
  <c r="L192" i="25"/>
  <c r="K192" i="25"/>
  <c r="J192" i="25"/>
  <c r="E192" i="25"/>
  <c r="M192" i="25"/>
  <c r="D192" i="25"/>
  <c r="B193" i="25"/>
  <c r="I192" i="25"/>
  <c r="P192" i="25"/>
  <c r="Q192" i="25"/>
  <c r="H192" i="25"/>
  <c r="O192" i="25"/>
  <c r="G192" i="25"/>
  <c r="N192" i="25"/>
  <c r="R192" i="25"/>
  <c r="O242" i="31"/>
  <c r="M243" i="31"/>
  <c r="L244" i="31"/>
  <c r="J245" i="31"/>
  <c r="K245" i="31" s="1"/>
  <c r="P242" i="31"/>
  <c r="N243" i="31"/>
  <c r="E193" i="25" l="1"/>
  <c r="M193" i="25"/>
  <c r="J193" i="25"/>
  <c r="H193" i="25"/>
  <c r="P193" i="25"/>
  <c r="I193" i="25"/>
  <c r="Q193" i="25"/>
  <c r="G193" i="25"/>
  <c r="O193" i="25"/>
  <c r="C193" i="25"/>
  <c r="K193" i="25"/>
  <c r="B194" i="25"/>
  <c r="F193" i="25"/>
  <c r="N193" i="25"/>
  <c r="D193" i="25"/>
  <c r="L193" i="25"/>
  <c r="R193" i="25"/>
  <c r="O243" i="31"/>
  <c r="M244" i="31"/>
  <c r="L245" i="31"/>
  <c r="J246" i="31"/>
  <c r="K246" i="31" s="1"/>
  <c r="P243" i="31"/>
  <c r="N244" i="31"/>
  <c r="N194" i="25" l="1"/>
  <c r="Q194" i="25"/>
  <c r="E194" i="25"/>
  <c r="D194" i="25"/>
  <c r="O194" i="25"/>
  <c r="M194" i="25"/>
  <c r="L194" i="25"/>
  <c r="K194" i="25"/>
  <c r="J194" i="25"/>
  <c r="G194" i="25"/>
  <c r="F194" i="25"/>
  <c r="I194" i="25"/>
  <c r="H194" i="25"/>
  <c r="C194" i="25"/>
  <c r="P194" i="25"/>
  <c r="B195" i="25"/>
  <c r="R194" i="25"/>
  <c r="O244" i="31"/>
  <c r="M245" i="31"/>
  <c r="L246" i="31"/>
  <c r="J247" i="31"/>
  <c r="K247" i="31" s="1"/>
  <c r="N245" i="31"/>
  <c r="P244" i="31"/>
  <c r="F195" i="25" l="1"/>
  <c r="C195" i="25"/>
  <c r="M195" i="25"/>
  <c r="E195" i="25"/>
  <c r="D195" i="25"/>
  <c r="L195" i="25"/>
  <c r="B196" i="25"/>
  <c r="K195" i="25"/>
  <c r="J195" i="25"/>
  <c r="I195" i="25"/>
  <c r="N195" i="25"/>
  <c r="H195" i="25"/>
  <c r="Q195" i="25"/>
  <c r="G195" i="25"/>
  <c r="O195" i="25"/>
  <c r="P195" i="25"/>
  <c r="R195" i="25"/>
  <c r="O245" i="31"/>
  <c r="M246" i="31"/>
  <c r="L247" i="31"/>
  <c r="J248" i="31"/>
  <c r="K248" i="31" s="1"/>
  <c r="N246" i="31"/>
  <c r="P245" i="31"/>
  <c r="G196" i="25" l="1"/>
  <c r="F196" i="25"/>
  <c r="E196" i="25"/>
  <c r="Q196" i="25"/>
  <c r="J196" i="25"/>
  <c r="M196" i="25"/>
  <c r="D196" i="25"/>
  <c r="N196" i="25"/>
  <c r="K196" i="25"/>
  <c r="H196" i="25"/>
  <c r="I196" i="25"/>
  <c r="L196" i="25"/>
  <c r="C196" i="25"/>
  <c r="P196" i="25"/>
  <c r="B197" i="25"/>
  <c r="O196" i="25"/>
  <c r="R196" i="25"/>
  <c r="O246" i="31"/>
  <c r="M247" i="31"/>
  <c r="L248" i="31"/>
  <c r="J249" i="31"/>
  <c r="K249" i="31" s="1"/>
  <c r="N247" i="31"/>
  <c r="P246" i="31"/>
  <c r="G197" i="25" l="1"/>
  <c r="H197" i="25"/>
  <c r="F197" i="25"/>
  <c r="Q197" i="25"/>
  <c r="L197" i="25"/>
  <c r="O197" i="25"/>
  <c r="E197" i="25"/>
  <c r="M197" i="25"/>
  <c r="I197" i="25"/>
  <c r="K197" i="25"/>
  <c r="P197" i="25"/>
  <c r="C197" i="25"/>
  <c r="N197" i="25"/>
  <c r="B198" i="25"/>
  <c r="J197" i="25"/>
  <c r="D197" i="25"/>
  <c r="R197" i="25"/>
  <c r="O247" i="31"/>
  <c r="M248" i="31"/>
  <c r="L249" i="31"/>
  <c r="J250" i="31"/>
  <c r="K250" i="31" s="1"/>
  <c r="P247" i="31"/>
  <c r="N248" i="31"/>
  <c r="G198" i="25" l="1"/>
  <c r="L198" i="25"/>
  <c r="C198" i="25"/>
  <c r="H198" i="25"/>
  <c r="B199" i="25"/>
  <c r="P198" i="25"/>
  <c r="E198" i="25"/>
  <c r="J198" i="25"/>
  <c r="M198" i="25"/>
  <c r="N198" i="25"/>
  <c r="K198" i="25"/>
  <c r="Q198" i="25"/>
  <c r="I198" i="25"/>
  <c r="O198" i="25"/>
  <c r="F198" i="25"/>
  <c r="D198" i="25"/>
  <c r="R198" i="25"/>
  <c r="O248" i="31"/>
  <c r="M249" i="31"/>
  <c r="L250" i="31"/>
  <c r="J251" i="31"/>
  <c r="K251" i="31" s="1"/>
  <c r="P249" i="31"/>
  <c r="P248" i="31"/>
  <c r="F199" i="25" l="1"/>
  <c r="C199" i="25"/>
  <c r="E199" i="25"/>
  <c r="M199" i="25"/>
  <c r="D199" i="25"/>
  <c r="L199" i="25"/>
  <c r="B200" i="25"/>
  <c r="I199" i="25"/>
  <c r="N199" i="25"/>
  <c r="O199" i="25"/>
  <c r="P199" i="25"/>
  <c r="H199" i="25"/>
  <c r="Q199" i="25"/>
  <c r="G199" i="25"/>
  <c r="K199" i="25"/>
  <c r="J199" i="25"/>
  <c r="R199" i="25"/>
  <c r="M250" i="31"/>
  <c r="L251" i="31"/>
  <c r="J252" i="31"/>
  <c r="K252" i="31" s="1"/>
  <c r="N250" i="31"/>
  <c r="N249" i="31"/>
  <c r="F200" i="25" l="1"/>
  <c r="C200" i="25"/>
  <c r="D200" i="25"/>
  <c r="L200" i="25"/>
  <c r="B201" i="25"/>
  <c r="Q200" i="25"/>
  <c r="E200" i="25"/>
  <c r="M200" i="25"/>
  <c r="K200" i="25"/>
  <c r="J200" i="25"/>
  <c r="I200" i="25"/>
  <c r="P200" i="25"/>
  <c r="H200" i="25"/>
  <c r="O200" i="25"/>
  <c r="G200" i="25"/>
  <c r="N200" i="25"/>
  <c r="R200" i="25"/>
  <c r="O249" i="31"/>
  <c r="O250" i="31"/>
  <c r="M251" i="31"/>
  <c r="L252" i="31"/>
  <c r="J253" i="31"/>
  <c r="K253" i="31" s="1"/>
  <c r="P250" i="31"/>
  <c r="N251" i="31"/>
  <c r="E201" i="25" l="1"/>
  <c r="M201" i="25"/>
  <c r="K201" i="25"/>
  <c r="B202" i="25"/>
  <c r="H201" i="25"/>
  <c r="G201" i="25"/>
  <c r="F201" i="25"/>
  <c r="D201" i="25"/>
  <c r="L201" i="25"/>
  <c r="I201" i="25"/>
  <c r="O201" i="25"/>
  <c r="N201" i="25"/>
  <c r="C201" i="25"/>
  <c r="J201" i="25"/>
  <c r="Q201" i="25"/>
  <c r="P201" i="25"/>
  <c r="R201" i="25"/>
  <c r="O251" i="31"/>
  <c r="M252" i="31"/>
  <c r="L253" i="31"/>
  <c r="J254" i="31"/>
  <c r="K254" i="31" s="1"/>
  <c r="N252" i="31"/>
  <c r="P251" i="31"/>
  <c r="F202" i="25" l="1"/>
  <c r="E202" i="25"/>
  <c r="O202" i="25"/>
  <c r="N202" i="25"/>
  <c r="M202" i="25"/>
  <c r="K202" i="25"/>
  <c r="J202" i="25"/>
  <c r="H202" i="25"/>
  <c r="G202" i="25"/>
  <c r="D202" i="25"/>
  <c r="Q202" i="25"/>
  <c r="I202" i="25"/>
  <c r="C202" i="25"/>
  <c r="P202" i="25"/>
  <c r="B203" i="25"/>
  <c r="L202" i="25"/>
  <c r="R202" i="25"/>
  <c r="O252" i="31"/>
  <c r="M253" i="31"/>
  <c r="L254" i="31"/>
  <c r="J255" i="31"/>
  <c r="K255" i="31" s="1"/>
  <c r="N253" i="31"/>
  <c r="P252" i="31"/>
  <c r="F203" i="25" l="1"/>
  <c r="C203" i="25"/>
  <c r="B204" i="25"/>
  <c r="K203" i="25"/>
  <c r="J203" i="25"/>
  <c r="Q203" i="25"/>
  <c r="G203" i="25"/>
  <c r="E203" i="25"/>
  <c r="M203" i="25"/>
  <c r="O203" i="25"/>
  <c r="D203" i="25"/>
  <c r="L203" i="25"/>
  <c r="I203" i="25"/>
  <c r="N203" i="25"/>
  <c r="H203" i="25"/>
  <c r="P203" i="25"/>
  <c r="R203" i="25"/>
  <c r="O253" i="31"/>
  <c r="M254" i="31"/>
  <c r="L255" i="31"/>
  <c r="J256" i="31"/>
  <c r="K256" i="31" s="1"/>
  <c r="P253" i="31"/>
  <c r="N254" i="31"/>
  <c r="F204" i="25" l="1"/>
  <c r="G204" i="25"/>
  <c r="O204" i="25"/>
  <c r="N204" i="25"/>
  <c r="L204" i="25"/>
  <c r="I204" i="25"/>
  <c r="D204" i="25"/>
  <c r="Q204" i="25"/>
  <c r="K204" i="25"/>
  <c r="C204" i="25"/>
  <c r="P204" i="25"/>
  <c r="B205" i="25"/>
  <c r="E204" i="25"/>
  <c r="J204" i="25"/>
  <c r="H204" i="25"/>
  <c r="M204" i="25"/>
  <c r="R204" i="25"/>
  <c r="O254" i="31"/>
  <c r="M255" i="31"/>
  <c r="L256" i="31"/>
  <c r="J257" i="31"/>
  <c r="K257" i="31" s="1"/>
  <c r="N255" i="31"/>
  <c r="P254" i="31"/>
  <c r="D205" i="25" l="1"/>
  <c r="I205" i="25"/>
  <c r="L205" i="25"/>
  <c r="N205" i="25"/>
  <c r="M205" i="25"/>
  <c r="K205" i="25"/>
  <c r="C205" i="25"/>
  <c r="G205" i="25"/>
  <c r="E205" i="25"/>
  <c r="H205" i="25"/>
  <c r="Q205" i="25"/>
  <c r="F205" i="25"/>
  <c r="O205" i="25"/>
  <c r="B206" i="25"/>
  <c r="J205" i="25"/>
  <c r="P205" i="25"/>
  <c r="R205" i="25"/>
  <c r="O255" i="31"/>
  <c r="M256" i="31"/>
  <c r="L257" i="31"/>
  <c r="J258" i="31"/>
  <c r="K258" i="31" s="1"/>
  <c r="P255" i="31"/>
  <c r="N256" i="31"/>
  <c r="H206" i="25" l="1"/>
  <c r="N206" i="25"/>
  <c r="E206" i="25"/>
  <c r="L206" i="25"/>
  <c r="C206" i="25"/>
  <c r="F206" i="25"/>
  <c r="M206" i="25"/>
  <c r="J206" i="25"/>
  <c r="P206" i="25"/>
  <c r="D206" i="25"/>
  <c r="K206" i="25"/>
  <c r="B207" i="25"/>
  <c r="I206" i="25"/>
  <c r="G206" i="25"/>
  <c r="Q206" i="25"/>
  <c r="O206" i="25"/>
  <c r="R206" i="25"/>
  <c r="O256" i="31"/>
  <c r="M257" i="31"/>
  <c r="L258" i="31"/>
  <c r="J259" i="31"/>
  <c r="K259" i="31" s="1"/>
  <c r="P256" i="31"/>
  <c r="N257" i="31"/>
  <c r="F207" i="25" l="1"/>
  <c r="C207" i="25"/>
  <c r="M207" i="25"/>
  <c r="P207" i="25"/>
  <c r="E207" i="25"/>
  <c r="D207" i="25"/>
  <c r="L207" i="25"/>
  <c r="B208" i="25"/>
  <c r="K207" i="25"/>
  <c r="J207" i="25"/>
  <c r="I207" i="25"/>
  <c r="H207" i="25"/>
  <c r="N207" i="25"/>
  <c r="G207" i="25"/>
  <c r="O207" i="25"/>
  <c r="Q207" i="25"/>
  <c r="R207" i="25"/>
  <c r="O257" i="31"/>
  <c r="M258" i="31"/>
  <c r="L259" i="31"/>
  <c r="J260" i="31"/>
  <c r="K260" i="31" s="1"/>
  <c r="N258" i="31"/>
  <c r="P257" i="31"/>
  <c r="G208" i="25" l="1"/>
  <c r="N208" i="25"/>
  <c r="C208" i="25"/>
  <c r="K208" i="25"/>
  <c r="F208" i="25"/>
  <c r="D208" i="25"/>
  <c r="L208" i="25"/>
  <c r="J208" i="25"/>
  <c r="Q208" i="25"/>
  <c r="E208" i="25"/>
  <c r="M208" i="25"/>
  <c r="I208" i="25"/>
  <c r="P208" i="25"/>
  <c r="H208" i="25"/>
  <c r="O208" i="25"/>
  <c r="R208" i="25"/>
  <c r="O258" i="3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N261" i="31"/>
  <c r="P260" i="31"/>
  <c r="O261" i="31" l="1"/>
  <c r="M262" i="31"/>
  <c r="L263" i="31"/>
  <c r="J264" i="31"/>
  <c r="K264" i="31" s="1"/>
  <c r="N262" i="31"/>
  <c r="P261" i="31"/>
  <c r="O262" i="31" l="1"/>
  <c r="M263" i="31"/>
  <c r="L264" i="31"/>
  <c r="J265" i="31"/>
  <c r="K265" i="31" s="1"/>
  <c r="N263" i="31"/>
  <c r="P262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N268" i="31"/>
  <c r="P267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N275" i="31"/>
  <c r="P274" i="31"/>
  <c r="O275" i="31" l="1"/>
  <c r="M276" i="31"/>
  <c r="L277" i="31"/>
  <c r="J278" i="31"/>
  <c r="K278" i="31" s="1"/>
  <c r="N276" i="31"/>
  <c r="P275" i="31"/>
  <c r="O276" i="31" l="1"/>
  <c r="M277" i="31"/>
  <c r="L278" i="31"/>
  <c r="J279" i="31"/>
  <c r="K279" i="31" s="1"/>
  <c r="N277" i="31"/>
  <c r="P276" i="31"/>
  <c r="O277" i="31" l="1"/>
  <c r="M278" i="31"/>
  <c r="L279" i="31"/>
  <c r="J280" i="31"/>
  <c r="K280" i="31" s="1"/>
  <c r="N278" i="31"/>
  <c r="P277" i="31"/>
  <c r="O278" i="31" l="1"/>
  <c r="M279" i="31"/>
  <c r="L280" i="31"/>
  <c r="J281" i="31"/>
  <c r="K281" i="31" s="1"/>
  <c r="N279" i="31"/>
  <c r="P278" i="31"/>
  <c r="O279" i="31" l="1"/>
  <c r="M280" i="31"/>
  <c r="L281" i="31"/>
  <c r="J282" i="31"/>
  <c r="K282" i="31" s="1"/>
  <c r="N280" i="31"/>
  <c r="P279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N283" i="31"/>
  <c r="P282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N285" i="31"/>
  <c r="P284" i="31"/>
  <c r="O285" i="31" l="1"/>
  <c r="M286" i="31"/>
  <c r="L287" i="31"/>
  <c r="J288" i="31"/>
  <c r="K288" i="31" s="1"/>
  <c r="N286" i="31"/>
  <c r="P285" i="31"/>
  <c r="O286" i="31" l="1"/>
  <c r="M287" i="31"/>
  <c r="L288" i="31"/>
  <c r="J289" i="31"/>
  <c r="K289" i="31" s="1"/>
  <c r="N287" i="31"/>
  <c r="P286" i="31"/>
  <c r="O287" i="31" l="1"/>
  <c r="M288" i="31"/>
  <c r="L289" i="31"/>
  <c r="J290" i="31"/>
  <c r="K290" i="31" s="1"/>
  <c r="N288" i="31"/>
  <c r="P287" i="31"/>
  <c r="O288" i="31" l="1"/>
  <c r="M289" i="31"/>
  <c r="L290" i="31"/>
  <c r="J291" i="31"/>
  <c r="K291" i="31" s="1"/>
  <c r="N289" i="31"/>
  <c r="P288" i="31"/>
  <c r="O289" i="31" l="1"/>
  <c r="M290" i="31"/>
  <c r="L291" i="31"/>
  <c r="J292" i="31"/>
  <c r="K292" i="31" s="1"/>
  <c r="N290" i="31"/>
  <c r="P289" i="31"/>
  <c r="O290" i="31" l="1"/>
  <c r="M291" i="31"/>
  <c r="L292" i="31"/>
  <c r="J293" i="31"/>
  <c r="K293" i="31" s="1"/>
  <c r="N291" i="31"/>
  <c r="P290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N296" i="31"/>
  <c r="P295" i="31"/>
  <c r="O296" i="31" l="1"/>
  <c r="M297" i="31"/>
  <c r="L298" i="31"/>
  <c r="J299" i="31"/>
  <c r="K299" i="31" s="1"/>
  <c r="N297" i="31"/>
  <c r="P296" i="31"/>
  <c r="O297" i="31" l="1"/>
  <c r="M298" i="31"/>
  <c r="L299" i="31"/>
  <c r="J300" i="31"/>
  <c r="K300" i="31" s="1"/>
  <c r="N298" i="31"/>
  <c r="P297" i="31"/>
  <c r="O298" i="31" l="1"/>
  <c r="M299" i="31"/>
  <c r="L300" i="31"/>
  <c r="J301" i="31"/>
  <c r="K301" i="31" s="1"/>
  <c r="N299" i="31"/>
  <c r="P298" i="31"/>
  <c r="O299" i="31" l="1"/>
  <c r="M300" i="31"/>
  <c r="L301" i="31"/>
  <c r="J302" i="31"/>
  <c r="K302" i="31" s="1"/>
  <c r="N300" i="31"/>
  <c r="P299" i="31"/>
  <c r="O300" i="31" l="1"/>
  <c r="M301" i="31"/>
  <c r="L302" i="31"/>
  <c r="J303" i="31"/>
  <c r="K303" i="31" s="1"/>
  <c r="N301" i="31"/>
  <c r="P300" i="31"/>
  <c r="O301" i="31" l="1"/>
  <c r="M302" i="31"/>
  <c r="L303" i="31"/>
  <c r="J304" i="31"/>
  <c r="K304" i="31" s="1"/>
  <c r="N302" i="31"/>
  <c r="P301" i="31"/>
  <c r="O302" i="31" l="1"/>
  <c r="M303" i="31"/>
  <c r="L304" i="31"/>
  <c r="J305" i="31"/>
  <c r="K305" i="31" s="1"/>
  <c r="N303" i="31"/>
  <c r="P302" i="31"/>
  <c r="O303" i="31" l="1"/>
  <c r="M304" i="31"/>
  <c r="L305" i="31"/>
  <c r="J306" i="31"/>
  <c r="K306" i="31" s="1"/>
  <c r="N304" i="31"/>
  <c r="P303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N306" i="31"/>
  <c r="P305" i="31"/>
  <c r="O306" i="31" l="1"/>
  <c r="M307" i="31"/>
  <c r="L308" i="31"/>
  <c r="J309" i="31"/>
  <c r="K309" i="31" s="1"/>
  <c r="N307" i="31"/>
  <c r="P306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N309" i="31"/>
  <c r="P308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N311" i="31"/>
  <c r="P310" i="31"/>
  <c r="O311" i="31" l="1"/>
  <c r="M312" i="31"/>
  <c r="L313" i="31"/>
  <c r="J314" i="31"/>
  <c r="K314" i="31" s="1"/>
  <c r="N312" i="31"/>
  <c r="P311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N314" i="31"/>
  <c r="P313" i="31"/>
  <c r="O314" i="31" l="1"/>
  <c r="M315" i="31"/>
  <c r="L316" i="31"/>
  <c r="J317" i="31"/>
  <c r="K317" i="31" s="1"/>
  <c r="N315" i="31"/>
  <c r="P314" i="31"/>
  <c r="O315" i="31" l="1"/>
  <c r="M316" i="31"/>
  <c r="L317" i="31"/>
  <c r="J318" i="31"/>
  <c r="K318" i="31" s="1"/>
  <c r="N316" i="31"/>
  <c r="P315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N320" i="31"/>
  <c r="P319" i="31"/>
  <c r="O320" i="31" l="1"/>
  <c r="M321" i="31"/>
  <c r="L322" i="31"/>
  <c r="J323" i="31"/>
  <c r="K323" i="31" s="1"/>
  <c r="N321" i="31"/>
  <c r="P320" i="31"/>
  <c r="O321" i="31" l="1"/>
  <c r="M322" i="31"/>
  <c r="L323" i="31"/>
  <c r="J324" i="31"/>
  <c r="K324" i="31" s="1"/>
  <c r="N322" i="31"/>
  <c r="P321" i="31"/>
  <c r="O322" i="31" l="1"/>
  <c r="M323" i="31"/>
  <c r="L324" i="31"/>
  <c r="J325" i="31"/>
  <c r="K325" i="31" s="1"/>
  <c r="N323" i="31"/>
  <c r="P322" i="31"/>
  <c r="O323" i="31" l="1"/>
  <c r="M324" i="31"/>
  <c r="L325" i="31"/>
  <c r="J326" i="31"/>
  <c r="K326" i="31" s="1"/>
  <c r="N324" i="31"/>
  <c r="P323" i="31"/>
  <c r="O324" i="31" l="1"/>
  <c r="M325" i="31"/>
  <c r="L326" i="31"/>
  <c r="J327" i="31"/>
  <c r="K327" i="31" s="1"/>
  <c r="N325" i="31"/>
  <c r="P324" i="31"/>
  <c r="O325" i="31" l="1"/>
  <c r="M326" i="31"/>
  <c r="L327" i="31"/>
  <c r="J328" i="31"/>
  <c r="K328" i="31" s="1"/>
  <c r="N326" i="31"/>
  <c r="P325" i="31"/>
  <c r="O326" i="31" l="1"/>
  <c r="M327" i="31"/>
  <c r="L328" i="31"/>
  <c r="J329" i="31"/>
  <c r="K329" i="31" s="1"/>
  <c r="N327" i="31"/>
  <c r="P326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N329" i="31"/>
  <c r="P328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N331" i="31"/>
  <c r="P330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N333" i="31"/>
  <c r="P332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N335" i="31"/>
  <c r="P334" i="31"/>
  <c r="O335" i="31" l="1"/>
  <c r="M336" i="31"/>
  <c r="L337" i="31"/>
  <c r="J338" i="31"/>
  <c r="K338" i="31" s="1"/>
  <c r="N336" i="31"/>
  <c r="P335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N346" i="31"/>
  <c r="P345" i="31"/>
  <c r="O346" i="31" l="1"/>
  <c r="M347" i="31"/>
  <c r="L348" i="31"/>
  <c r="J349" i="31"/>
  <c r="K349" i="31" s="1"/>
  <c r="N347" i="31"/>
  <c r="P346" i="31"/>
  <c r="O347" i="31" l="1"/>
  <c r="M348" i="31"/>
  <c r="L349" i="31"/>
  <c r="J350" i="31"/>
  <c r="K350" i="31" s="1"/>
  <c r="N348" i="31"/>
  <c r="P347" i="31"/>
  <c r="O348" i="31" l="1"/>
  <c r="M349" i="31"/>
  <c r="L350" i="31"/>
  <c r="J351" i="31"/>
  <c r="K351" i="31" s="1"/>
  <c r="N349" i="31"/>
  <c r="P348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N351" i="31"/>
  <c r="P350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N353" i="31"/>
  <c r="P352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N355" i="31"/>
  <c r="P354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N359" i="31"/>
  <c r="P358" i="31"/>
  <c r="O359" i="31" l="1"/>
  <c r="M360" i="31"/>
  <c r="L361" i="31"/>
  <c r="J362" i="31"/>
  <c r="K362" i="31" s="1"/>
  <c r="N360" i="31"/>
  <c r="P359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N362" i="31"/>
  <c r="P361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N364" i="31"/>
  <c r="P363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N369" i="31"/>
  <c r="P368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N375" i="31"/>
  <c r="P374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N379" i="31"/>
  <c r="P378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N385" i="31"/>
  <c r="P384" i="31"/>
  <c r="O385" i="31" l="1"/>
  <c r="M386" i="31"/>
  <c r="L387" i="31"/>
  <c r="J388" i="31"/>
  <c r="K388" i="31" s="1"/>
  <c r="N386" i="31"/>
  <c r="P385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N390" i="31"/>
  <c r="P389" i="31"/>
  <c r="O390" i="31" l="1"/>
  <c r="M391" i="31"/>
  <c r="L392" i="31"/>
  <c r="J393" i="31"/>
  <c r="K393" i="31" s="1"/>
  <c r="N391" i="31"/>
  <c r="P390" i="31"/>
  <c r="O391" i="31" l="1"/>
  <c r="M392" i="31"/>
  <c r="L393" i="31"/>
  <c r="J394" i="31"/>
  <c r="K394" i="31" s="1"/>
  <c r="N392" i="31"/>
  <c r="P391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N399" i="31"/>
  <c r="P398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N402" i="31"/>
  <c r="P401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N404" i="31"/>
  <c r="P403" i="31"/>
  <c r="O404" i="31" l="1"/>
  <c r="M405" i="31"/>
  <c r="L406" i="31"/>
  <c r="J407" i="31"/>
  <c r="K407" i="31" s="1"/>
  <c r="N405" i="31"/>
  <c r="P404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N407" i="31"/>
  <c r="P406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N410" i="31"/>
  <c r="P409" i="31"/>
  <c r="O410" i="31" l="1"/>
  <c r="M411" i="31"/>
  <c r="L412" i="31"/>
  <c r="J413" i="31"/>
  <c r="K413" i="31" s="1"/>
  <c r="N411" i="31"/>
  <c r="P410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N413" i="31"/>
  <c r="P412" i="31"/>
  <c r="O413" i="31" l="1"/>
  <c r="M414" i="31"/>
  <c r="L415" i="31"/>
  <c r="J416" i="31"/>
  <c r="K416" i="31" s="1"/>
  <c r="N414" i="31"/>
  <c r="P413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N419" i="31"/>
  <c r="P418" i="31"/>
  <c r="O419" i="31" l="1"/>
  <c r="M420" i="31"/>
  <c r="L421" i="31"/>
  <c r="J422" i="31"/>
  <c r="K422" i="31" s="1"/>
  <c r="N420" i="31"/>
  <c r="P419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N422" i="31"/>
  <c r="P421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N424" i="31"/>
  <c r="P423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N426" i="31"/>
  <c r="P425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N430" i="31"/>
  <c r="P429" i="31"/>
  <c r="O430" i="31" l="1"/>
  <c r="M431" i="31"/>
  <c r="L432" i="31"/>
  <c r="J433" i="31"/>
  <c r="K433" i="31" s="1"/>
  <c r="N431" i="31"/>
  <c r="P430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N439" i="31"/>
  <c r="P438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N441" i="31"/>
  <c r="P440" i="31"/>
  <c r="O441" i="31" l="1"/>
  <c r="M442" i="31"/>
  <c r="L443" i="31"/>
  <c r="J444" i="31"/>
  <c r="K444" i="31" s="1"/>
  <c r="N442" i="31"/>
  <c r="P441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N444" i="31"/>
  <c r="P443" i="31"/>
  <c r="O444" i="31" l="1"/>
  <c r="M445" i="31"/>
  <c r="L446" i="31"/>
  <c r="J447" i="31"/>
  <c r="K447" i="31" s="1"/>
  <c r="N445" i="31"/>
  <c r="P444" i="31"/>
  <c r="O445" i="31" l="1"/>
  <c r="M446" i="31"/>
  <c r="L447" i="31"/>
  <c r="J448" i="31"/>
  <c r="K448" i="31" s="1"/>
  <c r="N446" i="31"/>
  <c r="P445" i="31"/>
  <c r="O446" i="31" l="1"/>
  <c r="M447" i="31"/>
  <c r="L448" i="31"/>
  <c r="J449" i="31"/>
  <c r="K449" i="31" s="1"/>
  <c r="N447" i="31"/>
  <c r="P446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N449" i="31"/>
  <c r="P448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N451" i="31"/>
  <c r="P450" i="31"/>
  <c r="O451" i="31" l="1"/>
  <c r="M452" i="31"/>
  <c r="L453" i="31"/>
  <c r="J454" i="31"/>
  <c r="K454" i="31" s="1"/>
  <c r="N452" i="31"/>
  <c r="P451" i="31"/>
  <c r="O452" i="31" l="1"/>
  <c r="M453" i="31"/>
  <c r="L454" i="31"/>
  <c r="J455" i="31"/>
  <c r="K455" i="31" s="1"/>
  <c r="N453" i="31"/>
  <c r="P452" i="31"/>
  <c r="O453" i="31" l="1"/>
  <c r="M454" i="31"/>
  <c r="L455" i="31"/>
  <c r="J456" i="31"/>
  <c r="K456" i="31" s="1"/>
  <c r="N454" i="31"/>
  <c r="P453" i="31"/>
  <c r="O454" i="31" l="1"/>
  <c r="M455" i="31"/>
  <c r="L456" i="31"/>
  <c r="J457" i="31"/>
  <c r="K457" i="31" s="1"/>
  <c r="N455" i="31"/>
  <c r="P454" i="31"/>
  <c r="O455" i="31" l="1"/>
  <c r="M456" i="31"/>
  <c r="L457" i="31"/>
  <c r="J458" i="31"/>
  <c r="K458" i="31" s="1"/>
  <c r="N456" i="31"/>
  <c r="P455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N465" i="31"/>
  <c r="P464" i="31"/>
  <c r="O465" i="31" l="1"/>
  <c r="M466" i="31"/>
  <c r="L467" i="31"/>
  <c r="J468" i="31"/>
  <c r="K468" i="31" s="1"/>
  <c r="N466" i="31"/>
  <c r="P465" i="31"/>
  <c r="O466" i="31" l="1"/>
  <c r="M467" i="31"/>
  <c r="L468" i="31"/>
  <c r="J469" i="31"/>
  <c r="K469" i="31" s="1"/>
  <c r="N467" i="31"/>
  <c r="P466" i="31"/>
  <c r="O467" i="31" l="1"/>
  <c r="M468" i="31"/>
  <c r="L469" i="31"/>
  <c r="J470" i="31"/>
  <c r="K470" i="31" s="1"/>
  <c r="N468" i="31"/>
  <c r="P467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N471" i="31"/>
  <c r="P470" i="31"/>
  <c r="O471" i="31" l="1"/>
  <c r="M472" i="31"/>
  <c r="L473" i="31"/>
  <c r="J474" i="31"/>
  <c r="K474" i="31" s="1"/>
  <c r="N472" i="31"/>
  <c r="P471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N476" i="31"/>
  <c r="P475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N484" i="31"/>
  <c r="P483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N486" i="31"/>
  <c r="P485" i="31"/>
  <c r="O486" i="31" l="1"/>
  <c r="M487" i="31"/>
  <c r="L488" i="31"/>
  <c r="J489" i="31"/>
  <c r="K489" i="31" s="1"/>
  <c r="N487" i="31"/>
  <c r="P486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G12" i="25"/>
  <c r="G13" i="25"/>
  <c r="G15" i="25"/>
  <c r="G11" i="25"/>
  <c r="N501" i="31"/>
  <c r="P500" i="31"/>
  <c r="O501" i="31" l="1"/>
  <c r="G58" i="25"/>
  <c r="G60" i="25"/>
  <c r="F56" i="25"/>
  <c r="F57" i="25"/>
  <c r="F59" i="25"/>
  <c r="G61" i="25"/>
  <c r="F54" i="25"/>
  <c r="F52" i="25"/>
  <c r="G57" i="25"/>
  <c r="F53" i="25"/>
  <c r="G56" i="25"/>
  <c r="F58" i="25"/>
  <c r="F55" i="25"/>
  <c r="G59" i="25"/>
  <c r="F60" i="25"/>
  <c r="G52" i="25"/>
  <c r="G55" i="25"/>
  <c r="G53" i="25"/>
  <c r="G49" i="25"/>
  <c r="F32" i="25"/>
  <c r="G33" i="25"/>
  <c r="G40" i="25"/>
  <c r="F36" i="25"/>
  <c r="G47" i="25"/>
  <c r="G36" i="25"/>
  <c r="F34" i="25"/>
  <c r="G46" i="25"/>
  <c r="F33" i="25"/>
  <c r="F47" i="25"/>
  <c r="F49" i="25"/>
  <c r="G44" i="25"/>
  <c r="F30" i="25"/>
  <c r="G45" i="25"/>
  <c r="G31" i="25"/>
  <c r="F39" i="25"/>
  <c r="F35" i="25"/>
  <c r="F31" i="25"/>
  <c r="G43" i="25"/>
  <c r="F43" i="25"/>
  <c r="F51" i="25"/>
  <c r="G37" i="25"/>
  <c r="G48" i="25"/>
  <c r="F38" i="25"/>
  <c r="G38" i="25"/>
  <c r="G39" i="25"/>
  <c r="G32" i="25"/>
  <c r="G50" i="25"/>
  <c r="F48" i="25"/>
  <c r="F40" i="25"/>
  <c r="G42" i="25"/>
  <c r="F37" i="25"/>
  <c r="F50" i="25"/>
  <c r="F42" i="25"/>
  <c r="G30" i="25"/>
  <c r="F44" i="25"/>
  <c r="F45" i="25"/>
  <c r="G51" i="25"/>
  <c r="F46" i="25"/>
  <c r="G35" i="25"/>
  <c r="F41" i="25"/>
  <c r="G34" i="25"/>
  <c r="G41" i="25"/>
  <c r="F29" i="25"/>
  <c r="F25" i="25"/>
  <c r="F24" i="25"/>
  <c r="F21" i="25"/>
  <c r="G29" i="25"/>
  <c r="G27" i="25"/>
  <c r="F23" i="25"/>
  <c r="F27" i="25"/>
  <c r="G21" i="25"/>
  <c r="G26" i="25"/>
  <c r="G28" i="25"/>
  <c r="G23" i="25"/>
  <c r="F22" i="25"/>
  <c r="G19" i="25"/>
  <c r="F26" i="25"/>
  <c r="G24" i="25"/>
  <c r="F28" i="25"/>
  <c r="G17" i="25"/>
  <c r="F13" i="25"/>
  <c r="F10" i="25"/>
  <c r="P501" i="31"/>
  <c r="F9" i="25"/>
  <c r="P8" i="27" l="1"/>
  <c r="O14" i="27"/>
  <c r="O13" i="27"/>
  <c r="O12" i="27"/>
  <c r="O11" i="27"/>
  <c r="O10" i="27"/>
  <c r="O9" i="27"/>
  <c r="O6" i="27"/>
  <c r="O5" i="27"/>
  <c r="O8" i="27"/>
  <c r="F20" i="25"/>
  <c r="G14" i="25"/>
  <c r="F11" i="25"/>
  <c r="F19" i="25"/>
  <c r="F16" i="25"/>
  <c r="F17" i="25"/>
  <c r="F15" i="25"/>
  <c r="F14" i="25"/>
  <c r="F18" i="25"/>
  <c r="F12" i="25"/>
</calcChain>
</file>

<file path=xl/sharedStrings.xml><?xml version="1.0" encoding="utf-8"?>
<sst xmlns="http://schemas.openxmlformats.org/spreadsheetml/2006/main" count="1961" uniqueCount="1022">
  <si>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</si>
  <si>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</si>
  <si>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</si>
  <si>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</si>
  <si>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</si>
  <si>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</si>
  <si>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</si>
  <si>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</si>
  <si>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</si>
  <si>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</si>
  <si>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</si>
  <si>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</si>
  <si>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</si>
  <si>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</si>
  <si>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</si>
  <si>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</si>
  <si>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</si>
  <si>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</si>
  <si>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</si>
  <si>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</si>
  <si>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</si>
  <si>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</si>
  <si>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</si>
  <si>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</si>
  <si>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</si>
  <si>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</si>
  <si>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</si>
  <si>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</si>
  <si>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</si>
  <si>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</si>
  <si>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</si>
  <si>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</si>
  <si>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</si>
  <si>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</si>
  <si>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</si>
  <si>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</si>
  <si>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</si>
  <si>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</si>
  <si>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</si>
  <si>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</si>
  <si>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</si>
  <si>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</si>
  <si>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</si>
  <si>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</si>
  <si>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</si>
  <si>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</si>
  <si>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</si>
  <si>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</si>
  <si>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</si>
  <si>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</si>
  <si>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</si>
  <si>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</si>
  <si>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</si>
  <si>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</si>
  <si>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</si>
  <si>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</si>
  <si>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</si>
  <si>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</si>
  <si>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</si>
  <si>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</si>
  <si>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</si>
  <si>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</si>
  <si>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</si>
  <si>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</si>
  <si>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</si>
  <si>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</si>
  <si>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</si>
  <si>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</si>
  <si>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</si>
  <si>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</si>
  <si>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</si>
  <si>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</si>
  <si>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</si>
  <si>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</si>
  <si>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</si>
  <si>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</si>
  <si>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</si>
  <si>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</si>
  <si>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</si>
  <si>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</si>
  <si>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</si>
  <si>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</si>
  <si>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</si>
  <si>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</si>
  <si>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</si>
  <si>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</si>
  <si>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</si>
  <si>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</si>
  <si>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</si>
  <si>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</si>
  <si>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</si>
  <si>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</si>
  <si>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</si>
  <si>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</si>
  <si>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</si>
  <si>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</si>
  <si>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</si>
  <si>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</si>
  <si>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</si>
  <si>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</si>
  <si>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</si>
  <si>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</si>
  <si>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</si>
  <si>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</si>
  <si>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</si>
  <si>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</si>
  <si>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</si>
  <si>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</si>
  <si>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</si>
  <si>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</si>
  <si>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</si>
  <si>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</si>
  <si>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</si>
  <si>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</si>
  <si>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</si>
  <si>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</si>
  <si>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</si>
  <si>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</si>
  <si>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</si>
  <si>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</si>
  <si>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</si>
  <si>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</si>
  <si>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</si>
  <si>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</si>
  <si>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</si>
  <si>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</si>
  <si>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</si>
  <si>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</si>
  <si>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</si>
  <si>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</si>
  <si>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</si>
  <si>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</si>
  <si>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</si>
  <si>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</si>
  <si>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</si>
  <si>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</si>
  <si>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</si>
  <si>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</si>
  <si>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</si>
  <si>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</si>
  <si>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</si>
  <si>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</si>
  <si>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</si>
  <si>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</si>
  <si>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</si>
  <si>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</si>
  <si>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</si>
  <si>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</si>
  <si>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</si>
  <si>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</si>
  <si>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</si>
  <si>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</si>
  <si>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</si>
  <si>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</si>
  <si>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</si>
  <si>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</si>
  <si>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</si>
  <si>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</si>
  <si>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</si>
  <si>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</si>
  <si>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</si>
  <si>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</si>
  <si>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</si>
  <si>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</si>
  <si>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</si>
  <si>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</si>
  <si>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</si>
  <si>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</si>
  <si>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</si>
  <si>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</si>
  <si>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</si>
  <si>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</si>
  <si>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</si>
  <si>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</si>
  <si>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</si>
  <si>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</si>
  <si>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</si>
  <si>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</si>
  <si>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</si>
  <si>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</si>
  <si>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</si>
  <si>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</si>
  <si>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</si>
  <si>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</si>
  <si>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</si>
  <si>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</si>
  <si>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</si>
  <si>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</si>
  <si>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</si>
  <si>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</si>
  <si>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</si>
  <si>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</si>
  <si>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</si>
  <si>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</si>
  <si>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</si>
  <si>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</si>
  <si>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</si>
  <si>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</si>
  <si>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</si>
  <si>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</si>
  <si>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</si>
  <si>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</si>
  <si>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</si>
  <si>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</si>
  <si>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</si>
  <si>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</si>
  <si>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</si>
  <si>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</si>
  <si>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</si>
  <si>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</si>
  <si>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</si>
  <si>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</si>
  <si>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</si>
  <si>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</si>
  <si>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</si>
  <si>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</si>
  <si>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</si>
  <si>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</si>
  <si>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</si>
  <si>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</si>
  <si>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</si>
  <si>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</si>
  <si>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</si>
  <si>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</si>
  <si>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</si>
  <si>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</si>
  <si>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</si>
  <si>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</si>
  <si>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</si>
  <si>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</si>
  <si>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</si>
  <si>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</si>
  <si>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</si>
  <si>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</si>
  <si>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</si>
  <si>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</si>
  <si>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</si>
  <si>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</si>
  <si>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</si>
  <si>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</si>
  <si>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</si>
  <si>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</si>
  <si>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</si>
  <si>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</si>
  <si>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</si>
  <si>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</si>
  <si>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</si>
  <si>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</si>
  <si>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</si>
  <si>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</si>
  <si>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</si>
  <si>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</si>
  <si>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</si>
  <si>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</si>
  <si>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</si>
  <si>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</si>
  <si>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</si>
  <si>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</si>
  <si>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</si>
  <si>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</si>
  <si>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</si>
  <si>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</si>
  <si>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</si>
  <si>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</si>
  <si>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</si>
  <si>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</si>
  <si>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</si>
  <si>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</si>
  <si>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</si>
  <si>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</si>
  <si>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</si>
  <si>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</si>
  <si>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</si>
  <si>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</si>
  <si>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</si>
  <si>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</si>
  <si>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</si>
  <si>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</si>
  <si>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</si>
  <si>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</si>
  <si>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</si>
  <si>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</si>
  <si>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</si>
  <si>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</si>
  <si>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</si>
  <si>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</si>
  <si>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</si>
  <si>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</si>
  <si>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</si>
  <si>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</si>
  <si>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</si>
  <si>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</si>
  <si>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</si>
  <si>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</si>
  <si>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</si>
  <si>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</si>
  <si>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</si>
  <si>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</si>
  <si>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</si>
  <si>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</si>
  <si>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</si>
  <si>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</si>
  <si>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</si>
  <si>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</si>
  <si>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</si>
  <si>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</si>
  <si>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</si>
  <si>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</si>
  <si>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</si>
  <si>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</si>
  <si>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</si>
  <si>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</si>
  <si>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</si>
  <si>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</si>
  <si>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</si>
  <si>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</si>
  <si>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</si>
  <si>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</si>
  <si>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</si>
  <si>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</si>
  <si>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</si>
  <si>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</si>
  <si>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</si>
  <si>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</si>
  <si>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</si>
  <si>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</si>
  <si>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</si>
  <si>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</si>
  <si>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</si>
  <si>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</si>
  <si>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</si>
  <si>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</si>
  <si>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</si>
  <si>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</si>
  <si>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</si>
  <si>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</si>
  <si>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</si>
  <si>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</si>
  <si>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</si>
  <si>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</si>
  <si>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</si>
  <si>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</si>
  <si>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</si>
  <si>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</si>
  <si>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</si>
  <si>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</si>
  <si>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</si>
  <si>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</si>
  <si>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</si>
  <si>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</si>
  <si>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</si>
  <si>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</si>
  <si>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</si>
  <si>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</si>
  <si>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</si>
  <si>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</si>
  <si>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</si>
  <si>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</si>
  <si>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</si>
  <si>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</si>
  <si>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</si>
  <si>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</si>
  <si>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</si>
  <si>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</si>
  <si>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</si>
  <si>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</si>
  <si>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</si>
  <si>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</si>
  <si>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</si>
  <si>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</si>
  <si>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</si>
  <si>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</si>
  <si>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</si>
  <si>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</si>
  <si>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</si>
  <si>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</si>
  <si>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</si>
  <si>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</si>
  <si>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</si>
  <si>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</si>
  <si>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</si>
  <si>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</si>
  <si>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</si>
  <si>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</si>
  <si>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</si>
  <si>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</si>
  <si>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</si>
  <si>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</si>
  <si>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</si>
  <si>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</si>
  <si>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</si>
  <si>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</si>
  <si>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</si>
  <si>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</si>
  <si>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</si>
  <si>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</si>
  <si>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</si>
  <si>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</si>
  <si>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</si>
  <si>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</si>
  <si>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</si>
  <si>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</si>
  <si>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</si>
  <si>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</si>
  <si>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</si>
  <si>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</si>
  <si>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</si>
  <si>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</si>
  <si>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</si>
  <si>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</si>
  <si>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</si>
  <si>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</si>
  <si>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</si>
  <si>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</si>
  <si>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</si>
  <si>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</si>
  <si>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</si>
  <si>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</si>
  <si>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</si>
  <si>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</si>
  <si>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</si>
  <si>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</si>
  <si>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</si>
  <si>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</si>
  <si>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</si>
  <si>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</si>
  <si>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</si>
  <si>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</si>
  <si>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</si>
  <si>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</si>
  <si>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</si>
  <si>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</si>
  <si>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</si>
  <si>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</si>
  <si>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</si>
  <si>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</si>
  <si>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</si>
  <si>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</si>
  <si>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</si>
  <si>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</si>
  <si>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</si>
  <si>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</si>
  <si>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</si>
  <si>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</si>
  <si>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</si>
  <si>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</si>
  <si>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</si>
  <si>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</si>
  <si>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</si>
  <si>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</si>
  <si>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</si>
  <si>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</si>
  <si>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</si>
  <si>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</si>
  <si>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</si>
  <si>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</si>
  <si>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</si>
  <si>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</si>
  <si>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</si>
  <si>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</si>
  <si>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</si>
  <si>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</si>
  <si>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</si>
  <si>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</si>
  <si>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</si>
  <si>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</si>
  <si>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</si>
  <si>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</si>
  <si>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</si>
  <si>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</si>
  <si>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</si>
  <si>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</si>
  <si>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</si>
  <si>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</si>
  <si>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</si>
  <si>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</si>
  <si>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</si>
  <si>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</si>
  <si>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</si>
  <si>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</si>
  <si>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</si>
  <si>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</si>
  <si>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</si>
  <si>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</si>
  <si>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</si>
  <si>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</si>
  <si>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</si>
  <si>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</si>
  <si>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</si>
  <si>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</si>
  <si>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</si>
  <si>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</si>
  <si>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</si>
  <si>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</si>
  <si>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</si>
  <si>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</si>
  <si>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</si>
  <si>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</si>
  <si>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</si>
  <si>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</si>
  <si>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</si>
  <si>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</si>
  <si>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</si>
  <si>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</si>
  <si>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</si>
  <si>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</si>
  <si>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</si>
  <si>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</si>
  <si>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</si>
  <si>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</si>
  <si>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</si>
  <si>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</si>
  <si>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</si>
  <si>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</si>
  <si>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</si>
  <si>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</si>
  <si>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</si>
  <si>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</si>
  <si>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</si>
  <si>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</si>
  <si>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</si>
  <si>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</si>
  <si>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</si>
  <si>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</si>
  <si>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</si>
  <si>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</si>
  <si>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</si>
  <si>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</si>
  <si>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</si>
  <si>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</si>
  <si>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</si>
  <si>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</si>
  <si>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</si>
  <si>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</si>
  <si>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</si>
  <si>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</si>
  <si>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</si>
  <si>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</si>
  <si>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</si>
  <si>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</si>
  <si>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</si>
  <si>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</si>
  <si>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</si>
  <si>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</si>
  <si>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</si>
  <si>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</si>
  <si>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</si>
  <si>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</si>
  <si>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</si>
  <si>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</si>
  <si>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</si>
  <si>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</si>
  <si>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</si>
  <si>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</si>
  <si>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</si>
  <si>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</si>
  <si>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</si>
  <si>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</si>
  <si>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</si>
  <si>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</si>
  <si>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</si>
  <si>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</si>
  <si>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</si>
  <si>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</si>
  <si>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</si>
  <si>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</si>
  <si>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</si>
  <si>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</si>
  <si>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</si>
  <si>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</si>
  <si>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</si>
  <si>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</si>
  <si>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</si>
  <si>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</si>
  <si>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</si>
  <si>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</si>
  <si>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</si>
  <si>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</si>
  <si>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</si>
  <si>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</si>
  <si>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</si>
  <si>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</si>
  <si>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</si>
  <si>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</si>
  <si>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</si>
  <si>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</si>
  <si>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</si>
  <si>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</si>
  <si>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</si>
  <si>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</si>
  <si>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</si>
  <si>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</si>
  <si>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</si>
  <si>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</si>
  <si>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</si>
  <si>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</si>
  <si>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</si>
  <si>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</si>
  <si>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</si>
  <si>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</si>
  <si>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</si>
  <si>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</si>
  <si>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</si>
  <si>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</si>
  <si>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</si>
  <si>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</si>
  <si>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</si>
  <si>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</si>
  <si>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</si>
  <si>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</si>
  <si>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</si>
  <si>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</si>
  <si>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</si>
  <si>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</si>
  <si>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</si>
  <si>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</si>
  <si>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</si>
  <si>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</si>
  <si>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</si>
  <si>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</si>
  <si>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</si>
  <si>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</si>
  <si>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</si>
  <si>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</si>
  <si>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</si>
  <si>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</si>
  <si>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</si>
  <si>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</si>
  <si>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</si>
  <si>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</si>
  <si>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</si>
  <si>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</si>
  <si>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</si>
  <si>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</si>
  <si>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</si>
  <si>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</si>
  <si>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</si>
  <si>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</si>
  <si>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</si>
  <si>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</si>
  <si>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</si>
  <si>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</si>
  <si>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</si>
  <si>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</si>
  <si>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</si>
  <si>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</si>
  <si>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</si>
  <si>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</si>
  <si>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</si>
  <si>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</si>
  <si>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</si>
  <si>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</si>
  <si>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</si>
  <si>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</si>
  <si>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</si>
  <si>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</si>
  <si>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</si>
  <si>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</si>
  <si>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</si>
  <si>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</si>
  <si>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</si>
  <si>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</si>
  <si>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</si>
  <si>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</si>
  <si>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</si>
  <si>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</si>
  <si>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</si>
  <si>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</si>
  <si>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</si>
  <si>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</si>
  <si>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</si>
  <si>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</si>
  <si>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</si>
  <si>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</si>
  <si>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</si>
  <si>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</si>
  <si>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</si>
  <si>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</si>
  <si>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</si>
  <si>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</si>
  <si>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</si>
  <si>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</si>
  <si>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</si>
  <si>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</si>
  <si>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</si>
  <si>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</si>
  <si>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</si>
  <si>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</si>
  <si>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</si>
  <si>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</si>
  <si>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</si>
  <si>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</si>
  <si>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</si>
  <si>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</si>
  <si>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</si>
  <si>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</si>
  <si>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</si>
  <si>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</si>
  <si>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</si>
  <si>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</si>
  <si>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</si>
  <si>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</si>
  <si>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</si>
  <si>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</si>
  <si>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</si>
  <si>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</si>
  <si>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</si>
  <si>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</si>
  <si>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</si>
  <si>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</si>
  <si>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</si>
  <si>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</si>
  <si>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</si>
  <si>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</si>
  <si>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</si>
  <si>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</si>
  <si>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</si>
  <si>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</si>
  <si>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</si>
  <si>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</si>
  <si>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</si>
  <si>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</si>
  <si>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</si>
  <si>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</si>
  <si>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</si>
  <si>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</si>
  <si>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</si>
  <si>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</si>
  <si>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</si>
  <si>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</si>
  <si>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</si>
  <si>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</si>
  <si>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</si>
  <si>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</si>
  <si>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</si>
  <si>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</si>
  <si>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</si>
  <si>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</si>
  <si>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</si>
  <si>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</si>
  <si>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</si>
  <si>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</si>
  <si>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</si>
  <si>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</si>
  <si>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</si>
  <si>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</si>
  <si>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</si>
  <si>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</si>
  <si>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</si>
  <si>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</si>
  <si>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</si>
  <si>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</si>
  <si>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</si>
  <si>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</si>
  <si>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</si>
  <si>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</si>
  <si>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</si>
  <si>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</si>
  <si>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</si>
  <si>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ID No</t>
  </si>
  <si>
    <t>maids</t>
  </si>
  <si>
    <t>maid_jobs</t>
  </si>
  <si>
    <t>string</t>
  </si>
  <si>
    <t>index()</t>
  </si>
  <si>
    <t>nullable()</t>
  </si>
  <si>
    <t>maidNullable</t>
  </si>
  <si>
    <t>foreignNullable</t>
  </si>
  <si>
    <t>maid</t>
  </si>
  <si>
    <t>date</t>
  </si>
  <si>
    <t>year</t>
  </si>
  <si>
    <t>unsignedMediumInteger</t>
  </si>
  <si>
    <t>month</t>
  </si>
  <si>
    <t>unsignedTinyInteger</t>
  </si>
  <si>
    <t>week</t>
  </si>
  <si>
    <t>day</t>
  </si>
  <si>
    <t>hours</t>
  </si>
  <si>
    <t>amount</t>
  </si>
  <si>
    <t>default(2019)</t>
  </si>
  <si>
    <t>default(1)</t>
  </si>
  <si>
    <t>default(0)</t>
  </si>
  <si>
    <t>truncate</t>
  </si>
  <si>
    <t>Maids</t>
  </si>
  <si>
    <t>Maid Jobs</t>
  </si>
  <si>
    <t>bigIncrements</t>
  </si>
  <si>
    <t>Maid</t>
  </si>
  <si>
    <t>MaidJobs</t>
  </si>
  <si>
    <t>Jobs</t>
  </si>
  <si>
    <t>MaidJobController</t>
  </si>
  <si>
    <t>Jobs done by a maid</t>
  </si>
  <si>
    <t>hasMany</t>
  </si>
  <si>
    <t>Maid details</t>
  </si>
  <si>
    <t>belongsTo</t>
  </si>
  <si>
    <t>Today</t>
  </si>
  <si>
    <t>Yesterday</t>
  </si>
  <si>
    <t>ThisWeek</t>
  </si>
  <si>
    <t>LastWeek</t>
  </si>
  <si>
    <t>ThisMonth</t>
  </si>
  <si>
    <t>LastMonth</t>
  </si>
  <si>
    <t>Jobs which handled today</t>
  </si>
  <si>
    <t>Jobs which handled yesterday</t>
  </si>
  <si>
    <t>Jobs which handled this week</t>
  </si>
  <si>
    <t>Jobs which handled last week</t>
  </si>
  <si>
    <t>Jobs which handled this month</t>
  </si>
  <si>
    <t>lastDay</t>
  </si>
  <si>
    <t>lastMonth</t>
  </si>
  <si>
    <t>Latest</t>
  </si>
  <si>
    <t>latest</t>
  </si>
  <si>
    <t>Jobs in descending order of date</t>
  </si>
  <si>
    <t>NewMaidForm</t>
  </si>
  <si>
    <t>Form to create a new maid</t>
  </si>
  <si>
    <t>Maid/NewMaidForm</t>
  </si>
  <si>
    <t>text</t>
  </si>
  <si>
    <t>Name of Maid</t>
  </si>
  <si>
    <t>MaidsList</t>
  </si>
  <si>
    <t>(Forms) Maid/NewMaidForm</t>
  </si>
  <si>
    <t>New</t>
  </si>
  <si>
    <t>NewMaid</t>
  </si>
  <si>
    <t>Add New Maid</t>
  </si>
  <si>
    <t>List all maids</t>
  </si>
  <si>
    <t>Maid/MaidsList</t>
  </si>
  <si>
    <t>ListMaid</t>
  </si>
  <si>
    <t>List All</t>
  </si>
  <si>
    <t>(Lists) Maid/MaidsList</t>
  </si>
  <si>
    <t>NewMaidJob</t>
  </si>
  <si>
    <t>Form to enter new maids job details of a day</t>
  </si>
  <si>
    <t>Maid Job</t>
  </si>
  <si>
    <t>select</t>
  </si>
  <si>
    <t>Select Maid</t>
  </si>
  <si>
    <t>Yes</t>
  </si>
  <si>
    <t>Work Date</t>
  </si>
  <si>
    <t>Total Worked Hours</t>
  </si>
  <si>
    <t>Total Amount Collected</t>
  </si>
  <si>
    <t>Maid/NewMaidForm/name</t>
  </si>
  <si>
    <t>inline</t>
  </si>
  <si>
    <t>required</t>
  </si>
  <si>
    <t>Maid Name is Mandatory</t>
  </si>
  <si>
    <t>Mention Hours</t>
  </si>
  <si>
    <t>NewJobEntry</t>
  </si>
  <si>
    <t>Add new job details for a maid</t>
  </si>
  <si>
    <t>Job Entry</t>
  </si>
  <si>
    <t>Add Job Details</t>
  </si>
  <si>
    <t>RecentJobList</t>
  </si>
  <si>
    <t>List all recent jobs</t>
  </si>
  <si>
    <t>Job Entries</t>
  </si>
  <si>
    <t>maid.name</t>
  </si>
  <si>
    <t>Job ID</t>
  </si>
  <si>
    <t>Date</t>
  </si>
  <si>
    <t>human_date</t>
  </si>
  <si>
    <t>Hours</t>
  </si>
  <si>
    <t>Amount</t>
  </si>
  <si>
    <t>ListJobEntries</t>
  </si>
  <si>
    <t>List all recent job entries</t>
  </si>
  <si>
    <t>UpdateMaidDetails</t>
  </si>
  <si>
    <t>Update maid details</t>
  </si>
  <si>
    <t>MaidDetails</t>
  </si>
  <si>
    <t>Details of maid</t>
  </si>
  <si>
    <t>(Data) Maid/MaidDetails</t>
  </si>
  <si>
    <t>JobEntryDetails</t>
  </si>
  <si>
    <t>Details of maid job entry</t>
  </si>
  <si>
    <t>UpdateJobEntry</t>
  </si>
  <si>
    <t>Update job entry</t>
  </si>
  <si>
    <t>Maid/UpdateMaidDetails</t>
  </si>
  <si>
    <t>TodayJobList</t>
  </si>
  <si>
    <t>List all job entries having date of today</t>
  </si>
  <si>
    <t>YesterdayJobList</t>
  </si>
  <si>
    <t>List all job entries having date of yesterday</t>
  </si>
  <si>
    <t>CurrentWeekJobList</t>
  </si>
  <si>
    <t>LastWeekJobList</t>
  </si>
  <si>
    <t>CurrentMonthJobList</t>
  </si>
  <si>
    <t>LastMonthJobList</t>
  </si>
  <si>
    <t>List all job entries having date of current week</t>
  </si>
  <si>
    <t>List all job entries having date of last week</t>
  </si>
  <si>
    <t>List all job entries having date of current month</t>
  </si>
  <si>
    <t>List all job entries having date of last month</t>
  </si>
  <si>
    <t>ListTodayJobEntries</t>
  </si>
  <si>
    <t>ListYesterdayJobEntries</t>
  </si>
  <si>
    <t>ListLastWeekJobEntries</t>
  </si>
  <si>
    <t>ListWeekJobEntries</t>
  </si>
  <si>
    <t>ListMonthJobEntries</t>
  </si>
  <si>
    <t>ListLastMonthJobEntries</t>
  </si>
  <si>
    <t>List todays job entries</t>
  </si>
  <si>
    <t>List yesterdays job entries</t>
  </si>
  <si>
    <t>List current week job entries</t>
  </si>
  <si>
    <t>List last week job entries</t>
  </si>
  <si>
    <t>List current month job entries</t>
  </si>
  <si>
    <t>List last month job entries</t>
  </si>
  <si>
    <t>Today Jobs</t>
  </si>
  <si>
    <t>Yesterday Jobs</t>
  </si>
  <si>
    <t>Last Week Jobs</t>
  </si>
  <si>
    <t>Current Week Jobs</t>
  </si>
  <si>
    <t>Current Month Jobs</t>
  </si>
  <si>
    <t>Last Month Jobs</t>
  </si>
  <si>
    <t>This Week Jobs</t>
  </si>
  <si>
    <t>This Month Jobs</t>
  </si>
  <si>
    <t>email</t>
  </si>
  <si>
    <t>password</t>
  </si>
  <si>
    <t>actions_availability</t>
  </si>
  <si>
    <t>actions</t>
  </si>
  <si>
    <t>administrator</t>
  </si>
  <si>
    <t>manager</t>
  </si>
  <si>
    <t>Manager</t>
  </si>
  <si>
    <t>Managers</t>
  </si>
  <si>
    <t>ManagersList</t>
  </si>
  <si>
    <t>List all managers</t>
  </si>
  <si>
    <t>Manager/ManagersList</t>
  </si>
  <si>
    <t>Email</t>
  </si>
  <si>
    <t>ManagerForm</t>
  </si>
  <si>
    <t>Form to manage managers</t>
  </si>
  <si>
    <t>Save</t>
  </si>
  <si>
    <t>Manager/ManagerForm</t>
  </si>
  <si>
    <t>Manager Name</t>
  </si>
  <si>
    <t>Email For Login</t>
  </si>
  <si>
    <t>Login Password</t>
  </si>
  <si>
    <t>Manager/ManagerForm/name</t>
  </si>
  <si>
    <t>Manager/ManagerForm/email</t>
  </si>
  <si>
    <t>Manager/ManagerForm/password</t>
  </si>
  <si>
    <t>Name is mandatory</t>
  </si>
  <si>
    <t>Email is mandatory</t>
  </si>
  <si>
    <t>Password is mandatory</t>
  </si>
  <si>
    <t>ManagerDetails</t>
  </si>
  <si>
    <t>Details of a manager</t>
  </si>
  <si>
    <t>Add Manager</t>
  </si>
  <si>
    <t>AddManager</t>
  </si>
  <si>
    <t>(Forms) Manager/ManagerForm</t>
  </si>
  <si>
    <t>ListManagers</t>
  </si>
  <si>
    <t>(Lists) Manager/ManagersList</t>
  </si>
  <si>
    <t>UpdateManager</t>
  </si>
  <si>
    <t>Add new manager</t>
  </si>
  <si>
    <t>Update manager details</t>
  </si>
  <si>
    <t>Edit Details</t>
  </si>
  <si>
    <t>(Data) Manager/ManagerDetails</t>
  </si>
  <si>
    <t>Manager/UpdateManager</t>
  </si>
  <si>
    <t>MaidJob</t>
  </si>
  <si>
    <t>MaidJob/RecentJobList</t>
  </si>
  <si>
    <t>MaidJob/NewMaidJob</t>
  </si>
  <si>
    <t>MaidJob/NewMaidJob/maid</t>
  </si>
  <si>
    <t>MaidJob/TodayJobList</t>
  </si>
  <si>
    <t>MaidJob/YesterdayJobList</t>
  </si>
  <si>
    <t>MaidJob/CurrentWeekJobList</t>
  </si>
  <si>
    <t>MaidJob/LastWeekJobList</t>
  </si>
  <si>
    <t>MaidJob/CurrentMonthJobList</t>
  </si>
  <si>
    <t>MaidJob/LastMonthJobList</t>
  </si>
  <si>
    <t>MaidJob/Latest</t>
  </si>
  <si>
    <t>MaidJob/Today</t>
  </si>
  <si>
    <t>MaidJob/Yesterday</t>
  </si>
  <si>
    <t>MaidJob/ThisWeek</t>
  </si>
  <si>
    <t>MaidJob/LastWeek</t>
  </si>
  <si>
    <t>MaidJob/ThisMonth</t>
  </si>
  <si>
    <t>MaidJob/LastMonth</t>
  </si>
  <si>
    <t>MaidJob/Maid</t>
  </si>
  <si>
    <t>MaidJob/UpdateJobEntry</t>
  </si>
  <si>
    <t>(Forms) MaidJob/NewMaidJob</t>
  </si>
  <si>
    <t>(Lists) MaidJob/RecentJobList</t>
  </si>
  <si>
    <t>(Data) MaidJob/JobEntryDetails</t>
  </si>
  <si>
    <t>(Lists) MaidJob/TodayJobList</t>
  </si>
  <si>
    <t>(Lists) MaidJob/YesterdayJobList</t>
  </si>
  <si>
    <t>(Lists) MaidJob/CurrentWeekJobList</t>
  </si>
  <si>
    <t>(Lists) MaidJob/LastWeekJobList</t>
  </si>
  <si>
    <t>(Lists) MaidJob/CurrentMonthJobList</t>
  </si>
  <si>
    <t>(Lists) MaidJob/LastMonthJobList</t>
  </si>
  <si>
    <t>Easy Clean Administrator</t>
  </si>
  <si>
    <t>ViewMaidTodayJobs</t>
  </si>
  <si>
    <t>ViewMaidYesterdayJobs</t>
  </si>
  <si>
    <t>ViewMaidWeekJobs</t>
  </si>
  <si>
    <t>ViewMaidLastWeekJobs</t>
  </si>
  <si>
    <t>ViewMaidMonthJobs</t>
  </si>
  <si>
    <t>ViewMaidLastMonthJobs</t>
  </si>
  <si>
    <t>List maids todays job entries</t>
  </si>
  <si>
    <t>List maids yesterdays job entries</t>
  </si>
  <si>
    <t>List maids current week job entries</t>
  </si>
  <si>
    <t>List maids last week job entries</t>
  </si>
  <si>
    <t>List maids current month job entries</t>
  </si>
  <si>
    <t>List maids last month job entries</t>
  </si>
  <si>
    <t>ListRelation</t>
  </si>
  <si>
    <t>(Relation) Maid/Jobs</t>
  </si>
  <si>
    <t>lastWeek</t>
  </si>
  <si>
    <t>MaidJob/NewMaidJob/date</t>
  </si>
  <si>
    <t>todayDate</t>
  </si>
  <si>
    <t>Maid/ViewMaidTodayJobs</t>
  </si>
  <si>
    <t>Maid/ViewMaidYesterdayJobs</t>
  </si>
  <si>
    <t>Maid/ViewMaidWeekJobs</t>
  </si>
  <si>
    <t>Maid/ViewMaidLastWeekJobs</t>
  </si>
  <si>
    <t>Maid/ViewMaidMonthJobs</t>
  </si>
  <si>
    <t>Maid/ViewMaidLastMonthJobs</t>
  </si>
  <si>
    <t>Milestone\MaidJobEntry\Controllers</t>
  </si>
  <si>
    <t>nationality</t>
  </si>
  <si>
    <t>2019_11_25_000045_create_maids_table.php</t>
  </si>
  <si>
    <t>2019_11_25_000046_create_maid_jobs_table.php</t>
  </si>
  <si>
    <t>2019_11_28_062543_create_nationality_table.php</t>
  </si>
  <si>
    <t>Nationality</t>
  </si>
  <si>
    <t>Maid Nationality</t>
  </si>
  <si>
    <t>MaidNationality</t>
  </si>
  <si>
    <t>Maids nationality details</t>
  </si>
  <si>
    <t>nationalityNullable</t>
  </si>
  <si>
    <t>code</t>
  </si>
  <si>
    <t>NationalityForm</t>
  </si>
  <si>
    <t>Form to add a nationality</t>
  </si>
  <si>
    <t>Nationality/NationalityForm</t>
  </si>
  <si>
    <t>Country Name</t>
  </si>
  <si>
    <t>Code</t>
  </si>
  <si>
    <t>Nationality/NationalityForm/name</t>
  </si>
  <si>
    <t>Country Name is Mandatory</t>
  </si>
  <si>
    <t>Maid/NewMaidForm/code</t>
  </si>
  <si>
    <t>unique</t>
  </si>
  <si>
    <t>This code is already in use</t>
  </si>
  <si>
    <t>Code is Mandatory</t>
  </si>
  <si>
    <t>Maid/NewMaidForm/nationality</t>
  </si>
  <si>
    <t>NationalityList</t>
  </si>
  <si>
    <t>List all nations</t>
  </si>
  <si>
    <t>Countries</t>
  </si>
  <si>
    <t>Maid/Nationality</t>
  </si>
  <si>
    <t>Nationality/NationalityList</t>
  </si>
  <si>
    <t>display</t>
  </si>
  <si>
    <t>NewNationality</t>
  </si>
  <si>
    <t>Add new nationality</t>
  </si>
  <si>
    <t>Add</t>
  </si>
  <si>
    <t>(Lists) Nationality/NationalityList</t>
  </si>
  <si>
    <t>(Forms) Nationality/NationalityForm</t>
  </si>
  <si>
    <t>ListNationality</t>
  </si>
  <si>
    <t>Lsi countries</t>
  </si>
  <si>
    <t>MaidJob/NewMaidJob/hours</t>
  </si>
  <si>
    <t>MaidJob/NewMaidJob/amount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</si>
</sst>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NumberFormat="1" applyFont="1"/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NumberFormat="1" applyFont="1" applyFill="1"/>
    <xf numFmtId="0" fontId="13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0" fontId="15" fillId="3" borderId="0" xfId="0" applyFont="1" applyFill="1"/>
    <xf numFmtId="0" fontId="13" fillId="4" borderId="0" xfId="0" applyFont="1" applyFill="1"/>
    <xf numFmtId="0" fontId="13" fillId="4" borderId="0" xfId="0" applyNumberFormat="1" applyFont="1" applyFill="1"/>
    <xf numFmtId="0" fontId="13" fillId="4" borderId="0" xfId="0" applyNumberFormat="1" applyFont="1" applyFill="1" applyAlignment="1">
      <alignment horizontal="left"/>
    </xf>
    <xf numFmtId="0" fontId="13" fillId="4" borderId="0" xfId="0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13" fillId="2" borderId="0" xfId="0" applyNumberFormat="1" applyFont="1" applyFill="1"/>
    <xf numFmtId="0" fontId="13" fillId="2" borderId="0" xfId="0" applyNumberFormat="1" applyFont="1" applyFill="1" applyAlignment="1">
      <alignment horizontal="center"/>
    </xf>
    <xf numFmtId="0" fontId="13" fillId="2" borderId="0" xfId="0" applyNumberFormat="1" applyFont="1" applyFill="1" applyAlignment="1">
      <alignment horizontal="left"/>
    </xf>
    <xf numFmtId="0" fontId="13" fillId="0" borderId="0" xfId="0" applyFont="1" applyBorder="1"/>
    <xf numFmtId="0" fontId="14" fillId="0" borderId="0" xfId="0" applyFont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3" fillId="0" borderId="0" xfId="0" quotePrefix="1" applyFont="1" applyAlignment="1">
      <alignment horizontal="left"/>
    </xf>
  </cellXfs>
  <cellStyles count="1">
    <cellStyle name="Normal" xfId="0" builtinId="0"/>
  </cellStyles>
  <dxfs count="467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48" totalsRowShown="0" dataDxfId="466">
  <autoFilter ref="A1:J48"/>
  <tableColumns count="10">
    <tableColumn id="2" name="Name" dataDxfId="465"/>
    <tableColumn id="10" name="Table" dataDxfId="464">
      <calculatedColumnFormula>Tables[Name]</calculatedColumnFormula>
    </tableColumn>
    <tableColumn id="5" name="Singular Name" dataDxfId="463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62">
      <calculatedColumnFormula>"App\Model"</calculatedColumnFormula>
    </tableColumn>
    <tableColumn id="4" name="Class Name" dataDxfId="461">
      <calculatedColumnFormula>SUBSTITUTE(PROPER(Tables[Singular Name]),"_","")</calculatedColumnFormula>
    </tableColumn>
    <tableColumn id="1" name="Migration Artisan" dataDxfId="460">
      <calculatedColumnFormula>"php artisan make:migration create_"&amp;Tables[Table]&amp;"_table --create="&amp;Tables[Table]</calculatedColumnFormula>
    </tableColumn>
    <tableColumn id="6" name="Model Artisan" dataDxfId="459">
      <calculatedColumnFormula>"php artisan make:model "&amp;Tables[Class Name]</calculatedColumnFormula>
    </tableColumn>
    <tableColumn id="3" name="Model Statement" dataDxfId="458">
      <calculatedColumnFormula>"protected $table = '"&amp;Tables[Table]&amp;"';"</calculatedColumnFormula>
    </tableColumn>
    <tableColumn id="7" name="Seeder Artisan" dataDxfId="457">
      <calculatedColumnFormula>"php artisan make:seed "&amp;Tables[Class Name]&amp;"TableSeeder"</calculatedColumnFormula>
    </tableColumn>
    <tableColumn id="9" name="Seeder Class" dataDxfId="456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25" totalsRowShown="0" headerRowDxfId="348" dataDxfId="347">
  <autoFilter ref="A1:Y25"/>
  <tableColumns count="25">
    <tableColumn id="10" name="Primary" dataDxfId="346">
      <calculatedColumnFormula>'Table Seed Map'!$A$34&amp;"-"&amp;(COUNTA($E$1:ResourceAction[[#This Row],[Resource]])-2)</calculatedColumnFormula>
    </tableColumn>
    <tableColumn id="13" name="Display" dataDxfId="345">
      <calculatedColumnFormula>ResourceAction[[#This Row],[Resource Name]]&amp;"/"&amp;ResourceAction[[#This Row],[Name]]</calculatedColumnFormula>
    </tableColumn>
    <tableColumn id="2" name="Resource Name" dataDxfId="344"/>
    <tableColumn id="11" name="No" dataDxfId="34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2">
      <calculatedColumnFormula>IFERROR(VLOOKUP(ResourceAction[[#This Row],[Resource Name]],ResourceTable[[RName]:[No]],3,0),"resource")</calculatedColumnFormula>
    </tableColumn>
    <tableColumn id="4" name="Name" dataDxfId="341"/>
    <tableColumn id="6" name="Description" dataDxfId="340"/>
    <tableColumn id="7" name="Title" dataDxfId="339"/>
    <tableColumn id="8" name="Type" dataDxfId="338"/>
    <tableColumn id="9" name="Menu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1" totalsRowShown="0" headerRowDxfId="321" dataDxfId="320">
  <autoFilter ref="AA1:AL11"/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Map'!$A$37&amp;"-"&amp;-1+COUNTA($AC$1:ActionListNData[[#This Row],[Resource List]])</calculatedColumnFormula>
    </tableColumn>
    <tableColumn id="10" name="List ID" dataDxfId="31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Map'!$A$38&amp;"-"&amp;-1+COUNTA($AD$1:ActionListNData[[#This Row],[Resource Data]])</calculatedColumnFormula>
    </tableColumn>
    <tableColumn id="12" name="Data ID" dataDxfId="31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7" dataDxfId="306">
  <autoFilter ref="AN1:AS2"/>
  <tableColumns count="6">
    <tableColumn id="1" name="Action Name for Attr" dataDxfId="305"/>
    <tableColumn id="5" name="Primary" dataDxfId="304">
      <calculatedColumnFormula>'Table Seed Map'!$A$36&amp;"-"&amp;(COUNTA($AN$2:ActionAttr[[#This Row],[Action Name for Attr]]))</calculatedColumnFormula>
    </tableColumn>
    <tableColumn id="6" name="No" dataDxfId="30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6" totalsRowShown="0" headerRowDxfId="299" dataDxfId="298">
  <autoFilter ref="A1:K6"/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3" headerRowDxfId="286" dataDxfId="285">
  <autoFilter ref="M1:BA13"/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FormFields[Form]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13" totalsRowShown="0" headerRowDxfId="243" dataDxfId="242">
  <autoFilter ref="BC1:BH13"/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IFERROR(VLOOKUP(FieldAttrs[ATTR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1" totalsRowShown="0" headerRowDxfId="235" dataDxfId="234">
  <autoFilter ref="BJ1:BS11"/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VLOOKUP(FieldValidations[Validation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3">
  <autoFilter ref="CF1:CZ2"/>
  <tableColumns count="21">
    <tableColumn id="2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1" dataDxfId="200">
  <autoFilter ref="BU1:CD2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IFERROR(VLOOKUP(FormCollection[Main Form for Collection],ResourceForms[[FormName]:[ID]],4,0),"resource_form")</calculatedColumnFormula>
    </tableColumn>
    <tableColumn id="8" name="Collection Form2" dataDxfId="192">
      <calculatedColumnFormula>IFERROR(VLOOKUP(FormCollection[Collection Form],ResourceForms[[FormName]:[ID]],4,0),"collection_form")</calculatedColumnFormula>
    </tableColumn>
    <tableColumn id="9" name="Relation3" dataDxfId="191">
      <calculatedColumnFormula>IFERROR(VLOOKUP(FormCollection[Relation],RelationTable[[Display]:[RELID]],2,0),"")</calculatedColumnFormula>
    </tableColumn>
    <tableColumn id="10" name="Foreign" dataDxfId="190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3" totalsRowShown="0" headerRowDxfId="189" dataDxfId="188">
  <autoFilter ref="DB1:DL3"/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15" totalsRowShown="0" dataDxfId="454">
  <autoFilter ref="A1:J15"/>
  <tableColumns count="10">
    <tableColumn id="1" name="Column" dataDxfId="453"/>
    <tableColumn id="2" name="Type" dataDxfId="452"/>
    <tableColumn id="3" name="Name" dataDxfId="451"/>
    <tableColumn id="4" name="Length/Enum" dataDxfId="450"/>
    <tableColumn id="5" name="Method1" dataDxfId="449"/>
    <tableColumn id="6" name="Method2" dataDxfId="448"/>
    <tableColumn id="7" name="Method3" dataDxfId="447"/>
    <tableColumn id="8" name="Method4" dataDxfId="446"/>
    <tableColumn id="9" name="Method5" dataDxfId="445"/>
    <tableColumn id="10" name="Usage" dataDxfId="444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4" dataDxfId="163">
  <autoFilter ref="DY1:ES2"/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56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55">
      <calculatedColumnFormula>IF(FormDataMapping[[#This Row],[Form for Data Mapping]]="","form_field",VLOOKUP(FormDataMapping[Form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52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51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50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49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48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" totalsRowShown="0" dataDxfId="141">
  <autoFilter ref="A1:H4"/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MID(MigrationRenamer[Filename],26,LEN(MigrationRenamer[Filename])-35)</calculatedColumnFormula>
    </tableColumn>
    <tableColumn id="3" name="Date Part" dataDxfId="137">
      <calculatedColumnFormula>"2019_11_25_"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RIGHT(MigrationRenamer[Filename],LEN(MigrationRenamer[Filename])-LEN(MigrationRenamer[Date Part])-LEN(MigrationRenamer[Sequence]))</calculatedColumnFormula>
    </tableColumn>
    <tableColumn id="6" name="New Name" dataDxfId="134">
      <calculatedColumnFormula>MigrationRenamer[Date Part]&amp;MigrationRenamer[Sequence]&amp;MigrationRenamer[Name Part]</calculatedColumnFormula>
    </tableColumn>
    <tableColumn id="7" name="CMD" dataDxfId="133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2" totalsRowShown="0" dataDxfId="132">
  <autoFilter ref="A1:K12"/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10" totalsRowShown="0" headerRowDxfId="120" dataDxfId="119">
  <autoFilter ref="M1:AD10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4" totalsRowShown="0" headerRowDxfId="100" dataDxfId="99">
  <autoFilter ref="AF1:AR14"/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45" totalsRowShown="0" headerRowDxfId="85" dataDxfId="84">
  <autoFilter ref="AT1:BE45"/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5" totalsRowShown="0" dataDxfId="71">
  <autoFilter ref="A1:J5"/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" totalsRowShown="0" headerRowDxfId="60" dataDxfId="59">
  <autoFilter ref="L1:AC2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40" dataDxfId="39">
  <autoFilter ref="AE1:AN2"/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9" totalsRowShown="0" dataDxfId="443">
  <autoFilter ref="A1:K19"/>
  <tableColumns count="11">
    <tableColumn id="2" name="Table" dataDxfId="442"/>
    <tableColumn id="3" name="Field" dataDxfId="441"/>
    <tableColumn id="5" name="Type" dataDxfId="440">
      <calculatedColumnFormula>VLOOKUP(TableFields[Field],Columns[],2,0)&amp;"("</calculatedColumnFormula>
    </tableColumn>
    <tableColumn id="4" name="Name" dataDxfId="439">
      <calculatedColumnFormula>IF(VLOOKUP(TableFields[Field],Columns[],3,0)&lt;&gt;"","'"&amp;VLOOKUP(TableFields[Field],Columns[],3,0)&amp;"'","")</calculatedColumnFormula>
    </tableColumn>
    <tableColumn id="6" name="Arg2" dataDxfId="438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37">
      <calculatedColumnFormula>IF(VLOOKUP(TableFields[Field],Columns[],5,0)=0,"","-&gt;"&amp;VLOOKUP(TableFields[Field],Columns[],5,0))</calculatedColumnFormula>
    </tableColumn>
    <tableColumn id="8" name="Method2" dataDxfId="436">
      <calculatedColumnFormula>IF(VLOOKUP(TableFields[Field],Columns[],6,0)=0,"","-&gt;"&amp;VLOOKUP(TableFields[Field],Columns[],6,0))</calculatedColumnFormula>
    </tableColumn>
    <tableColumn id="9" name="Method3" dataDxfId="435">
      <calculatedColumnFormula>IF(VLOOKUP(TableFields[Field],Columns[],7,0)=0,"","-&gt;"&amp;VLOOKUP(TableFields[Field],Columns[],7,0))</calculatedColumnFormula>
    </tableColumn>
    <tableColumn id="10" name="Method4" dataDxfId="434">
      <calculatedColumnFormula>IF(VLOOKUP(TableFields[Field],Columns[],8,0)=0,"","-&gt;"&amp;VLOOKUP(TableFields[Field],Columns[],8,0))</calculatedColumnFormula>
    </tableColumn>
    <tableColumn id="11" name="Method5" dataDxfId="433">
      <calculatedColumnFormula>IF(VLOOKUP(TableFields[Field],Columns[],9,0)=0,"","-&gt;"&amp;VLOOKUP(TableFields[Field],Columns[],9,0))</calculatedColumnFormula>
    </tableColumn>
    <tableColumn id="12" name="Statement" dataDxfId="432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28" dataDxfId="27">
  <autoFilter ref="AP1:AW2"/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/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/>
  <tableColumns count="7">
    <tableColumn id="1" name="No" dataDxfId="6">
      <calculatedColumnFormula>IFERROR($J1+1,1)</calculatedColumnFormula>
    </tableColumn>
    <tableColumn id="2" name="Type" dataDxfId="5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17" totalsRowShown="0" headerRowDxfId="431" dataDxfId="430">
  <autoFilter ref="A1:R17"/>
  <tableColumns count="18">
    <tableColumn id="19" name="TRCode" dataDxfId="429">
      <calculatedColumnFormula>TableData[Table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46" totalsRowShown="0" dataDxfId="411">
  <autoFilter ref="A1:K46"/>
  <tableColumns count="11">
    <tableColumn id="1" name="Name" dataDxfId="410"/>
    <tableColumn id="3" name="Table Name" dataDxfId="409"/>
    <tableColumn id="20" name="NS" dataDxfId="408">
      <calculatedColumnFormula>VLOOKUP(SeedMap[Table Name],Tables[],4,0)</calculatedColumnFormula>
    </tableColumn>
    <tableColumn id="21" name="Model" dataDxfId="407">
      <calculatedColumnFormula>VLOOKUP(SeedMap[Table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6" totalsRowShown="0" dataDxfId="399">
  <autoFilter ref="A1:M6"/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"Milestone\MaidJobEntry"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5">
  <autoFilter ref="O1:Z2"/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5" totalsRowShown="0" dataDxfId="372">
  <autoFilter ref="A1:N5"/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Row],[No]]="id","resource",VLOOKUP(RelationTable[Resource],CHOOSE({1,2},ResourceTable[Name],ResourceTable[No]),2,0))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VLOOKUP(RelationTable[Relate Resource],CHOOSE({1,2},ResourceTable[Name],ResourceTable[No]),2,0)</calculatedColumnFormula>
    </tableColumn>
    <tableColumn id="9" name="RID" dataDxfId="358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9" totalsRowShown="0" dataDxfId="357">
  <autoFilter ref="P1:W9"/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G40" workbookViewId="0">
      <selection activeCell="J46" sqref="J46:J48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6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6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6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6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6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6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6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6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6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6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6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6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6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6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6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6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6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6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6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6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6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6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6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6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6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6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6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6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6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6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6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6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6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6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6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6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6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6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6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6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6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6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6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6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83" t="s">
        <v>985</v>
      </c>
      <c r="B46" s="85" t="str">
        <f>Tables[Name]</f>
        <v>nationality</v>
      </c>
      <c r="C46" s="85" t="str">
        <f>IF(RIGHT(Tables[Name],3)="ies",MID(Tables[Name],1,LEN(Tables[Name])-3)&amp;"y",IF(RIGHT(Tables[Name],1)="s",MID(Tables[Name],1,LEN(Tables[Name])-1),Tables[Name]))</f>
        <v>nationality</v>
      </c>
      <c r="D46" s="62" t="str">
        <f>"App\Model"</f>
        <v>App\Model</v>
      </c>
      <c r="E46" s="85" t="str">
        <f>SUBSTITUTE(PROPER(Tables[Singular Name]),"_","")</f>
        <v>Nationality</v>
      </c>
      <c r="F46" s="85" t="str">
        <f>"php artisan make:migration create_"&amp;Tables[Table]&amp;"_table --create="&amp;Tables[Table]</f>
        <v>php artisan make:migration create_nationality_table --create=nationality</v>
      </c>
      <c r="G46" s="85" t="str">
        <f>"php artisan make:model "&amp;Tables[Class Name]</f>
        <v>php artisan make:model Nationality</v>
      </c>
      <c r="H46" s="85" t="str">
        <f>"protected $table = '"&amp;Tables[Table]&amp;"';"</f>
        <v>protected $table = 'nationality';</v>
      </c>
      <c r="I46" s="85" t="str">
        <f>"php artisan make:seed "&amp;Tables[Class Name]&amp;"TableSeeder"</f>
        <v>php artisan make:seed NationalityTableSeeder</v>
      </c>
      <c r="J46" s="85" t="str">
        <f>Tables[Class Name]&amp;"TableSeeder"&amp;"::class,"</f>
        <v>NationalityTableSeeder::class,</v>
      </c>
    </row>
    <row r="47" spans="1:10" x14ac:dyDescent="0.25">
      <c r="A47" s="2" t="s">
        <v>760</v>
      </c>
      <c r="B47" s="7" t="str">
        <f>Tables[Name]</f>
        <v>maids</v>
      </c>
      <c r="C47" s="7" t="str">
        <f>IF(RIGHT(Tables[Name],3)="ies",MID(Tables[Name],1,LEN(Tables[Name])-3)&amp;"y",IF(RIGHT(Tables[Name],1)="s",MID(Tables[Name],1,LEN(Tables[Name])-1),Tables[Name]))</f>
        <v>maid</v>
      </c>
      <c r="D47" s="62" t="str">
        <f t="shared" ref="D47:D48" si="0">"App\Model"</f>
        <v>App\Model</v>
      </c>
      <c r="E47" s="7" t="str">
        <f>SUBSTITUTE(PROPER(Tables[Singular Name]),"_","")</f>
        <v>Maid</v>
      </c>
      <c r="F47" s="7" t="str">
        <f>"php artisan make:migration create_"&amp;Tables[Table]&amp;"_table --create="&amp;Tables[Table]</f>
        <v>php artisan make:migration create_maids_table --create=maids</v>
      </c>
      <c r="G47" s="7" t="str">
        <f>"php artisan make:model "&amp;Tables[Class Name]</f>
        <v>php artisan make:model Maid</v>
      </c>
      <c r="H47" s="7" t="str">
        <f>"protected $table = '"&amp;Tables[Table]&amp;"';"</f>
        <v>protected $table = 'maids';</v>
      </c>
      <c r="I47" s="7" t="str">
        <f>"php artisan make:seed "&amp;Tables[Class Name]&amp;"TableSeeder"</f>
        <v>php artisan make:seed MaidTableSeeder</v>
      </c>
      <c r="J47" s="7" t="str">
        <f>Tables[Class Name]&amp;"TableSeeder"&amp;"::class,"</f>
        <v>MaidTableSeeder::class,</v>
      </c>
    </row>
    <row r="48" spans="1:10" x14ac:dyDescent="0.25">
      <c r="A48" s="61" t="s">
        <v>761</v>
      </c>
      <c r="B48" s="62" t="str">
        <f>Tables[Name]</f>
        <v>maid_jobs</v>
      </c>
      <c r="C48" s="62" t="str">
        <f>IF(RIGHT(Tables[Name],3)="ies",MID(Tables[Name],1,LEN(Tables[Name])-3)&amp;"y",IF(RIGHT(Tables[Name],1)="s",MID(Tables[Name],1,LEN(Tables[Name])-1),Tables[Name]))</f>
        <v>maid_job</v>
      </c>
      <c r="D48" s="62" t="str">
        <f t="shared" si="0"/>
        <v>App\Model</v>
      </c>
      <c r="E48" s="62" t="str">
        <f>SUBSTITUTE(PROPER(Tables[Singular Name]),"_","")</f>
        <v>MaidJob</v>
      </c>
      <c r="F48" s="62" t="str">
        <f>"php artisan make:migration create_"&amp;Tables[Table]&amp;"_table --create="&amp;Tables[Table]</f>
        <v>php artisan make:migration create_maid_jobs_table --create=maid_jobs</v>
      </c>
      <c r="G48" s="62" t="str">
        <f>"php artisan make:model "&amp;Tables[Class Name]</f>
        <v>php artisan make:model MaidJob</v>
      </c>
      <c r="H48" s="62" t="str">
        <f>"protected $table = '"&amp;Tables[Table]&amp;"';"</f>
        <v>protected $table = 'maid_jobs';</v>
      </c>
      <c r="I48" s="62" t="str">
        <f>"php artisan make:seed "&amp;Tables[Class Name]&amp;"TableSeeder"</f>
        <v>php artisan make:seed MaidJobTableSeeder</v>
      </c>
      <c r="J48" s="62" t="str">
        <f>Tables[Class Name]&amp;"TableSeeder"&amp;"::class,"</f>
        <v>MaidJobTableSeeder::class,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3"/>
  <sheetViews>
    <sheetView topLeftCell="AZ1" workbookViewId="0">
      <selection activeCell="BS5" sqref="BS5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8.42578125" style="20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29" customWidth="1"/>
    <col min="68" max="70" width="9.5703125" customWidth="1"/>
    <col min="71" max="71" width="9.5703125" style="20" customWidth="1"/>
    <col min="72" max="72" width="22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customWidth="1"/>
    <col min="84" max="84" width="27.5703125" hidden="1" customWidth="1"/>
    <col min="85" max="85" width="32.42578125" hidden="1" customWidth="1"/>
    <col min="86" max="86" width="21.5703125" style="20" customWidth="1"/>
    <col min="87" max="87" width="11.7109375" hidden="1" customWidth="1"/>
    <col min="88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customWidth="1"/>
    <col min="107" max="109" width="24.7109375" hidden="1" customWidth="1"/>
    <col min="110" max="114" width="24.7109375" customWidth="1"/>
    <col min="116" max="118" width="28.7109375" customWidth="1"/>
    <col min="119" max="121" width="28.7109375" hidden="1" customWidth="1"/>
    <col min="122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22.140625" customWidth="1"/>
    <col min="131" max="131" width="21.710937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6" customWidth="1"/>
    <col min="138" max="138" width="18" hidden="1" customWidth="1"/>
    <col min="139" max="139" width="20.7109375" hidden="1" customWidth="1"/>
    <col min="140" max="141" width="6.7109375" hidden="1" customWidth="1"/>
    <col min="142" max="143" width="15.42578125" hidden="1" customWidth="1"/>
    <col min="144" max="144" width="18.85546875" customWidth="1"/>
    <col min="145" max="145" width="18.4257812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759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FormFields[Form]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1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Manager/ManagerForm</v>
      </c>
      <c r="C3" s="60">
        <f>COUNTA($A$1:ResourceForms[[#This Row],[Primary]])-2</f>
        <v>1</v>
      </c>
      <c r="D3" s="68" t="s">
        <v>900</v>
      </c>
      <c r="E3" s="60">
        <f>IF(ResourceForms[[#This Row],[No]]=0,"id",ResourceForms[[#This Row],[No]]+IF(ISNUMBER(VLOOKUP('Table Seed Map'!$A$11,SeedMap[],9,0)),VLOOKUP('Table Seed Map'!$A$11,SeedMap[],9,0),0))</f>
        <v>556001</v>
      </c>
      <c r="F3" s="60">
        <f>IFERROR(VLOOKUP(ResourceForms[[#This Row],[Resource Name]],ResourceTable[[RName]:[No]],3,0),"resource")</f>
        <v>555601</v>
      </c>
      <c r="G3" s="6" t="s">
        <v>906</v>
      </c>
      <c r="H3" s="15" t="s">
        <v>907</v>
      </c>
      <c r="I3" s="6" t="s">
        <v>900</v>
      </c>
      <c r="J3" s="6" t="s">
        <v>908</v>
      </c>
      <c r="K3" s="63">
        <f>ResourceForms[ID]</f>
        <v>556001</v>
      </c>
      <c r="M3" s="69" t="str">
        <f>'Table Seed Map'!$A$12&amp;"-"&amp;FormFields[[#This Row],[No]]</f>
        <v>Form Fields-1</v>
      </c>
      <c r="N3" s="34" t="s">
        <v>909</v>
      </c>
      <c r="O3" s="37">
        <f>COUNTA($N$1:FormFields[[#This Row],[Form Name]])-1</f>
        <v>1</v>
      </c>
      <c r="P3" s="39" t="str">
        <f>FormFields[[#This Row],[Form Name]]&amp;"/"&amp;FormFields[[#This Row],[Name]]</f>
        <v>Manager/ManagerForm/name</v>
      </c>
      <c r="Q3" s="37">
        <f>IF(FormFields[[#This Row],[No]]=0,"id",FormFields[[#This Row],[No]]+IF(ISNUMBER(VLOOKUP('Table Seed Map'!$A$12,SeedMap[],9,0)),VLOOKUP('Table Seed Map'!$A$12,SeedMap[],9,0),0))</f>
        <v>556101</v>
      </c>
      <c r="R3" s="40">
        <f>IFERROR(VLOOKUP(FormFields[[#This Row],[Form Name]],ResourceForms[[FormName]:[ID]],4,0),"resource_form")</f>
        <v>556001</v>
      </c>
      <c r="S3" s="42" t="s">
        <v>23</v>
      </c>
      <c r="T3" s="42" t="s">
        <v>811</v>
      </c>
      <c r="U3" s="42" t="s">
        <v>910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556201</v>
      </c>
      <c r="AD3" s="76">
        <f>IF(FormFields[[#This Row],[ID]]="id","form_field",FormFields[[#This Row],[ID]])</f>
        <v>556101</v>
      </c>
      <c r="AE3" s="75" t="str">
        <f>IF(FormFields[[#This Row],[No]]=0,"attribute",FormFields[[#This Row],[Name]])</f>
        <v>name</v>
      </c>
      <c r="AF3" s="77" t="str">
        <f>IF(FormFields[[#This Row],[NO2]]=0,"relation",IF(FormFields[[#This Row],[Rel]]="","",VLOOKUP(FormFields[[#This Row],[Rel]],RelationTable[[Display]:[RELID]],2,0)))</f>
        <v/>
      </c>
      <c r="AG3" s="77" t="str">
        <f>IF(FormFields[[#This Row],[NO2]]=0,"nest_relation1",IF(FormFields[[#This Row],[Rel1]]="","",VLOOKUP(FormFields[[#This Row],[Rel1]],RelationTable[[Display]:[RELID]],2,0)))</f>
        <v/>
      </c>
      <c r="AH3" s="77" t="str">
        <f>IF(FormFields[[#This Row],[NO2]]=0,"nest_relation2",IF(FormFields[[#This Row],[Rel2]]="","",VLOOKUP(FormFields[[#This Row],[Rel2]],RelationTable[[Display]:[RELID]],2,0)))</f>
        <v/>
      </c>
      <c r="AI3" s="77" t="str">
        <f>IF(FormFields[[#This Row],[NO2]]=0,"nest_relation3",IF(FormFields[[#This Row],[Rel3]]="","",VLOOKUP(FormFields[[#This Row],[Rel3]],RelationTable[[Display]:[RELID]],2,0)))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58">
        <f>IF(FormFields[[#This Row],[ID]]="id","form_field",FormFields[[#This Row],[ID]])</f>
        <v>556101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FormFields[Form]</f>
        <v>556001</v>
      </c>
      <c r="AY3" s="70">
        <f>IF(FormFields[[#This Row],[ID]]="id","form_field",FormFields[[#This Row],[ID]])</f>
        <v>556101</v>
      </c>
      <c r="AZ3" s="79"/>
      <c r="BA3" s="58">
        <f>FormFields[[#This Row],[ID]]</f>
        <v>556101</v>
      </c>
      <c r="BC3" s="61" t="s">
        <v>1000</v>
      </c>
      <c r="BD3" s="62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556401</v>
      </c>
      <c r="BF3" s="58">
        <f>IFERROR(VLOOKUP(FieldAttrs[ATTR Field],FormFields[[Field Name]:[ID]],2,0),"form_field")</f>
        <v>556104</v>
      </c>
      <c r="BG3" s="58" t="s">
        <v>833</v>
      </c>
      <c r="BH3" s="58">
        <v>4</v>
      </c>
      <c r="BJ3" s="61" t="s">
        <v>1000</v>
      </c>
      <c r="BK3" s="61">
        <f>COUNTA($BJ$2:FieldValidations[[#This Row],[Validation Field]])</f>
        <v>1</v>
      </c>
      <c r="BL3" s="62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556601</v>
      </c>
      <c r="BN3" s="60">
        <f>VLOOKUP(FieldValidations[Validation Field],FormFields[[Field Name]:[ID]],2,0)</f>
        <v>556104</v>
      </c>
      <c r="BO3" s="68" t="s">
        <v>834</v>
      </c>
      <c r="BP3" s="68" t="s">
        <v>1001</v>
      </c>
      <c r="BQ3" s="68"/>
      <c r="BR3" s="68"/>
      <c r="BS3" s="68"/>
      <c r="DB3" s="83" t="s">
        <v>976</v>
      </c>
      <c r="DC3" s="62" t="str">
        <f>'Table Seed Map'!$A$18&amp;"-"&amp;COUNTA($DB$2:FieldDepends[[#This Row],[Field for Depend]])</f>
        <v>Field Depends-1</v>
      </c>
      <c r="DD3" s="60">
        <f>IF(FieldDepends[[#This Row],[Field for Depend]]="","id",-1+COUNTA($DB$1:FieldDepends[[#This Row],[Field for Depend]])+VLOOKUP('Table Seed Map'!$A$18,SeedMap[],9,0))</f>
        <v>556701</v>
      </c>
      <c r="DE3" s="60">
        <f>IFERROR(VLOOKUP(FieldDepends[[#This Row],[Field for Depend]],FormFields[[Field Name]:[ID]],2,0),"form_field")</f>
        <v>556109</v>
      </c>
      <c r="DF3" s="62"/>
      <c r="DG3" s="61"/>
      <c r="DH3" s="61"/>
      <c r="DI3" s="61"/>
      <c r="DJ3" s="61" t="s">
        <v>977</v>
      </c>
      <c r="DK3" s="61"/>
      <c r="DL3" s="61" t="s">
        <v>99</v>
      </c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Nationality/NationalityForm</v>
      </c>
      <c r="C4" s="60">
        <f>COUNTA($A$1:ResourceForms[[#This Row],[Primary]])-2</f>
        <v>2</v>
      </c>
      <c r="D4" s="68" t="s">
        <v>989</v>
      </c>
      <c r="E4" s="60">
        <f>IF(ResourceForms[[#This Row],[No]]=0,"id",ResourceForms[[#This Row],[No]]+IF(ISNUMBER(VLOOKUP('Table Seed Map'!$A$11,SeedMap[],9,0)),VLOOKUP('Table Seed Map'!$A$11,SeedMap[],9,0),0))</f>
        <v>556002</v>
      </c>
      <c r="F4" s="60">
        <f>IFERROR(VLOOKUP(ResourceForms[[#This Row],[Resource Name]],ResourceTable[[RName]:[No]],3,0),"resource")</f>
        <v>555602</v>
      </c>
      <c r="G4" s="62" t="s">
        <v>995</v>
      </c>
      <c r="H4" s="60" t="s">
        <v>996</v>
      </c>
      <c r="I4" s="62" t="s">
        <v>989</v>
      </c>
      <c r="J4" s="6" t="s">
        <v>908</v>
      </c>
      <c r="K4" s="63">
        <f>ResourceForms[ID]</f>
        <v>556002</v>
      </c>
      <c r="M4" s="69" t="str">
        <f>'Table Seed Map'!$A$12&amp;"-"&amp;FormFields[[#This Row],[No]]</f>
        <v>Form Fields-2</v>
      </c>
      <c r="N4" s="34" t="s">
        <v>909</v>
      </c>
      <c r="O4" s="37">
        <f>COUNTA($N$1:FormFields[[#This Row],[Form Name]])-1</f>
        <v>2</v>
      </c>
      <c r="P4" s="39" t="str">
        <f>FormFields[[#This Row],[Form Name]]&amp;"/"&amp;FormFields[[#This Row],[Name]]</f>
        <v>Manager/ManagerForm/email</v>
      </c>
      <c r="Q4" s="37">
        <f>IF(FormFields[[#This Row],[No]]=0,"id",FormFields[[#This Row],[No]]+IF(ISNUMBER(VLOOKUP('Table Seed Map'!$A$12,SeedMap[],9,0)),VLOOKUP('Table Seed Map'!$A$12,SeedMap[],9,0),0))</f>
        <v>556102</v>
      </c>
      <c r="R4" s="40">
        <f>IFERROR(VLOOKUP(FormFields[[#This Row],[Form Name]],ResourceForms[[FormName]:[ID]],4,0),"resource_form")</f>
        <v>556001</v>
      </c>
      <c r="S4" s="42" t="s">
        <v>894</v>
      </c>
      <c r="T4" s="42" t="s">
        <v>811</v>
      </c>
      <c r="U4" s="42" t="s">
        <v>911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556202</v>
      </c>
      <c r="AD4" s="76">
        <f>IF(FormFields[[#This Row],[ID]]="id","form_field",FormFields[[#This Row],[ID]])</f>
        <v>556102</v>
      </c>
      <c r="AE4" s="75" t="str">
        <f>IF(FormFields[[#This Row],[No]]=0,"attribute",FormFields[[#This Row],[Name]])</f>
        <v>email</v>
      </c>
      <c r="AF4" s="77" t="str">
        <f>IF(FormFields[[#This Row],[NO2]]=0,"relation",IF(FormFields[[#This Row],[Rel]]="","",VLOOKUP(FormFields[[#This Row],[Rel]],RelationTable[[Display]:[RELID]],2,0)))</f>
        <v/>
      </c>
      <c r="AG4" s="77" t="str">
        <f>IF(FormFields[[#This Row],[NO2]]=0,"nest_relation1",IF(FormFields[[#This Row],[Rel1]]="","",VLOOKUP(FormFields[[#This Row],[Rel1]],RelationTable[[Display]:[RELID]],2,0)))</f>
        <v/>
      </c>
      <c r="AH4" s="77" t="str">
        <f>IF(FormFields[[#This Row],[NO2]]=0,"nest_relation2",IF(FormFields[[#This Row],[Rel2]]="","",VLOOKUP(FormFields[[#This Row],[Rel2]],RelationTable[[Display]:[RELID]],2,0)))</f>
        <v/>
      </c>
      <c r="AI4" s="77" t="str">
        <f>IF(FormFields[[#This Row],[NO2]]=0,"nest_relation3",IF(FormFields[[#This Row],[Rel3]]="","",VLOOKUP(FormFields[[#This Row],[Rel3]],RelationTable[[Display]:[RELID]],2,0)))</f>
        <v/>
      </c>
      <c r="AJ4" s="70">
        <f>IF(OR(FormFields[[#This Row],[Option Type]]="",FormFields[[#This Row],[Option Type]]="type"),0,1)</f>
        <v>0</v>
      </c>
      <c r="AK4" s="70" t="str">
        <f>'Table Seed Map'!$A$14&amp;"-"&amp;FormFields[[#This Row],[NO4]]</f>
        <v>Field Options-0</v>
      </c>
      <c r="AL4" s="70">
        <f>COUNTIF($AJ$2:FormFields[[#This Row],[Exists FO]],1)</f>
        <v>0</v>
      </c>
      <c r="AM4" s="70" t="str">
        <f>IF(FormFields[[#This Row],[NO4]]=0,"id",FormFields[[#This Row],[NO4]]+IF(ISNUMBER(VLOOKUP('Table Seed Map'!$A$14,SeedMap[],9,0)),VLOOKUP('Table Seed Map'!$A$14,SeedMap[],9,0),0))</f>
        <v>id</v>
      </c>
      <c r="AN4" s="58">
        <f>IF(FormFields[[#This Row],[ID]]="id","form_field",FormFields[[#This Row],[ID]])</f>
        <v>556102</v>
      </c>
      <c r="AO4" s="78"/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FormFields[Form]</f>
        <v>556001</v>
      </c>
      <c r="AY4" s="70">
        <f>IF(FormFields[[#This Row],[ID]]="id","form_field",FormFields[[#This Row],[ID]])</f>
        <v>556102</v>
      </c>
      <c r="AZ4" s="79"/>
      <c r="BA4" s="58">
        <f>FormFields[[#This Row],[ID]]</f>
        <v>556102</v>
      </c>
      <c r="BC4" s="61" t="s">
        <v>1002</v>
      </c>
      <c r="BD4" s="62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556402</v>
      </c>
      <c r="BF4" s="58">
        <f>IFERROR(VLOOKUP(FieldAttrs[ATTR Field],FormFields[[Field Name]:[ID]],2,0),"form_field")</f>
        <v>556105</v>
      </c>
      <c r="BG4" s="58" t="s">
        <v>833</v>
      </c>
      <c r="BH4" s="58">
        <v>4</v>
      </c>
      <c r="BJ4" s="61" t="s">
        <v>1002</v>
      </c>
      <c r="BK4" s="61">
        <f>COUNTA($BJ$2:FieldValidations[[#This Row],[Validation Field]])</f>
        <v>2</v>
      </c>
      <c r="BL4" s="62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556602</v>
      </c>
      <c r="BN4" s="60">
        <f>VLOOKUP(FieldValidations[Validation Field],FormFields[[Field Name]:[ID]],2,0)</f>
        <v>556105</v>
      </c>
      <c r="BO4" s="68" t="s">
        <v>834</v>
      </c>
      <c r="BP4" s="68" t="s">
        <v>1005</v>
      </c>
      <c r="BQ4" s="68"/>
      <c r="BR4" s="68"/>
      <c r="BS4" s="68"/>
    </row>
    <row r="5" spans="1:149" x14ac:dyDescent="0.25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Maid/NewMaidForm</v>
      </c>
      <c r="C5" s="60">
        <f>COUNTA($A$1:ResourceForms[[#This Row],[Primary]])-2</f>
        <v>3</v>
      </c>
      <c r="D5" s="68" t="s">
        <v>784</v>
      </c>
      <c r="E5" s="60">
        <f>IF(ResourceForms[[#This Row],[No]]=0,"id",ResourceForms[[#This Row],[No]]+IF(ISNUMBER(VLOOKUP('Table Seed Map'!$A$11,SeedMap[],9,0)),VLOOKUP('Table Seed Map'!$A$11,SeedMap[],9,0),0))</f>
        <v>556003</v>
      </c>
      <c r="F5" s="60">
        <f>IFERROR(VLOOKUP(ResourceForms[[#This Row],[Resource Name]],ResourceTable[[RName]:[No]],3,0),"resource")</f>
        <v>555603</v>
      </c>
      <c r="G5" s="62" t="s">
        <v>808</v>
      </c>
      <c r="H5" s="60" t="s">
        <v>809</v>
      </c>
      <c r="I5" s="62" t="s">
        <v>784</v>
      </c>
      <c r="J5" s="6" t="s">
        <v>908</v>
      </c>
      <c r="K5" s="63">
        <f>ResourceForms[ID]</f>
        <v>556003</v>
      </c>
      <c r="M5" s="69" t="str">
        <f>'Table Seed Map'!$A$12&amp;"-"&amp;FormFields[[#This Row],[No]]</f>
        <v>Form Fields-3</v>
      </c>
      <c r="N5" s="34" t="s">
        <v>909</v>
      </c>
      <c r="O5" s="37">
        <f>COUNTA($N$1:FormFields[[#This Row],[Form Name]])-1</f>
        <v>3</v>
      </c>
      <c r="P5" s="39" t="str">
        <f>FormFields[[#This Row],[Form Name]]&amp;"/"&amp;FormFields[[#This Row],[Name]]</f>
        <v>Manager/ManagerForm/password</v>
      </c>
      <c r="Q5" s="37">
        <f>IF(FormFields[[#This Row],[No]]=0,"id",FormFields[[#This Row],[No]]+IF(ISNUMBER(VLOOKUP('Table Seed Map'!$A$12,SeedMap[],9,0)),VLOOKUP('Table Seed Map'!$A$12,SeedMap[],9,0),0))</f>
        <v>556103</v>
      </c>
      <c r="R5" s="40">
        <f>IFERROR(VLOOKUP(FormFields[[#This Row],[Form Name]],ResourceForms[[FormName]:[ID]],4,0),"resource_form")</f>
        <v>556001</v>
      </c>
      <c r="S5" s="42" t="s">
        <v>895</v>
      </c>
      <c r="T5" s="42" t="s">
        <v>895</v>
      </c>
      <c r="U5" s="42" t="s">
        <v>912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556203</v>
      </c>
      <c r="AD5" s="76">
        <f>IF(FormFields[[#This Row],[ID]]="id","form_field",FormFields[[#This Row],[ID]])</f>
        <v>556103</v>
      </c>
      <c r="AE5" s="75" t="str">
        <f>IF(FormFields[[#This Row],[No]]=0,"attribute",FormFields[[#This Row],[Name]])</f>
        <v>password</v>
      </c>
      <c r="AF5" s="77" t="str">
        <f>IF(FormFields[[#This Row],[NO2]]=0,"relation",IF(FormFields[[#This Row],[Rel]]="","",VLOOKUP(FormFields[[#This Row],[Rel]],RelationTable[[Display]:[RELID]],2,0)))</f>
        <v/>
      </c>
      <c r="AG5" s="77" t="str">
        <f>IF(FormFields[[#This Row],[NO2]]=0,"nest_relation1",IF(FormFields[[#This Row],[Rel1]]="","",VLOOKUP(FormFields[[#This Row],[Rel1]],RelationTable[[Display]:[RELID]],2,0)))</f>
        <v/>
      </c>
      <c r="AH5" s="77" t="str">
        <f>IF(FormFields[[#This Row],[NO2]]=0,"nest_relation2",IF(FormFields[[#This Row],[Rel2]]="","",VLOOKUP(FormFields[[#This Row],[Rel2]],RelationTable[[Display]:[RELID]],2,0)))</f>
        <v/>
      </c>
      <c r="AI5" s="77" t="str">
        <f>IF(FormFields[[#This Row],[NO2]]=0,"nest_relation3",IF(FormFields[[#This Row],[Rel3]]="","",VLOOKUP(FormFields[[#This Row],[Rel3]],RelationTable[[Display]:[RELID]],2,0)))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Options-0</v>
      </c>
      <c r="AL5" s="70">
        <f>COUNTIF($AJ$2:FormFields[[#This Row],[Exists FO]],1)</f>
        <v>0</v>
      </c>
      <c r="AM5" s="70" t="str">
        <f>IF(FormFields[[#This Row],[NO4]]=0,"id",FormFields[[#This Row],[NO4]]+IF(ISNUMBER(VLOOKUP('Table Seed Map'!$A$14,SeedMap[],9,0)),VLOOKUP('Table Seed Map'!$A$14,SeedMap[],9,0),0))</f>
        <v>id</v>
      </c>
      <c r="AN5" s="58">
        <f>IF(FormFields[[#This Row],[ID]]="id","form_field",FormFields[[#This Row],[ID]])</f>
        <v>556103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FormFields[Form]</f>
        <v>556001</v>
      </c>
      <c r="AY5" s="70">
        <f>IF(FormFields[[#This Row],[ID]]="id","form_field",FormFields[[#This Row],[ID]])</f>
        <v>556103</v>
      </c>
      <c r="AZ5" s="79"/>
      <c r="BA5" s="58">
        <f>FormFields[[#This Row],[ID]]</f>
        <v>556103</v>
      </c>
      <c r="BC5" s="61" t="s">
        <v>832</v>
      </c>
      <c r="BD5" s="62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556403</v>
      </c>
      <c r="BF5" s="58">
        <f>IFERROR(VLOOKUP(FieldAttrs[ATTR Field],FormFields[[Field Name]:[ID]],2,0),"form_field")</f>
        <v>556107</v>
      </c>
      <c r="BG5" s="58" t="s">
        <v>833</v>
      </c>
      <c r="BH5" s="58">
        <v>4</v>
      </c>
      <c r="BJ5" s="61" t="s">
        <v>1002</v>
      </c>
      <c r="BK5" s="61">
        <f>COUNTA($BJ$2:FieldValidations[[#This Row],[Validation Field]])</f>
        <v>3</v>
      </c>
      <c r="BL5" s="62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556603</v>
      </c>
      <c r="BN5" s="60">
        <f>VLOOKUP(FieldValidations[Validation Field],FormFields[[Field Name]:[ID]],2,0)</f>
        <v>556105</v>
      </c>
      <c r="BO5" s="68" t="s">
        <v>1003</v>
      </c>
      <c r="BP5" s="68" t="s">
        <v>1004</v>
      </c>
      <c r="BQ5" s="13" t="s">
        <v>760</v>
      </c>
      <c r="BR5" s="13" t="s">
        <v>994</v>
      </c>
      <c r="BS5" s="94" t="str">
        <f>"-r:update"</f>
        <v>-r:update</v>
      </c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MaidJob/NewMaidJob</v>
      </c>
      <c r="C6" s="60">
        <f>COUNTA($A$1:ResourceForms[[#This Row],[Primary]])-2</f>
        <v>4</v>
      </c>
      <c r="D6" s="68" t="s">
        <v>932</v>
      </c>
      <c r="E6" s="60">
        <f>IF(ResourceForms[[#This Row],[No]]=0,"id",ResourceForms[[#This Row],[No]]+IF(ISNUMBER(VLOOKUP('Table Seed Map'!$A$11,SeedMap[],9,0)),VLOOKUP('Table Seed Map'!$A$11,SeedMap[],9,0),0))</f>
        <v>556004</v>
      </c>
      <c r="F6" s="60">
        <f>IFERROR(VLOOKUP(ResourceForms[[#This Row],[Resource Name]],ResourceTable[[RName]:[No]],3,0),"resource")</f>
        <v>555604</v>
      </c>
      <c r="G6" s="62" t="s">
        <v>823</v>
      </c>
      <c r="H6" s="60" t="s">
        <v>824</v>
      </c>
      <c r="I6" s="62" t="s">
        <v>825</v>
      </c>
      <c r="J6" s="6" t="s">
        <v>908</v>
      </c>
      <c r="K6" s="63">
        <f>ResourceForms[ID]</f>
        <v>556004</v>
      </c>
      <c r="M6" s="69" t="str">
        <f>'Table Seed Map'!$A$12&amp;"-"&amp;FormFields[[#This Row],[No]]</f>
        <v>Form Fields-4</v>
      </c>
      <c r="N6" s="34" t="s">
        <v>997</v>
      </c>
      <c r="O6" s="70">
        <f>COUNTA($N$1:FormFields[[#This Row],[Form Name]])-1</f>
        <v>4</v>
      </c>
      <c r="P6" s="69" t="str">
        <f>FormFields[[#This Row],[Form Name]]&amp;"/"&amp;FormFields[[#This Row],[Name]]</f>
        <v>Nationality/NationalityForm/name</v>
      </c>
      <c r="Q6" s="70">
        <f>IF(FormFields[[#This Row],[No]]=0,"id",FormFields[[#This Row],[No]]+IF(ISNUMBER(VLOOKUP('Table Seed Map'!$A$12,SeedMap[],9,0)),VLOOKUP('Table Seed Map'!$A$12,SeedMap[],9,0),0))</f>
        <v>556104</v>
      </c>
      <c r="R6" s="71">
        <f>IFERROR(VLOOKUP(FormFields[[#This Row],[Form Name]],ResourceForms[[FormName]:[ID]],4,0),"resource_form")</f>
        <v>556002</v>
      </c>
      <c r="S6" s="72" t="s">
        <v>23</v>
      </c>
      <c r="T6" s="72" t="s">
        <v>811</v>
      </c>
      <c r="U6" s="72" t="s">
        <v>998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556204</v>
      </c>
      <c r="AD6" s="76">
        <f>IF(FormFields[[#This Row],[ID]]="id","form_field",FormFields[[#This Row],[ID]])</f>
        <v>556104</v>
      </c>
      <c r="AE6" s="75" t="str">
        <f>IF(FormFields[[#This Row],[No]]=0,"attribute",FormFields[[#This Row],[Name]])</f>
        <v>name</v>
      </c>
      <c r="AF6" s="77" t="str">
        <f>IF(FormFields[[#This Row],[NO2]]=0,"relation",IF(FormFields[[#This Row],[Rel]]="","",VLOOKUP(FormFields[[#This Row],[Rel]],RelationTable[[Display]:[RELID]],2,0)))</f>
        <v/>
      </c>
      <c r="AG6" s="77" t="str">
        <f>IF(FormFields[[#This Row],[NO2]]=0,"nest_relation1",IF(FormFields[[#This Row],[Rel1]]="","",VLOOKUP(FormFields[[#This Row],[Rel1]],RelationTable[[Display]:[RELID]],2,0)))</f>
        <v/>
      </c>
      <c r="AH6" s="77" t="str">
        <f>IF(FormFields[[#This Row],[NO2]]=0,"nest_relation2",IF(FormFields[[#This Row],[Rel2]]="","",VLOOKUP(FormFields[[#This Row],[Rel2]],RelationTable[[Display]:[RELID]],2,0)))</f>
        <v/>
      </c>
      <c r="AI6" s="77" t="str">
        <f>IF(FormFields[[#This Row],[NO2]]=0,"nest_relation3",IF(FormFields[[#This Row],[Rel3]]="","",VLOOKUP(FormFields[[#This Row],[Rel3]],RelationTable[[Display]:[RELID]],2,0)))</f>
        <v/>
      </c>
      <c r="AJ6" s="70">
        <f>IF(OR(FormFields[[#This Row],[Option Type]]="",FormFields[[#This Row],[Option Type]]="type"),0,1)</f>
        <v>0</v>
      </c>
      <c r="AK6" s="70" t="str">
        <f>'Table Seed Map'!$A$14&amp;"-"&amp;FormFields[[#This Row],[NO4]]</f>
        <v>Field Options-0</v>
      </c>
      <c r="AL6" s="70">
        <f>COUNTIF($AJ$2:FormFields[[#This Row],[Exists FO]],1)</f>
        <v>0</v>
      </c>
      <c r="AM6" s="70" t="str">
        <f>IF(FormFields[[#This Row],[NO4]]=0,"id",FormFields[[#This Row],[NO4]]+IF(ISNUMBER(VLOOKUP('Table Seed Map'!$A$14,SeedMap[],9,0)),VLOOKUP('Table Seed Map'!$A$14,SeedMap[],9,0),0))</f>
        <v>id</v>
      </c>
      <c r="AN6" s="58">
        <f>IF(FormFields[[#This Row],[ID]]="id","form_field",FormFields[[#This Row],[ID]])</f>
        <v>556104</v>
      </c>
      <c r="AO6" s="78"/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FormFields[Form]</f>
        <v>556002</v>
      </c>
      <c r="AY6" s="70">
        <f>IF(FormFields[[#This Row],[ID]]="id","form_field",FormFields[[#This Row],[ID]])</f>
        <v>556104</v>
      </c>
      <c r="AZ6" s="79"/>
      <c r="BA6" s="58">
        <f>FormFields[[#This Row],[ID]]</f>
        <v>556104</v>
      </c>
      <c r="BC6" s="61" t="s">
        <v>1006</v>
      </c>
      <c r="BD6" s="62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556404</v>
      </c>
      <c r="BF6" s="58">
        <f>IFERROR(VLOOKUP(FieldAttrs[ATTR Field],FormFields[[Field Name]:[ID]],2,0),"form_field")</f>
        <v>556106</v>
      </c>
      <c r="BG6" s="58" t="s">
        <v>833</v>
      </c>
      <c r="BH6" s="58">
        <v>4</v>
      </c>
      <c r="BJ6" s="61" t="s">
        <v>832</v>
      </c>
      <c r="BK6" s="61">
        <f>COUNTA($BJ$2:FieldValidations[[#This Row],[Validation Field]])</f>
        <v>4</v>
      </c>
      <c r="BL6" s="62" t="str">
        <f>'Table Seed Map'!$A$17&amp;"-"&amp;FieldValidations[[#This Row],[ID No]]</f>
        <v>Field Validations-4</v>
      </c>
      <c r="BM6" s="60">
        <f>IF(FieldValidations[[#This Row],[ID No]]=0,"id",FieldValidations[[#This Row],[ID No]]+VLOOKUP('Table Seed Map'!$A$17,SeedMap[],9,0))</f>
        <v>556604</v>
      </c>
      <c r="BN6" s="60">
        <f>VLOOKUP(FieldValidations[Validation Field],FormFields[[Field Name]:[ID]],2,0)</f>
        <v>556107</v>
      </c>
      <c r="BO6" s="68" t="s">
        <v>834</v>
      </c>
      <c r="BP6" s="68" t="s">
        <v>835</v>
      </c>
      <c r="BQ6" s="68"/>
      <c r="BR6" s="68"/>
      <c r="BS6" s="68"/>
    </row>
    <row r="7" spans="1:149" x14ac:dyDescent="0.25">
      <c r="M7" s="69" t="str">
        <f>'Table Seed Map'!$A$12&amp;"-"&amp;FormFields[[#This Row],[No]]</f>
        <v>Form Fields-5</v>
      </c>
      <c r="N7" s="34" t="s">
        <v>810</v>
      </c>
      <c r="O7" s="70">
        <f>COUNTA($N$1:FormFields[[#This Row],[Form Name]])-1</f>
        <v>5</v>
      </c>
      <c r="P7" s="69" t="str">
        <f>FormFields[[#This Row],[Form Name]]&amp;"/"&amp;FormFields[[#This Row],[Name]]</f>
        <v>Maid/NewMaidForm/code</v>
      </c>
      <c r="Q7" s="70">
        <f>IF(FormFields[[#This Row],[No]]=0,"id",FormFields[[#This Row],[No]]+IF(ISNUMBER(VLOOKUP('Table Seed Map'!$A$12,SeedMap[],9,0)),VLOOKUP('Table Seed Map'!$A$12,SeedMap[],9,0),0))</f>
        <v>556105</v>
      </c>
      <c r="R7" s="71">
        <f>IFERROR(VLOOKUP(FormFields[[#This Row],[Form Name]],ResourceForms[[FormName]:[ID]],4,0),"resource_form")</f>
        <v>556003</v>
      </c>
      <c r="S7" s="72" t="s">
        <v>994</v>
      </c>
      <c r="T7" s="72" t="s">
        <v>811</v>
      </c>
      <c r="U7" s="72" t="s">
        <v>999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556205</v>
      </c>
      <c r="AD7" s="76">
        <f>IF(FormFields[[#This Row],[ID]]="id","form_field",FormFields[[#This Row],[ID]])</f>
        <v>556105</v>
      </c>
      <c r="AE7" s="75" t="str">
        <f>IF(FormFields[[#This Row],[No]]=0,"attribute",FormFields[[#This Row],[Name]])</f>
        <v>code</v>
      </c>
      <c r="AF7" s="77" t="str">
        <f>IF(FormFields[[#This Row],[NO2]]=0,"relation",IF(FormFields[[#This Row],[Rel]]="","",VLOOKUP(FormFields[[#This Row],[Rel]],RelationTable[[Display]:[RELID]],2,0)))</f>
        <v/>
      </c>
      <c r="AG7" s="77" t="str">
        <f>IF(FormFields[[#This Row],[NO2]]=0,"nest_relation1",IF(FormFields[[#This Row],[Rel1]]="","",VLOOKUP(FormFields[[#This Row],[Rel1]],RelationTable[[Display]:[RELID]],2,0)))</f>
        <v/>
      </c>
      <c r="AH7" s="77" t="str">
        <f>IF(FormFields[[#This Row],[NO2]]=0,"nest_relation2",IF(FormFields[[#This Row],[Rel2]]="","",VLOOKUP(FormFields[[#This Row],[Rel2]],RelationTable[[Display]:[RELID]],2,0)))</f>
        <v/>
      </c>
      <c r="AI7" s="77" t="str">
        <f>IF(FormFields[[#This Row],[NO2]]=0,"nest_relation3",IF(FormFields[[#This Row],[Rel3]]="","",VLOOKUP(FormFields[[#This Row],[Rel3]],RelationTable[[Display]:[RELID]],2,0)))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Options-0</v>
      </c>
      <c r="AL7" s="70">
        <f>COUNTIF($AJ$2:FormFields[[#This Row],[Exists FO]],1)</f>
        <v>0</v>
      </c>
      <c r="AM7" s="70" t="str">
        <f>IF(FormFields[[#This Row],[NO4]]=0,"id",FormFields[[#This Row],[NO4]]+IF(ISNUMBER(VLOOKUP('Table Seed Map'!$A$14,SeedMap[],9,0)),VLOOKUP('Table Seed Map'!$A$14,SeedMap[],9,0),0))</f>
        <v>id</v>
      </c>
      <c r="AN7" s="58">
        <f>IF(FormFields[[#This Row],[ID]]="id","form_field",FormFields[[#This Row],[ID]])</f>
        <v>556105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0</v>
      </c>
      <c r="AU7" s="70" t="str">
        <f>'Table Seed Map'!$A$19&amp;"-"&amp;FormFields[[#This Row],[NO8]]</f>
        <v>Form Layout-0</v>
      </c>
      <c r="AV7" s="70">
        <f>COUNTIF($AT$1:FormFields[[#This Row],[Exists FL]],1)</f>
        <v>0</v>
      </c>
      <c r="AW7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70">
        <f>FormFields[Form]</f>
        <v>556003</v>
      </c>
      <c r="AY7" s="70">
        <f>IF(FormFields[[#This Row],[ID]]="id","form_field",FormFields[[#This Row],[ID]])</f>
        <v>556105</v>
      </c>
      <c r="AZ7" s="79"/>
      <c r="BA7" s="58">
        <f>FormFields[[#This Row],[ID]]</f>
        <v>556105</v>
      </c>
      <c r="BC7" s="1" t="s">
        <v>913</v>
      </c>
      <c r="BD7" s="6" t="str">
        <f>'Table Seed Map'!$A$15&amp;"-"&amp;(-1+COUNTA($BC$1:FieldAttrs[[#This Row],[ATTR Field]]))</f>
        <v>Field Attrs-5</v>
      </c>
      <c r="BE7" s="15">
        <f>IF(FieldAttrs[[#This Row],[ATTR Field]]="","id",-1+COUNTA($BC$1:FieldAttrs[[#This Row],[ATTR Field]])+VLOOKUP('Table Seed Map'!$A$15,SeedMap[],9,0))</f>
        <v>556405</v>
      </c>
      <c r="BF7" s="35">
        <f>IFERROR(VLOOKUP(FieldAttrs[ATTR Field],FormFields[[Field Name]:[ID]],2,0),"form_field")</f>
        <v>556101</v>
      </c>
      <c r="BG7" s="58" t="s">
        <v>833</v>
      </c>
      <c r="BH7" s="35">
        <v>4</v>
      </c>
      <c r="BJ7" s="1" t="s">
        <v>935</v>
      </c>
      <c r="BK7" s="61">
        <f>COUNTA($BJ$2:FieldValidations[[#This Row],[Validation Field]])</f>
        <v>5</v>
      </c>
      <c r="BL7" s="62" t="str">
        <f>'Table Seed Map'!$A$17&amp;"-"&amp;FieldValidations[[#This Row],[ID No]]</f>
        <v>Field Validations-5</v>
      </c>
      <c r="BM7" s="60">
        <f>IF(FieldValidations[[#This Row],[ID No]]=0,"id",FieldValidations[[#This Row],[ID No]]+VLOOKUP('Table Seed Map'!$A$17,SeedMap[],9,0))</f>
        <v>556605</v>
      </c>
      <c r="BN7" s="60">
        <f>VLOOKUP(FieldValidations[Validation Field],FormFields[[Field Name]:[ID]],2,0)</f>
        <v>556108</v>
      </c>
      <c r="BO7" s="68" t="s">
        <v>834</v>
      </c>
      <c r="BP7" s="68" t="s">
        <v>827</v>
      </c>
      <c r="BQ7" s="68"/>
      <c r="BR7" s="68"/>
      <c r="BS7" s="68"/>
    </row>
    <row r="8" spans="1:149" x14ac:dyDescent="0.25">
      <c r="M8" s="69" t="str">
        <f>'Table Seed Map'!$A$12&amp;"-"&amp;FormFields[[#This Row],[No]]</f>
        <v>Form Fields-6</v>
      </c>
      <c r="N8" s="34" t="s">
        <v>810</v>
      </c>
      <c r="O8" s="70">
        <f>COUNTA($N$1:FormFields[[#This Row],[Form Name]])-1</f>
        <v>6</v>
      </c>
      <c r="P8" s="69" t="str">
        <f>FormFields[[#This Row],[Form Name]]&amp;"/"&amp;FormFields[[#This Row],[Name]]</f>
        <v>Maid/NewMaidForm/nationality</v>
      </c>
      <c r="Q8" s="70">
        <f>IF(FormFields[[#This Row],[No]]=0,"id",FormFields[[#This Row],[No]]+IF(ISNUMBER(VLOOKUP('Table Seed Map'!$A$12,SeedMap[],9,0)),VLOOKUP('Table Seed Map'!$A$12,SeedMap[],9,0),0))</f>
        <v>556106</v>
      </c>
      <c r="R8" s="71">
        <f>IFERROR(VLOOKUP(FormFields[[#This Row],[Form Name]],ResourceForms[[FormName]:[ID]],4,0),"resource_form")</f>
        <v>556003</v>
      </c>
      <c r="S8" s="72" t="s">
        <v>985</v>
      </c>
      <c r="T8" s="72" t="s">
        <v>826</v>
      </c>
      <c r="U8" s="72" t="s">
        <v>989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556206</v>
      </c>
      <c r="AD8" s="76">
        <f>IF(FormFields[[#This Row],[ID]]="id","form_field",FormFields[[#This Row],[ID]])</f>
        <v>556106</v>
      </c>
      <c r="AE8" s="75" t="str">
        <f>IF(FormFields[[#This Row],[No]]=0,"attribute",FormFields[[#This Row],[Name]])</f>
        <v>nationality</v>
      </c>
      <c r="AF8" s="77" t="str">
        <f>IF(FormFields[[#This Row],[NO2]]=0,"relation",IF(FormFields[[#This Row],[Rel]]="","",VLOOKUP(FormFields[[#This Row],[Rel]],RelationTable[[Display]:[RELID]],2,0)))</f>
        <v/>
      </c>
      <c r="AG8" s="77" t="str">
        <f>IF(FormFields[[#This Row],[NO2]]=0,"nest_relation1",IF(FormFields[[#This Row],[Rel1]]="","",VLOOKUP(FormFields[[#This Row],[Rel1]],RelationTable[[Display]:[RELID]],2,0)))</f>
        <v/>
      </c>
      <c r="AH8" s="77" t="str">
        <f>IF(FormFields[[#This Row],[NO2]]=0,"nest_relation2",IF(FormFields[[#This Row],[Rel2]]="","",VLOOKUP(FormFields[[#This Row],[Rel2]],RelationTable[[Display]:[RELID]],2,0)))</f>
        <v/>
      </c>
      <c r="AI8" s="77" t="str">
        <f>IF(FormFields[[#This Row],[NO2]]=0,"nest_relation3",IF(FormFields[[#This Row],[Rel3]]="","",VLOOKUP(FormFields[[#This Row],[Rel3]],RelationTable[[Display]:[RELID]],2,0)))</f>
        <v/>
      </c>
      <c r="AJ8" s="70">
        <f>IF(OR(FormFields[[#This Row],[Option Type]]="",FormFields[[#This Row],[Option Type]]="type"),0,1)</f>
        <v>1</v>
      </c>
      <c r="AK8" s="70" t="str">
        <f>'Table Seed Map'!$A$14&amp;"-"&amp;FormFields[[#This Row],[NO4]]</f>
        <v>Field Options-1</v>
      </c>
      <c r="AL8" s="70">
        <f>COUNTIF($AJ$2:FormFields[[#This Row],[Exists FO]],1)</f>
        <v>1</v>
      </c>
      <c r="AM8" s="70">
        <f>IF(FormFields[[#This Row],[NO4]]=0,"id",FormFields[[#This Row],[NO4]]+IF(ISNUMBER(VLOOKUP('Table Seed Map'!$A$14,SeedMap[],9,0)),VLOOKUP('Table Seed Map'!$A$14,SeedMap[],9,0),0))</f>
        <v>556301</v>
      </c>
      <c r="AN8" s="58">
        <f>IF(FormFields[[#This Row],[ID]]="id","form_field",FormFields[[#This Row],[ID]])</f>
        <v>556106</v>
      </c>
      <c r="AO8" s="78" t="s">
        <v>278</v>
      </c>
      <c r="AP8" s="78"/>
      <c r="AQ8" s="78" t="s">
        <v>21</v>
      </c>
      <c r="AR8" s="78" t="s">
        <v>23</v>
      </c>
      <c r="AS8" s="78" t="s">
        <v>828</v>
      </c>
      <c r="AT8" s="70">
        <f>IF(OR(FormFields[[#This Row],[Colspan]]="",FormFields[[#This Row],[Colspan]]="colspan"),0,1)</f>
        <v>0</v>
      </c>
      <c r="AU8" s="70" t="str">
        <f>'Table Seed Map'!$A$19&amp;"-"&amp;FormFields[[#This Row],[NO8]]</f>
        <v>Form Layout-0</v>
      </c>
      <c r="AV8" s="70">
        <f>COUNTIF($AT$1:FormFields[[#This Row],[Exists FL]],1)</f>
        <v>0</v>
      </c>
      <c r="AW8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70">
        <f>FormFields[Form]</f>
        <v>556003</v>
      </c>
      <c r="AY8" s="70">
        <f>IF(FormFields[[#This Row],[ID]]="id","form_field",FormFields[[#This Row],[ID]])</f>
        <v>556106</v>
      </c>
      <c r="AZ8" s="79"/>
      <c r="BA8" s="58">
        <f>FormFields[[#This Row],[ID]]</f>
        <v>556106</v>
      </c>
      <c r="BC8" s="1" t="s">
        <v>914</v>
      </c>
      <c r="BD8" s="6" t="str">
        <f>'Table Seed Map'!$A$15&amp;"-"&amp;(-1+COUNTA($BC$1:FieldAttrs[[#This Row],[ATTR Field]]))</f>
        <v>Field Attrs-6</v>
      </c>
      <c r="BE8" s="15">
        <f>IF(FieldAttrs[[#This Row],[ATTR Field]]="","id",-1+COUNTA($BC$1:FieldAttrs[[#This Row],[ATTR Field]])+VLOOKUP('Table Seed Map'!$A$15,SeedMap[],9,0))</f>
        <v>556406</v>
      </c>
      <c r="BF8" s="35">
        <f>IFERROR(VLOOKUP(FieldAttrs[ATTR Field],FormFields[[Field Name]:[ID]],2,0),"form_field")</f>
        <v>556102</v>
      </c>
      <c r="BG8" s="58" t="s">
        <v>833</v>
      </c>
      <c r="BH8" s="35">
        <v>4</v>
      </c>
      <c r="BJ8" s="1" t="s">
        <v>935</v>
      </c>
      <c r="BK8" s="61">
        <f>COUNTA($BJ$2:FieldValidations[[#This Row],[Validation Field]])</f>
        <v>6</v>
      </c>
      <c r="BL8" s="62" t="str">
        <f>'Table Seed Map'!$A$17&amp;"-"&amp;FieldValidations[[#This Row],[ID No]]</f>
        <v>Field Validations-6</v>
      </c>
      <c r="BM8" s="60">
        <f>IF(FieldValidations[[#This Row],[ID No]]=0,"id",FieldValidations[[#This Row],[ID No]]+VLOOKUP('Table Seed Map'!$A$17,SeedMap[],9,0))</f>
        <v>556606</v>
      </c>
      <c r="BN8" s="60">
        <f>VLOOKUP(FieldValidations[Validation Field],FormFields[[Field Name]:[ID]],2,0)</f>
        <v>556108</v>
      </c>
      <c r="BO8" s="68" t="s">
        <v>834</v>
      </c>
      <c r="BP8" s="68" t="s">
        <v>836</v>
      </c>
      <c r="BQ8" s="68"/>
      <c r="BR8" s="68"/>
      <c r="BS8" s="68"/>
    </row>
    <row r="9" spans="1:149" x14ac:dyDescent="0.25">
      <c r="M9" s="69" t="str">
        <f>'Table Seed Map'!$A$12&amp;"-"&amp;FormFields[[#This Row],[No]]</f>
        <v>Form Fields-7</v>
      </c>
      <c r="N9" s="59" t="s">
        <v>810</v>
      </c>
      <c r="O9" s="70">
        <f>COUNTA($N$1:FormFields[[#This Row],[Form Name]])-1</f>
        <v>7</v>
      </c>
      <c r="P9" s="69" t="str">
        <f>FormFields[[#This Row],[Form Name]]&amp;"/"&amp;FormFields[[#This Row],[Name]]</f>
        <v>Maid/NewMaidForm/name</v>
      </c>
      <c r="Q9" s="70">
        <f>IF(FormFields[[#This Row],[No]]=0,"id",FormFields[[#This Row],[No]]+IF(ISNUMBER(VLOOKUP('Table Seed Map'!$A$12,SeedMap[],9,0)),VLOOKUP('Table Seed Map'!$A$12,SeedMap[],9,0),0))</f>
        <v>556107</v>
      </c>
      <c r="R9" s="71">
        <f>IFERROR(VLOOKUP(FormFields[[#This Row],[Form Name]],ResourceForms[[FormName]:[ID]],4,0),"resource_form")</f>
        <v>556003</v>
      </c>
      <c r="S9" s="72" t="s">
        <v>23</v>
      </c>
      <c r="T9" s="72" t="s">
        <v>811</v>
      </c>
      <c r="U9" s="72" t="s">
        <v>812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556207</v>
      </c>
      <c r="AD9" s="76">
        <f>IF(FormFields[[#This Row],[ID]]="id","form_field",FormFields[[#This Row],[ID]])</f>
        <v>556107</v>
      </c>
      <c r="AE9" s="75" t="str">
        <f>IF(FormFields[[#This Row],[No]]=0,"attribute",FormFields[[#This Row],[Name]])</f>
        <v>name</v>
      </c>
      <c r="AF9" s="77" t="str">
        <f>IF(FormFields[[#This Row],[NO2]]=0,"relation",IF(FormFields[[#This Row],[Rel]]="","",VLOOKUP(FormFields[[#This Row],[Rel]],RelationTable[[Display]:[RELID]],2,0)))</f>
        <v/>
      </c>
      <c r="AG9" s="77" t="str">
        <f>IF(FormFields[[#This Row],[NO2]]=0,"nest_relation1",IF(FormFields[[#This Row],[Rel1]]="","",VLOOKUP(FormFields[[#This Row],[Rel1]],RelationTable[[Display]:[RELID]],2,0)))</f>
        <v/>
      </c>
      <c r="AH9" s="77" t="str">
        <f>IF(FormFields[[#This Row],[NO2]]=0,"nest_relation2",IF(FormFields[[#This Row],[Rel2]]="","",VLOOKUP(FormFields[[#This Row],[Rel2]],RelationTable[[Display]:[RELID]],2,0)))</f>
        <v/>
      </c>
      <c r="AI9" s="77" t="str">
        <f>IF(FormFields[[#This Row],[NO2]]=0,"nest_relation3",IF(FormFields[[#This Row],[Rel3]]="","",VLOOKUP(FormFields[[#This Row],[Rel3]],RelationTable[[Display]:[RELID]],2,0)))</f>
        <v/>
      </c>
      <c r="AJ9" s="70">
        <f>IF(OR(FormFields[[#This Row],[Option Type]]="",FormFields[[#This Row],[Option Type]]="type"),0,1)</f>
        <v>0</v>
      </c>
      <c r="AK9" s="70" t="str">
        <f>'Table Seed Map'!$A$14&amp;"-"&amp;FormFields[[#This Row],[NO4]]</f>
        <v>Field Options-1</v>
      </c>
      <c r="AL9" s="70">
        <f>COUNTIF($AJ$2:FormFields[[#This Row],[Exists FO]],1)</f>
        <v>1</v>
      </c>
      <c r="AM9" s="70">
        <f>IF(FormFields[[#This Row],[NO4]]=0,"id",FormFields[[#This Row],[NO4]]+IF(ISNUMBER(VLOOKUP('Table Seed Map'!$A$14,SeedMap[],9,0)),VLOOKUP('Table Seed Map'!$A$14,SeedMap[],9,0),0))</f>
        <v>556301</v>
      </c>
      <c r="AN9" s="58">
        <f>IF(FormFields[[#This Row],[ID]]="id","form_field",FormFields[[#This Row],[ID]])</f>
        <v>556107</v>
      </c>
      <c r="AO9" s="78"/>
      <c r="AP9" s="78"/>
      <c r="AQ9" s="78"/>
      <c r="AR9" s="78"/>
      <c r="AS9" s="78"/>
      <c r="AT9" s="70">
        <f>IF(OR(FormFields[[#This Row],[Colspan]]="",FormFields[[#This Row],[Colspan]]="colspan"),0,1)</f>
        <v>0</v>
      </c>
      <c r="AU9" s="70" t="str">
        <f>'Table Seed Map'!$A$19&amp;"-"&amp;FormFields[[#This Row],[NO8]]</f>
        <v>Form Layout-0</v>
      </c>
      <c r="AV9" s="70">
        <f>COUNTIF($AT$1:FormFields[[#This Row],[Exists FL]],1)</f>
        <v>0</v>
      </c>
      <c r="AW9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70">
        <f>FormFields[Form]</f>
        <v>556003</v>
      </c>
      <c r="AY9" s="70">
        <f>IF(FormFields[[#This Row],[ID]]="id","form_field",FormFields[[#This Row],[ID]])</f>
        <v>556107</v>
      </c>
      <c r="AZ9" s="79"/>
      <c r="BA9" s="58">
        <f>FormFields[[#This Row],[ID]]</f>
        <v>556107</v>
      </c>
      <c r="BC9" s="1" t="s">
        <v>915</v>
      </c>
      <c r="BD9" s="6" t="str">
        <f>'Table Seed Map'!$A$15&amp;"-"&amp;(-1+COUNTA($BC$1:FieldAttrs[[#This Row],[ATTR Field]]))</f>
        <v>Field Attrs-7</v>
      </c>
      <c r="BE9" s="15">
        <f>IF(FieldAttrs[[#This Row],[ATTR Field]]="","id",-1+COUNTA($BC$1:FieldAttrs[[#This Row],[ATTR Field]])+VLOOKUP('Table Seed Map'!$A$15,SeedMap[],9,0))</f>
        <v>556407</v>
      </c>
      <c r="BF9" s="35">
        <f>IFERROR(VLOOKUP(FieldAttrs[ATTR Field],FormFields[[Field Name]:[ID]],2,0),"form_field")</f>
        <v>556103</v>
      </c>
      <c r="BG9" s="58" t="s">
        <v>833</v>
      </c>
      <c r="BH9" s="35">
        <v>4</v>
      </c>
      <c r="BJ9" s="1" t="s">
        <v>913</v>
      </c>
      <c r="BK9" s="1">
        <f>COUNTA($BJ$2:FieldValidations[[#This Row],[Validation Field]])</f>
        <v>7</v>
      </c>
      <c r="BL9" s="6" t="str">
        <f>'Table Seed Map'!$A$17&amp;"-"&amp;FieldValidations[[#This Row],[ID No]]</f>
        <v>Field Validations-7</v>
      </c>
      <c r="BM9" s="15">
        <f>IF(FieldValidations[[#This Row],[ID No]]=0,"id",FieldValidations[[#This Row],[ID No]]+VLOOKUP('Table Seed Map'!$A$17,SeedMap[],9,0))</f>
        <v>556607</v>
      </c>
      <c r="BN9" s="15">
        <f>VLOOKUP(FieldValidations[Validation Field],FormFields[[Field Name]:[ID]],2,0)</f>
        <v>556101</v>
      </c>
      <c r="BO9" s="13" t="s">
        <v>834</v>
      </c>
      <c r="BP9" s="13" t="s">
        <v>916</v>
      </c>
      <c r="BQ9" s="13"/>
      <c r="BR9" s="13"/>
      <c r="BS9" s="13"/>
    </row>
    <row r="10" spans="1:149" x14ac:dyDescent="0.25">
      <c r="M10" s="69" t="str">
        <f>'Table Seed Map'!$A$12&amp;"-"&amp;FormFields[[#This Row],[No]]</f>
        <v>Form Fields-8</v>
      </c>
      <c r="N10" s="34" t="s">
        <v>934</v>
      </c>
      <c r="O10" s="70">
        <f>COUNTA($N$1:FormFields[[#This Row],[Form Name]])-1</f>
        <v>8</v>
      </c>
      <c r="P10" s="69" t="str">
        <f>FormFields[[#This Row],[Form Name]]&amp;"/"&amp;FormFields[[#This Row],[Name]]</f>
        <v>MaidJob/NewMaidJob/maid</v>
      </c>
      <c r="Q10" s="70">
        <f>IF(FormFields[[#This Row],[No]]=0,"id",FormFields[[#This Row],[No]]+IF(ISNUMBER(VLOOKUP('Table Seed Map'!$A$12,SeedMap[],9,0)),VLOOKUP('Table Seed Map'!$A$12,SeedMap[],9,0),0))</f>
        <v>556108</v>
      </c>
      <c r="R10" s="71">
        <f>IFERROR(VLOOKUP(FormFields[[#This Row],[Form Name]],ResourceForms[[FormName]:[ID]],4,0),"resource_form")</f>
        <v>556004</v>
      </c>
      <c r="S10" s="72" t="s">
        <v>767</v>
      </c>
      <c r="T10" s="72" t="s">
        <v>826</v>
      </c>
      <c r="U10" s="72" t="s">
        <v>827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556208</v>
      </c>
      <c r="AD10" s="76">
        <f>IF(FormFields[[#This Row],[ID]]="id","form_field",FormFields[[#This Row],[ID]])</f>
        <v>556108</v>
      </c>
      <c r="AE10" s="75" t="str">
        <f>IF(FormFields[[#This Row],[No]]=0,"attribute",FormFields[[#This Row],[Name]])</f>
        <v>maid</v>
      </c>
      <c r="AF10" s="77" t="str">
        <f>IF(FormFields[[#This Row],[NO2]]=0,"relation",IF(FormFields[[#This Row],[Rel]]="","",VLOOKUP(FormFields[[#This Row],[Rel]],RelationTable[[Display]:[RELID]],2,0)))</f>
        <v/>
      </c>
      <c r="AG10" s="77" t="str">
        <f>IF(FormFields[[#This Row],[NO2]]=0,"nest_relation1",IF(FormFields[[#This Row],[Rel1]]="","",VLOOKUP(FormFields[[#This Row],[Rel1]],RelationTable[[Display]:[RELID]],2,0)))</f>
        <v/>
      </c>
      <c r="AH10" s="77" t="str">
        <f>IF(FormFields[[#This Row],[NO2]]=0,"nest_relation2",IF(FormFields[[#This Row],[Rel2]]="","",VLOOKUP(FormFields[[#This Row],[Rel2]],RelationTable[[Display]:[RELID]],2,0)))</f>
        <v/>
      </c>
      <c r="AI10" s="77" t="str">
        <f>IF(FormFields[[#This Row],[NO2]]=0,"nest_relation3",IF(FormFields[[#This Row],[Rel3]]="","",VLOOKUP(FormFields[[#This Row],[Rel3]],RelationTable[[Display]:[RELID]],2,0)))</f>
        <v/>
      </c>
      <c r="AJ10" s="70">
        <f>IF(OR(FormFields[[#This Row],[Option Type]]="",FormFields[[#This Row],[Option Type]]="type"),0,1)</f>
        <v>1</v>
      </c>
      <c r="AK10" s="70" t="str">
        <f>'Table Seed Map'!$A$14&amp;"-"&amp;FormFields[[#This Row],[NO4]]</f>
        <v>Field Options-2</v>
      </c>
      <c r="AL10" s="70">
        <f>COUNTIF($AJ$2:FormFields[[#This Row],[Exists FO]],1)</f>
        <v>2</v>
      </c>
      <c r="AM10" s="70">
        <f>IF(FormFields[[#This Row],[NO4]]=0,"id",FormFields[[#This Row],[NO4]]+IF(ISNUMBER(VLOOKUP('Table Seed Map'!$A$14,SeedMap[],9,0)),VLOOKUP('Table Seed Map'!$A$14,SeedMap[],9,0),0))</f>
        <v>556302</v>
      </c>
      <c r="AN10" s="58">
        <f>IF(FormFields[[#This Row],[ID]]="id","form_field",FormFields[[#This Row],[ID]])</f>
        <v>556108</v>
      </c>
      <c r="AO10" s="47" t="s">
        <v>122</v>
      </c>
      <c r="AP10" s="78">
        <v>557303</v>
      </c>
      <c r="AQ10" s="78" t="s">
        <v>21</v>
      </c>
      <c r="AR10" s="47" t="s">
        <v>1012</v>
      </c>
      <c r="AS10" s="78" t="s">
        <v>828</v>
      </c>
      <c r="AT10" s="70">
        <f>IF(OR(FormFields[[#This Row],[Colspan]]="",FormFields[[#This Row],[Colspan]]="colspan"),0,1)</f>
        <v>0</v>
      </c>
      <c r="AU10" s="70" t="str">
        <f>'Table Seed Map'!$A$19&amp;"-"&amp;FormFields[[#This Row],[NO8]]</f>
        <v>Form Layout-0</v>
      </c>
      <c r="AV10" s="70">
        <f>COUNTIF($AT$1:FormFields[[#This Row],[Exists FL]],1)</f>
        <v>0</v>
      </c>
      <c r="AW10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70">
        <f>FormFields[Form]</f>
        <v>556004</v>
      </c>
      <c r="AY10" s="70">
        <f>IF(FormFields[[#This Row],[ID]]="id","form_field",FormFields[[#This Row],[ID]])</f>
        <v>556108</v>
      </c>
      <c r="AZ10" s="79"/>
      <c r="BA10" s="58">
        <f>FormFields[[#This Row],[ID]]</f>
        <v>556108</v>
      </c>
      <c r="BC10" s="61" t="s">
        <v>935</v>
      </c>
      <c r="BD10" s="62" t="str">
        <f>'Table Seed Map'!$A$15&amp;"-"&amp;(-1+COUNTA($BC$1:FieldAttrs[[#This Row],[ATTR Field]]))</f>
        <v>Field Attrs-8</v>
      </c>
      <c r="BE10" s="60">
        <f>IF(FieldAttrs[[#This Row],[ATTR Field]]="","id",-1+COUNTA($BC$1:FieldAttrs[[#This Row],[ATTR Field]])+VLOOKUP('Table Seed Map'!$A$15,SeedMap[],9,0))</f>
        <v>556408</v>
      </c>
      <c r="BF10" s="58">
        <f>IFERROR(VLOOKUP(FieldAttrs[ATTR Field],FormFields[[Field Name]:[ID]],2,0),"form_field")</f>
        <v>556108</v>
      </c>
      <c r="BG10" s="58" t="s">
        <v>833</v>
      </c>
      <c r="BH10" s="35">
        <v>4</v>
      </c>
      <c r="BJ10" s="1" t="s">
        <v>914</v>
      </c>
      <c r="BK10" s="1">
        <f>COUNTA($BJ$2:FieldValidations[[#This Row],[Validation Field]])</f>
        <v>8</v>
      </c>
      <c r="BL10" s="6" t="str">
        <f>'Table Seed Map'!$A$17&amp;"-"&amp;FieldValidations[[#This Row],[ID No]]</f>
        <v>Field Validations-8</v>
      </c>
      <c r="BM10" s="15">
        <f>IF(FieldValidations[[#This Row],[ID No]]=0,"id",FieldValidations[[#This Row],[ID No]]+VLOOKUP('Table Seed Map'!$A$17,SeedMap[],9,0))</f>
        <v>556608</v>
      </c>
      <c r="BN10" s="15">
        <f>VLOOKUP(FieldValidations[Validation Field],FormFields[[Field Name]:[ID]],2,0)</f>
        <v>556102</v>
      </c>
      <c r="BO10" s="13" t="s">
        <v>834</v>
      </c>
      <c r="BP10" s="13" t="s">
        <v>917</v>
      </c>
      <c r="BQ10" s="13"/>
      <c r="BR10" s="13"/>
      <c r="BS10" s="13"/>
    </row>
    <row r="11" spans="1:149" x14ac:dyDescent="0.25">
      <c r="M11" s="69" t="str">
        <f>'Table Seed Map'!$A$12&amp;"-"&amp;FormFields[[#This Row],[No]]</f>
        <v>Form Fields-9</v>
      </c>
      <c r="N11" s="34" t="s">
        <v>934</v>
      </c>
      <c r="O11" s="70">
        <f>COUNTA($N$1:FormFields[[#This Row],[Form Name]])-1</f>
        <v>9</v>
      </c>
      <c r="P11" s="69" t="str">
        <f>FormFields[[#This Row],[Form Name]]&amp;"/"&amp;FormFields[[#This Row],[Name]]</f>
        <v>MaidJob/NewMaidJob/date</v>
      </c>
      <c r="Q11" s="70">
        <f>IF(FormFields[[#This Row],[No]]=0,"id",FormFields[[#This Row],[No]]+IF(ISNUMBER(VLOOKUP('Table Seed Map'!$A$12,SeedMap[],9,0)),VLOOKUP('Table Seed Map'!$A$12,SeedMap[],9,0),0))</f>
        <v>556109</v>
      </c>
      <c r="R11" s="71">
        <f>IFERROR(VLOOKUP(FormFields[[#This Row],[Form Name]],ResourceForms[[FormName]:[ID]],4,0),"resource_form")</f>
        <v>556004</v>
      </c>
      <c r="S11" s="72" t="s">
        <v>768</v>
      </c>
      <c r="T11" s="72" t="s">
        <v>811</v>
      </c>
      <c r="U11" s="72" t="s">
        <v>829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556209</v>
      </c>
      <c r="AD11" s="76">
        <f>IF(FormFields[[#This Row],[ID]]="id","form_field",FormFields[[#This Row],[ID]])</f>
        <v>556109</v>
      </c>
      <c r="AE11" s="75" t="str">
        <f>IF(FormFields[[#This Row],[No]]=0,"attribute",FormFields[[#This Row],[Name]])</f>
        <v>date</v>
      </c>
      <c r="AF11" s="77" t="str">
        <f>IF(FormFields[[#This Row],[NO2]]=0,"relation",IF(FormFields[[#This Row],[Rel]]="","",VLOOKUP(FormFields[[#This Row],[Rel]],RelationTable[[Display]:[RELID]],2,0)))</f>
        <v/>
      </c>
      <c r="AG11" s="77" t="str">
        <f>IF(FormFields[[#This Row],[NO2]]=0,"nest_relation1",IF(FormFields[[#This Row],[Rel1]]="","",VLOOKUP(FormFields[[#This Row],[Rel1]],RelationTable[[Display]:[RELID]],2,0)))</f>
        <v/>
      </c>
      <c r="AH11" s="77" t="str">
        <f>IF(FormFields[[#This Row],[NO2]]=0,"nest_relation2",IF(FormFields[[#This Row],[Rel2]]="","",VLOOKUP(FormFields[[#This Row],[Rel2]],RelationTable[[Display]:[RELID]],2,0)))</f>
        <v/>
      </c>
      <c r="AI11" s="77" t="str">
        <f>IF(FormFields[[#This Row],[NO2]]=0,"nest_relation3",IF(FormFields[[#This Row],[Rel3]]="","",VLOOKUP(FormFields[[#This Row],[Rel3]],RelationTable[[Display]:[RELID]],2,0)))</f>
        <v/>
      </c>
      <c r="AJ11" s="70">
        <f>IF(OR(FormFields[[#This Row],[Option Type]]="",FormFields[[#This Row],[Option Type]]="type"),0,1)</f>
        <v>0</v>
      </c>
      <c r="AK11" s="70" t="str">
        <f>'Table Seed Map'!$A$14&amp;"-"&amp;FormFields[[#This Row],[NO4]]</f>
        <v>Field Options-2</v>
      </c>
      <c r="AL11" s="70">
        <f>COUNTIF($AJ$2:FormFields[[#This Row],[Exists FO]],1)</f>
        <v>2</v>
      </c>
      <c r="AM11" s="70">
        <f>IF(FormFields[[#This Row],[NO4]]=0,"id",FormFields[[#This Row],[NO4]]+IF(ISNUMBER(VLOOKUP('Table Seed Map'!$A$14,SeedMap[],9,0)),VLOOKUP('Table Seed Map'!$A$14,SeedMap[],9,0),0))</f>
        <v>556302</v>
      </c>
      <c r="AN11" s="58">
        <f>IF(FormFields[[#This Row],[ID]]="id","form_field",FormFields[[#This Row],[ID]])</f>
        <v>556109</v>
      </c>
      <c r="AO11" s="78"/>
      <c r="AP11" s="78"/>
      <c r="AQ11" s="78"/>
      <c r="AR11" s="78"/>
      <c r="AS11" s="78"/>
      <c r="AT11" s="70">
        <f>IF(OR(FormFields[[#This Row],[Colspan]]="",FormFields[[#This Row],[Colspan]]="colspan"),0,1)</f>
        <v>0</v>
      </c>
      <c r="AU11" s="70" t="str">
        <f>'Table Seed Map'!$A$19&amp;"-"&amp;FormFields[[#This Row],[NO8]]</f>
        <v>Form Layout-0</v>
      </c>
      <c r="AV11" s="70">
        <f>COUNTIF($AT$1:FormFields[[#This Row],[Exists FL]],1)</f>
        <v>0</v>
      </c>
      <c r="AW11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70">
        <f>FormFields[Form]</f>
        <v>556004</v>
      </c>
      <c r="AY11" s="70">
        <f>IF(FormFields[[#This Row],[ID]]="id","form_field",FormFields[[#This Row],[ID]])</f>
        <v>556109</v>
      </c>
      <c r="AZ11" s="79"/>
      <c r="BA11" s="58">
        <f>FormFields[[#This Row],[ID]]</f>
        <v>556109</v>
      </c>
      <c r="BC11" s="61" t="s">
        <v>976</v>
      </c>
      <c r="BD11" s="62" t="str">
        <f>'Table Seed Map'!$A$15&amp;"-"&amp;(-1+COUNTA($BC$1:FieldAttrs[[#This Row],[ATTR Field]]))</f>
        <v>Field Attrs-9</v>
      </c>
      <c r="BE11" s="60">
        <f>IF(FieldAttrs[[#This Row],[ATTR Field]]="","id",-1+COUNTA($BC$1:FieldAttrs[[#This Row],[ATTR Field]])+VLOOKUP('Table Seed Map'!$A$15,SeedMap[],9,0))</f>
        <v>556409</v>
      </c>
      <c r="BF11" s="58">
        <f>IFERROR(VLOOKUP(FieldAttrs[ATTR Field],FormFields[[Field Name]:[ID]],2,0),"form_field")</f>
        <v>556109</v>
      </c>
      <c r="BG11" s="58" t="s">
        <v>833</v>
      </c>
      <c r="BH11" s="35">
        <v>4</v>
      </c>
      <c r="BJ11" s="1" t="s">
        <v>915</v>
      </c>
      <c r="BK11" s="1">
        <f>COUNTA($BJ$2:FieldValidations[[#This Row],[Validation Field]])</f>
        <v>9</v>
      </c>
      <c r="BL11" s="6" t="str">
        <f>'Table Seed Map'!$A$17&amp;"-"&amp;FieldValidations[[#This Row],[ID No]]</f>
        <v>Field Validations-9</v>
      </c>
      <c r="BM11" s="15">
        <f>IF(FieldValidations[[#This Row],[ID No]]=0,"id",FieldValidations[[#This Row],[ID No]]+VLOOKUP('Table Seed Map'!$A$17,SeedMap[],9,0))</f>
        <v>556609</v>
      </c>
      <c r="BN11" s="15">
        <f>VLOOKUP(FieldValidations[Validation Field],FormFields[[Field Name]:[ID]],2,0)</f>
        <v>556103</v>
      </c>
      <c r="BO11" s="13" t="s">
        <v>834</v>
      </c>
      <c r="BP11" s="13" t="s">
        <v>918</v>
      </c>
      <c r="BQ11" s="13"/>
      <c r="BR11" s="13"/>
      <c r="BS11" s="13"/>
    </row>
    <row r="12" spans="1:149" x14ac:dyDescent="0.25">
      <c r="M12" s="69" t="str">
        <f>'Table Seed Map'!$A$12&amp;"-"&amp;FormFields[[#This Row],[No]]</f>
        <v>Form Fields-10</v>
      </c>
      <c r="N12" s="34" t="s">
        <v>934</v>
      </c>
      <c r="O12" s="70">
        <f>COUNTA($N$1:FormFields[[#This Row],[Form Name]])-1</f>
        <v>10</v>
      </c>
      <c r="P12" s="69" t="str">
        <f>FormFields[[#This Row],[Form Name]]&amp;"/"&amp;FormFields[[#This Row],[Name]]</f>
        <v>MaidJob/NewMaidJob/hours</v>
      </c>
      <c r="Q12" s="70">
        <f>IF(FormFields[[#This Row],[No]]=0,"id",FormFields[[#This Row],[No]]+IF(ISNUMBER(VLOOKUP('Table Seed Map'!$A$12,SeedMap[],9,0)),VLOOKUP('Table Seed Map'!$A$12,SeedMap[],9,0),0))</f>
        <v>556110</v>
      </c>
      <c r="R12" s="71">
        <f>IFERROR(VLOOKUP(FormFields[[#This Row],[Form Name]],ResourceForms[[FormName]:[ID]],4,0),"resource_form")</f>
        <v>556004</v>
      </c>
      <c r="S12" s="72" t="s">
        <v>775</v>
      </c>
      <c r="T12" s="72" t="s">
        <v>811</v>
      </c>
      <c r="U12" s="72" t="s">
        <v>830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556210</v>
      </c>
      <c r="AD12" s="76">
        <f>IF(FormFields[[#This Row],[ID]]="id","form_field",FormFields[[#This Row],[ID]])</f>
        <v>556110</v>
      </c>
      <c r="AE12" s="75" t="str">
        <f>IF(FormFields[[#This Row],[No]]=0,"attribute",FormFields[[#This Row],[Name]])</f>
        <v>hours</v>
      </c>
      <c r="AF12" s="77" t="str">
        <f>IF(FormFields[[#This Row],[NO2]]=0,"relation",IF(FormFields[[#This Row],[Rel]]="","",VLOOKUP(FormFields[[#This Row],[Rel]],RelationTable[[Display]:[RELID]],2,0)))</f>
        <v/>
      </c>
      <c r="AG12" s="77" t="str">
        <f>IF(FormFields[[#This Row],[NO2]]=0,"nest_relation1",IF(FormFields[[#This Row],[Rel1]]="","",VLOOKUP(FormFields[[#This Row],[Rel1]],RelationTable[[Display]:[RELID]],2,0)))</f>
        <v/>
      </c>
      <c r="AH12" s="77" t="str">
        <f>IF(FormFields[[#This Row],[NO2]]=0,"nest_relation2",IF(FormFields[[#This Row],[Rel2]]="","",VLOOKUP(FormFields[[#This Row],[Rel2]],RelationTable[[Display]:[RELID]],2,0)))</f>
        <v/>
      </c>
      <c r="AI12" s="77" t="str">
        <f>IF(FormFields[[#This Row],[NO2]]=0,"nest_relation3",IF(FormFields[[#This Row],[Rel3]]="","",VLOOKUP(FormFields[[#This Row],[Rel3]],RelationTable[[Display]:[RELID]],2,0)))</f>
        <v/>
      </c>
      <c r="AJ12" s="70">
        <f>IF(OR(FormFields[[#This Row],[Option Type]]="",FormFields[[#This Row],[Option Type]]="type"),0,1)</f>
        <v>0</v>
      </c>
      <c r="AK12" s="70" t="str">
        <f>'Table Seed Map'!$A$14&amp;"-"&amp;FormFields[[#This Row],[NO4]]</f>
        <v>Field Options-2</v>
      </c>
      <c r="AL12" s="70">
        <f>COUNTIF($AJ$2:FormFields[[#This Row],[Exists FO]],1)</f>
        <v>2</v>
      </c>
      <c r="AM12" s="70">
        <f>IF(FormFields[[#This Row],[NO4]]=0,"id",FormFields[[#This Row],[NO4]]+IF(ISNUMBER(VLOOKUP('Table Seed Map'!$A$14,SeedMap[],9,0)),VLOOKUP('Table Seed Map'!$A$14,SeedMap[],9,0),0))</f>
        <v>556302</v>
      </c>
      <c r="AN12" s="58">
        <f>IF(FormFields[[#This Row],[ID]]="id","form_field",FormFields[[#This Row],[ID]])</f>
        <v>556110</v>
      </c>
      <c r="AO12" s="78"/>
      <c r="AP12" s="78"/>
      <c r="AQ12" s="78"/>
      <c r="AR12" s="78"/>
      <c r="AS12" s="78"/>
      <c r="AT12" s="70">
        <f>IF(OR(FormFields[[#This Row],[Colspan]]="",FormFields[[#This Row],[Colspan]]="colspan"),0,1)</f>
        <v>0</v>
      </c>
      <c r="AU12" s="70" t="str">
        <f>'Table Seed Map'!$A$19&amp;"-"&amp;FormFields[[#This Row],[NO8]]</f>
        <v>Form Layout-0</v>
      </c>
      <c r="AV12" s="70">
        <f>COUNTIF($AT$1:FormFields[[#This Row],[Exists FL]],1)</f>
        <v>0</v>
      </c>
      <c r="AW12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70">
        <f>FormFields[Form]</f>
        <v>556004</v>
      </c>
      <c r="AY12" s="70">
        <f>IF(FormFields[[#This Row],[ID]]="id","form_field",FormFields[[#This Row],[ID]])</f>
        <v>556110</v>
      </c>
      <c r="AZ12" s="79"/>
      <c r="BA12" s="58">
        <f>FormFields[[#This Row],[ID]]</f>
        <v>556110</v>
      </c>
      <c r="BC12" s="61" t="s">
        <v>1020</v>
      </c>
      <c r="BD12" s="62" t="str">
        <f>'Table Seed Map'!$A$15&amp;"-"&amp;(-1+COUNTA($BC$1:FieldAttrs[[#This Row],[ATTR Field]]))</f>
        <v>Field Attrs-10</v>
      </c>
      <c r="BE12" s="60">
        <f>IF(FieldAttrs[[#This Row],[ATTR Field]]="","id",-1+COUNTA($BC$1:FieldAttrs[[#This Row],[ATTR Field]])+VLOOKUP('Table Seed Map'!$A$15,SeedMap[],9,0))</f>
        <v>556410</v>
      </c>
      <c r="BF12" s="58">
        <f>IFERROR(VLOOKUP(FieldAttrs[ATTR Field],FormFields[[Field Name]:[ID]],2,0),"form_field")</f>
        <v>556110</v>
      </c>
      <c r="BG12" s="58" t="s">
        <v>833</v>
      </c>
      <c r="BH12" s="35">
        <v>4</v>
      </c>
    </row>
    <row r="13" spans="1:149" x14ac:dyDescent="0.25">
      <c r="M13" s="69" t="str">
        <f>'Table Seed Map'!$A$12&amp;"-"&amp;FormFields[[#This Row],[No]]</f>
        <v>Form Fields-11</v>
      </c>
      <c r="N13" s="34" t="s">
        <v>934</v>
      </c>
      <c r="O13" s="70">
        <f>COUNTA($N$1:FormFields[[#This Row],[Form Name]])-1</f>
        <v>11</v>
      </c>
      <c r="P13" s="69" t="str">
        <f>FormFields[[#This Row],[Form Name]]&amp;"/"&amp;FormFields[[#This Row],[Name]]</f>
        <v>MaidJob/NewMaidJob/amount</v>
      </c>
      <c r="Q13" s="70">
        <f>IF(FormFields[[#This Row],[No]]=0,"id",FormFields[[#This Row],[No]]+IF(ISNUMBER(VLOOKUP('Table Seed Map'!$A$12,SeedMap[],9,0)),VLOOKUP('Table Seed Map'!$A$12,SeedMap[],9,0),0))</f>
        <v>556111</v>
      </c>
      <c r="R13" s="71">
        <f>IFERROR(VLOOKUP(FormFields[[#This Row],[Form Name]],ResourceForms[[FormName]:[ID]],4,0),"resource_form")</f>
        <v>556004</v>
      </c>
      <c r="S13" s="72" t="s">
        <v>776</v>
      </c>
      <c r="T13" s="72" t="s">
        <v>811</v>
      </c>
      <c r="U13" s="72" t="s">
        <v>831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556211</v>
      </c>
      <c r="AD13" s="76">
        <f>IF(FormFields[[#This Row],[ID]]="id","form_field",FormFields[[#This Row],[ID]])</f>
        <v>556111</v>
      </c>
      <c r="AE13" s="75" t="str">
        <f>IF(FormFields[[#This Row],[No]]=0,"attribute",FormFields[[#This Row],[Name]])</f>
        <v>amount</v>
      </c>
      <c r="AF13" s="77" t="str">
        <f>IF(FormFields[[#This Row],[NO2]]=0,"relation",IF(FormFields[[#This Row],[Rel]]="","",VLOOKUP(FormFields[[#This Row],[Rel]],RelationTable[[Display]:[RELID]],2,0)))</f>
        <v/>
      </c>
      <c r="AG13" s="77" t="str">
        <f>IF(FormFields[[#This Row],[NO2]]=0,"nest_relation1",IF(FormFields[[#This Row],[Rel1]]="","",VLOOKUP(FormFields[[#This Row],[Rel1]],RelationTable[[Display]:[RELID]],2,0)))</f>
        <v/>
      </c>
      <c r="AH13" s="77" t="str">
        <f>IF(FormFields[[#This Row],[NO2]]=0,"nest_relation2",IF(FormFields[[#This Row],[Rel2]]="","",VLOOKUP(FormFields[[#This Row],[Rel2]],RelationTable[[Display]:[RELID]],2,0)))</f>
        <v/>
      </c>
      <c r="AI13" s="77" t="str">
        <f>IF(FormFields[[#This Row],[NO2]]=0,"nest_relation3",IF(FormFields[[#This Row],[Rel3]]="","",VLOOKUP(FormFields[[#This Row],[Rel3]],RelationTable[[Display]:[RELID]],2,0)))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Options-2</v>
      </c>
      <c r="AL13" s="70">
        <f>COUNTIF($AJ$2:FormFields[[#This Row],[Exists FO]],1)</f>
        <v>2</v>
      </c>
      <c r="AM13" s="70">
        <f>IF(FormFields[[#This Row],[NO4]]=0,"id",FormFields[[#This Row],[NO4]]+IF(ISNUMBER(VLOOKUP('Table Seed Map'!$A$14,SeedMap[],9,0)),VLOOKUP('Table Seed Map'!$A$14,SeedMap[],9,0),0))</f>
        <v>556302</v>
      </c>
      <c r="AN13" s="58">
        <f>IF(FormFields[[#This Row],[ID]]="id","form_field",FormFields[[#This Row],[ID]])</f>
        <v>556111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0</v>
      </c>
      <c r="AU13" s="70" t="str">
        <f>'Table Seed Map'!$A$19&amp;"-"&amp;FormFields[[#This Row],[NO8]]</f>
        <v>Form Layout-0</v>
      </c>
      <c r="AV13" s="70">
        <f>COUNTIF($AT$1:FormFields[[#This Row],[Exists FL]],1)</f>
        <v>0</v>
      </c>
      <c r="AW1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70">
        <f>FormFields[Form]</f>
        <v>556004</v>
      </c>
      <c r="AY13" s="70">
        <f>IF(FormFields[[#This Row],[ID]]="id","form_field",FormFields[[#This Row],[ID]])</f>
        <v>556111</v>
      </c>
      <c r="AZ13" s="79"/>
      <c r="BA13" s="58">
        <f>FormFields[[#This Row],[ID]]</f>
        <v>556111</v>
      </c>
      <c r="BC13" s="61" t="s">
        <v>1021</v>
      </c>
      <c r="BD13" s="62" t="str">
        <f>'Table Seed Map'!$A$15&amp;"-"&amp;(-1+COUNTA($BC$1:FieldAttrs[[#This Row],[ATTR Field]]))</f>
        <v>Field Attrs-11</v>
      </c>
      <c r="BE13" s="60">
        <f>IF(FieldAttrs[[#This Row],[ATTR Field]]="","id",-1+COUNTA($BC$1:FieldAttrs[[#This Row],[ATTR Field]])+VLOOKUP('Table Seed Map'!$A$15,SeedMap[],9,0))</f>
        <v>556411</v>
      </c>
      <c r="BF13" s="58">
        <f>IFERROR(VLOOKUP(FieldAttrs[ATTR Field],FormFields[[Field Name]:[ID]],2,0),"form_field")</f>
        <v>556111</v>
      </c>
      <c r="BG13" s="58" t="s">
        <v>833</v>
      </c>
      <c r="BH13" s="35">
        <v>4</v>
      </c>
    </row>
  </sheetData>
  <dataValidations count="9">
    <dataValidation type="list" allowBlank="1" showInputMessage="1" showErrorMessage="1" sqref="EN2:ES2 CS2:CY2 BX2 V2:Y13">
      <formula1>Relations</formula1>
    </dataValidation>
    <dataValidation type="list" allowBlank="1" showInputMessage="1" showErrorMessage="1" sqref="CH2 DY2 BV2:BW2 N2:N13">
      <formula1>FormNames</formula1>
    </dataValidation>
    <dataValidation type="list" allowBlank="1" showInputMessage="1" showErrorMessage="1" sqref="DB2:DB3 DN2 EA2 BY2 BJ2:BJ11 BC2:BC13">
      <formula1>FieldDisplayNames</formula1>
    </dataValidation>
    <dataValidation type="list" allowBlank="1" showInputMessage="1" showErrorMessage="1" sqref="DW2 DH2:DH3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:DL3">
      <formula1>"ignore_null,Yes,No"</formula1>
    </dataValidation>
    <dataValidation type="list" allowBlank="1" showInputMessage="1" showErrorMessage="1" sqref="D2:D6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2" sqref="H2:H4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63">
        <f t="shared" ref="A2:A3" si="0">IFERROR($A1+1,1)</f>
        <v>1</v>
      </c>
      <c r="B2" s="1" t="s">
        <v>986</v>
      </c>
      <c r="C2" s="62" t="str">
        <f>MID(MigrationRenamer[Filename],26,LEN(MigrationRenamer[Filename])-35)</f>
        <v>maids</v>
      </c>
      <c r="D2" s="62" t="str">
        <f t="shared" ref="D2:D3" si="1">"2019_11_25_"</f>
        <v>2019_11_25_</v>
      </c>
      <c r="E2" s="62" t="str">
        <f>TEXT(MATCH(MigrationRenamer[[#This Row],[Table]],Tables[Table],0),"000000")</f>
        <v>000046</v>
      </c>
      <c r="F2" s="62" t="str">
        <f>RIGHT(MigrationRenamer[Filename],LEN(MigrationRenamer[Filename])-LEN(MigrationRenamer[Date Part])-LEN(MigrationRenamer[Sequence]))</f>
        <v>_create_maids_table.php</v>
      </c>
      <c r="G2" s="62" t="str">
        <f>MigrationRenamer[Date Part]&amp;MigrationRenamer[Sequence]&amp;MigrationRenamer[Name Part]</f>
        <v>2019_11_25_000046_create_maids_table.php</v>
      </c>
      <c r="H2" s="62" t="str">
        <f>IFERROR("ren "&amp;MigrationRenamer[Filename]&amp;" "&amp;MigrationRenamer[New Name],"del "&amp;MigrationRenamer[Filename])</f>
        <v>ren 2019_11_25_000045_create_maids_table.php 2019_11_25_000046_create_maids_table.php</v>
      </c>
    </row>
    <row r="3" spans="1:8" x14ac:dyDescent="0.25">
      <c r="A3" s="63">
        <f t="shared" si="0"/>
        <v>2</v>
      </c>
      <c r="B3" s="1" t="s">
        <v>987</v>
      </c>
      <c r="C3" s="62" t="str">
        <f>MID(MigrationRenamer[Filename],26,LEN(MigrationRenamer[Filename])-35)</f>
        <v>maid_jobs</v>
      </c>
      <c r="D3" s="62" t="str">
        <f t="shared" si="1"/>
        <v>2019_11_25_</v>
      </c>
      <c r="E3" s="62" t="str">
        <f>TEXT(MATCH(MigrationRenamer[[#This Row],[Table]],Tables[Table],0),"000000")</f>
        <v>000047</v>
      </c>
      <c r="F3" s="62" t="str">
        <f>RIGHT(MigrationRenamer[Filename],LEN(MigrationRenamer[Filename])-LEN(MigrationRenamer[Date Part])-LEN(MigrationRenamer[Sequence]))</f>
        <v>_create_maid_jobs_table.php</v>
      </c>
      <c r="G3" s="62" t="str">
        <f>MigrationRenamer[Date Part]&amp;MigrationRenamer[Sequence]&amp;MigrationRenamer[Name Part]</f>
        <v>2019_11_25_000047_create_maid_jobs_table.php</v>
      </c>
      <c r="H3" s="62" t="str">
        <f>IFERROR("ren "&amp;MigrationRenamer[Filename]&amp;" "&amp;MigrationRenamer[New Name],"del "&amp;MigrationRenamer[Filename])</f>
        <v>ren 2019_11_25_000046_create_maid_jobs_table.php 2019_11_25_000047_create_maid_jobs_table.php</v>
      </c>
    </row>
    <row r="4" spans="1:8" x14ac:dyDescent="0.25">
      <c r="A4" s="63">
        <f>IFERROR($A3+1,1)</f>
        <v>3</v>
      </c>
      <c r="B4" s="61" t="s">
        <v>988</v>
      </c>
      <c r="C4" s="62" t="str">
        <f>MID(MigrationRenamer[Filename],26,LEN(MigrationRenamer[Filename])-35)</f>
        <v>nationality</v>
      </c>
      <c r="D4" s="62" t="str">
        <f>"2019_11_25_"</f>
        <v>2019_11_25_</v>
      </c>
      <c r="E4" s="62" t="str">
        <f>TEXT(MATCH(MigrationRenamer[[#This Row],[Table]],Tables[Table],0),"000000")</f>
        <v>000045</v>
      </c>
      <c r="F4" s="62" t="str">
        <f>RIGHT(MigrationRenamer[Filename],LEN(MigrationRenamer[Filename])-LEN(MigrationRenamer[Date Part])-LEN(MigrationRenamer[Sequence]))</f>
        <v>_create_nationality_table.php</v>
      </c>
      <c r="G4" s="62" t="str">
        <f>MigrationRenamer[Date Part]&amp;MigrationRenamer[Sequence]&amp;MigrationRenamer[Name Part]</f>
        <v>2019_11_25_000045_create_nationality_table.php</v>
      </c>
      <c r="H4" s="62" t="str">
        <f>IFERROR("ren "&amp;MigrationRenamer[Filename]&amp;" "&amp;MigrationRenamer[New Name],"del "&amp;MigrationRenamer[Filename])</f>
        <v>ren 2019_11_28_062543_create_nationality_table.php 2019_11_25_000045_create_nationality_table.php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5"/>
  <sheetViews>
    <sheetView topLeftCell="B1" workbookViewId="0">
      <selection activeCell="K5" sqref="K5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7.4257812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62" t="str">
        <f>'Table Seed Map'!$A$24&amp;"-"&amp;COUNTA($B$1:ResourceList[[#This Row],[Resource Name]])-1</f>
        <v>Resource Lists-1</v>
      </c>
      <c r="B3" s="61" t="s">
        <v>900</v>
      </c>
      <c r="C3" s="62" t="str">
        <f>ResourceList[[#This Row],[Resource Name]]&amp;"/"&amp;ResourceList[[#This Row],[Name]]</f>
        <v>Manager/ManagersList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557301</v>
      </c>
      <c r="E3" s="60">
        <f>IFERROR(VLOOKUP(ResourceList[[#This Row],[Resource Name]],ResourceTable[[RName]:[No]],3,0),"resource")</f>
        <v>555601</v>
      </c>
      <c r="F3" s="13" t="s">
        <v>902</v>
      </c>
      <c r="G3" s="13" t="s">
        <v>903</v>
      </c>
      <c r="H3" s="13" t="s">
        <v>901</v>
      </c>
      <c r="I3" s="13" t="s">
        <v>23</v>
      </c>
      <c r="J3" s="13">
        <v>20</v>
      </c>
      <c r="K3" s="63">
        <f>ResourceList[No]</f>
        <v>557301</v>
      </c>
      <c r="M3" s="2" t="s">
        <v>819</v>
      </c>
      <c r="N3" s="85">
        <f>VLOOKUP(ListExtras[[#This Row],[List Name]],ResourceList[[ListDisplayName]:[No]],2,0)</f>
        <v>557303</v>
      </c>
      <c r="O3" s="83"/>
      <c r="P3" s="83" t="s">
        <v>1010</v>
      </c>
      <c r="Q3" s="83"/>
      <c r="R3" s="83"/>
      <c r="S3" s="83"/>
      <c r="T3" s="85" t="str">
        <f>'Table Seed Map'!$A$25&amp;"-"&amp;COUNT($W$1:ListExtras[[#This Row],[Scope ID]])</f>
        <v>List Scopes-0</v>
      </c>
      <c r="U3" s="86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86">
        <f>IF(ListExtras[[#This Row],[LID]]=0,"resource_list",ListExtras[[#This Row],[LID]])</f>
        <v>557303</v>
      </c>
      <c r="W3" s="86" t="str">
        <f>IFERROR(VLOOKUP(ListExtras[[#This Row],[Scope Name]],ResourceScopes[[ScopesDisplayNames]:[No]],2,0),IF(ListExtras[[#This Row],[LID]]=0,"scope",""))</f>
        <v/>
      </c>
      <c r="X3" s="85" t="str">
        <f>'Table Seed Map'!$A$26&amp;"-"&amp;COUNT($AA$1:ListExtras[[#This Row],[Relation]])</f>
        <v>List Relation-1</v>
      </c>
      <c r="Y3" s="86">
        <f>IF(ListExtras[[#This Row],[LID]]=0,"id",IF(ListExtras[[#This Row],[Relation]]="","",COUNT($AA$2:ListExtras[[#This Row],[Relation]])+IF(ISNUMBER(VLOOKUP('Table Seed Map'!$A$26,SeedMap[],9,0)),VLOOKUP('Table Seed Map'!$A$26,SeedMap[],9,0),0)))</f>
        <v>557501</v>
      </c>
      <c r="Z3" s="86">
        <f>IF(ListExtras[[#This Row],[LID]]=0,"resource_list",ListExtras[[#This Row],[LID]])</f>
        <v>557303</v>
      </c>
      <c r="AA3" s="86">
        <f>IFERROR(VLOOKUP(ListExtras[[#This Row],[Relation Name]],RelationTable[[Display]:[RELID]],2,0),IF(ListExtras[[#This Row],[LID]]=0,"relation",""))</f>
        <v>555902</v>
      </c>
      <c r="AB3" s="86" t="str">
        <f>IFERROR(VLOOKUP(ListExtras[[#This Row],[R1 Name]],RelationTable[[Display]:[RELID]],2,0),IF(ListExtras[[#This Row],[LID]]=0,"nest_relation1",""))</f>
        <v/>
      </c>
      <c r="AC3" s="86" t="str">
        <f>IFERROR(VLOOKUP(ListExtras[[#This Row],[R2 Name]],RelationTable[[Display]:[RELID]],2,0),IF(ListExtras[[#This Row],[LID]]=0,"nest_relation2",""))</f>
        <v/>
      </c>
      <c r="AD3" s="86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83" t="s">
        <v>819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557701</v>
      </c>
      <c r="AI3" s="60">
        <f>IFERROR(VLOOKUP(ListSearch[[#This Row],[List Name for Search]],ResourceList[[ListDisplayName]:[No]],2,0),"resource_list")</f>
        <v>557303</v>
      </c>
      <c r="AJ3" s="68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8"/>
      <c r="AP3" s="68"/>
      <c r="AQ3" s="68"/>
      <c r="AR3" s="68"/>
      <c r="AT3" s="86" t="str">
        <f>'Table Seed Map'!$A$27&amp;"-"&amp;COUNTA($AV$1:ListLayout[[#This Row],[No]])-2</f>
        <v>List Layout-1</v>
      </c>
      <c r="AU3" s="2" t="s">
        <v>904</v>
      </c>
      <c r="AV3" s="15">
        <f>IF(ListLayout[[#This Row],[List Name for Layout]]="","id",COUNTA($AU$2:ListLayout[[#This Row],[List Name for Layout]])+IF(ISNUMBER(VLOOKUP('Table Seed Map'!$A$27,SeedMap[],9,0)),VLOOKUP('Table Seed Map'!$A$27,SeedMap[],9,0),0))</f>
        <v>557601</v>
      </c>
      <c r="AW3" s="15">
        <f>IFERROR(VLOOKUP(ListLayout[[#This Row],[List Name for Layout]],ResourceList[[ListDisplayName]:[No]],2,0),"resource_list")</f>
        <v>557301</v>
      </c>
      <c r="AX3" s="15" t="s">
        <v>307</v>
      </c>
      <c r="AY3" s="13" t="s">
        <v>21</v>
      </c>
      <c r="AZ3" s="86" t="str">
        <f>IF(ListLayout[[#This Row],[List Name for Layout]]="","relation",IFERROR(VLOOKUP(ListLayout[[#This Row],[Relation]],RelationTable[[Display]:[RELID]],2,0),""))</f>
        <v/>
      </c>
      <c r="BA3" s="86" t="str">
        <f>IF(ListLayout[[#This Row],[List Name for Layout]]="","nest_relation1",IFERROR(VLOOKUP(ListLayout[[#This Row],[Relation 1]],RelationTable[[Display]:[RELID]],2,0),""))</f>
        <v/>
      </c>
      <c r="BB3" s="86" t="str">
        <f>IF(ListLayout[[#This Row],[List Name for Layout]]="","nest_relation2",IFERROR(VLOOKUP(ListLayout[[#This Row],[Relation 2]],RelationTable[[Display]:[RELID]],2,0),""))</f>
        <v/>
      </c>
      <c r="BC3" s="87"/>
      <c r="BD3" s="87"/>
      <c r="BE3" s="87"/>
    </row>
    <row r="4" spans="1:57" x14ac:dyDescent="0.25">
      <c r="A4" s="62" t="str">
        <f>'Table Seed Map'!$A$24&amp;"-"&amp;COUNTA($B$1:ResourceList[[#This Row],[Resource Name]])-1</f>
        <v>Resource Lists-2</v>
      </c>
      <c r="B4" s="61" t="s">
        <v>989</v>
      </c>
      <c r="C4" s="62" t="str">
        <f>ResourceList[[#This Row],[Resource Name]]&amp;"/"&amp;ResourceList[[#This Row],[Name]]</f>
        <v>Nationality/NationalityList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557302</v>
      </c>
      <c r="E4" s="60">
        <f>IFERROR(VLOOKUP(ResourceList[[#This Row],[Resource Name]],ResourceTable[[RName]:[No]],3,0),"resource")</f>
        <v>555602</v>
      </c>
      <c r="F4" s="68" t="s">
        <v>1007</v>
      </c>
      <c r="G4" s="68" t="s">
        <v>1008</v>
      </c>
      <c r="H4" s="68" t="s">
        <v>1009</v>
      </c>
      <c r="I4" s="68" t="s">
        <v>23</v>
      </c>
      <c r="J4" s="13">
        <v>20</v>
      </c>
      <c r="K4" s="63">
        <f>ResourceList[No]</f>
        <v>557302</v>
      </c>
      <c r="M4" s="2" t="s">
        <v>933</v>
      </c>
      <c r="N4" s="62">
        <f>VLOOKUP(ListExtras[[#This Row],[List Name]],ResourceList[[ListDisplayName]:[No]],2,0)</f>
        <v>557304</v>
      </c>
      <c r="O4" s="2" t="s">
        <v>942</v>
      </c>
      <c r="P4" s="1" t="s">
        <v>949</v>
      </c>
      <c r="Q4" s="61"/>
      <c r="R4" s="61"/>
      <c r="S4" s="61"/>
      <c r="T4" s="62" t="str">
        <f>'Table Seed Map'!$A$25&amp;"-"&amp;COUNT($W$1:ListExtras[[#This Row],[Scope ID]])</f>
        <v>List Scopes-1</v>
      </c>
      <c r="U4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557401</v>
      </c>
      <c r="V4" s="60">
        <f>IF(ListExtras[[#This Row],[LID]]=0,"resource_list",ListExtras[[#This Row],[LID]])</f>
        <v>557304</v>
      </c>
      <c r="W4" s="60">
        <f>IFERROR(VLOOKUP(ListExtras[[#This Row],[Scope Name]],ResourceScopes[[ScopesDisplayNames]:[No]],2,0),IF(ListExtras[[#This Row],[LID]]=0,"scope",""))</f>
        <v>555807</v>
      </c>
      <c r="X4" s="62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557502</v>
      </c>
      <c r="Z4" s="60">
        <f>IF(ListExtras[[#This Row],[LID]]=0,"resource_list",ListExtras[[#This Row],[LID]])</f>
        <v>557304</v>
      </c>
      <c r="AA4" s="60">
        <f>IFERROR(VLOOKUP(ListExtras[[#This Row],[Relation Name]],RelationTable[[Display]:[RELID]],2,0),IF(ListExtras[[#This Row],[LID]]=0,"relation",""))</f>
        <v>555903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83" t="s">
        <v>819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557702</v>
      </c>
      <c r="AI4" s="60">
        <f>IFERROR(VLOOKUP(ListSearch[[#This Row],[List Name for Search]],ResourceList[[ListDisplayName]:[No]],2,0),"resource_list")</f>
        <v>557303</v>
      </c>
      <c r="AJ4" s="68" t="s">
        <v>994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8"/>
      <c r="AP4" s="68"/>
      <c r="AQ4" s="68"/>
      <c r="AR4" s="68"/>
      <c r="AT4" s="86" t="str">
        <f>'Table Seed Map'!$A$27&amp;"-"&amp;COUNTA($AV$1:ListLayout[[#This Row],[No]])-2</f>
        <v>List Layout-2</v>
      </c>
      <c r="AU4" s="2" t="s">
        <v>904</v>
      </c>
      <c r="AV4" s="15">
        <f>IF(ListLayout[[#This Row],[List Name for Layout]]="","id",COUNTA($AU$2:ListLayout[[#This Row],[List Name for Layout]])+IF(ISNUMBER(VLOOKUP('Table Seed Map'!$A$27,SeedMap[],9,0)),VLOOKUP('Table Seed Map'!$A$27,SeedMap[],9,0),0))</f>
        <v>557602</v>
      </c>
      <c r="AW4" s="15">
        <f>IFERROR(VLOOKUP(ListLayout[[#This Row],[List Name for Layout]],ResourceList[[ListDisplayName]:[No]],2,0),"resource_list")</f>
        <v>557301</v>
      </c>
      <c r="AX4" s="15" t="s">
        <v>1</v>
      </c>
      <c r="AY4" s="13" t="s">
        <v>23</v>
      </c>
      <c r="AZ4" s="86" t="str">
        <f>IF(ListLayout[[#This Row],[List Name for Layout]]="","relation",IFERROR(VLOOKUP(ListLayout[[#This Row],[Relation]],RelationTable[[Display]:[RELID]],2,0),""))</f>
        <v/>
      </c>
      <c r="BA4" s="86" t="str">
        <f>IF(ListLayout[[#This Row],[List Name for Layout]]="","nest_relation1",IFERROR(VLOOKUP(ListLayout[[#This Row],[Relation 1]],RelationTable[[Display]:[RELID]],2,0),""))</f>
        <v/>
      </c>
      <c r="BB4" s="86" t="str">
        <f>IF(ListLayout[[#This Row],[List Name for Layout]]="","nest_relation2",IFERROR(VLOOKUP(ListLayout[[#This Row],[Relation 2]],RelationTable[[Display]:[RELID]],2,0),""))</f>
        <v/>
      </c>
      <c r="BC4" s="87"/>
      <c r="BD4" s="87"/>
      <c r="BE4" s="87"/>
    </row>
    <row r="5" spans="1:57" x14ac:dyDescent="0.25">
      <c r="A5" s="62" t="str">
        <f>'Table Seed Map'!$A$24&amp;"-"&amp;COUNTA($B$1:ResourceList[[#This Row],[Resource Name]])-1</f>
        <v>Resource Lists-3</v>
      </c>
      <c r="B5" s="61" t="s">
        <v>784</v>
      </c>
      <c r="C5" s="62" t="str">
        <f>ResourceList[[#This Row],[Resource Name]]&amp;"/"&amp;ResourceList[[#This Row],[Name]]</f>
        <v>Maid/MaidsList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557303</v>
      </c>
      <c r="E5" s="60">
        <f>IFERROR(VLOOKUP(ResourceList[[#This Row],[Resource Name]],ResourceTable[[RName]:[No]],3,0),"resource")</f>
        <v>555603</v>
      </c>
      <c r="F5" s="68" t="s">
        <v>813</v>
      </c>
      <c r="G5" s="68" t="s">
        <v>818</v>
      </c>
      <c r="H5" s="68" t="s">
        <v>781</v>
      </c>
      <c r="I5" s="68" t="s">
        <v>23</v>
      </c>
      <c r="J5" s="68">
        <v>20</v>
      </c>
      <c r="K5" s="63">
        <f>ResourceList[No]</f>
        <v>557303</v>
      </c>
      <c r="M5" s="2" t="s">
        <v>936</v>
      </c>
      <c r="N5" s="62">
        <f>VLOOKUP(ListExtras[[#This Row],[List Name]],ResourceList[[ListDisplayName]:[No]],2,0)</f>
        <v>557305</v>
      </c>
      <c r="O5" s="1" t="s">
        <v>943</v>
      </c>
      <c r="P5" s="1" t="s">
        <v>949</v>
      </c>
      <c r="Q5" s="61"/>
      <c r="R5" s="61"/>
      <c r="S5" s="61"/>
      <c r="T5" s="62" t="str">
        <f>'Table Seed Map'!$A$25&amp;"-"&amp;COUNT($W$1:ListExtras[[#This Row],[Scope ID]])</f>
        <v>List Scopes-2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557402</v>
      </c>
      <c r="V5" s="60">
        <f>IF(ListExtras[[#This Row],[LID]]=0,"resource_list",ListExtras[[#This Row],[LID]])</f>
        <v>557305</v>
      </c>
      <c r="W5" s="60">
        <f>IFERROR(VLOOKUP(ListExtras[[#This Row],[Scope Name]],ResourceScopes[[ScopesDisplayNames]:[No]],2,0),IF(ListExtras[[#This Row],[LID]]=0,"scope",""))</f>
        <v>555801</v>
      </c>
      <c r="X5" s="62" t="str">
        <f>'Table Seed Map'!$A$26&amp;"-"&amp;COUNT($AA$1:ListExtras[[#This Row],[Relation]])</f>
        <v>List Relation-3</v>
      </c>
      <c r="Y5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557503</v>
      </c>
      <c r="Z5" s="60">
        <f>IF(ListExtras[[#This Row],[LID]]=0,"resource_list",ListExtras[[#This Row],[LID]])</f>
        <v>557305</v>
      </c>
      <c r="AA5" s="60">
        <f>IFERROR(VLOOKUP(ListExtras[[#This Row],[Relation Name]],RelationTable[[Display]:[RELID]],2,0),IF(ListExtras[[#This Row],[LID]]=0,"relation",""))</f>
        <v>555903</v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83" t="s">
        <v>819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557703</v>
      </c>
      <c r="AI5" s="60">
        <f>IFERROR(VLOOKUP(ListSearch[[#This Row],[List Name for Search]],ResourceList[[ListDisplayName]:[No]],2,0),"resource_list")</f>
        <v>557303</v>
      </c>
      <c r="AJ5" s="68" t="s">
        <v>23</v>
      </c>
      <c r="AK5" s="60">
        <f>IF(ListSearch[[#This Row],[List Name for Search]]="","relation",IFERROR(VLOOKUP(ListSearch[[#This Row],[Relation]],RelationTable[[Display]:[RELID]],2,0),""))</f>
        <v>555902</v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8" t="s">
        <v>1010</v>
      </c>
      <c r="AP5" s="68"/>
      <c r="AQ5" s="68"/>
      <c r="AR5" s="68"/>
      <c r="AT5" s="86" t="str">
        <f>'Table Seed Map'!$A$27&amp;"-"&amp;COUNTA($AV$1:ListLayout[[#This Row],[No]])-2</f>
        <v>List Layout-3</v>
      </c>
      <c r="AU5" s="2" t="s">
        <v>904</v>
      </c>
      <c r="AV5" s="15">
        <f>IF(ListLayout[[#This Row],[List Name for Layout]]="","id",COUNTA($AU$2:ListLayout[[#This Row],[List Name for Layout]])+IF(ISNUMBER(VLOOKUP('Table Seed Map'!$A$27,SeedMap[],9,0)),VLOOKUP('Table Seed Map'!$A$27,SeedMap[],9,0),0))</f>
        <v>557603</v>
      </c>
      <c r="AW5" s="15">
        <f>IFERROR(VLOOKUP(ListLayout[[#This Row],[List Name for Layout]],ResourceList[[ListDisplayName]:[No]],2,0),"resource_list")</f>
        <v>557301</v>
      </c>
      <c r="AX5" s="15" t="s">
        <v>905</v>
      </c>
      <c r="AY5" s="13" t="s">
        <v>894</v>
      </c>
      <c r="AZ5" s="86" t="str">
        <f>IF(ListLayout[[#This Row],[List Name for Layout]]="","relation",IFERROR(VLOOKUP(ListLayout[[#This Row],[Relation]],RelationTable[[Display]:[RELID]],2,0),""))</f>
        <v/>
      </c>
      <c r="BA5" s="86" t="str">
        <f>IF(ListLayout[[#This Row],[List Name for Layout]]="","nest_relation1",IFERROR(VLOOKUP(ListLayout[[#This Row],[Relation 1]],RelationTable[[Display]:[RELID]],2,0),""))</f>
        <v/>
      </c>
      <c r="BB5" s="86" t="str">
        <f>IF(ListLayout[[#This Row],[List Name for Layout]]="","nest_relation2",IFERROR(VLOOKUP(ListLayout[[#This Row],[Relation 2]],RelationTable[[Display]:[RELID]],2,0),""))</f>
        <v/>
      </c>
      <c r="BC5" s="87"/>
      <c r="BD5" s="87"/>
      <c r="BE5" s="87"/>
    </row>
    <row r="6" spans="1:57" x14ac:dyDescent="0.25">
      <c r="A6" s="62" t="str">
        <f>'Table Seed Map'!$A$24&amp;"-"&amp;COUNTA($B$1:ResourceList[[#This Row],[Resource Name]])-1</f>
        <v>Resource Lists-4</v>
      </c>
      <c r="B6" s="1" t="s">
        <v>932</v>
      </c>
      <c r="C6" s="62" t="str">
        <f>ResourceList[[#This Row],[Resource Name]]&amp;"/"&amp;ResourceList[[#This Row],[Name]]</f>
        <v>MaidJob/RecentJobList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557304</v>
      </c>
      <c r="E6" s="60">
        <f>IFERROR(VLOOKUP(ResourceList[[#This Row],[Resource Name]],ResourceTable[[RName]:[No]],3,0),"resource")</f>
        <v>555604</v>
      </c>
      <c r="F6" s="68" t="s">
        <v>841</v>
      </c>
      <c r="G6" s="68" t="s">
        <v>842</v>
      </c>
      <c r="H6" s="68" t="s">
        <v>843</v>
      </c>
      <c r="I6" s="68" t="s">
        <v>844</v>
      </c>
      <c r="J6" s="68">
        <v>30</v>
      </c>
      <c r="K6" s="63">
        <f>ResourceList[No]</f>
        <v>557304</v>
      </c>
      <c r="M6" s="2" t="s">
        <v>937</v>
      </c>
      <c r="N6" s="62">
        <f>VLOOKUP(ListExtras[[#This Row],[List Name]],ResourceList[[ListDisplayName]:[No]],2,0)</f>
        <v>557306</v>
      </c>
      <c r="O6" s="1" t="s">
        <v>944</v>
      </c>
      <c r="P6" s="1" t="s">
        <v>949</v>
      </c>
      <c r="Q6" s="61"/>
      <c r="R6" s="61"/>
      <c r="S6" s="61"/>
      <c r="T6" s="62" t="str">
        <f>'Table Seed Map'!$A$25&amp;"-"&amp;COUNT($W$1:ListExtras[[#This Row],[Scope ID]])</f>
        <v>List Scopes-3</v>
      </c>
      <c r="U6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557403</v>
      </c>
      <c r="V6" s="60">
        <f>IF(ListExtras[[#This Row],[LID]]=0,"resource_list",ListExtras[[#This Row],[LID]])</f>
        <v>557306</v>
      </c>
      <c r="W6" s="60">
        <f>IFERROR(VLOOKUP(ListExtras[[#This Row],[Scope Name]],ResourceScopes[[ScopesDisplayNames]:[No]],2,0),IF(ListExtras[[#This Row],[LID]]=0,"scope",""))</f>
        <v>555802</v>
      </c>
      <c r="X6" s="62" t="str">
        <f>'Table Seed Map'!$A$26&amp;"-"&amp;COUNT($AA$1:ListExtras[[#This Row],[Relation]])</f>
        <v>List Relation-4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557504</v>
      </c>
      <c r="Z6" s="60">
        <f>IF(ListExtras[[#This Row],[LID]]=0,"resource_list",ListExtras[[#This Row],[LID]])</f>
        <v>557306</v>
      </c>
      <c r="AA6" s="60">
        <f>IFERROR(VLOOKUP(ListExtras[[#This Row],[Relation Name]],RelationTable[[Display]:[RELID]],2,0),IF(ListExtras[[#This Row],[LID]]=0,"relation",""))</f>
        <v>555903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2" t="s">
        <v>933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557704</v>
      </c>
      <c r="AI6" s="60">
        <f>IFERROR(VLOOKUP(ListSearch[[#This Row],[List Name for Search]],ResourceList[[ListDisplayName]:[No]],2,0),"resource_list")</f>
        <v>557304</v>
      </c>
      <c r="AJ6" s="68" t="s">
        <v>23</v>
      </c>
      <c r="AK6" s="60">
        <f>IF(ListSearch[[#This Row],[List Name for Search]]="","relation",IFERROR(VLOOKUP(ListSearch[[#This Row],[Relation]],RelationTable[[Display]:[RELID]],2,0),""))</f>
        <v>555903</v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8" t="s">
        <v>949</v>
      </c>
      <c r="AP6" s="68"/>
      <c r="AQ6" s="68"/>
      <c r="AR6" s="68"/>
      <c r="AT6" s="86" t="str">
        <f>'Table Seed Map'!$A$27&amp;"-"&amp;COUNTA($AV$1:ListLayout[[#This Row],[No]])-2</f>
        <v>List Layout-4</v>
      </c>
      <c r="AU6" s="2" t="s">
        <v>1011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557604</v>
      </c>
      <c r="AW6" s="60">
        <f>IFERROR(VLOOKUP(ListLayout[[#This Row],[List Name for Layout]],ResourceList[[ListDisplayName]:[No]],2,0),"resource_list")</f>
        <v>557302</v>
      </c>
      <c r="AX6" s="60" t="s">
        <v>307</v>
      </c>
      <c r="AY6" s="68" t="s">
        <v>21</v>
      </c>
      <c r="AZ6" s="86" t="str">
        <f>IF(ListLayout[[#This Row],[List Name for Layout]]="","relation",IFERROR(VLOOKUP(ListLayout[[#This Row],[Relation]],RelationTable[[Display]:[RELID]],2,0),""))</f>
        <v/>
      </c>
      <c r="BA6" s="86" t="str">
        <f>IF(ListLayout[[#This Row],[List Name for Layout]]="","nest_relation1",IFERROR(VLOOKUP(ListLayout[[#This Row],[Relation 1]],RelationTable[[Display]:[RELID]],2,0),""))</f>
        <v/>
      </c>
      <c r="BB6" s="86" t="str">
        <f>IF(ListLayout[[#This Row],[List Name for Layout]]="","nest_relation2",IFERROR(VLOOKUP(ListLayout[[#This Row],[Relation 2]],RelationTable[[Display]:[RELID]],2,0),""))</f>
        <v/>
      </c>
      <c r="BC6" s="87"/>
      <c r="BD6" s="87"/>
      <c r="BE6" s="87"/>
    </row>
    <row r="7" spans="1:57" x14ac:dyDescent="0.25">
      <c r="A7" s="62" t="str">
        <f>'Table Seed Map'!$A$24&amp;"-"&amp;COUNTA($B$1:ResourceList[[#This Row],[Resource Name]])-1</f>
        <v>Resource Lists-5</v>
      </c>
      <c r="B7" s="1" t="s">
        <v>932</v>
      </c>
      <c r="C7" s="62" t="str">
        <f>ResourceList[[#This Row],[Resource Name]]&amp;"/"&amp;ResourceList[[#This Row],[Name]]</f>
        <v>MaidJob/TodayJobList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557305</v>
      </c>
      <c r="E7" s="60">
        <f>IFERROR(VLOOKUP(ResourceList[[#This Row],[Resource Name]],ResourceTable[[RName]:[No]],3,0),"resource")</f>
        <v>555604</v>
      </c>
      <c r="F7" s="68" t="s">
        <v>862</v>
      </c>
      <c r="G7" s="68" t="s">
        <v>863</v>
      </c>
      <c r="H7" s="68" t="s">
        <v>843</v>
      </c>
      <c r="I7" s="68" t="s">
        <v>847</v>
      </c>
      <c r="J7" s="68">
        <v>50</v>
      </c>
      <c r="K7" s="63">
        <f>ResourceList[No]</f>
        <v>557305</v>
      </c>
      <c r="M7" s="2" t="s">
        <v>938</v>
      </c>
      <c r="N7" s="62">
        <f>VLOOKUP(ListExtras[[#This Row],[List Name]],ResourceList[[ListDisplayName]:[No]],2,0)</f>
        <v>557307</v>
      </c>
      <c r="O7" s="1" t="s">
        <v>945</v>
      </c>
      <c r="P7" s="1" t="s">
        <v>949</v>
      </c>
      <c r="Q7" s="61"/>
      <c r="R7" s="61"/>
      <c r="S7" s="61"/>
      <c r="T7" s="62" t="str">
        <f>'Table Seed Map'!$A$25&amp;"-"&amp;COUNT($W$1:ListExtras[[#This Row],[Scope ID]])</f>
        <v>List Scopes-4</v>
      </c>
      <c r="U7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557404</v>
      </c>
      <c r="V7" s="60">
        <f>IF(ListExtras[[#This Row],[LID]]=0,"resource_list",ListExtras[[#This Row],[LID]])</f>
        <v>557307</v>
      </c>
      <c r="W7" s="60">
        <f>IFERROR(VLOOKUP(ListExtras[[#This Row],[Scope Name]],ResourceScopes[[ScopesDisplayNames]:[No]],2,0),IF(ListExtras[[#This Row],[LID]]=0,"scope",""))</f>
        <v>555803</v>
      </c>
      <c r="X7" s="62" t="str">
        <f>'Table Seed Map'!$A$26&amp;"-"&amp;COUNT($AA$1:ListExtras[[#This Row],[Relation]])</f>
        <v>List Relation-5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557505</v>
      </c>
      <c r="Z7" s="60">
        <f>IF(ListExtras[[#This Row],[LID]]=0,"resource_list",ListExtras[[#This Row],[LID]])</f>
        <v>557307</v>
      </c>
      <c r="AA7" s="60">
        <f>IFERROR(VLOOKUP(ListExtras[[#This Row],[Relation Name]],RelationTable[[Display]:[RELID]],2,0),IF(ListExtras[[#This Row],[LID]]=0,"relation",""))</f>
        <v>555903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2" t="s">
        <v>936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557705</v>
      </c>
      <c r="AI7" s="60">
        <f>IFERROR(VLOOKUP(ListSearch[[#This Row],[List Name for Search]],ResourceList[[ListDisplayName]:[No]],2,0),"resource_list")</f>
        <v>557305</v>
      </c>
      <c r="AJ7" s="68" t="s">
        <v>23</v>
      </c>
      <c r="AK7" s="60">
        <f>IF(ListSearch[[#This Row],[List Name for Search]]="","relation",IFERROR(VLOOKUP(ListSearch[[#This Row],[Relation]],RelationTable[[Display]:[RELID]],2,0),""))</f>
        <v>555903</v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8" t="s">
        <v>949</v>
      </c>
      <c r="AP7" s="68"/>
      <c r="AQ7" s="68"/>
      <c r="AR7" s="68"/>
      <c r="AT7" s="86" t="str">
        <f>'Table Seed Map'!$A$27&amp;"-"&amp;COUNTA($AV$1:ListLayout[[#This Row],[No]])-2</f>
        <v>List Layout-5</v>
      </c>
      <c r="AU7" s="2" t="s">
        <v>1011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557605</v>
      </c>
      <c r="AW7" s="60">
        <f>IFERROR(VLOOKUP(ListLayout[[#This Row],[List Name for Layout]],ResourceList[[ListDisplayName]:[No]],2,0),"resource_list")</f>
        <v>557302</v>
      </c>
      <c r="AX7" s="60" t="s">
        <v>1</v>
      </c>
      <c r="AY7" s="68" t="s">
        <v>23</v>
      </c>
      <c r="AZ7" s="86" t="str">
        <f>IF(ListLayout[[#This Row],[List Name for Layout]]="","relation",IFERROR(VLOOKUP(ListLayout[[#This Row],[Relation]],RelationTable[[Display]:[RELID]],2,0),""))</f>
        <v/>
      </c>
      <c r="BA7" s="86" t="str">
        <f>IF(ListLayout[[#This Row],[List Name for Layout]]="","nest_relation1",IFERROR(VLOOKUP(ListLayout[[#This Row],[Relation 1]],RelationTable[[Display]:[RELID]],2,0),""))</f>
        <v/>
      </c>
      <c r="BB7" s="86" t="str">
        <f>IF(ListLayout[[#This Row],[List Name for Layout]]="","nest_relation2",IFERROR(VLOOKUP(ListLayout[[#This Row],[Relation 2]],RelationTable[[Display]:[RELID]],2,0),""))</f>
        <v/>
      </c>
      <c r="BC7" s="87"/>
      <c r="BD7" s="87"/>
      <c r="BE7" s="87"/>
    </row>
    <row r="8" spans="1:57" x14ac:dyDescent="0.25">
      <c r="A8" s="62" t="str">
        <f>'Table Seed Map'!$A$24&amp;"-"&amp;COUNTA($B$1:ResourceList[[#This Row],[Resource Name]])-1</f>
        <v>Resource Lists-6</v>
      </c>
      <c r="B8" s="1" t="s">
        <v>932</v>
      </c>
      <c r="C8" s="62" t="str">
        <f>ResourceList[[#This Row],[Resource Name]]&amp;"/"&amp;ResourceList[[#This Row],[Name]]</f>
        <v>MaidJob/YesterdayJobList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557306</v>
      </c>
      <c r="E8" s="60">
        <f>IFERROR(VLOOKUP(ResourceList[[#This Row],[Resource Name]],ResourceTable[[RName]:[No]],3,0),"resource")</f>
        <v>555604</v>
      </c>
      <c r="F8" s="68" t="s">
        <v>864</v>
      </c>
      <c r="G8" s="68" t="s">
        <v>865</v>
      </c>
      <c r="H8" s="68" t="s">
        <v>843</v>
      </c>
      <c r="I8" s="68" t="s">
        <v>847</v>
      </c>
      <c r="J8" s="68">
        <v>50</v>
      </c>
      <c r="K8" s="63">
        <f>ResourceList[No]</f>
        <v>557306</v>
      </c>
      <c r="M8" s="2" t="s">
        <v>939</v>
      </c>
      <c r="N8" s="62">
        <f>VLOOKUP(ListExtras[[#This Row],[List Name]],ResourceList[[ListDisplayName]:[No]],2,0)</f>
        <v>557308</v>
      </c>
      <c r="O8" s="1" t="s">
        <v>946</v>
      </c>
      <c r="P8" s="1" t="s">
        <v>949</v>
      </c>
      <c r="Q8" s="61"/>
      <c r="R8" s="61"/>
      <c r="S8" s="61"/>
      <c r="T8" s="62" t="str">
        <f>'Table Seed Map'!$A$25&amp;"-"&amp;COUNT($W$1:ListExtras[[#This Row],[Scope ID]])</f>
        <v>List Scopes-5</v>
      </c>
      <c r="U8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557405</v>
      </c>
      <c r="V8" s="60">
        <f>IF(ListExtras[[#This Row],[LID]]=0,"resource_list",ListExtras[[#This Row],[LID]])</f>
        <v>557308</v>
      </c>
      <c r="W8" s="60">
        <f>IFERROR(VLOOKUP(ListExtras[[#This Row],[Scope Name]],ResourceScopes[[ScopesDisplayNames]:[No]],2,0),IF(ListExtras[[#This Row],[LID]]=0,"scope",""))</f>
        <v>555804</v>
      </c>
      <c r="X8" s="62" t="str">
        <f>'Table Seed Map'!$A$26&amp;"-"&amp;COUNT($AA$1:ListExtras[[#This Row],[Relation]])</f>
        <v>List Relation-6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557506</v>
      </c>
      <c r="Z8" s="60">
        <f>IF(ListExtras[[#This Row],[LID]]=0,"resource_list",ListExtras[[#This Row],[LID]])</f>
        <v>557308</v>
      </c>
      <c r="AA8" s="60">
        <f>IFERROR(VLOOKUP(ListExtras[[#This Row],[Relation Name]],RelationTable[[Display]:[RELID]],2,0),IF(ListExtras[[#This Row],[LID]]=0,"relation",""))</f>
        <v>555903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2" t="s">
        <v>937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557706</v>
      </c>
      <c r="AI8" s="60">
        <f>IFERROR(VLOOKUP(ListSearch[[#This Row],[List Name for Search]],ResourceList[[ListDisplayName]:[No]],2,0),"resource_list")</f>
        <v>557306</v>
      </c>
      <c r="AJ8" s="68" t="s">
        <v>23</v>
      </c>
      <c r="AK8" s="60">
        <f>IF(ListSearch[[#This Row],[List Name for Search]]="","relation",IFERROR(VLOOKUP(ListSearch[[#This Row],[Relation]],RelationTable[[Display]:[RELID]],2,0),""))</f>
        <v>555903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8" t="s">
        <v>949</v>
      </c>
      <c r="AP8" s="68"/>
      <c r="AQ8" s="68"/>
      <c r="AR8" s="68"/>
      <c r="AT8" s="60" t="str">
        <f>'Table Seed Map'!$A$27&amp;"-"&amp;COUNTA($AV$1:ListLayout[[#This Row],[No]])-2</f>
        <v>List Layout-6</v>
      </c>
      <c r="AU8" s="83" t="s">
        <v>819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557606</v>
      </c>
      <c r="AW8" s="60">
        <f>IFERROR(VLOOKUP(ListLayout[[#This Row],[List Name for Layout]],ResourceList[[ListDisplayName]:[No]],2,0),"resource_list")</f>
        <v>557303</v>
      </c>
      <c r="AX8" s="60" t="s">
        <v>999</v>
      </c>
      <c r="AY8" s="68" t="s">
        <v>994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8"/>
      <c r="BD8" s="68"/>
      <c r="BE8" s="68"/>
    </row>
    <row r="9" spans="1:57" x14ac:dyDescent="0.25">
      <c r="A9" s="62" t="str">
        <f>'Table Seed Map'!$A$24&amp;"-"&amp;COUNTA($B$1:ResourceList[[#This Row],[Resource Name]])-1</f>
        <v>Resource Lists-7</v>
      </c>
      <c r="B9" s="1" t="s">
        <v>932</v>
      </c>
      <c r="C9" s="62" t="str">
        <f>ResourceList[[#This Row],[Resource Name]]&amp;"/"&amp;ResourceList[[#This Row],[Name]]</f>
        <v>MaidJob/CurrentWeekJobList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557307</v>
      </c>
      <c r="E9" s="60">
        <f>IFERROR(VLOOKUP(ResourceList[[#This Row],[Resource Name]],ResourceTable[[RName]:[No]],3,0),"resource")</f>
        <v>555604</v>
      </c>
      <c r="F9" s="68" t="s">
        <v>866</v>
      </c>
      <c r="G9" s="68" t="s">
        <v>870</v>
      </c>
      <c r="H9" s="68" t="s">
        <v>843</v>
      </c>
      <c r="I9" s="68" t="s">
        <v>847</v>
      </c>
      <c r="J9" s="68">
        <v>50</v>
      </c>
      <c r="K9" s="63">
        <f>ResourceList[No]</f>
        <v>557307</v>
      </c>
      <c r="M9" s="2" t="s">
        <v>940</v>
      </c>
      <c r="N9" s="62">
        <f>VLOOKUP(ListExtras[[#This Row],[List Name]],ResourceList[[ListDisplayName]:[No]],2,0)</f>
        <v>557309</v>
      </c>
      <c r="O9" s="1" t="s">
        <v>947</v>
      </c>
      <c r="P9" s="1" t="s">
        <v>949</v>
      </c>
      <c r="Q9" s="61"/>
      <c r="R9" s="61"/>
      <c r="S9" s="61"/>
      <c r="T9" s="62" t="str">
        <f>'Table Seed Map'!$A$25&amp;"-"&amp;COUNT($W$1:ListExtras[[#This Row],[Scope ID]])</f>
        <v>List Scopes-6</v>
      </c>
      <c r="U9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557406</v>
      </c>
      <c r="V9" s="60">
        <f>IF(ListExtras[[#This Row],[LID]]=0,"resource_list",ListExtras[[#This Row],[LID]])</f>
        <v>557309</v>
      </c>
      <c r="W9" s="60">
        <f>IFERROR(VLOOKUP(ListExtras[[#This Row],[Scope Name]],ResourceScopes[[ScopesDisplayNames]:[No]],2,0),IF(ListExtras[[#This Row],[LID]]=0,"scope",""))</f>
        <v>555805</v>
      </c>
      <c r="X9" s="62" t="str">
        <f>'Table Seed Map'!$A$26&amp;"-"&amp;COUNT($AA$1:ListExtras[[#This Row],[Relation]])</f>
        <v>List Relation-7</v>
      </c>
      <c r="Y9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557507</v>
      </c>
      <c r="Z9" s="60">
        <f>IF(ListExtras[[#This Row],[LID]]=0,"resource_list",ListExtras[[#This Row],[LID]])</f>
        <v>557309</v>
      </c>
      <c r="AA9" s="60">
        <f>IFERROR(VLOOKUP(ListExtras[[#This Row],[Relation Name]],RelationTable[[Display]:[RELID]],2,0),IF(ListExtras[[#This Row],[LID]]=0,"relation",""))</f>
        <v>555903</v>
      </c>
      <c r="AB9" s="60" t="str">
        <f>IFERROR(VLOOKUP(ListExtras[[#This Row],[R1 Name]],RelationTable[[Display]:[RELID]],2,0),IF(ListExtras[[#This Row],[LID]]=0,"nest_relation1",""))</f>
        <v/>
      </c>
      <c r="AC9" s="60" t="str">
        <f>IFERROR(VLOOKUP(ListExtras[[#This Row],[R2 Name]],RelationTable[[Display]:[RELID]],2,0),IF(ListExtras[[#This Row],[LID]]=0,"nest_relation2",""))</f>
        <v/>
      </c>
      <c r="AD9" s="6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2" t="s">
        <v>938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557707</v>
      </c>
      <c r="AI9" s="60">
        <f>IFERROR(VLOOKUP(ListSearch[[#This Row],[List Name for Search]],ResourceList[[ListDisplayName]:[No]],2,0),"resource_list")</f>
        <v>557307</v>
      </c>
      <c r="AJ9" s="68" t="s">
        <v>23</v>
      </c>
      <c r="AK9" s="60">
        <f>IF(ListSearch[[#This Row],[List Name for Search]]="","relation",IFERROR(VLOOKUP(ListSearch[[#This Row],[Relation]],RelationTable[[Display]:[RELID]],2,0),""))</f>
        <v>555903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8" t="s">
        <v>949</v>
      </c>
      <c r="AP9" s="68"/>
      <c r="AQ9" s="68"/>
      <c r="AR9" s="68"/>
      <c r="AT9" s="60" t="str">
        <f>'Table Seed Map'!$A$27&amp;"-"&amp;COUNTA($AV$1:ListLayout[[#This Row],[No]])-2</f>
        <v>List Layout-7</v>
      </c>
      <c r="AU9" s="83" t="s">
        <v>819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557607</v>
      </c>
      <c r="AW9" s="60">
        <f>IFERROR(VLOOKUP(ListLayout[[#This Row],[List Name for Layout]],ResourceList[[ListDisplayName]:[No]],2,0),"resource_list")</f>
        <v>557303</v>
      </c>
      <c r="AX9" s="60" t="s">
        <v>1</v>
      </c>
      <c r="AY9" s="68" t="s">
        <v>23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8"/>
      <c r="BD9" s="68"/>
      <c r="BE9" s="68"/>
    </row>
    <row r="10" spans="1:57" x14ac:dyDescent="0.25">
      <c r="A10" s="62" t="str">
        <f>'Table Seed Map'!$A$24&amp;"-"&amp;COUNTA($B$1:ResourceList[[#This Row],[Resource Name]])-1</f>
        <v>Resource Lists-8</v>
      </c>
      <c r="B10" s="1" t="s">
        <v>932</v>
      </c>
      <c r="C10" s="62" t="str">
        <f>ResourceList[[#This Row],[Resource Name]]&amp;"/"&amp;ResourceList[[#This Row],[Name]]</f>
        <v>MaidJob/LastWeekJobList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557308</v>
      </c>
      <c r="E10" s="60">
        <f>IFERROR(VLOOKUP(ResourceList[[#This Row],[Resource Name]],ResourceTable[[RName]:[No]],3,0),"resource")</f>
        <v>555604</v>
      </c>
      <c r="F10" s="68" t="s">
        <v>867</v>
      </c>
      <c r="G10" s="68" t="s">
        <v>871</v>
      </c>
      <c r="H10" s="68" t="s">
        <v>843</v>
      </c>
      <c r="I10" s="68" t="s">
        <v>847</v>
      </c>
      <c r="J10" s="68">
        <v>50</v>
      </c>
      <c r="K10" s="63">
        <f>ResourceList[No]</f>
        <v>557308</v>
      </c>
      <c r="M10" s="2" t="s">
        <v>941</v>
      </c>
      <c r="N10" s="62">
        <f>VLOOKUP(ListExtras[[#This Row],[List Name]],ResourceList[[ListDisplayName]:[No]],2,0)</f>
        <v>557310</v>
      </c>
      <c r="O10" s="1" t="s">
        <v>948</v>
      </c>
      <c r="P10" s="1" t="s">
        <v>949</v>
      </c>
      <c r="Q10" s="61"/>
      <c r="R10" s="61"/>
      <c r="S10" s="61"/>
      <c r="T10" s="62" t="str">
        <f>'Table Seed Map'!$A$25&amp;"-"&amp;COUNT($W$1:ListExtras[[#This Row],[Scope ID]])</f>
        <v>List Scopes-7</v>
      </c>
      <c r="U10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557407</v>
      </c>
      <c r="V10" s="60">
        <f>IF(ListExtras[[#This Row],[LID]]=0,"resource_list",ListExtras[[#This Row],[LID]])</f>
        <v>557310</v>
      </c>
      <c r="W10" s="60">
        <f>IFERROR(VLOOKUP(ListExtras[[#This Row],[Scope Name]],ResourceScopes[[ScopesDisplayNames]:[No]],2,0),IF(ListExtras[[#This Row],[LID]]=0,"scope",""))</f>
        <v>555806</v>
      </c>
      <c r="X10" s="62" t="str">
        <f>'Table Seed Map'!$A$26&amp;"-"&amp;COUNT($AA$1:ListExtras[[#This Row],[Relation]])</f>
        <v>List Relation-8</v>
      </c>
      <c r="Y10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557508</v>
      </c>
      <c r="Z10" s="60">
        <f>IF(ListExtras[[#This Row],[LID]]=0,"resource_list",ListExtras[[#This Row],[LID]])</f>
        <v>557310</v>
      </c>
      <c r="AA10" s="60">
        <f>IFERROR(VLOOKUP(ListExtras[[#This Row],[Relation Name]],RelationTable[[Display]:[RELID]],2,0),IF(ListExtras[[#This Row],[LID]]=0,"relation",""))</f>
        <v>555903</v>
      </c>
      <c r="AB10" s="60" t="str">
        <f>IFERROR(VLOOKUP(ListExtras[[#This Row],[R1 Name]],RelationTable[[Display]:[RELID]],2,0),IF(ListExtras[[#This Row],[LID]]=0,"nest_relation1",""))</f>
        <v/>
      </c>
      <c r="AC10" s="60" t="str">
        <f>IFERROR(VLOOKUP(ListExtras[[#This Row],[R2 Name]],RelationTable[[Display]:[RELID]],2,0),IF(ListExtras[[#This Row],[LID]]=0,"nest_relation2",""))</f>
        <v/>
      </c>
      <c r="AD10" s="6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2" t="s">
        <v>939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557708</v>
      </c>
      <c r="AI10" s="60">
        <f>IFERROR(VLOOKUP(ListSearch[[#This Row],[List Name for Search]],ResourceList[[ListDisplayName]:[No]],2,0),"resource_list")</f>
        <v>557308</v>
      </c>
      <c r="AJ10" s="68" t="s">
        <v>23</v>
      </c>
      <c r="AK10" s="60">
        <f>IF(ListSearch[[#This Row],[List Name for Search]]="","relation",IFERROR(VLOOKUP(ListSearch[[#This Row],[Relation]],RelationTable[[Display]:[RELID]],2,0),""))</f>
        <v>555903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8" t="s">
        <v>949</v>
      </c>
      <c r="AP10" s="68"/>
      <c r="AQ10" s="68"/>
      <c r="AR10" s="68"/>
      <c r="AT10" s="60" t="str">
        <f>'Table Seed Map'!$A$27&amp;"-"&amp;COUNTA($AV$1:ListLayout[[#This Row],[No]])-2</f>
        <v>List Layout-8</v>
      </c>
      <c r="AU10" s="83" t="s">
        <v>819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557608</v>
      </c>
      <c r="AW10" s="60">
        <f>IFERROR(VLOOKUP(ListLayout[[#This Row],[List Name for Layout]],ResourceList[[ListDisplayName]:[No]],2,0),"resource_list")</f>
        <v>557303</v>
      </c>
      <c r="AX10" s="60" t="s">
        <v>989</v>
      </c>
      <c r="AY10" s="68" t="s">
        <v>23</v>
      </c>
      <c r="AZ10" s="60">
        <f>IF(ListLayout[[#This Row],[List Name for Layout]]="","relation",IFERROR(VLOOKUP(ListLayout[[#This Row],[Relation]],RelationTable[[Display]:[RELID]],2,0),""))</f>
        <v>555902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8" t="s">
        <v>1010</v>
      </c>
      <c r="BD10" s="68"/>
      <c r="BE10" s="68"/>
    </row>
    <row r="11" spans="1:57" x14ac:dyDescent="0.25">
      <c r="A11" s="62" t="str">
        <f>'Table Seed Map'!$A$24&amp;"-"&amp;COUNTA($B$1:ResourceList[[#This Row],[Resource Name]])-1</f>
        <v>Resource Lists-9</v>
      </c>
      <c r="B11" s="1" t="s">
        <v>932</v>
      </c>
      <c r="C11" s="62" t="str">
        <f>ResourceList[[#This Row],[Resource Name]]&amp;"/"&amp;ResourceList[[#This Row],[Name]]</f>
        <v>MaidJob/CurrentMonthJobList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557309</v>
      </c>
      <c r="E11" s="60">
        <f>IFERROR(VLOOKUP(ResourceList[[#This Row],[Resource Name]],ResourceTable[[RName]:[No]],3,0),"resource")</f>
        <v>555604</v>
      </c>
      <c r="F11" s="68" t="s">
        <v>868</v>
      </c>
      <c r="G11" s="68" t="s">
        <v>872</v>
      </c>
      <c r="H11" s="68" t="s">
        <v>843</v>
      </c>
      <c r="I11" s="68" t="s">
        <v>847</v>
      </c>
      <c r="J11" s="68">
        <v>50</v>
      </c>
      <c r="K11" s="63">
        <f>ResourceList[No]</f>
        <v>557309</v>
      </c>
      <c r="AF11" s="60" t="str">
        <f>'Table Seed Map'!$A$28&amp;"-"&amp;COUNTA($AH$1:ListSearch[[#This Row],[No]])-2</f>
        <v>List Search-9</v>
      </c>
      <c r="AG11" s="2" t="s">
        <v>940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557709</v>
      </c>
      <c r="AI11" s="60">
        <f>IFERROR(VLOOKUP(ListSearch[[#This Row],[List Name for Search]],ResourceList[[ListDisplayName]:[No]],2,0),"resource_list")</f>
        <v>557309</v>
      </c>
      <c r="AJ11" s="68" t="s">
        <v>23</v>
      </c>
      <c r="AK11" s="60">
        <f>IF(ListSearch[[#This Row],[List Name for Search]]="","relation",IFERROR(VLOOKUP(ListSearch[[#This Row],[Relation]],RelationTable[[Display]:[RELID]],2,0),""))</f>
        <v>555903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8" t="s">
        <v>949</v>
      </c>
      <c r="AP11" s="68"/>
      <c r="AQ11" s="68"/>
      <c r="AR11" s="68"/>
      <c r="AT11" s="60" t="str">
        <f>'Table Seed Map'!$A$27&amp;"-"&amp;COUNTA($AV$1:ListLayout[[#This Row],[No]])-2</f>
        <v>List Layout-9</v>
      </c>
      <c r="AU11" s="83" t="s">
        <v>933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557609</v>
      </c>
      <c r="AW11" s="60">
        <f>IFERROR(VLOOKUP(ListLayout[[#This Row],[List Name for Layout]],ResourceList[[ListDisplayName]:[No]],2,0),"resource_list")</f>
        <v>557304</v>
      </c>
      <c r="AX11" s="60" t="s">
        <v>845</v>
      </c>
      <c r="AY11" s="68" t="s">
        <v>21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8"/>
      <c r="BD11" s="68"/>
      <c r="BE11" s="68"/>
    </row>
    <row r="12" spans="1:57" x14ac:dyDescent="0.25">
      <c r="A12" s="62" t="str">
        <f>'Table Seed Map'!$A$24&amp;"-"&amp;COUNTA($B$1:ResourceList[[#This Row],[Resource Name]])-1</f>
        <v>Resource Lists-10</v>
      </c>
      <c r="B12" s="1" t="s">
        <v>932</v>
      </c>
      <c r="C12" s="62" t="str">
        <f>ResourceList[[#This Row],[Resource Name]]&amp;"/"&amp;ResourceList[[#This Row],[Name]]</f>
        <v>MaidJob/LastMonthJobList</v>
      </c>
      <c r="D12" s="60">
        <f>IF(ResourceList[[#This Row],[Resource Name]]="","id",COUNTA($B$2:ResourceList[[#This Row],[Resource Name]])+IF(ISNUMBER(VLOOKUP('Table Seed Map'!$A$24,SeedMap[],9,0)),VLOOKUP('Table Seed Map'!$A$24,SeedMap[],9,0),0))</f>
        <v>557310</v>
      </c>
      <c r="E12" s="60">
        <f>IFERROR(VLOOKUP(ResourceList[[#This Row],[Resource Name]],ResourceTable[[RName]:[No]],3,0),"resource")</f>
        <v>555604</v>
      </c>
      <c r="F12" s="68" t="s">
        <v>869</v>
      </c>
      <c r="G12" s="68" t="s">
        <v>873</v>
      </c>
      <c r="H12" s="68" t="s">
        <v>843</v>
      </c>
      <c r="I12" s="68" t="s">
        <v>847</v>
      </c>
      <c r="J12" s="68">
        <v>50</v>
      </c>
      <c r="K12" s="63">
        <f>ResourceList[No]</f>
        <v>557310</v>
      </c>
      <c r="AF12" s="60" t="str">
        <f>'Table Seed Map'!$A$28&amp;"-"&amp;COUNTA($AH$1:ListSearch[[#This Row],[No]])-2</f>
        <v>List Search-10</v>
      </c>
      <c r="AG12" s="2" t="s">
        <v>941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557710</v>
      </c>
      <c r="AI12" s="60">
        <f>IFERROR(VLOOKUP(ListSearch[[#This Row],[List Name for Search]],ResourceList[[ListDisplayName]:[No]],2,0),"resource_list")</f>
        <v>557310</v>
      </c>
      <c r="AJ12" s="68" t="s">
        <v>23</v>
      </c>
      <c r="AK12" s="60">
        <f>IF(ListSearch[[#This Row],[List Name for Search]]="","relation",IFERROR(VLOOKUP(ListSearch[[#This Row],[Relation]],RelationTable[[Display]:[RELID]],2,0),""))</f>
        <v>555903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8" t="s">
        <v>949</v>
      </c>
      <c r="AP12" s="68"/>
      <c r="AQ12" s="68"/>
      <c r="AR12" s="68"/>
      <c r="AT12" s="60" t="str">
        <f>'Table Seed Map'!$A$27&amp;"-"&amp;COUNTA($AV$1:ListLayout[[#This Row],[No]])-2</f>
        <v>List Layout-10</v>
      </c>
      <c r="AU12" s="83" t="s">
        <v>933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557610</v>
      </c>
      <c r="AW12" s="60">
        <f>IFERROR(VLOOKUP(ListLayout[[#This Row],[List Name for Layout]],ResourceList[[ListDisplayName]:[No]],2,0),"resource_list")</f>
        <v>557304</v>
      </c>
      <c r="AX12" s="60" t="s">
        <v>784</v>
      </c>
      <c r="AY12" s="68" t="s">
        <v>1012</v>
      </c>
      <c r="AZ12" s="60">
        <f>IF(ListLayout[[#This Row],[List Name for Layout]]="","relation",IFERROR(VLOOKUP(ListLayout[[#This Row],[Relation]],RelationTable[[Display]:[RELID]],2,0),""))</f>
        <v>555903</v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8" t="s">
        <v>949</v>
      </c>
      <c r="BD12" s="68"/>
      <c r="BE12" s="68"/>
    </row>
    <row r="13" spans="1:57" x14ac:dyDescent="0.25">
      <c r="AF13" s="15" t="str">
        <f>'Table Seed Map'!$A$28&amp;"-"&amp;COUNTA($AH$1:ListSearch[[#This Row],[No]])-2</f>
        <v>List Search-11</v>
      </c>
      <c r="AG13" s="2" t="s">
        <v>904</v>
      </c>
      <c r="AH13" s="15">
        <f>IF(ListSearch[[#This Row],[List Name for Search]]="","id",-1+COUNTA($AG$1:ListSearch[[#This Row],[List Name for Search]])+IF(ISNUMBER(VLOOKUP('Table Seed Map'!$A$28,SeedMap[],9,0)),VLOOKUP('Table Seed Map'!$A$28,SeedMap[],9,0),0))</f>
        <v>557711</v>
      </c>
      <c r="AI13" s="15">
        <f>IFERROR(VLOOKUP(ListSearch[[#This Row],[List Name for Search]],ResourceList[[ListDisplayName]:[No]],2,0),"resource_list")</f>
        <v>557301</v>
      </c>
      <c r="AJ13" s="13" t="s">
        <v>23</v>
      </c>
      <c r="AK13" s="15" t="str">
        <f>IF(ListSearch[[#This Row],[List Name for Search]]="","relation",IFERROR(VLOOKUP(ListSearch[[#This Row],[Relation]],RelationTable[[Display]:[RELID]],2,0),""))</f>
        <v/>
      </c>
      <c r="AL13" s="15" t="str">
        <f>IF(ListSearch[[#This Row],[List Name for Search]]="","nest_relation1",IFERROR(VLOOKUP(ListSearch[[#This Row],[Relation 1]],RelationTable[[Display]:[RELID]],2,0),""))</f>
        <v/>
      </c>
      <c r="AM13" s="15" t="str">
        <f>IF(ListSearch[[#This Row],[List Name for Search]]="","nest_relation2",IFERROR(VLOOKUP(ListSearch[[#This Row],[Relation 2]],RelationTable[[Display]:[RELID]],2,0),""))</f>
        <v/>
      </c>
      <c r="AN13" s="15" t="str">
        <f>IF(ListSearch[[#This Row],[List Name for Search]]="","nest_relation3",IFERROR(VLOOKUP(ListSearch[[#This Row],[Relation 3]],RelationTable[[Display]:[RELID]],2,0),""))</f>
        <v/>
      </c>
      <c r="AO13" s="13"/>
      <c r="AP13" s="13"/>
      <c r="AQ13" s="13"/>
      <c r="AR13" s="13"/>
      <c r="AT13" s="60" t="str">
        <f>'Table Seed Map'!$A$27&amp;"-"&amp;COUNTA($AV$1:ListLayout[[#This Row],[No]])-2</f>
        <v>List Layout-11</v>
      </c>
      <c r="AU13" s="83" t="s">
        <v>933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557611</v>
      </c>
      <c r="AW13" s="60">
        <f>IFERROR(VLOOKUP(ListLayout[[#This Row],[List Name for Layout]],ResourceList[[ListDisplayName]:[No]],2,0),"resource_list")</f>
        <v>557304</v>
      </c>
      <c r="AX13" s="60" t="s">
        <v>846</v>
      </c>
      <c r="AY13" s="68" t="s">
        <v>847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8"/>
      <c r="BD13" s="68"/>
      <c r="BE13" s="68"/>
    </row>
    <row r="14" spans="1:57" x14ac:dyDescent="0.25">
      <c r="AF14" s="15" t="str">
        <f>'Table Seed Map'!$A$28&amp;"-"&amp;COUNTA($AH$1:ListSearch[[#This Row],[No]])-2</f>
        <v>List Search-12</v>
      </c>
      <c r="AG14" s="2" t="s">
        <v>904</v>
      </c>
      <c r="AH14" s="15">
        <f>IF(ListSearch[[#This Row],[List Name for Search]]="","id",-1+COUNTA($AG$1:ListSearch[[#This Row],[List Name for Search]])+IF(ISNUMBER(VLOOKUP('Table Seed Map'!$A$28,SeedMap[],9,0)),VLOOKUP('Table Seed Map'!$A$28,SeedMap[],9,0),0))</f>
        <v>557712</v>
      </c>
      <c r="AI14" s="15">
        <f>IFERROR(VLOOKUP(ListSearch[[#This Row],[List Name for Search]],ResourceList[[ListDisplayName]:[No]],2,0),"resource_list")</f>
        <v>557301</v>
      </c>
      <c r="AJ14" s="13" t="s">
        <v>894</v>
      </c>
      <c r="AK14" s="15" t="str">
        <f>IF(ListSearch[[#This Row],[List Name for Search]]="","relation",IFERROR(VLOOKUP(ListSearch[[#This Row],[Relation]],RelationTable[[Display]:[RELID]],2,0),""))</f>
        <v/>
      </c>
      <c r="AL14" s="15" t="str">
        <f>IF(ListSearch[[#This Row],[List Name for Search]]="","nest_relation1",IFERROR(VLOOKUP(ListSearch[[#This Row],[Relation 1]],RelationTable[[Display]:[RELID]],2,0),""))</f>
        <v/>
      </c>
      <c r="AM14" s="15" t="str">
        <f>IF(ListSearch[[#This Row],[List Name for Search]]="","nest_relation2",IFERROR(VLOOKUP(ListSearch[[#This Row],[Relation 2]],RelationTable[[Display]:[RELID]],2,0),""))</f>
        <v/>
      </c>
      <c r="AN14" s="15" t="str">
        <f>IF(ListSearch[[#This Row],[List Name for Search]]="","nest_relation3",IFERROR(VLOOKUP(ListSearch[[#This Row],[Relation 3]],RelationTable[[Display]:[RELID]],2,0),""))</f>
        <v/>
      </c>
      <c r="AO14" s="13"/>
      <c r="AP14" s="13"/>
      <c r="AQ14" s="13"/>
      <c r="AR14" s="13"/>
      <c r="AT14" s="60" t="str">
        <f>'Table Seed Map'!$A$27&amp;"-"&amp;COUNTA($AV$1:ListLayout[[#This Row],[No]])-2</f>
        <v>List Layout-12</v>
      </c>
      <c r="AU14" s="83" t="s">
        <v>933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557612</v>
      </c>
      <c r="AW14" s="60">
        <f>IFERROR(VLOOKUP(ListLayout[[#This Row],[List Name for Layout]],ResourceList[[ListDisplayName]:[No]],2,0),"resource_list")</f>
        <v>557304</v>
      </c>
      <c r="AX14" s="60" t="s">
        <v>848</v>
      </c>
      <c r="AY14" s="68" t="s">
        <v>775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8"/>
      <c r="BD14" s="68"/>
      <c r="BE14" s="68"/>
    </row>
    <row r="15" spans="1:57" x14ac:dyDescent="0.25">
      <c r="AT15" s="60" t="str">
        <f>'Table Seed Map'!$A$27&amp;"-"&amp;COUNTA($AV$1:ListLayout[[#This Row],[No]])-2</f>
        <v>List Layout-13</v>
      </c>
      <c r="AU15" s="83" t="s">
        <v>933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557613</v>
      </c>
      <c r="AW15" s="60">
        <f>IFERROR(VLOOKUP(ListLayout[[#This Row],[List Name for Layout]],ResourceList[[ListDisplayName]:[No]],2,0),"resource_list")</f>
        <v>557304</v>
      </c>
      <c r="AX15" s="60" t="s">
        <v>849</v>
      </c>
      <c r="AY15" s="68" t="s">
        <v>776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8"/>
      <c r="BD15" s="68"/>
      <c r="BE15" s="68"/>
    </row>
    <row r="16" spans="1:57" x14ac:dyDescent="0.25">
      <c r="AT16" s="60" t="str">
        <f>'Table Seed Map'!$A$27&amp;"-"&amp;COUNTA($AV$1:ListLayout[[#This Row],[No]])-2</f>
        <v>List Layout-14</v>
      </c>
      <c r="AU16" s="83" t="s">
        <v>936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557614</v>
      </c>
      <c r="AW16" s="60">
        <f>IFERROR(VLOOKUP(ListLayout[[#This Row],[List Name for Layout]],ResourceList[[ListDisplayName]:[No]],2,0),"resource_list")</f>
        <v>557305</v>
      </c>
      <c r="AX16" s="60" t="s">
        <v>845</v>
      </c>
      <c r="AY16" s="68" t="s">
        <v>21</v>
      </c>
      <c r="AZ16" s="60" t="str">
        <f>IF(ListLayout[[#This Row],[List Name for Layout]]="","relation",IFERROR(VLOOKUP(ListLayout[[#This Row],[Relation]],RelationTable[[Display]:[RELID]],2,0),""))</f>
        <v/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8"/>
      <c r="BD16" s="68"/>
      <c r="BE16" s="68"/>
    </row>
    <row r="17" spans="46:57" x14ac:dyDescent="0.25">
      <c r="AT17" s="60" t="str">
        <f>'Table Seed Map'!$A$27&amp;"-"&amp;COUNTA($AV$1:ListLayout[[#This Row],[No]])-2</f>
        <v>List Layout-15</v>
      </c>
      <c r="AU17" s="83" t="s">
        <v>936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557615</v>
      </c>
      <c r="AW17" s="60">
        <f>IFERROR(VLOOKUP(ListLayout[[#This Row],[List Name for Layout]],ResourceList[[ListDisplayName]:[No]],2,0),"resource_list")</f>
        <v>557305</v>
      </c>
      <c r="AX17" s="60" t="s">
        <v>784</v>
      </c>
      <c r="AY17" s="68" t="s">
        <v>1012</v>
      </c>
      <c r="AZ17" s="60">
        <f>IF(ListLayout[[#This Row],[List Name for Layout]]="","relation",IFERROR(VLOOKUP(ListLayout[[#This Row],[Relation]],RelationTable[[Display]:[RELID]],2,0),""))</f>
        <v>555903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8" t="s">
        <v>949</v>
      </c>
      <c r="BD17" s="68"/>
      <c r="BE17" s="68"/>
    </row>
    <row r="18" spans="46:57" x14ac:dyDescent="0.25">
      <c r="AT18" s="60" t="str">
        <f>'Table Seed Map'!$A$27&amp;"-"&amp;COUNTA($AV$1:ListLayout[[#This Row],[No]])-2</f>
        <v>List Layout-16</v>
      </c>
      <c r="AU18" s="83" t="s">
        <v>936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557616</v>
      </c>
      <c r="AW18" s="60">
        <f>IFERROR(VLOOKUP(ListLayout[[#This Row],[List Name for Layout]],ResourceList[[ListDisplayName]:[No]],2,0),"resource_list")</f>
        <v>557305</v>
      </c>
      <c r="AX18" s="60" t="s">
        <v>846</v>
      </c>
      <c r="AY18" s="68" t="s">
        <v>847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8"/>
      <c r="BD18" s="68"/>
      <c r="BE18" s="68"/>
    </row>
    <row r="19" spans="46:57" x14ac:dyDescent="0.25">
      <c r="AT19" s="60" t="str">
        <f>'Table Seed Map'!$A$27&amp;"-"&amp;COUNTA($AV$1:ListLayout[[#This Row],[No]])-2</f>
        <v>List Layout-17</v>
      </c>
      <c r="AU19" s="83" t="s">
        <v>936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557617</v>
      </c>
      <c r="AW19" s="60">
        <f>IFERROR(VLOOKUP(ListLayout[[#This Row],[List Name for Layout]],ResourceList[[ListDisplayName]:[No]],2,0),"resource_list")</f>
        <v>557305</v>
      </c>
      <c r="AX19" s="60" t="s">
        <v>848</v>
      </c>
      <c r="AY19" s="68" t="s">
        <v>775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8"/>
      <c r="BD19" s="68"/>
      <c r="BE19" s="68"/>
    </row>
    <row r="20" spans="46:57" x14ac:dyDescent="0.25">
      <c r="AT20" s="60" t="str">
        <f>'Table Seed Map'!$A$27&amp;"-"&amp;COUNTA($AV$1:ListLayout[[#This Row],[No]])-2</f>
        <v>List Layout-18</v>
      </c>
      <c r="AU20" s="83" t="s">
        <v>936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557618</v>
      </c>
      <c r="AW20" s="60">
        <f>IFERROR(VLOOKUP(ListLayout[[#This Row],[List Name for Layout]],ResourceList[[ListDisplayName]:[No]],2,0),"resource_list")</f>
        <v>557305</v>
      </c>
      <c r="AX20" s="60" t="s">
        <v>849</v>
      </c>
      <c r="AY20" s="68" t="s">
        <v>776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8"/>
      <c r="BD20" s="68"/>
      <c r="BE20" s="68"/>
    </row>
    <row r="21" spans="46:57" x14ac:dyDescent="0.25">
      <c r="AT21" s="60" t="str">
        <f>'Table Seed Map'!$A$27&amp;"-"&amp;COUNTA($AV$1:ListLayout[[#This Row],[No]])-2</f>
        <v>List Layout-19</v>
      </c>
      <c r="AU21" s="83" t="s">
        <v>937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557619</v>
      </c>
      <c r="AW21" s="60">
        <f>IFERROR(VLOOKUP(ListLayout[[#This Row],[List Name for Layout]],ResourceList[[ListDisplayName]:[No]],2,0),"resource_list")</f>
        <v>557306</v>
      </c>
      <c r="AX21" s="60" t="s">
        <v>845</v>
      </c>
      <c r="AY21" s="68" t="s">
        <v>21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8"/>
      <c r="BD21" s="68"/>
      <c r="BE21" s="68"/>
    </row>
    <row r="22" spans="46:57" x14ac:dyDescent="0.25">
      <c r="AT22" s="60" t="str">
        <f>'Table Seed Map'!$A$27&amp;"-"&amp;COUNTA($AV$1:ListLayout[[#This Row],[No]])-2</f>
        <v>List Layout-20</v>
      </c>
      <c r="AU22" s="83" t="s">
        <v>937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557620</v>
      </c>
      <c r="AW22" s="60">
        <f>IFERROR(VLOOKUP(ListLayout[[#This Row],[List Name for Layout]],ResourceList[[ListDisplayName]:[No]],2,0),"resource_list")</f>
        <v>557306</v>
      </c>
      <c r="AX22" s="60" t="s">
        <v>784</v>
      </c>
      <c r="AY22" s="68" t="s">
        <v>1012</v>
      </c>
      <c r="AZ22" s="60">
        <f>IF(ListLayout[[#This Row],[List Name for Layout]]="","relation",IFERROR(VLOOKUP(ListLayout[[#This Row],[Relation]],RelationTable[[Display]:[RELID]],2,0),""))</f>
        <v>555903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8" t="s">
        <v>949</v>
      </c>
      <c r="BD22" s="68"/>
      <c r="BE22" s="68"/>
    </row>
    <row r="23" spans="46:57" x14ac:dyDescent="0.25">
      <c r="AT23" s="60" t="str">
        <f>'Table Seed Map'!$A$27&amp;"-"&amp;COUNTA($AV$1:ListLayout[[#This Row],[No]])-2</f>
        <v>List Layout-21</v>
      </c>
      <c r="AU23" s="83" t="s">
        <v>937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557621</v>
      </c>
      <c r="AW23" s="60">
        <f>IFERROR(VLOOKUP(ListLayout[[#This Row],[List Name for Layout]],ResourceList[[ListDisplayName]:[No]],2,0),"resource_list")</f>
        <v>557306</v>
      </c>
      <c r="AX23" s="60" t="s">
        <v>846</v>
      </c>
      <c r="AY23" s="68" t="s">
        <v>847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8"/>
      <c r="BD23" s="68"/>
      <c r="BE23" s="68"/>
    </row>
    <row r="24" spans="46:57" x14ac:dyDescent="0.25">
      <c r="AT24" s="60" t="str">
        <f>'Table Seed Map'!$A$27&amp;"-"&amp;COUNTA($AV$1:ListLayout[[#This Row],[No]])-2</f>
        <v>List Layout-22</v>
      </c>
      <c r="AU24" s="83" t="s">
        <v>937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557622</v>
      </c>
      <c r="AW24" s="60">
        <f>IFERROR(VLOOKUP(ListLayout[[#This Row],[List Name for Layout]],ResourceList[[ListDisplayName]:[No]],2,0),"resource_list")</f>
        <v>557306</v>
      </c>
      <c r="AX24" s="60" t="s">
        <v>848</v>
      </c>
      <c r="AY24" s="68" t="s">
        <v>775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8"/>
      <c r="BD24" s="68"/>
      <c r="BE24" s="68"/>
    </row>
    <row r="25" spans="46:57" x14ac:dyDescent="0.25">
      <c r="AT25" s="60" t="str">
        <f>'Table Seed Map'!$A$27&amp;"-"&amp;COUNTA($AV$1:ListLayout[[#This Row],[No]])-2</f>
        <v>List Layout-23</v>
      </c>
      <c r="AU25" s="83" t="s">
        <v>937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557623</v>
      </c>
      <c r="AW25" s="60">
        <f>IFERROR(VLOOKUP(ListLayout[[#This Row],[List Name for Layout]],ResourceList[[ListDisplayName]:[No]],2,0),"resource_list")</f>
        <v>557306</v>
      </c>
      <c r="AX25" s="60" t="s">
        <v>849</v>
      </c>
      <c r="AY25" s="68" t="s">
        <v>776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8"/>
      <c r="BD25" s="68"/>
      <c r="BE25" s="68"/>
    </row>
    <row r="26" spans="46:57" x14ac:dyDescent="0.25">
      <c r="AT26" s="60" t="str">
        <f>'Table Seed Map'!$A$27&amp;"-"&amp;COUNTA($AV$1:ListLayout[[#This Row],[No]])-2</f>
        <v>List Layout-24</v>
      </c>
      <c r="AU26" s="83" t="s">
        <v>938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557624</v>
      </c>
      <c r="AW26" s="60">
        <f>IFERROR(VLOOKUP(ListLayout[[#This Row],[List Name for Layout]],ResourceList[[ListDisplayName]:[No]],2,0),"resource_list")</f>
        <v>557307</v>
      </c>
      <c r="AX26" s="60" t="s">
        <v>845</v>
      </c>
      <c r="AY26" s="68" t="s">
        <v>21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8"/>
      <c r="BD26" s="68"/>
      <c r="BE26" s="68"/>
    </row>
    <row r="27" spans="46:57" x14ac:dyDescent="0.25">
      <c r="AT27" s="60" t="str">
        <f>'Table Seed Map'!$A$27&amp;"-"&amp;COUNTA($AV$1:ListLayout[[#This Row],[No]])-2</f>
        <v>List Layout-25</v>
      </c>
      <c r="AU27" s="83" t="s">
        <v>938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557625</v>
      </c>
      <c r="AW27" s="60">
        <f>IFERROR(VLOOKUP(ListLayout[[#This Row],[List Name for Layout]],ResourceList[[ListDisplayName]:[No]],2,0),"resource_list")</f>
        <v>557307</v>
      </c>
      <c r="AX27" s="60" t="s">
        <v>784</v>
      </c>
      <c r="AY27" s="68" t="s">
        <v>1012</v>
      </c>
      <c r="AZ27" s="60">
        <f>IF(ListLayout[[#This Row],[List Name for Layout]]="","relation",IFERROR(VLOOKUP(ListLayout[[#This Row],[Relation]],RelationTable[[Display]:[RELID]],2,0),""))</f>
        <v>555903</v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8" t="s">
        <v>949</v>
      </c>
      <c r="BD27" s="68"/>
      <c r="BE27" s="68"/>
    </row>
    <row r="28" spans="46:57" x14ac:dyDescent="0.25">
      <c r="AT28" s="60" t="str">
        <f>'Table Seed Map'!$A$27&amp;"-"&amp;COUNTA($AV$1:ListLayout[[#This Row],[No]])-2</f>
        <v>List Layout-26</v>
      </c>
      <c r="AU28" s="83" t="s">
        <v>938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557626</v>
      </c>
      <c r="AW28" s="60">
        <f>IFERROR(VLOOKUP(ListLayout[[#This Row],[List Name for Layout]],ResourceList[[ListDisplayName]:[No]],2,0),"resource_list")</f>
        <v>557307</v>
      </c>
      <c r="AX28" s="60" t="s">
        <v>846</v>
      </c>
      <c r="AY28" s="68" t="s">
        <v>847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8"/>
      <c r="BD28" s="68"/>
      <c r="BE28" s="68"/>
    </row>
    <row r="29" spans="46:57" x14ac:dyDescent="0.25">
      <c r="AT29" s="60" t="str">
        <f>'Table Seed Map'!$A$27&amp;"-"&amp;COUNTA($AV$1:ListLayout[[#This Row],[No]])-2</f>
        <v>List Layout-27</v>
      </c>
      <c r="AU29" s="83" t="s">
        <v>938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557627</v>
      </c>
      <c r="AW29" s="60">
        <f>IFERROR(VLOOKUP(ListLayout[[#This Row],[List Name for Layout]],ResourceList[[ListDisplayName]:[No]],2,0),"resource_list")</f>
        <v>557307</v>
      </c>
      <c r="AX29" s="60" t="s">
        <v>848</v>
      </c>
      <c r="AY29" s="68" t="s">
        <v>775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8"/>
      <c r="BD29" s="68"/>
      <c r="BE29" s="68"/>
    </row>
    <row r="30" spans="46:57" x14ac:dyDescent="0.25">
      <c r="AT30" s="60" t="str">
        <f>'Table Seed Map'!$A$27&amp;"-"&amp;COUNTA($AV$1:ListLayout[[#This Row],[No]])-2</f>
        <v>List Layout-28</v>
      </c>
      <c r="AU30" s="83" t="s">
        <v>938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557628</v>
      </c>
      <c r="AW30" s="60">
        <f>IFERROR(VLOOKUP(ListLayout[[#This Row],[List Name for Layout]],ResourceList[[ListDisplayName]:[No]],2,0),"resource_list")</f>
        <v>557307</v>
      </c>
      <c r="AX30" s="60" t="s">
        <v>849</v>
      </c>
      <c r="AY30" s="68" t="s">
        <v>776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8"/>
      <c r="BD30" s="68"/>
      <c r="BE30" s="68"/>
    </row>
    <row r="31" spans="46:57" x14ac:dyDescent="0.25">
      <c r="AT31" s="60" t="str">
        <f>'Table Seed Map'!$A$27&amp;"-"&amp;COUNTA($AV$1:ListLayout[[#This Row],[No]])-2</f>
        <v>List Layout-29</v>
      </c>
      <c r="AU31" s="83" t="s">
        <v>939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557629</v>
      </c>
      <c r="AW31" s="60">
        <f>IFERROR(VLOOKUP(ListLayout[[#This Row],[List Name for Layout]],ResourceList[[ListDisplayName]:[No]],2,0),"resource_list")</f>
        <v>557308</v>
      </c>
      <c r="AX31" s="60" t="s">
        <v>845</v>
      </c>
      <c r="AY31" s="68" t="s">
        <v>21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8"/>
      <c r="BD31" s="68"/>
      <c r="BE31" s="68"/>
    </row>
    <row r="32" spans="46:57" x14ac:dyDescent="0.25">
      <c r="AT32" s="60" t="str">
        <f>'Table Seed Map'!$A$27&amp;"-"&amp;COUNTA($AV$1:ListLayout[[#This Row],[No]])-2</f>
        <v>List Layout-30</v>
      </c>
      <c r="AU32" s="83" t="s">
        <v>939</v>
      </c>
      <c r="AV32" s="60">
        <f>IF(ListLayout[[#This Row],[List Name for Layout]]="","id",COUNTA($AU$2:ListLayout[[#This Row],[List Name for Layout]])+IF(ISNUMBER(VLOOKUP('Table Seed Map'!$A$27,SeedMap[],9,0)),VLOOKUP('Table Seed Map'!$A$27,SeedMap[],9,0),0))</f>
        <v>557630</v>
      </c>
      <c r="AW32" s="60">
        <f>IFERROR(VLOOKUP(ListLayout[[#This Row],[List Name for Layout]],ResourceList[[ListDisplayName]:[No]],2,0),"resource_list")</f>
        <v>557308</v>
      </c>
      <c r="AX32" s="60" t="s">
        <v>784</v>
      </c>
      <c r="AY32" s="68" t="s">
        <v>1012</v>
      </c>
      <c r="AZ32" s="60">
        <f>IF(ListLayout[[#This Row],[List Name for Layout]]="","relation",IFERROR(VLOOKUP(ListLayout[[#This Row],[Relation]],RelationTable[[Display]:[RELID]],2,0),""))</f>
        <v>555903</v>
      </c>
      <c r="BA32" s="60" t="str">
        <f>IF(ListLayout[[#This Row],[List Name for Layout]]="","nest_relation1",IFERROR(VLOOKUP(ListLayout[[#This Row],[Relation 1]],RelationTable[[Display]:[RELID]],2,0),""))</f>
        <v/>
      </c>
      <c r="BB32" s="60" t="str">
        <f>IF(ListLayout[[#This Row],[List Name for Layout]]="","nest_relation2",IFERROR(VLOOKUP(ListLayout[[#This Row],[Relation 2]],RelationTable[[Display]:[RELID]],2,0),""))</f>
        <v/>
      </c>
      <c r="BC32" s="68" t="s">
        <v>949</v>
      </c>
      <c r="BD32" s="68"/>
      <c r="BE32" s="68"/>
    </row>
    <row r="33" spans="46:57" x14ac:dyDescent="0.25">
      <c r="AT33" s="60" t="str">
        <f>'Table Seed Map'!$A$27&amp;"-"&amp;COUNTA($AV$1:ListLayout[[#This Row],[No]])-2</f>
        <v>List Layout-31</v>
      </c>
      <c r="AU33" s="83" t="s">
        <v>939</v>
      </c>
      <c r="AV33" s="60">
        <f>IF(ListLayout[[#This Row],[List Name for Layout]]="","id",COUNTA($AU$2:ListLayout[[#This Row],[List Name for Layout]])+IF(ISNUMBER(VLOOKUP('Table Seed Map'!$A$27,SeedMap[],9,0)),VLOOKUP('Table Seed Map'!$A$27,SeedMap[],9,0),0))</f>
        <v>557631</v>
      </c>
      <c r="AW33" s="60">
        <f>IFERROR(VLOOKUP(ListLayout[[#This Row],[List Name for Layout]],ResourceList[[ListDisplayName]:[No]],2,0),"resource_list")</f>
        <v>557308</v>
      </c>
      <c r="AX33" s="60" t="s">
        <v>846</v>
      </c>
      <c r="AY33" s="68" t="s">
        <v>847</v>
      </c>
      <c r="AZ33" s="60" t="str">
        <f>IF(ListLayout[[#This Row],[List Name for Layout]]="","relation",IFERROR(VLOOKUP(ListLayout[[#This Row],[Relation]],RelationTable[[Display]:[RELID]],2,0),""))</f>
        <v/>
      </c>
      <c r="BA33" s="60" t="str">
        <f>IF(ListLayout[[#This Row],[List Name for Layout]]="","nest_relation1",IFERROR(VLOOKUP(ListLayout[[#This Row],[Relation 1]],RelationTable[[Display]:[RELID]],2,0),""))</f>
        <v/>
      </c>
      <c r="BB33" s="60" t="str">
        <f>IF(ListLayout[[#This Row],[List Name for Layout]]="","nest_relation2",IFERROR(VLOOKUP(ListLayout[[#This Row],[Relation 2]],RelationTable[[Display]:[RELID]],2,0),""))</f>
        <v/>
      </c>
      <c r="BC33" s="68"/>
      <c r="BD33" s="68"/>
      <c r="BE33" s="68"/>
    </row>
    <row r="34" spans="46:57" x14ac:dyDescent="0.25">
      <c r="AT34" s="60" t="str">
        <f>'Table Seed Map'!$A$27&amp;"-"&amp;COUNTA($AV$1:ListLayout[[#This Row],[No]])-2</f>
        <v>List Layout-32</v>
      </c>
      <c r="AU34" s="83" t="s">
        <v>939</v>
      </c>
      <c r="AV34" s="60">
        <f>IF(ListLayout[[#This Row],[List Name for Layout]]="","id",COUNTA($AU$2:ListLayout[[#This Row],[List Name for Layout]])+IF(ISNUMBER(VLOOKUP('Table Seed Map'!$A$27,SeedMap[],9,0)),VLOOKUP('Table Seed Map'!$A$27,SeedMap[],9,0),0))</f>
        <v>557632</v>
      </c>
      <c r="AW34" s="60">
        <f>IFERROR(VLOOKUP(ListLayout[[#This Row],[List Name for Layout]],ResourceList[[ListDisplayName]:[No]],2,0),"resource_list")</f>
        <v>557308</v>
      </c>
      <c r="AX34" s="60" t="s">
        <v>848</v>
      </c>
      <c r="AY34" s="68" t="s">
        <v>775</v>
      </c>
      <c r="AZ34" s="60" t="str">
        <f>IF(ListLayout[[#This Row],[List Name for Layout]]="","relation",IFERROR(VLOOKUP(ListLayout[[#This Row],[Relation]],RelationTable[[Display]:[RELID]],2,0),""))</f>
        <v/>
      </c>
      <c r="BA34" s="60" t="str">
        <f>IF(ListLayout[[#This Row],[List Name for Layout]]="","nest_relation1",IFERROR(VLOOKUP(ListLayout[[#This Row],[Relation 1]],RelationTable[[Display]:[RELID]],2,0),""))</f>
        <v/>
      </c>
      <c r="BB34" s="60" t="str">
        <f>IF(ListLayout[[#This Row],[List Name for Layout]]="","nest_relation2",IFERROR(VLOOKUP(ListLayout[[#This Row],[Relation 2]],RelationTable[[Display]:[RELID]],2,0),""))</f>
        <v/>
      </c>
      <c r="BC34" s="68"/>
      <c r="BD34" s="68"/>
      <c r="BE34" s="68"/>
    </row>
    <row r="35" spans="46:57" x14ac:dyDescent="0.25">
      <c r="AT35" s="60" t="str">
        <f>'Table Seed Map'!$A$27&amp;"-"&amp;COUNTA($AV$1:ListLayout[[#This Row],[No]])-2</f>
        <v>List Layout-33</v>
      </c>
      <c r="AU35" s="83" t="s">
        <v>939</v>
      </c>
      <c r="AV35" s="60">
        <f>IF(ListLayout[[#This Row],[List Name for Layout]]="","id",COUNTA($AU$2:ListLayout[[#This Row],[List Name for Layout]])+IF(ISNUMBER(VLOOKUP('Table Seed Map'!$A$27,SeedMap[],9,0)),VLOOKUP('Table Seed Map'!$A$27,SeedMap[],9,0),0))</f>
        <v>557633</v>
      </c>
      <c r="AW35" s="60">
        <f>IFERROR(VLOOKUP(ListLayout[[#This Row],[List Name for Layout]],ResourceList[[ListDisplayName]:[No]],2,0),"resource_list")</f>
        <v>557308</v>
      </c>
      <c r="AX35" s="60" t="s">
        <v>849</v>
      </c>
      <c r="AY35" s="68" t="s">
        <v>776</v>
      </c>
      <c r="AZ35" s="60" t="str">
        <f>IF(ListLayout[[#This Row],[List Name for Layout]]="","relation",IFERROR(VLOOKUP(ListLayout[[#This Row],[Relation]],RelationTable[[Display]:[RELID]],2,0),""))</f>
        <v/>
      </c>
      <c r="BA35" s="60" t="str">
        <f>IF(ListLayout[[#This Row],[List Name for Layout]]="","nest_relation1",IFERROR(VLOOKUP(ListLayout[[#This Row],[Relation 1]],RelationTable[[Display]:[RELID]],2,0),""))</f>
        <v/>
      </c>
      <c r="BB35" s="60" t="str">
        <f>IF(ListLayout[[#This Row],[List Name for Layout]]="","nest_relation2",IFERROR(VLOOKUP(ListLayout[[#This Row],[Relation 2]],RelationTable[[Display]:[RELID]],2,0),""))</f>
        <v/>
      </c>
      <c r="BC35" s="68"/>
      <c r="BD35" s="68"/>
      <c r="BE35" s="68"/>
    </row>
    <row r="36" spans="46:57" x14ac:dyDescent="0.25">
      <c r="AT36" s="60" t="str">
        <f>'Table Seed Map'!$A$27&amp;"-"&amp;COUNTA($AV$1:ListLayout[[#This Row],[No]])-2</f>
        <v>List Layout-34</v>
      </c>
      <c r="AU36" s="83" t="s">
        <v>940</v>
      </c>
      <c r="AV36" s="60">
        <f>IF(ListLayout[[#This Row],[List Name for Layout]]="","id",COUNTA($AU$2:ListLayout[[#This Row],[List Name for Layout]])+IF(ISNUMBER(VLOOKUP('Table Seed Map'!$A$27,SeedMap[],9,0)),VLOOKUP('Table Seed Map'!$A$27,SeedMap[],9,0),0))</f>
        <v>557634</v>
      </c>
      <c r="AW36" s="60">
        <f>IFERROR(VLOOKUP(ListLayout[[#This Row],[List Name for Layout]],ResourceList[[ListDisplayName]:[No]],2,0),"resource_list")</f>
        <v>557309</v>
      </c>
      <c r="AX36" s="60" t="s">
        <v>845</v>
      </c>
      <c r="AY36" s="68" t="s">
        <v>21</v>
      </c>
      <c r="AZ36" s="60" t="str">
        <f>IF(ListLayout[[#This Row],[List Name for Layout]]="","relation",IFERROR(VLOOKUP(ListLayout[[#This Row],[Relation]],RelationTable[[Display]:[RELID]],2,0),""))</f>
        <v/>
      </c>
      <c r="BA36" s="60" t="str">
        <f>IF(ListLayout[[#This Row],[List Name for Layout]]="","nest_relation1",IFERROR(VLOOKUP(ListLayout[[#This Row],[Relation 1]],RelationTable[[Display]:[RELID]],2,0),""))</f>
        <v/>
      </c>
      <c r="BB36" s="60" t="str">
        <f>IF(ListLayout[[#This Row],[List Name for Layout]]="","nest_relation2",IFERROR(VLOOKUP(ListLayout[[#This Row],[Relation 2]],RelationTable[[Display]:[RELID]],2,0),""))</f>
        <v/>
      </c>
      <c r="BC36" s="68"/>
      <c r="BD36" s="68"/>
      <c r="BE36" s="68"/>
    </row>
    <row r="37" spans="46:57" x14ac:dyDescent="0.25">
      <c r="AT37" s="60" t="str">
        <f>'Table Seed Map'!$A$27&amp;"-"&amp;COUNTA($AV$1:ListLayout[[#This Row],[No]])-2</f>
        <v>List Layout-35</v>
      </c>
      <c r="AU37" s="83" t="s">
        <v>940</v>
      </c>
      <c r="AV37" s="60">
        <f>IF(ListLayout[[#This Row],[List Name for Layout]]="","id",COUNTA($AU$2:ListLayout[[#This Row],[List Name for Layout]])+IF(ISNUMBER(VLOOKUP('Table Seed Map'!$A$27,SeedMap[],9,0)),VLOOKUP('Table Seed Map'!$A$27,SeedMap[],9,0),0))</f>
        <v>557635</v>
      </c>
      <c r="AW37" s="60">
        <f>IFERROR(VLOOKUP(ListLayout[[#This Row],[List Name for Layout]],ResourceList[[ListDisplayName]:[No]],2,0),"resource_list")</f>
        <v>557309</v>
      </c>
      <c r="AX37" s="60" t="s">
        <v>784</v>
      </c>
      <c r="AY37" s="68" t="s">
        <v>1012</v>
      </c>
      <c r="AZ37" s="60">
        <f>IF(ListLayout[[#This Row],[List Name for Layout]]="","relation",IFERROR(VLOOKUP(ListLayout[[#This Row],[Relation]],RelationTable[[Display]:[RELID]],2,0),""))</f>
        <v>555903</v>
      </c>
      <c r="BA37" s="60" t="str">
        <f>IF(ListLayout[[#This Row],[List Name for Layout]]="","nest_relation1",IFERROR(VLOOKUP(ListLayout[[#This Row],[Relation 1]],RelationTable[[Display]:[RELID]],2,0),""))</f>
        <v/>
      </c>
      <c r="BB37" s="60" t="str">
        <f>IF(ListLayout[[#This Row],[List Name for Layout]]="","nest_relation2",IFERROR(VLOOKUP(ListLayout[[#This Row],[Relation 2]],RelationTable[[Display]:[RELID]],2,0),""))</f>
        <v/>
      </c>
      <c r="BC37" s="68" t="s">
        <v>949</v>
      </c>
      <c r="BD37" s="68"/>
      <c r="BE37" s="68"/>
    </row>
    <row r="38" spans="46:57" x14ac:dyDescent="0.25">
      <c r="AT38" s="60" t="str">
        <f>'Table Seed Map'!$A$27&amp;"-"&amp;COUNTA($AV$1:ListLayout[[#This Row],[No]])-2</f>
        <v>List Layout-36</v>
      </c>
      <c r="AU38" s="83" t="s">
        <v>940</v>
      </c>
      <c r="AV38" s="60">
        <f>IF(ListLayout[[#This Row],[List Name for Layout]]="","id",COUNTA($AU$2:ListLayout[[#This Row],[List Name for Layout]])+IF(ISNUMBER(VLOOKUP('Table Seed Map'!$A$27,SeedMap[],9,0)),VLOOKUP('Table Seed Map'!$A$27,SeedMap[],9,0),0))</f>
        <v>557636</v>
      </c>
      <c r="AW38" s="60">
        <f>IFERROR(VLOOKUP(ListLayout[[#This Row],[List Name for Layout]],ResourceList[[ListDisplayName]:[No]],2,0),"resource_list")</f>
        <v>557309</v>
      </c>
      <c r="AX38" s="60" t="s">
        <v>846</v>
      </c>
      <c r="AY38" s="68" t="s">
        <v>847</v>
      </c>
      <c r="AZ38" s="60" t="str">
        <f>IF(ListLayout[[#This Row],[List Name for Layout]]="","relation",IFERROR(VLOOKUP(ListLayout[[#This Row],[Relation]],RelationTable[[Display]:[RELID]],2,0),""))</f>
        <v/>
      </c>
      <c r="BA38" s="60" t="str">
        <f>IF(ListLayout[[#This Row],[List Name for Layout]]="","nest_relation1",IFERROR(VLOOKUP(ListLayout[[#This Row],[Relation 1]],RelationTable[[Display]:[RELID]],2,0),""))</f>
        <v/>
      </c>
      <c r="BB38" s="60" t="str">
        <f>IF(ListLayout[[#This Row],[List Name for Layout]]="","nest_relation2",IFERROR(VLOOKUP(ListLayout[[#This Row],[Relation 2]],RelationTable[[Display]:[RELID]],2,0),""))</f>
        <v/>
      </c>
      <c r="BC38" s="68"/>
      <c r="BD38" s="68"/>
      <c r="BE38" s="68"/>
    </row>
    <row r="39" spans="46:57" x14ac:dyDescent="0.25">
      <c r="AT39" s="60" t="str">
        <f>'Table Seed Map'!$A$27&amp;"-"&amp;COUNTA($AV$1:ListLayout[[#This Row],[No]])-2</f>
        <v>List Layout-37</v>
      </c>
      <c r="AU39" s="83" t="s">
        <v>940</v>
      </c>
      <c r="AV39" s="60">
        <f>IF(ListLayout[[#This Row],[List Name for Layout]]="","id",COUNTA($AU$2:ListLayout[[#This Row],[List Name for Layout]])+IF(ISNUMBER(VLOOKUP('Table Seed Map'!$A$27,SeedMap[],9,0)),VLOOKUP('Table Seed Map'!$A$27,SeedMap[],9,0),0))</f>
        <v>557637</v>
      </c>
      <c r="AW39" s="60">
        <f>IFERROR(VLOOKUP(ListLayout[[#This Row],[List Name for Layout]],ResourceList[[ListDisplayName]:[No]],2,0),"resource_list")</f>
        <v>557309</v>
      </c>
      <c r="AX39" s="60" t="s">
        <v>848</v>
      </c>
      <c r="AY39" s="68" t="s">
        <v>775</v>
      </c>
      <c r="AZ39" s="60" t="str">
        <f>IF(ListLayout[[#This Row],[List Name for Layout]]="","relation",IFERROR(VLOOKUP(ListLayout[[#This Row],[Relation]],RelationTable[[Display]:[RELID]],2,0),""))</f>
        <v/>
      </c>
      <c r="BA39" s="60" t="str">
        <f>IF(ListLayout[[#This Row],[List Name for Layout]]="","nest_relation1",IFERROR(VLOOKUP(ListLayout[[#This Row],[Relation 1]],RelationTable[[Display]:[RELID]],2,0),""))</f>
        <v/>
      </c>
      <c r="BB39" s="60" t="str">
        <f>IF(ListLayout[[#This Row],[List Name for Layout]]="","nest_relation2",IFERROR(VLOOKUP(ListLayout[[#This Row],[Relation 2]],RelationTable[[Display]:[RELID]],2,0),""))</f>
        <v/>
      </c>
      <c r="BC39" s="68"/>
      <c r="BD39" s="68"/>
      <c r="BE39" s="68"/>
    </row>
    <row r="40" spans="46:57" x14ac:dyDescent="0.25">
      <c r="AT40" s="60" t="str">
        <f>'Table Seed Map'!$A$27&amp;"-"&amp;COUNTA($AV$1:ListLayout[[#This Row],[No]])-2</f>
        <v>List Layout-38</v>
      </c>
      <c r="AU40" s="83" t="s">
        <v>940</v>
      </c>
      <c r="AV40" s="60">
        <f>IF(ListLayout[[#This Row],[List Name for Layout]]="","id",COUNTA($AU$2:ListLayout[[#This Row],[List Name for Layout]])+IF(ISNUMBER(VLOOKUP('Table Seed Map'!$A$27,SeedMap[],9,0)),VLOOKUP('Table Seed Map'!$A$27,SeedMap[],9,0),0))</f>
        <v>557638</v>
      </c>
      <c r="AW40" s="60">
        <f>IFERROR(VLOOKUP(ListLayout[[#This Row],[List Name for Layout]],ResourceList[[ListDisplayName]:[No]],2,0),"resource_list")</f>
        <v>557309</v>
      </c>
      <c r="AX40" s="60" t="s">
        <v>849</v>
      </c>
      <c r="AY40" s="68" t="s">
        <v>776</v>
      </c>
      <c r="AZ40" s="60" t="str">
        <f>IF(ListLayout[[#This Row],[List Name for Layout]]="","relation",IFERROR(VLOOKUP(ListLayout[[#This Row],[Relation]],RelationTable[[Display]:[RELID]],2,0),""))</f>
        <v/>
      </c>
      <c r="BA40" s="60" t="str">
        <f>IF(ListLayout[[#This Row],[List Name for Layout]]="","nest_relation1",IFERROR(VLOOKUP(ListLayout[[#This Row],[Relation 1]],RelationTable[[Display]:[RELID]],2,0),""))</f>
        <v/>
      </c>
      <c r="BB40" s="60" t="str">
        <f>IF(ListLayout[[#This Row],[List Name for Layout]]="","nest_relation2",IFERROR(VLOOKUP(ListLayout[[#This Row],[Relation 2]],RelationTable[[Display]:[RELID]],2,0),""))</f>
        <v/>
      </c>
      <c r="BC40" s="68"/>
      <c r="BD40" s="68"/>
      <c r="BE40" s="68"/>
    </row>
    <row r="41" spans="46:57" x14ac:dyDescent="0.25">
      <c r="AT41" s="60" t="str">
        <f>'Table Seed Map'!$A$27&amp;"-"&amp;COUNTA($AV$1:ListLayout[[#This Row],[No]])-2</f>
        <v>List Layout-39</v>
      </c>
      <c r="AU41" s="83" t="s">
        <v>941</v>
      </c>
      <c r="AV41" s="60">
        <f>IF(ListLayout[[#This Row],[List Name for Layout]]="","id",COUNTA($AU$2:ListLayout[[#This Row],[List Name for Layout]])+IF(ISNUMBER(VLOOKUP('Table Seed Map'!$A$27,SeedMap[],9,0)),VLOOKUP('Table Seed Map'!$A$27,SeedMap[],9,0),0))</f>
        <v>557639</v>
      </c>
      <c r="AW41" s="60">
        <f>IFERROR(VLOOKUP(ListLayout[[#This Row],[List Name for Layout]],ResourceList[[ListDisplayName]:[No]],2,0),"resource_list")</f>
        <v>557310</v>
      </c>
      <c r="AX41" s="60" t="s">
        <v>845</v>
      </c>
      <c r="AY41" s="68" t="s">
        <v>21</v>
      </c>
      <c r="AZ41" s="60" t="str">
        <f>IF(ListLayout[[#This Row],[List Name for Layout]]="","relation",IFERROR(VLOOKUP(ListLayout[[#This Row],[Relation]],RelationTable[[Display]:[RELID]],2,0),""))</f>
        <v/>
      </c>
      <c r="BA41" s="60" t="str">
        <f>IF(ListLayout[[#This Row],[List Name for Layout]]="","nest_relation1",IFERROR(VLOOKUP(ListLayout[[#This Row],[Relation 1]],RelationTable[[Display]:[RELID]],2,0),""))</f>
        <v/>
      </c>
      <c r="BB41" s="60" t="str">
        <f>IF(ListLayout[[#This Row],[List Name for Layout]]="","nest_relation2",IFERROR(VLOOKUP(ListLayout[[#This Row],[Relation 2]],RelationTable[[Display]:[RELID]],2,0),""))</f>
        <v/>
      </c>
      <c r="BC41" s="68"/>
      <c r="BD41" s="68"/>
      <c r="BE41" s="68"/>
    </row>
    <row r="42" spans="46:57" x14ac:dyDescent="0.25">
      <c r="AT42" s="60" t="str">
        <f>'Table Seed Map'!$A$27&amp;"-"&amp;COUNTA($AV$1:ListLayout[[#This Row],[No]])-2</f>
        <v>List Layout-40</v>
      </c>
      <c r="AU42" s="83" t="s">
        <v>941</v>
      </c>
      <c r="AV42" s="60">
        <f>IF(ListLayout[[#This Row],[List Name for Layout]]="","id",COUNTA($AU$2:ListLayout[[#This Row],[List Name for Layout]])+IF(ISNUMBER(VLOOKUP('Table Seed Map'!$A$27,SeedMap[],9,0)),VLOOKUP('Table Seed Map'!$A$27,SeedMap[],9,0),0))</f>
        <v>557640</v>
      </c>
      <c r="AW42" s="60">
        <f>IFERROR(VLOOKUP(ListLayout[[#This Row],[List Name for Layout]],ResourceList[[ListDisplayName]:[No]],2,0),"resource_list")</f>
        <v>557310</v>
      </c>
      <c r="AX42" s="60" t="s">
        <v>784</v>
      </c>
      <c r="AY42" s="68" t="s">
        <v>1012</v>
      </c>
      <c r="AZ42" s="60">
        <f>IF(ListLayout[[#This Row],[List Name for Layout]]="","relation",IFERROR(VLOOKUP(ListLayout[[#This Row],[Relation]],RelationTable[[Display]:[RELID]],2,0),""))</f>
        <v>555903</v>
      </c>
      <c r="BA42" s="60" t="str">
        <f>IF(ListLayout[[#This Row],[List Name for Layout]]="","nest_relation1",IFERROR(VLOOKUP(ListLayout[[#This Row],[Relation 1]],RelationTable[[Display]:[RELID]],2,0),""))</f>
        <v/>
      </c>
      <c r="BB42" s="60" t="str">
        <f>IF(ListLayout[[#This Row],[List Name for Layout]]="","nest_relation2",IFERROR(VLOOKUP(ListLayout[[#This Row],[Relation 2]],RelationTable[[Display]:[RELID]],2,0),""))</f>
        <v/>
      </c>
      <c r="BC42" s="68" t="s">
        <v>949</v>
      </c>
      <c r="BD42" s="68"/>
      <c r="BE42" s="68"/>
    </row>
    <row r="43" spans="46:57" x14ac:dyDescent="0.25">
      <c r="AT43" s="60" t="str">
        <f>'Table Seed Map'!$A$27&amp;"-"&amp;COUNTA($AV$1:ListLayout[[#This Row],[No]])-2</f>
        <v>List Layout-41</v>
      </c>
      <c r="AU43" s="83" t="s">
        <v>941</v>
      </c>
      <c r="AV43" s="60">
        <f>IF(ListLayout[[#This Row],[List Name for Layout]]="","id",COUNTA($AU$2:ListLayout[[#This Row],[List Name for Layout]])+IF(ISNUMBER(VLOOKUP('Table Seed Map'!$A$27,SeedMap[],9,0)),VLOOKUP('Table Seed Map'!$A$27,SeedMap[],9,0),0))</f>
        <v>557641</v>
      </c>
      <c r="AW43" s="60">
        <f>IFERROR(VLOOKUP(ListLayout[[#This Row],[List Name for Layout]],ResourceList[[ListDisplayName]:[No]],2,0),"resource_list")</f>
        <v>557310</v>
      </c>
      <c r="AX43" s="60" t="s">
        <v>846</v>
      </c>
      <c r="AY43" s="68" t="s">
        <v>847</v>
      </c>
      <c r="AZ43" s="60" t="str">
        <f>IF(ListLayout[[#This Row],[List Name for Layout]]="","relation",IFERROR(VLOOKUP(ListLayout[[#This Row],[Relation]],RelationTable[[Display]:[RELID]],2,0),""))</f>
        <v/>
      </c>
      <c r="BA43" s="60" t="str">
        <f>IF(ListLayout[[#This Row],[List Name for Layout]]="","nest_relation1",IFERROR(VLOOKUP(ListLayout[[#This Row],[Relation 1]],RelationTable[[Display]:[RELID]],2,0),""))</f>
        <v/>
      </c>
      <c r="BB43" s="60" t="str">
        <f>IF(ListLayout[[#This Row],[List Name for Layout]]="","nest_relation2",IFERROR(VLOOKUP(ListLayout[[#This Row],[Relation 2]],RelationTable[[Display]:[RELID]],2,0),""))</f>
        <v/>
      </c>
      <c r="BC43" s="68"/>
      <c r="BD43" s="68"/>
      <c r="BE43" s="68"/>
    </row>
    <row r="44" spans="46:57" x14ac:dyDescent="0.25">
      <c r="AT44" s="60" t="str">
        <f>'Table Seed Map'!$A$27&amp;"-"&amp;COUNTA($AV$1:ListLayout[[#This Row],[No]])-2</f>
        <v>List Layout-42</v>
      </c>
      <c r="AU44" s="83" t="s">
        <v>941</v>
      </c>
      <c r="AV44" s="60">
        <f>IF(ListLayout[[#This Row],[List Name for Layout]]="","id",COUNTA($AU$2:ListLayout[[#This Row],[List Name for Layout]])+IF(ISNUMBER(VLOOKUP('Table Seed Map'!$A$27,SeedMap[],9,0)),VLOOKUP('Table Seed Map'!$A$27,SeedMap[],9,0),0))</f>
        <v>557642</v>
      </c>
      <c r="AW44" s="60">
        <f>IFERROR(VLOOKUP(ListLayout[[#This Row],[List Name for Layout]],ResourceList[[ListDisplayName]:[No]],2,0),"resource_list")</f>
        <v>557310</v>
      </c>
      <c r="AX44" s="60" t="s">
        <v>848</v>
      </c>
      <c r="AY44" s="68" t="s">
        <v>775</v>
      </c>
      <c r="AZ44" s="60" t="str">
        <f>IF(ListLayout[[#This Row],[List Name for Layout]]="","relation",IFERROR(VLOOKUP(ListLayout[[#This Row],[Relation]],RelationTable[[Display]:[RELID]],2,0),""))</f>
        <v/>
      </c>
      <c r="BA44" s="60" t="str">
        <f>IF(ListLayout[[#This Row],[List Name for Layout]]="","nest_relation1",IFERROR(VLOOKUP(ListLayout[[#This Row],[Relation 1]],RelationTable[[Display]:[RELID]],2,0),""))</f>
        <v/>
      </c>
      <c r="BB44" s="60" t="str">
        <f>IF(ListLayout[[#This Row],[List Name for Layout]]="","nest_relation2",IFERROR(VLOOKUP(ListLayout[[#This Row],[Relation 2]],RelationTable[[Display]:[RELID]],2,0),""))</f>
        <v/>
      </c>
      <c r="BC44" s="68"/>
      <c r="BD44" s="68"/>
      <c r="BE44" s="68"/>
    </row>
    <row r="45" spans="46:57" x14ac:dyDescent="0.25">
      <c r="AT45" s="60" t="str">
        <f>'Table Seed Map'!$A$27&amp;"-"&amp;COUNTA($AV$1:ListLayout[[#This Row],[No]])-2</f>
        <v>List Layout-43</v>
      </c>
      <c r="AU45" s="83" t="s">
        <v>941</v>
      </c>
      <c r="AV45" s="60">
        <f>IF(ListLayout[[#This Row],[List Name for Layout]]="","id",COUNTA($AU$2:ListLayout[[#This Row],[List Name for Layout]])+IF(ISNUMBER(VLOOKUP('Table Seed Map'!$A$27,SeedMap[],9,0)),VLOOKUP('Table Seed Map'!$A$27,SeedMap[],9,0),0))</f>
        <v>557643</v>
      </c>
      <c r="AW45" s="60">
        <f>IFERROR(VLOOKUP(ListLayout[[#This Row],[List Name for Layout]],ResourceList[[ListDisplayName]:[No]],2,0),"resource_list")</f>
        <v>557310</v>
      </c>
      <c r="AX45" s="60" t="s">
        <v>849</v>
      </c>
      <c r="AY45" s="68" t="s">
        <v>776</v>
      </c>
      <c r="AZ45" s="60" t="str">
        <f>IF(ListLayout[[#This Row],[List Name for Layout]]="","relation",IFERROR(VLOOKUP(ListLayout[[#This Row],[Relation]],RelationTable[[Display]:[RELID]],2,0),""))</f>
        <v/>
      </c>
      <c r="BA45" s="60" t="str">
        <f>IF(ListLayout[[#This Row],[List Name for Layout]]="","nest_relation1",IFERROR(VLOOKUP(ListLayout[[#This Row],[Relation 1]],RelationTable[[Display]:[RELID]],2,0),""))</f>
        <v/>
      </c>
      <c r="BB45" s="60" t="str">
        <f>IF(ListLayout[[#This Row],[List Name for Layout]]="","nest_relation2",IFERROR(VLOOKUP(ListLayout[[#This Row],[Relation 2]],RelationTable[[Display]:[RELID]],2,0),""))</f>
        <v/>
      </c>
      <c r="BC45" s="68"/>
      <c r="BD45" s="68"/>
      <c r="BE45" s="68"/>
    </row>
  </sheetData>
  <dataValidations count="4">
    <dataValidation type="list" allowBlank="1" showInputMessage="1" showErrorMessage="1" sqref="AO2:AR14 BC2:BE45 P2:S10">
      <formula1>Relations</formula1>
    </dataValidation>
    <dataValidation type="list" allowBlank="1" showInputMessage="1" showErrorMessage="1" sqref="AG2:AG14 AU2:AU45 M2:M10">
      <formula1>ListNames</formula1>
    </dataValidation>
    <dataValidation type="list" allowBlank="1" showInputMessage="1" showErrorMessage="1" sqref="B2:B12">
      <formula1>Resources</formula1>
    </dataValidation>
    <dataValidation type="list" allowBlank="1" showInputMessage="1" showErrorMessage="1" sqref="O2:O10">
      <formula1>Scopes</formula1>
    </dataValidation>
  </dataValidations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topLeftCell="B1" workbookViewId="0">
      <selection activeCell="B4" sqref="B4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8554687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62" t="str">
        <f>'Table Seed Map'!$A$29&amp;"-"&amp;COUNTA($E$1:ResourceData[[#This Row],[Resource]])-2</f>
        <v>Resource Data-1</v>
      </c>
      <c r="B3" s="61" t="s">
        <v>784</v>
      </c>
      <c r="C3" s="62" t="str">
        <f>ResourceData[[#This Row],[Resource Name]]&amp;"/"&amp;ResourceData[[#This Row],[Name]]</f>
        <v>Maid/MaidDetails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557801</v>
      </c>
      <c r="E3" s="60">
        <f>IFERROR(VLOOKUP(ResourceData[[#This Row],[Resource Name]],ResourceTable[[RName]:[No]],3,0),"resource")</f>
        <v>555603</v>
      </c>
      <c r="F3" s="68" t="s">
        <v>854</v>
      </c>
      <c r="G3" s="68" t="s">
        <v>855</v>
      </c>
      <c r="H3" s="68" t="s">
        <v>23</v>
      </c>
      <c r="I3" s="84"/>
      <c r="J3" s="67">
        <f>ResourceData[No]</f>
        <v>557801</v>
      </c>
    </row>
    <row r="4" spans="1:49" x14ac:dyDescent="0.25">
      <c r="A4" s="62" t="str">
        <f>'Table Seed Map'!$A$29&amp;"-"&amp;COUNTA($E$1:ResourceData[[#This Row],[Resource]])-2</f>
        <v>Resource Data-2</v>
      </c>
      <c r="B4" s="61" t="s">
        <v>932</v>
      </c>
      <c r="C4" s="62" t="str">
        <f>ResourceData[[#This Row],[Resource Name]]&amp;"/"&amp;ResourceData[[#This Row],[Name]]</f>
        <v>MaidJob/JobEntryDetails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557802</v>
      </c>
      <c r="E4" s="60">
        <f>IFERROR(VLOOKUP(ResourceData[[#This Row],[Resource Name]],ResourceTable[[RName]:[No]],3,0),"resource")</f>
        <v>555604</v>
      </c>
      <c r="F4" s="68" t="s">
        <v>857</v>
      </c>
      <c r="G4" s="68" t="s">
        <v>858</v>
      </c>
      <c r="H4" s="68" t="s">
        <v>844</v>
      </c>
      <c r="I4" s="84"/>
      <c r="J4" s="67">
        <f>ResourceData[No]</f>
        <v>557802</v>
      </c>
    </row>
    <row r="5" spans="1:49" x14ac:dyDescent="0.25">
      <c r="A5" s="6" t="str">
        <f>'Table Seed Map'!$A$29&amp;"-"&amp;COUNTA($E$1:ResourceData[[#This Row],[Resource]])-2</f>
        <v>Resource Data-3</v>
      </c>
      <c r="B5" s="1" t="s">
        <v>900</v>
      </c>
      <c r="C5" s="6" t="str">
        <f>ResourceData[[#This Row],[Resource Name]]&amp;"/"&amp;ResourceData[[#This Row],[Name]]</f>
        <v>Manager/ManagerDetails</v>
      </c>
      <c r="D5" s="15">
        <f>IF(COUNTA($E$1:ResourceData[[#This Row],[Resource]])=2,"id",-2+COUNTA($E$1:ResourceData[[#This Row],[Resource]])+IF(ISNUMBER(VLOOKUP('Table Seed Map'!$A$29,SeedMap[],9,0)),VLOOKUP('Table Seed Map'!$A$29,SeedMap[],9,0),0))</f>
        <v>557803</v>
      </c>
      <c r="E5" s="15">
        <f>IFERROR(VLOOKUP(ResourceData[[#This Row],[Resource Name]],ResourceTable[[RName]:[No]],3,0),"resource")</f>
        <v>555601</v>
      </c>
      <c r="F5" s="13" t="s">
        <v>919</v>
      </c>
      <c r="G5" s="13" t="s">
        <v>920</v>
      </c>
      <c r="H5" s="13" t="s">
        <v>23</v>
      </c>
      <c r="I5" s="51"/>
      <c r="J5" s="53">
        <f>ResourceData[No]</f>
        <v>557803</v>
      </c>
    </row>
  </sheetData>
  <dataValidations count="5">
    <dataValidation type="list" allowBlank="1" showInputMessage="1" showErrorMessage="1" sqref="AW2 O2:R2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:B5">
      <formula1>Resources</formula1>
    </dataValidation>
    <dataValidation type="list" allowBlank="1" showInputMessage="1" showErrorMessage="1" sqref="N2">
      <formula1>Scopes</formula1>
    </dataValidation>
    <dataValidation type="list" allowBlank="1" showInputMessage="1" showErrorMessage="1" sqref="L2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6" sqref="K6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4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Manager/ManagerForm</v>
      </c>
      <c r="O2" s="6" t="str">
        <f ca="1">IF(IDNMaps[[#This Row],[Name]]="","","("&amp;IDNMaps[[#This Row],[Type]]&amp;") "&amp;IDNMaps[[#This Row],[Name]])</f>
        <v>(Forms) Manager/ManagerForm</v>
      </c>
      <c r="P2" s="6">
        <f ca="1">IFERROR(VLOOKUP(IDNMaps[[#This Row],[Primary]],INDIRECT(VLOOKUP(IDNMaps[[#This Row],[Type]],RecordCount[],2,0)),VLOOKUP(IDNMaps[[#This Row],[Type]],RecordCount[],8,0),0),"")</f>
        <v>556001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10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Nationality/NationalityForm</v>
      </c>
      <c r="O3" s="6" t="str">
        <f ca="1">IF(IDNMaps[[#This Row],[Name]]="","","("&amp;IDNMaps[[#This Row],[Type]]&amp;") "&amp;IDNMaps[[#This Row],[Name]])</f>
        <v>(Forms) Nationality/NationalityForm</v>
      </c>
      <c r="P3" s="6">
        <f ca="1">IFERROR(VLOOKUP(IDNMaps[[#This Row],[Primary]],INDIRECT(VLOOKUP(IDNMaps[[#This Row],[Type]],RecordCount[],2,0)),VLOOKUP(IDNMaps[[#This Row],[Type]],RecordCount[],8,0),0),"")</f>
        <v>556002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3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Maid/NewMaidForm</v>
      </c>
      <c r="O4" s="6" t="str">
        <f ca="1">IF(IDNMaps[[#This Row],[Name]]="","","("&amp;IDNMaps[[#This Row],[Type]]&amp;") "&amp;IDNMaps[[#This Row],[Name]])</f>
        <v>(Forms) Maid/NewMaidForm</v>
      </c>
      <c r="P4" s="6">
        <f ca="1">IFERROR(VLOOKUP(IDNMaps[[#This Row],[Primary]],INDIRECT(VLOOKUP(IDNMaps[[#This Row],[Type]],RecordCount[],2,0)),VLOOKUP(IDNMaps[[#This Row],[Type]],RecordCount[],8,0),0),"")</f>
        <v>556003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3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MaidJob/NewMaidJob</v>
      </c>
      <c r="O5" s="6" t="str">
        <f ca="1">IF(IDNMaps[[#This Row],[Name]]="","","("&amp;IDNMaps[[#This Row],[Type]]&amp;") "&amp;IDNMaps[[#This Row],[Name]])</f>
        <v>(Forms) MaidJob/NewMaidJob</v>
      </c>
      <c r="P5" s="6">
        <f ca="1">IFERROR(VLOOKUP(IDNMaps[[#This Row],[Primary]],INDIRECT(VLOOKUP(IDNMaps[[#This Row],[Type]],RecordCount[],2,0)),VLOOKUP(IDNMaps[[#This Row],[Type]],RecordCount[],8,0),0),"")</f>
        <v>556004</v>
      </c>
    </row>
    <row r="6" spans="1:16" x14ac:dyDescent="0.25">
      <c r="A6" s="38" t="s">
        <v>758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11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6" s="6">
        <f ca="1">IF(IDNMaps[[#This Row],[Type]]="","",COUNTIF($K$1:IDNMaps[[#This Row],[Type]],IDNMaps[[#This Row],[Type]]))</f>
        <v>1</v>
      </c>
      <c r="M6" s="6" t="str">
        <f ca="1">IFERROR(VLOOKUP(IDNMaps[[#This Row],[Type]],RecordCount[],6,0)&amp;"-"&amp;IDNMaps[[#This Row],[Type Count]],"")</f>
        <v>Resource Lists-1</v>
      </c>
      <c r="N6" s="6" t="str">
        <f ca="1">IFERROR(VLOOKUP(IDNMaps[[#This Row],[Primary]],INDIRECT(VLOOKUP(IDNMaps[[#This Row],[Type]],RecordCount[],2,0)),VLOOKUP(IDNMaps[[#This Row],[Type]],RecordCount[],7,0),0),"")</f>
        <v>Manager/ManagersList</v>
      </c>
      <c r="O6" s="6" t="str">
        <f ca="1">IF(IDNMaps[[#This Row],[Name]]="","","("&amp;IDNMaps[[#This Row],[Type]]&amp;") "&amp;IDNMaps[[#This Row],[Name]])</f>
        <v>(Lists) Manager/ManagersList</v>
      </c>
      <c r="P6" s="6">
        <f ca="1">IFERROR(VLOOKUP(IDNMaps[[#This Row],[Primary]],INDIRECT(VLOOKUP(IDNMaps[[#This Row],[Type]],RecordCount[],2,0)),VLOOKUP(IDNMaps[[#This Row],[Type]],RecordCount[],8,0),0),"")</f>
        <v>557301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7" s="6">
        <f ca="1">IF(IDNMaps[[#This Row],[Type]]="","",COUNTIF($K$1:IDNMaps[[#This Row],[Type]],IDNMaps[[#This Row],[Type]]))</f>
        <v>2</v>
      </c>
      <c r="M7" s="6" t="str">
        <f ca="1">IFERROR(VLOOKUP(IDNMaps[[#This Row],[Type]],RecordCount[],6,0)&amp;"-"&amp;IDNMaps[[#This Row],[Type Count]],"")</f>
        <v>Resource Lists-2</v>
      </c>
      <c r="N7" s="6" t="str">
        <f ca="1">IFERROR(VLOOKUP(IDNMaps[[#This Row],[Primary]],INDIRECT(VLOOKUP(IDNMaps[[#This Row],[Type]],RecordCount[],2,0)),VLOOKUP(IDNMaps[[#This Row],[Type]],RecordCount[],7,0),0),"")</f>
        <v>Nationality/NationalityList</v>
      </c>
      <c r="O7" s="6" t="str">
        <f ca="1">IF(IDNMaps[[#This Row],[Name]]="","","("&amp;IDNMaps[[#This Row],[Type]]&amp;") "&amp;IDNMaps[[#This Row],[Name]])</f>
        <v>(Lists) Nationality/NationalityList</v>
      </c>
      <c r="P7" s="6">
        <f ca="1">IFERROR(VLOOKUP(IDNMaps[[#This Row],[Primary]],INDIRECT(VLOOKUP(IDNMaps[[#This Row],[Type]],RecordCount[],2,0)),VLOOKUP(IDNMaps[[#This Row],[Type]],RecordCount[],8,0),0),"")</f>
        <v>557302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3</v>
      </c>
      <c r="M8" s="6" t="str">
        <f ca="1">IFERROR(VLOOKUP(IDNMaps[[#This Row],[Type]],RecordCount[],6,0)&amp;"-"&amp;IDNMaps[[#This Row],[Type Count]],"")</f>
        <v>Resource Lists-3</v>
      </c>
      <c r="N8" s="6" t="str">
        <f ca="1">IFERROR(VLOOKUP(IDNMaps[[#This Row],[Primary]],INDIRECT(VLOOKUP(IDNMaps[[#This Row],[Type]],RecordCount[],2,0)),VLOOKUP(IDNMaps[[#This Row],[Type]],RecordCount[],7,0),0),"")</f>
        <v>Maid/MaidsList</v>
      </c>
      <c r="O8" s="6" t="str">
        <f ca="1">IF(IDNMaps[[#This Row],[Name]]="","","("&amp;IDNMaps[[#This Row],[Type]]&amp;") "&amp;IDNMaps[[#This Row],[Name]])</f>
        <v>(Lists) Maid/MaidsList</v>
      </c>
      <c r="P8" s="6">
        <f ca="1">IFERROR(VLOOKUP(IDNMaps[[#This Row],[Primary]],INDIRECT(VLOOKUP(IDNMaps[[#This Row],[Type]],RecordCount[],2,0)),VLOOKUP(IDNMaps[[#This Row],[Type]],RecordCount[],8,0),0),"")</f>
        <v>557303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4</v>
      </c>
      <c r="M9" s="6" t="str">
        <f ca="1">IFERROR(VLOOKUP(IDNMaps[[#This Row],[Type]],RecordCount[],6,0)&amp;"-"&amp;IDNMaps[[#This Row],[Type Count]],"")</f>
        <v>Resource Lists-4</v>
      </c>
      <c r="N9" s="6" t="str">
        <f ca="1">IFERROR(VLOOKUP(IDNMaps[[#This Row],[Primary]],INDIRECT(VLOOKUP(IDNMaps[[#This Row],[Type]],RecordCount[],2,0)),VLOOKUP(IDNMaps[[#This Row],[Type]],RecordCount[],7,0),0),"")</f>
        <v>MaidJob/RecentJobList</v>
      </c>
      <c r="O9" s="6" t="str">
        <f ca="1">IF(IDNMaps[[#This Row],[Name]]="","","("&amp;IDNMaps[[#This Row],[Type]]&amp;") "&amp;IDNMaps[[#This Row],[Name]])</f>
        <v>(Lists) MaidJob/RecentJobList</v>
      </c>
      <c r="P9" s="6">
        <f ca="1">IFERROR(VLOOKUP(IDNMaps[[#This Row],[Primary]],INDIRECT(VLOOKUP(IDNMaps[[#This Row],[Type]],RecordCount[],2,0)),VLOOKUP(IDNMaps[[#This Row],[Type]],RecordCount[],8,0),0),"")</f>
        <v>557304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5</v>
      </c>
      <c r="M10" s="6" t="str">
        <f ca="1">IFERROR(VLOOKUP(IDNMaps[[#This Row],[Type]],RecordCount[],6,0)&amp;"-"&amp;IDNMaps[[#This Row],[Type Count]],"")</f>
        <v>Resource Lists-5</v>
      </c>
      <c r="N10" s="6" t="str">
        <f ca="1">IFERROR(VLOOKUP(IDNMaps[[#This Row],[Primary]],INDIRECT(VLOOKUP(IDNMaps[[#This Row],[Type]],RecordCount[],2,0)),VLOOKUP(IDNMaps[[#This Row],[Type]],RecordCount[],7,0),0),"")</f>
        <v>MaidJob/TodayJobList</v>
      </c>
      <c r="O10" s="6" t="str">
        <f ca="1">IF(IDNMaps[[#This Row],[Name]]="","","("&amp;IDNMaps[[#This Row],[Type]]&amp;") "&amp;IDNMaps[[#This Row],[Name]])</f>
        <v>(Lists) MaidJob/TodayJobList</v>
      </c>
      <c r="P10" s="6">
        <f ca="1">IFERROR(VLOOKUP(IDNMaps[[#This Row],[Primary]],INDIRECT(VLOOKUP(IDNMaps[[#This Row],[Type]],RecordCount[],2,0)),VLOOKUP(IDNMaps[[#This Row],[Type]],RecordCount[],8,0),0),"")</f>
        <v>557305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6</v>
      </c>
      <c r="M11" s="6" t="str">
        <f ca="1">IFERROR(VLOOKUP(IDNMaps[[#This Row],[Type]],RecordCount[],6,0)&amp;"-"&amp;IDNMaps[[#This Row],[Type Count]],"")</f>
        <v>Resource Lists-6</v>
      </c>
      <c r="N11" s="6" t="str">
        <f ca="1">IFERROR(VLOOKUP(IDNMaps[[#This Row],[Primary]],INDIRECT(VLOOKUP(IDNMaps[[#This Row],[Type]],RecordCount[],2,0)),VLOOKUP(IDNMaps[[#This Row],[Type]],RecordCount[],7,0),0),"")</f>
        <v>MaidJob/YesterdayJobList</v>
      </c>
      <c r="O11" s="6" t="str">
        <f ca="1">IF(IDNMaps[[#This Row],[Name]]="","","("&amp;IDNMaps[[#This Row],[Type]]&amp;") "&amp;IDNMaps[[#This Row],[Name]])</f>
        <v>(Lists) MaidJob/YesterdayJobList</v>
      </c>
      <c r="P11" s="6">
        <f ca="1">IFERROR(VLOOKUP(IDNMaps[[#This Row],[Primary]],INDIRECT(VLOOKUP(IDNMaps[[#This Row],[Type]],RecordCount[],2,0)),VLOOKUP(IDNMaps[[#This Row],[Type]],RecordCount[],8,0),0),"")</f>
        <v>557306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7</v>
      </c>
      <c r="M12" s="6" t="str">
        <f ca="1">IFERROR(VLOOKUP(IDNMaps[[#This Row],[Type]],RecordCount[],6,0)&amp;"-"&amp;IDNMaps[[#This Row],[Type Count]],"")</f>
        <v>Resource Lists-7</v>
      </c>
      <c r="N12" s="6" t="str">
        <f ca="1">IFERROR(VLOOKUP(IDNMaps[[#This Row],[Primary]],INDIRECT(VLOOKUP(IDNMaps[[#This Row],[Type]],RecordCount[],2,0)),VLOOKUP(IDNMaps[[#This Row],[Type]],RecordCount[],7,0),0),"")</f>
        <v>MaidJob/CurrentWeekJobList</v>
      </c>
      <c r="O12" s="6" t="str">
        <f ca="1">IF(IDNMaps[[#This Row],[Name]]="","","("&amp;IDNMaps[[#This Row],[Type]]&amp;") "&amp;IDNMaps[[#This Row],[Name]])</f>
        <v>(Lists) MaidJob/CurrentWeekJobList</v>
      </c>
      <c r="P12" s="6">
        <f ca="1">IFERROR(VLOOKUP(IDNMaps[[#This Row],[Primary]],INDIRECT(VLOOKUP(IDNMaps[[#This Row],[Type]],RecordCount[],2,0)),VLOOKUP(IDNMaps[[#This Row],[Type]],RecordCount[],8,0),0),"")</f>
        <v>557307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8</v>
      </c>
      <c r="M13" s="6" t="str">
        <f ca="1">IFERROR(VLOOKUP(IDNMaps[[#This Row],[Type]],RecordCount[],6,0)&amp;"-"&amp;IDNMaps[[#This Row],[Type Count]],"")</f>
        <v>Resource Lists-8</v>
      </c>
      <c r="N13" s="6" t="str">
        <f ca="1">IFERROR(VLOOKUP(IDNMaps[[#This Row],[Primary]],INDIRECT(VLOOKUP(IDNMaps[[#This Row],[Type]],RecordCount[],2,0)),VLOOKUP(IDNMaps[[#This Row],[Type]],RecordCount[],7,0),0),"")</f>
        <v>MaidJob/LastWeekJobList</v>
      </c>
      <c r="O13" s="6" t="str">
        <f ca="1">IF(IDNMaps[[#This Row],[Name]]="","","("&amp;IDNMaps[[#This Row],[Type]]&amp;") "&amp;IDNMaps[[#This Row],[Name]])</f>
        <v>(Lists) MaidJob/LastWeekJobList</v>
      </c>
      <c r="P13" s="6">
        <f ca="1">IFERROR(VLOOKUP(IDNMaps[[#This Row],[Primary]],INDIRECT(VLOOKUP(IDNMaps[[#This Row],[Type]],RecordCount[],2,0)),VLOOKUP(IDNMaps[[#This Row],[Type]],RecordCount[],8,0),0),"")</f>
        <v>557308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9</v>
      </c>
      <c r="M14" s="6" t="str">
        <f ca="1">IFERROR(VLOOKUP(IDNMaps[[#This Row],[Type]],RecordCount[],6,0)&amp;"-"&amp;IDNMaps[[#This Row],[Type Count]],"")</f>
        <v>Resource Lists-9</v>
      </c>
      <c r="N14" s="6" t="str">
        <f ca="1">IFERROR(VLOOKUP(IDNMaps[[#This Row],[Primary]],INDIRECT(VLOOKUP(IDNMaps[[#This Row],[Type]],RecordCount[],2,0)),VLOOKUP(IDNMaps[[#This Row],[Type]],RecordCount[],7,0),0),"")</f>
        <v>MaidJob/CurrentMonthJobList</v>
      </c>
      <c r="O14" s="6" t="str">
        <f ca="1">IF(IDNMaps[[#This Row],[Name]]="","","("&amp;IDNMaps[[#This Row],[Type]]&amp;") "&amp;IDNMaps[[#This Row],[Name]])</f>
        <v>(Lists) MaidJob/CurrentMonthJobList</v>
      </c>
      <c r="P14" s="6">
        <f ca="1">IFERROR(VLOOKUP(IDNMaps[[#This Row],[Primary]],INDIRECT(VLOOKUP(IDNMaps[[#This Row],[Type]],RecordCount[],2,0)),VLOOKUP(IDNMaps[[#This Row],[Type]],RecordCount[],8,0),0),"")</f>
        <v>557309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10</v>
      </c>
      <c r="M15" s="6" t="str">
        <f ca="1">IFERROR(VLOOKUP(IDNMaps[[#This Row],[Type]],RecordCount[],6,0)&amp;"-"&amp;IDNMaps[[#This Row],[Type Count]],"")</f>
        <v>Resource Lists-10</v>
      </c>
      <c r="N15" s="6" t="str">
        <f ca="1">IFERROR(VLOOKUP(IDNMaps[[#This Row],[Primary]],INDIRECT(VLOOKUP(IDNMaps[[#This Row],[Type]],RecordCount[],2,0)),VLOOKUP(IDNMaps[[#This Row],[Type]],RecordCount[],7,0),0),"")</f>
        <v>MaidJob/LastMonthJobList</v>
      </c>
      <c r="O15" s="6" t="str">
        <f ca="1">IF(IDNMaps[[#This Row],[Name]]="","","("&amp;IDNMaps[[#This Row],[Type]]&amp;") "&amp;IDNMaps[[#This Row],[Name]])</f>
        <v>(Lists) MaidJob/LastMonthJobList</v>
      </c>
      <c r="P15" s="6">
        <f ca="1">IFERROR(VLOOKUP(IDNMaps[[#This Row],[Primary]],INDIRECT(VLOOKUP(IDNMaps[[#This Row],[Type]],RecordCount[],2,0)),VLOOKUP(IDNMaps[[#This Row],[Type]],RecordCount[],8,0),0),"")</f>
        <v>557310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6" s="6">
        <f ca="1">IF(IDNMaps[[#This Row],[Type]]="","",COUNTIF($K$1:IDNMaps[[#This Row],[Type]],IDNMaps[[#This Row],[Type]]))</f>
        <v>1</v>
      </c>
      <c r="M16" s="6" t="str">
        <f ca="1">IFERROR(VLOOKUP(IDNMaps[[#This Row],[Type]],RecordCount[],6,0)&amp;"-"&amp;IDNMaps[[#This Row],[Type Count]],"")</f>
        <v>Resource Data-1</v>
      </c>
      <c r="N16" s="6" t="str">
        <f ca="1">IFERROR(VLOOKUP(IDNMaps[[#This Row],[Primary]],INDIRECT(VLOOKUP(IDNMaps[[#This Row],[Type]],RecordCount[],2,0)),VLOOKUP(IDNMaps[[#This Row],[Type]],RecordCount[],7,0),0),"")</f>
        <v>Maid/MaidDetails</v>
      </c>
      <c r="O16" s="6" t="str">
        <f ca="1">IF(IDNMaps[[#This Row],[Name]]="","","("&amp;IDNMaps[[#This Row],[Type]]&amp;") "&amp;IDNMaps[[#This Row],[Name]])</f>
        <v>(Data) Maid/MaidDetails</v>
      </c>
      <c r="P16" s="6">
        <f ca="1">IFERROR(VLOOKUP(IDNMaps[[#This Row],[Primary]],INDIRECT(VLOOKUP(IDNMaps[[#This Row],[Type]],RecordCount[],2,0)),VLOOKUP(IDNMaps[[#This Row],[Type]],RecordCount[],8,0),0),"")</f>
        <v>557801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2</v>
      </c>
      <c r="M17" s="6" t="str">
        <f ca="1">IFERROR(VLOOKUP(IDNMaps[[#This Row],[Type]],RecordCount[],6,0)&amp;"-"&amp;IDNMaps[[#This Row],[Type Count]],"")</f>
        <v>Resource Data-2</v>
      </c>
      <c r="N17" s="6" t="str">
        <f ca="1">IFERROR(VLOOKUP(IDNMaps[[#This Row],[Primary]],INDIRECT(VLOOKUP(IDNMaps[[#This Row],[Type]],RecordCount[],2,0)),VLOOKUP(IDNMaps[[#This Row],[Type]],RecordCount[],7,0),0),"")</f>
        <v>MaidJob/JobEntryDetails</v>
      </c>
      <c r="O17" s="6" t="str">
        <f ca="1">IF(IDNMaps[[#This Row],[Name]]="","","("&amp;IDNMaps[[#This Row],[Type]]&amp;") "&amp;IDNMaps[[#This Row],[Name]])</f>
        <v>(Data) MaidJob/JobEntryDetails</v>
      </c>
      <c r="P17" s="6">
        <f ca="1">IFERROR(VLOOKUP(IDNMaps[[#This Row],[Primary]],INDIRECT(VLOOKUP(IDNMaps[[#This Row],[Type]],RecordCount[],2,0)),VLOOKUP(IDNMaps[[#This Row],[Type]],RecordCount[],8,0),0),"")</f>
        <v>557802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3</v>
      </c>
      <c r="M18" s="6" t="str">
        <f ca="1">IFERROR(VLOOKUP(IDNMaps[[#This Row],[Type]],RecordCount[],6,0)&amp;"-"&amp;IDNMaps[[#This Row],[Type Count]],"")</f>
        <v>Resource Data-3</v>
      </c>
      <c r="N18" s="6" t="str">
        <f ca="1">IFERROR(VLOOKUP(IDNMaps[[#This Row],[Primary]],INDIRECT(VLOOKUP(IDNMaps[[#This Row],[Type]],RecordCount[],2,0)),VLOOKUP(IDNMaps[[#This Row],[Type]],RecordCount[],7,0),0),"")</f>
        <v>Manager/ManagerDetails</v>
      </c>
      <c r="O18" s="6" t="str">
        <f ca="1">IF(IDNMaps[[#This Row],[Name]]="","","("&amp;IDNMaps[[#This Row],[Type]]&amp;") "&amp;IDNMaps[[#This Row],[Name]])</f>
        <v>(Data) Manager/ManagerDetails</v>
      </c>
      <c r="P18" s="6">
        <f ca="1">IFERROR(VLOOKUP(IDNMaps[[#This Row],[Primary]],INDIRECT(VLOOKUP(IDNMaps[[#This Row],[Type]],RecordCount[],2,0)),VLOOKUP(IDNMaps[[#This Row],[Type]],RecordCount[],8,0),0),"")</f>
        <v>557803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9" s="6">
        <f ca="1">IF(IDNMaps[[#This Row],[Type]]="","",COUNTIF($K$1:IDNMaps[[#This Row],[Type]],IDNMaps[[#This Row],[Type]]))</f>
        <v>1</v>
      </c>
      <c r="M19" s="6" t="str">
        <f ca="1">IFERROR(VLOOKUP(IDNMaps[[#This Row],[Type]],RecordCount[],6,0)&amp;"-"&amp;IDNMaps[[#This Row],[Type Count]],"")</f>
        <v>Resource Relations-1</v>
      </c>
      <c r="N19" s="6" t="str">
        <f ca="1">IFERROR(VLOOKUP(IDNMaps[[#This Row],[Primary]],INDIRECT(VLOOKUP(IDNMaps[[#This Row],[Type]],RecordCount[],2,0)),VLOOKUP(IDNMaps[[#This Row],[Type]],RecordCount[],7,0),0),"")</f>
        <v>Maid/Jobs</v>
      </c>
      <c r="O19" s="6" t="str">
        <f ca="1">IF(IDNMaps[[#This Row],[Name]]="","","("&amp;IDNMaps[[#This Row],[Type]]&amp;") "&amp;IDNMaps[[#This Row],[Name]])</f>
        <v>(Relation) Maid/Jobs</v>
      </c>
      <c r="P19" s="6">
        <f ca="1">IFERROR(VLOOKUP(IDNMaps[[#This Row],[Primary]],INDIRECT(VLOOKUP(IDNMaps[[#This Row],[Type]],RecordCount[],2,0)),VLOOKUP(IDNMaps[[#This Row],[Type]],RecordCount[],8,0),0),"")</f>
        <v>555901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0" s="6">
        <f ca="1">IF(IDNMaps[[#This Row],[Type]]="","",COUNTIF($K$1:IDNMaps[[#This Row],[Type]],IDNMaps[[#This Row],[Type]]))</f>
        <v>2</v>
      </c>
      <c r="M20" s="6" t="str">
        <f ca="1">IFERROR(VLOOKUP(IDNMaps[[#This Row],[Type]],RecordCount[],6,0)&amp;"-"&amp;IDNMaps[[#This Row],[Type Count]],"")</f>
        <v>Resource Relations-2</v>
      </c>
      <c r="N20" s="6" t="str">
        <f ca="1">IFERROR(VLOOKUP(IDNMaps[[#This Row],[Primary]],INDIRECT(VLOOKUP(IDNMaps[[#This Row],[Type]],RecordCount[],2,0)),VLOOKUP(IDNMaps[[#This Row],[Type]],RecordCount[],7,0),0),"")</f>
        <v>Maid/Nationality</v>
      </c>
      <c r="O20" s="6" t="str">
        <f ca="1">IF(IDNMaps[[#This Row],[Name]]="","","("&amp;IDNMaps[[#This Row],[Type]]&amp;") "&amp;IDNMaps[[#This Row],[Name]])</f>
        <v>(Relation) Maid/Nationality</v>
      </c>
      <c r="P20" s="6">
        <f ca="1">IFERROR(VLOOKUP(IDNMaps[[#This Row],[Primary]],INDIRECT(VLOOKUP(IDNMaps[[#This Row],[Type]],RecordCount[],2,0)),VLOOKUP(IDNMaps[[#This Row],[Type]],RecordCount[],8,0),0),"")</f>
        <v>555902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1" s="6">
        <f ca="1">IF(IDNMaps[[#This Row],[Type]]="","",COUNTIF($K$1:IDNMaps[[#This Row],[Type]],IDNMaps[[#This Row],[Type]]))</f>
        <v>3</v>
      </c>
      <c r="M21" s="6" t="str">
        <f ca="1">IFERROR(VLOOKUP(IDNMaps[[#This Row],[Type]],RecordCount[],6,0)&amp;"-"&amp;IDNMaps[[#This Row],[Type Count]],"")</f>
        <v>Resource Relations-3</v>
      </c>
      <c r="N21" s="6" t="str">
        <f ca="1">IFERROR(VLOOKUP(IDNMaps[[#This Row],[Primary]],INDIRECT(VLOOKUP(IDNMaps[[#This Row],[Type]],RecordCount[],2,0)),VLOOKUP(IDNMaps[[#This Row],[Type]],RecordCount[],7,0),0),"")</f>
        <v>MaidJob/Maid</v>
      </c>
      <c r="O21" s="6" t="str">
        <f ca="1">IF(IDNMaps[[#This Row],[Name]]="","","("&amp;IDNMaps[[#This Row],[Type]]&amp;") "&amp;IDNMaps[[#This Row],[Name]])</f>
        <v>(Relation) MaidJob/Maid</v>
      </c>
      <c r="P21" s="6">
        <f ca="1">IFERROR(VLOOKUP(IDNMaps[[#This Row],[Primary]],INDIRECT(VLOOKUP(IDNMaps[[#This Row],[Type]],RecordCount[],2,0)),VLOOKUP(IDNMaps[[#This Row],[Type]],RecordCount[],8,0),0),"")</f>
        <v>555903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Form Fields-1</v>
      </c>
      <c r="N22" s="6" t="str">
        <f ca="1">IFERROR(VLOOKUP(IDNMaps[[#This Row],[Primary]],INDIRECT(VLOOKUP(IDNMaps[[#This Row],[Type]],RecordCount[],2,0)),VLOOKUP(IDNMaps[[#This Row],[Type]],RecordCount[],7,0),0),"")</f>
        <v>Manager/ManagerForm/name</v>
      </c>
      <c r="O22" s="6" t="str">
        <f ca="1">IF(IDNMaps[[#This Row],[Name]]="","","("&amp;IDNMaps[[#This Row],[Type]]&amp;") "&amp;IDNMaps[[#This Row],[Name]])</f>
        <v>(Fields) Manager/ManagerForm/name</v>
      </c>
      <c r="P22" s="6">
        <f ca="1">IFERROR(VLOOKUP(IDNMaps[[#This Row],[Primary]],INDIRECT(VLOOKUP(IDNMaps[[#This Row],[Type]],RecordCount[],2,0)),VLOOKUP(IDNMaps[[#This Row],[Type]],RecordCount[],8,0),0),"")</f>
        <v>556101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Form Fields-2</v>
      </c>
      <c r="N23" s="6" t="str">
        <f ca="1">IFERROR(VLOOKUP(IDNMaps[[#This Row],[Primary]],INDIRECT(VLOOKUP(IDNMaps[[#This Row],[Type]],RecordCount[],2,0)),VLOOKUP(IDNMaps[[#This Row],[Type]],RecordCount[],7,0),0),"")</f>
        <v>Manager/ManagerForm/email</v>
      </c>
      <c r="O23" s="6" t="str">
        <f ca="1">IF(IDNMaps[[#This Row],[Name]]="","","("&amp;IDNMaps[[#This Row],[Type]]&amp;") "&amp;IDNMaps[[#This Row],[Name]])</f>
        <v>(Fields) Manager/ManagerForm/email</v>
      </c>
      <c r="P23" s="6">
        <f ca="1">IFERROR(VLOOKUP(IDNMaps[[#This Row],[Primary]],INDIRECT(VLOOKUP(IDNMaps[[#This Row],[Type]],RecordCount[],2,0)),VLOOKUP(IDNMaps[[#This Row],[Type]],RecordCount[],8,0),0),"")</f>
        <v>556102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Form Fields-3</v>
      </c>
      <c r="N24" s="6" t="str">
        <f ca="1">IFERROR(VLOOKUP(IDNMaps[[#This Row],[Primary]],INDIRECT(VLOOKUP(IDNMaps[[#This Row],[Type]],RecordCount[],2,0)),VLOOKUP(IDNMaps[[#This Row],[Type]],RecordCount[],7,0),0),"")</f>
        <v>Manager/ManagerForm/password</v>
      </c>
      <c r="O24" s="6" t="str">
        <f ca="1">IF(IDNMaps[[#This Row],[Name]]="","","("&amp;IDNMaps[[#This Row],[Type]]&amp;") "&amp;IDNMaps[[#This Row],[Name]])</f>
        <v>(Fields) Manager/ManagerForm/password</v>
      </c>
      <c r="P24" s="6">
        <f ca="1">IFERROR(VLOOKUP(IDNMaps[[#This Row],[Primary]],INDIRECT(VLOOKUP(IDNMaps[[#This Row],[Type]],RecordCount[],2,0)),VLOOKUP(IDNMaps[[#This Row],[Type]],RecordCount[],8,0),0),"")</f>
        <v>556103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Form Fields-4</v>
      </c>
      <c r="N25" s="6" t="str">
        <f ca="1">IFERROR(VLOOKUP(IDNMaps[[#This Row],[Primary]],INDIRECT(VLOOKUP(IDNMaps[[#This Row],[Type]],RecordCount[],2,0)),VLOOKUP(IDNMaps[[#This Row],[Type]],RecordCount[],7,0),0),"")</f>
        <v>Nationality/NationalityForm/name</v>
      </c>
      <c r="O25" s="6" t="str">
        <f ca="1">IF(IDNMaps[[#This Row],[Name]]="","","("&amp;IDNMaps[[#This Row],[Type]]&amp;") "&amp;IDNMaps[[#This Row],[Name]])</f>
        <v>(Fields) Nationality/NationalityForm/name</v>
      </c>
      <c r="P25" s="6">
        <f ca="1">IFERROR(VLOOKUP(IDNMaps[[#This Row],[Primary]],INDIRECT(VLOOKUP(IDNMaps[[#This Row],[Type]],RecordCount[],2,0)),VLOOKUP(IDNMaps[[#This Row],[Type]],RecordCount[],8,0),0),"")</f>
        <v>556104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Form Fields-5</v>
      </c>
      <c r="N26" s="6" t="str">
        <f ca="1">IFERROR(VLOOKUP(IDNMaps[[#This Row],[Primary]],INDIRECT(VLOOKUP(IDNMaps[[#This Row],[Type]],RecordCount[],2,0)),VLOOKUP(IDNMaps[[#This Row],[Type]],RecordCount[],7,0),0),"")</f>
        <v>Maid/NewMaidForm/code</v>
      </c>
      <c r="O26" s="6" t="str">
        <f ca="1">IF(IDNMaps[[#This Row],[Name]]="","","("&amp;IDNMaps[[#This Row],[Type]]&amp;") "&amp;IDNMaps[[#This Row],[Name]])</f>
        <v>(Fields) Maid/NewMaidForm/code</v>
      </c>
      <c r="P26" s="6">
        <f ca="1">IFERROR(VLOOKUP(IDNMaps[[#This Row],[Primary]],INDIRECT(VLOOKUP(IDNMaps[[#This Row],[Type]],RecordCount[],2,0)),VLOOKUP(IDNMaps[[#This Row],[Type]],RecordCount[],8,0),0),"")</f>
        <v>556105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Form Fields-6</v>
      </c>
      <c r="N27" s="6" t="str">
        <f ca="1">IFERROR(VLOOKUP(IDNMaps[[#This Row],[Primary]],INDIRECT(VLOOKUP(IDNMaps[[#This Row],[Type]],RecordCount[],2,0)),VLOOKUP(IDNMaps[[#This Row],[Type]],RecordCount[],7,0),0),"")</f>
        <v>Maid/NewMaidForm/nationality</v>
      </c>
      <c r="O27" s="6" t="str">
        <f ca="1">IF(IDNMaps[[#This Row],[Name]]="","","("&amp;IDNMaps[[#This Row],[Type]]&amp;") "&amp;IDNMaps[[#This Row],[Name]])</f>
        <v>(Fields) Maid/NewMaidForm/nationality</v>
      </c>
      <c r="P27" s="6">
        <f ca="1">IFERROR(VLOOKUP(IDNMaps[[#This Row],[Primary]],INDIRECT(VLOOKUP(IDNMaps[[#This Row],[Type]],RecordCount[],2,0)),VLOOKUP(IDNMaps[[#This Row],[Type]],RecordCount[],8,0),0),"")</f>
        <v>556106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Form Fields-7</v>
      </c>
      <c r="N28" s="6" t="str">
        <f ca="1">IFERROR(VLOOKUP(IDNMaps[[#This Row],[Primary]],INDIRECT(VLOOKUP(IDNMaps[[#This Row],[Type]],RecordCount[],2,0)),VLOOKUP(IDNMaps[[#This Row],[Type]],RecordCount[],7,0),0),"")</f>
        <v>Maid/NewMaidForm/name</v>
      </c>
      <c r="O28" s="6" t="str">
        <f ca="1">IF(IDNMaps[[#This Row],[Name]]="","","("&amp;IDNMaps[[#This Row],[Type]]&amp;") "&amp;IDNMaps[[#This Row],[Name]])</f>
        <v>(Fields) Maid/NewMaidForm/name</v>
      </c>
      <c r="P28" s="6">
        <f ca="1">IFERROR(VLOOKUP(IDNMaps[[#This Row],[Primary]],INDIRECT(VLOOKUP(IDNMaps[[#This Row],[Type]],RecordCount[],2,0)),VLOOKUP(IDNMaps[[#This Row],[Type]],RecordCount[],8,0),0),"")</f>
        <v>556107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Form Fields-8</v>
      </c>
      <c r="N29" s="6" t="str">
        <f ca="1">IFERROR(VLOOKUP(IDNMaps[[#This Row],[Primary]],INDIRECT(VLOOKUP(IDNMaps[[#This Row],[Type]],RecordCount[],2,0)),VLOOKUP(IDNMaps[[#This Row],[Type]],RecordCount[],7,0),0),"")</f>
        <v>MaidJob/NewMaidJob/maid</v>
      </c>
      <c r="O29" s="6" t="str">
        <f ca="1">IF(IDNMaps[[#This Row],[Name]]="","","("&amp;IDNMaps[[#This Row],[Type]]&amp;") "&amp;IDNMaps[[#This Row],[Name]])</f>
        <v>(Fields) MaidJob/NewMaidJob/maid</v>
      </c>
      <c r="P29" s="6">
        <f ca="1">IFERROR(VLOOKUP(IDNMaps[[#This Row],[Primary]],INDIRECT(VLOOKUP(IDNMaps[[#This Row],[Type]],RecordCount[],2,0)),VLOOKUP(IDNMaps[[#This Row],[Type]],RecordCount[],8,0),0),"")</f>
        <v>556108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Form Fields-9</v>
      </c>
      <c r="N30" s="6" t="str">
        <f ca="1">IFERROR(VLOOKUP(IDNMaps[[#This Row],[Primary]],INDIRECT(VLOOKUP(IDNMaps[[#This Row],[Type]],RecordCount[],2,0)),VLOOKUP(IDNMaps[[#This Row],[Type]],RecordCount[],7,0),0),"")</f>
        <v>MaidJob/NewMaidJob/date</v>
      </c>
      <c r="O30" s="6" t="str">
        <f ca="1">IF(IDNMaps[[#This Row],[Name]]="","","("&amp;IDNMaps[[#This Row],[Type]]&amp;") "&amp;IDNMaps[[#This Row],[Name]])</f>
        <v>(Fields) MaidJob/NewMaidJob/date</v>
      </c>
      <c r="P30" s="6">
        <f ca="1">IFERROR(VLOOKUP(IDNMaps[[#This Row],[Primary]],INDIRECT(VLOOKUP(IDNMaps[[#This Row],[Type]],RecordCount[],2,0)),VLOOKUP(IDNMaps[[#This Row],[Type]],RecordCount[],8,0),0),"")</f>
        <v>556109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Form Fields-10</v>
      </c>
      <c r="N31" s="6" t="str">
        <f ca="1">IFERROR(VLOOKUP(IDNMaps[[#This Row],[Primary]],INDIRECT(VLOOKUP(IDNMaps[[#This Row],[Type]],RecordCount[],2,0)),VLOOKUP(IDNMaps[[#This Row],[Type]],RecordCount[],7,0),0),"")</f>
        <v>MaidJob/NewMaidJob/hours</v>
      </c>
      <c r="O31" s="6" t="str">
        <f ca="1">IF(IDNMaps[[#This Row],[Name]]="","","("&amp;IDNMaps[[#This Row],[Type]]&amp;") "&amp;IDNMaps[[#This Row],[Name]])</f>
        <v>(Fields) MaidJob/NewMaidJob/hours</v>
      </c>
      <c r="P31" s="6">
        <f ca="1">IFERROR(VLOOKUP(IDNMaps[[#This Row],[Primary]],INDIRECT(VLOOKUP(IDNMaps[[#This Row],[Type]],RecordCount[],2,0)),VLOOKUP(IDNMaps[[#This Row],[Type]],RecordCount[],8,0),0),"")</f>
        <v>556110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Form Fields-11</v>
      </c>
      <c r="N32" s="6" t="str">
        <f ca="1">IFERROR(VLOOKUP(IDNMaps[[#This Row],[Primary]],INDIRECT(VLOOKUP(IDNMaps[[#This Row],[Type]],RecordCount[],2,0)),VLOOKUP(IDNMaps[[#This Row],[Type]],RecordCount[],7,0),0),"")</f>
        <v>MaidJob/NewMaidJob/amount</v>
      </c>
      <c r="O32" s="6" t="str">
        <f ca="1">IF(IDNMaps[[#This Row],[Name]]="","","("&amp;IDNMaps[[#This Row],[Type]]&amp;") "&amp;IDNMaps[[#This Row],[Name]])</f>
        <v>(Fields) MaidJob/NewMaidJob/amount</v>
      </c>
      <c r="P32" s="6">
        <f ca="1">IFERROR(VLOOKUP(IDNMaps[[#This Row],[Primary]],INDIRECT(VLOOKUP(IDNMaps[[#This Row],[Type]],RecordCount[],2,0)),VLOOKUP(IDNMaps[[#This Row],[Type]],RecordCount[],8,0),0),"")</f>
        <v>556111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" s="6" t="str">
        <f ca="1">IF(IDNMaps[[#This Row],[Type]]="","",COUNTIF($K$1:IDNMaps[[#This Row],[Type]],IDNMaps[[#This Row],[Type]]))</f>
        <v/>
      </c>
      <c r="M33" s="6" t="str">
        <f ca="1">IFERROR(VLOOKUP(IDNMaps[[#This Row],[Type]],RecordCount[],6,0)&amp;"-"&amp;IDNMaps[[#This Row],[Type Count]],"")</f>
        <v/>
      </c>
      <c r="N33" s="6" t="str">
        <f ca="1">IFERROR(VLOOKUP(IDNMaps[[#This Row],[Primary]],INDIRECT(VLOOKUP(IDNMaps[[#This Row],[Type]],RecordCount[],2,0)),VLOOKUP(IDNMaps[[#This Row],[Type]],RecordCount[],7,0),0),"")</f>
        <v/>
      </c>
      <c r="O33" s="6" t="str">
        <f ca="1">IF(IDNMaps[[#This Row],[Name]]="","","("&amp;IDNMaps[[#This Row],[Type]]&amp;") "&amp;IDNMaps[[#This Row],[Name]])</f>
        <v/>
      </c>
      <c r="P33" s="6" t="str">
        <f ca="1">IFERROR(VLOOKUP(IDNMaps[[#This Row],[Primary]],INDIRECT(VLOOKUP(IDNMaps[[#This Row],[Type]],RecordCount[],2,0)),VLOOKUP(IDNMaps[[#This Row],[Type]],RecordCount[],8,0),0),"")</f>
        <v/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" s="6" t="str">
        <f ca="1">IF(IDNMaps[[#This Row],[Type]]="","",COUNTIF($K$1:IDNMaps[[#This Row],[Type]],IDNMaps[[#This Row],[Type]]))</f>
        <v/>
      </c>
      <c r="M34" s="6" t="str">
        <f ca="1">IFERROR(VLOOKUP(IDNMaps[[#This Row],[Type]],RecordCount[],6,0)&amp;"-"&amp;IDNMaps[[#This Row],[Type Count]],"")</f>
        <v/>
      </c>
      <c r="N34" s="6" t="str">
        <f ca="1">IFERROR(VLOOKUP(IDNMaps[[#This Row],[Primary]],INDIRECT(VLOOKUP(IDNMaps[[#This Row],[Type]],RecordCount[],2,0)),VLOOKUP(IDNMaps[[#This Row],[Type]],RecordCount[],7,0),0),"")</f>
        <v/>
      </c>
      <c r="O34" s="6" t="str">
        <f ca="1">IF(IDNMaps[[#This Row],[Name]]="","","("&amp;IDNMaps[[#This Row],[Type]]&amp;") "&amp;IDNMaps[[#This Row],[Name]])</f>
        <v/>
      </c>
      <c r="P34" s="6" t="str">
        <f ca="1">IFERROR(VLOOKUP(IDNMaps[[#This Row],[Primary]],INDIRECT(VLOOKUP(IDNMaps[[#This Row],[Type]],RecordCount[],2,0)),VLOOKUP(IDNMaps[[#This Row],[Type]],RecordCount[],8,0),0),"")</f>
        <v/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" s="6" t="str">
        <f ca="1">IF(IDNMaps[[#This Row],[Type]]="","",COUNTIF($K$1:IDNMaps[[#This Row],[Type]],IDNMaps[[#This Row],[Type]]))</f>
        <v/>
      </c>
      <c r="M35" s="6" t="str">
        <f ca="1">IFERROR(VLOOKUP(IDNMaps[[#This Row],[Type]],RecordCount[],6,0)&amp;"-"&amp;IDNMaps[[#This Row],[Type Count]],"")</f>
        <v/>
      </c>
      <c r="N35" s="6" t="str">
        <f ca="1">IFERROR(VLOOKUP(IDNMaps[[#This Row],[Primary]],INDIRECT(VLOOKUP(IDNMaps[[#This Row],[Type]],RecordCount[],2,0)),VLOOKUP(IDNMaps[[#This Row],[Type]],RecordCount[],7,0),0),"")</f>
        <v/>
      </c>
      <c r="O35" s="6" t="str">
        <f ca="1">IF(IDNMaps[[#This Row],[Name]]="","","("&amp;IDNMaps[[#This Row],[Type]]&amp;") "&amp;IDNMaps[[#This Row],[Name]])</f>
        <v/>
      </c>
      <c r="P35" s="6" t="str">
        <f ca="1">IFERROR(VLOOKUP(IDNMaps[[#This Row],[Primary]],INDIRECT(VLOOKUP(IDNMaps[[#This Row],[Type]],RecordCount[],2,0)),VLOOKUP(IDNMaps[[#This Row],[Type]],RecordCount[],8,0),0),"")</f>
        <v/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" s="6" t="str">
        <f ca="1">IF(IDNMaps[[#This Row],[Type]]="","",COUNTIF($K$1:IDNMaps[[#This Row],[Type]],IDNMaps[[#This Row],[Type]]))</f>
        <v/>
      </c>
      <c r="M36" s="6" t="str">
        <f ca="1">IFERROR(VLOOKUP(IDNMaps[[#This Row],[Type]],RecordCount[],6,0)&amp;"-"&amp;IDNMaps[[#This Row],[Type Count]],"")</f>
        <v/>
      </c>
      <c r="N36" s="6" t="str">
        <f ca="1">IFERROR(VLOOKUP(IDNMaps[[#This Row],[Primary]],INDIRECT(VLOOKUP(IDNMaps[[#This Row],[Type]],RecordCount[],2,0)),VLOOKUP(IDNMaps[[#This Row],[Type]],RecordCount[],7,0),0),"")</f>
        <v/>
      </c>
      <c r="O36" s="6" t="str">
        <f ca="1">IF(IDNMaps[[#This Row],[Name]]="","","("&amp;IDNMaps[[#This Row],[Type]]&amp;") "&amp;IDNMaps[[#This Row],[Name]])</f>
        <v/>
      </c>
      <c r="P36" s="6" t="str">
        <f ca="1">IFERROR(VLOOKUP(IDNMaps[[#This Row],[Primary]],INDIRECT(VLOOKUP(IDNMaps[[#This Row],[Type]],RecordCount[],2,0)),VLOOKUP(IDNMaps[[#This Row],[Type]],RecordCount[],8,0),0),"")</f>
        <v/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" s="6" t="str">
        <f ca="1">IF(IDNMaps[[#This Row],[Type]]="","",COUNTIF($K$1:IDNMaps[[#This Row],[Type]],IDNMaps[[#This Row],[Type]]))</f>
        <v/>
      </c>
      <c r="M37" s="6" t="str">
        <f ca="1">IFERROR(VLOOKUP(IDNMaps[[#This Row],[Type]],RecordCount[],6,0)&amp;"-"&amp;IDNMaps[[#This Row],[Type Count]],"")</f>
        <v/>
      </c>
      <c r="N37" s="6" t="str">
        <f ca="1">IFERROR(VLOOKUP(IDNMaps[[#This Row],[Primary]],INDIRECT(VLOOKUP(IDNMaps[[#This Row],[Type]],RecordCount[],2,0)),VLOOKUP(IDNMaps[[#This Row],[Type]],RecordCount[],7,0),0),"")</f>
        <v/>
      </c>
      <c r="O37" s="6" t="str">
        <f ca="1">IF(IDNMaps[[#This Row],[Name]]="","","("&amp;IDNMaps[[#This Row],[Type]]&amp;") "&amp;IDNMaps[[#This Row],[Name]])</f>
        <v/>
      </c>
      <c r="P37" s="6" t="str">
        <f ca="1">IFERROR(VLOOKUP(IDNMaps[[#This Row],[Primary]],INDIRECT(VLOOKUP(IDNMaps[[#This Row],[Type]],RecordCount[],2,0)),VLOOKUP(IDNMaps[[#This Row],[Type]],RecordCount[],8,0),0),"")</f>
        <v/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" s="6" t="str">
        <f ca="1">IF(IDNMaps[[#This Row],[Type]]="","",COUNTIF($K$1:IDNMaps[[#This Row],[Type]],IDNMaps[[#This Row],[Type]]))</f>
        <v/>
      </c>
      <c r="M38" s="6" t="str">
        <f ca="1">IFERROR(VLOOKUP(IDNMaps[[#This Row],[Type]],RecordCount[],6,0)&amp;"-"&amp;IDNMaps[[#This Row],[Type Count]],"")</f>
        <v/>
      </c>
      <c r="N38" s="6" t="str">
        <f ca="1">IFERROR(VLOOKUP(IDNMaps[[#This Row],[Primary]],INDIRECT(VLOOKUP(IDNMaps[[#This Row],[Type]],RecordCount[],2,0)),VLOOKUP(IDNMaps[[#This Row],[Type]],RecordCount[],7,0),0),"")</f>
        <v/>
      </c>
      <c r="O38" s="6" t="str">
        <f ca="1">IF(IDNMaps[[#This Row],[Name]]="","","("&amp;IDNMaps[[#This Row],[Type]]&amp;") "&amp;IDNMaps[[#This Row],[Name]])</f>
        <v/>
      </c>
      <c r="P38" s="6" t="str">
        <f ca="1">IFERROR(VLOOKUP(IDNMaps[[#This Row],[Primary]],INDIRECT(VLOOKUP(IDNMaps[[#This Row],[Type]],RecordCount[],2,0)),VLOOKUP(IDNMaps[[#This Row],[Type]],RecordCount[],8,0),0),"")</f>
        <v/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" s="6" t="str">
        <f ca="1">IF(IDNMaps[[#This Row],[Type]]="","",COUNTIF($K$1:IDNMaps[[#This Row],[Type]],IDNMaps[[#This Row],[Type]]))</f>
        <v/>
      </c>
      <c r="M39" s="6" t="str">
        <f ca="1">IFERROR(VLOOKUP(IDNMaps[[#This Row],[Type]],RecordCount[],6,0)&amp;"-"&amp;IDNMaps[[#This Row],[Type Count]],"")</f>
        <v/>
      </c>
      <c r="N39" s="6" t="str">
        <f ca="1">IFERROR(VLOOKUP(IDNMaps[[#This Row],[Primary]],INDIRECT(VLOOKUP(IDNMaps[[#This Row],[Type]],RecordCount[],2,0)),VLOOKUP(IDNMaps[[#This Row],[Type]],RecordCount[],7,0),0),"")</f>
        <v/>
      </c>
      <c r="O39" s="6" t="str">
        <f ca="1">IF(IDNMaps[[#This Row],[Name]]="","","("&amp;IDNMaps[[#This Row],[Type]]&amp;") "&amp;IDNMaps[[#This Row],[Name]])</f>
        <v/>
      </c>
      <c r="P39" s="6" t="str">
        <f ca="1">IFERROR(VLOOKUP(IDNMaps[[#This Row],[Primary]],INDIRECT(VLOOKUP(IDNMaps[[#This Row],[Type]],RecordCount[],2,0)),VLOOKUP(IDNMaps[[#This Row],[Type]],RecordCount[],8,0),0),"")</f>
        <v/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" s="6" t="str">
        <f ca="1">IF(IDNMaps[[#This Row],[Type]]="","",COUNTIF($K$1:IDNMaps[[#This Row],[Type]],IDNMaps[[#This Row],[Type]]))</f>
        <v/>
      </c>
      <c r="M40" s="6" t="str">
        <f ca="1">IFERROR(VLOOKUP(IDNMaps[[#This Row],[Type]],RecordCount[],6,0)&amp;"-"&amp;IDNMaps[[#This Row],[Type Count]],"")</f>
        <v/>
      </c>
      <c r="N40" s="6" t="str">
        <f ca="1">IFERROR(VLOOKUP(IDNMaps[[#This Row],[Primary]],INDIRECT(VLOOKUP(IDNMaps[[#This Row],[Type]],RecordCount[],2,0)),VLOOKUP(IDNMaps[[#This Row],[Type]],RecordCount[],7,0),0),"")</f>
        <v/>
      </c>
      <c r="O40" s="6" t="str">
        <f ca="1">IF(IDNMaps[[#This Row],[Name]]="","","("&amp;IDNMaps[[#This Row],[Type]]&amp;") "&amp;IDNMaps[[#This Row],[Name]])</f>
        <v/>
      </c>
      <c r="P40" s="6" t="str">
        <f ca="1">IFERROR(VLOOKUP(IDNMaps[[#This Row],[Primary]],INDIRECT(VLOOKUP(IDNMaps[[#This Row],[Type]],RecordCount[],2,0)),VLOOKUP(IDNMaps[[#This Row],[Type]],RecordCount[],8,0),0),"")</f>
        <v/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" s="6" t="str">
        <f ca="1">IF(IDNMaps[[#This Row],[Type]]="","",COUNTIF($K$1:IDNMaps[[#This Row],[Type]],IDNMaps[[#This Row],[Type]]))</f>
        <v/>
      </c>
      <c r="M41" s="6" t="str">
        <f ca="1">IFERROR(VLOOKUP(IDNMaps[[#This Row],[Type]],RecordCount[],6,0)&amp;"-"&amp;IDNMaps[[#This Row],[Type Count]],"")</f>
        <v/>
      </c>
      <c r="N41" s="6" t="str">
        <f ca="1">IFERROR(VLOOKUP(IDNMaps[[#This Row],[Primary]],INDIRECT(VLOOKUP(IDNMaps[[#This Row],[Type]],RecordCount[],2,0)),VLOOKUP(IDNMaps[[#This Row],[Type]],RecordCount[],7,0),0),"")</f>
        <v/>
      </c>
      <c r="O41" s="6" t="str">
        <f ca="1">IF(IDNMaps[[#This Row],[Name]]="","","("&amp;IDNMaps[[#This Row],[Type]]&amp;") "&amp;IDNMaps[[#This Row],[Name]])</f>
        <v/>
      </c>
      <c r="P41" s="6" t="str">
        <f ca="1">IFERROR(VLOOKUP(IDNMaps[[#This Row],[Primary]],INDIRECT(VLOOKUP(IDNMaps[[#This Row],[Type]],RecordCount[],2,0)),VLOOKUP(IDNMaps[[#This Row],[Type]],RecordCount[],8,0),0),"")</f>
        <v/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" s="6" t="str">
        <f ca="1">IF(IDNMaps[[#This Row],[Type]]="","",COUNTIF($K$1:IDNMaps[[#This Row],[Type]],IDNMaps[[#This Row],[Type]]))</f>
        <v/>
      </c>
      <c r="M42" s="6" t="str">
        <f ca="1">IFERROR(VLOOKUP(IDNMaps[[#This Row],[Type]],RecordCount[],6,0)&amp;"-"&amp;IDNMaps[[#This Row],[Type Count]],"")</f>
        <v/>
      </c>
      <c r="N42" s="6" t="str">
        <f ca="1">IFERROR(VLOOKUP(IDNMaps[[#This Row],[Primary]],INDIRECT(VLOOKUP(IDNMaps[[#This Row],[Type]],RecordCount[],2,0)),VLOOKUP(IDNMaps[[#This Row],[Type]],RecordCount[],7,0),0),"")</f>
        <v/>
      </c>
      <c r="O42" s="6" t="str">
        <f ca="1">IF(IDNMaps[[#This Row],[Name]]="","","("&amp;IDNMaps[[#This Row],[Type]]&amp;") "&amp;IDNMaps[[#This Row],[Name]])</f>
        <v/>
      </c>
      <c r="P42" s="6" t="str">
        <f ca="1">IFERROR(VLOOKUP(IDNMaps[[#This Row],[Primary]],INDIRECT(VLOOKUP(IDNMaps[[#This Row],[Type]],RecordCount[],2,0)),VLOOKUP(IDNMaps[[#This Row],[Type]],RecordCount[],8,0),0),"")</f>
        <v/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" s="6" t="str">
        <f ca="1">IF(IDNMaps[[#This Row],[Type]]="","",COUNTIF($K$1:IDNMaps[[#This Row],[Type]],IDNMaps[[#This Row],[Type]]))</f>
        <v/>
      </c>
      <c r="M43" s="6" t="str">
        <f ca="1">IFERROR(VLOOKUP(IDNMaps[[#This Row],[Type]],RecordCount[],6,0)&amp;"-"&amp;IDNMaps[[#This Row],[Type Count]],"")</f>
        <v/>
      </c>
      <c r="N43" s="6" t="str">
        <f ca="1">IFERROR(VLOOKUP(IDNMaps[[#This Row],[Primary]],INDIRECT(VLOOKUP(IDNMaps[[#This Row],[Type]],RecordCount[],2,0)),VLOOKUP(IDNMaps[[#This Row],[Type]],RecordCount[],7,0),0),"")</f>
        <v/>
      </c>
      <c r="O43" s="6" t="str">
        <f ca="1">IF(IDNMaps[[#This Row],[Name]]="","","("&amp;IDNMaps[[#This Row],[Type]]&amp;") "&amp;IDNMaps[[#This Row],[Name]])</f>
        <v/>
      </c>
      <c r="P43" s="6" t="str">
        <f ca="1">IFERROR(VLOOKUP(IDNMaps[[#This Row],[Primary]],INDIRECT(VLOOKUP(IDNMaps[[#This Row],[Type]],RecordCount[],2,0)),VLOOKUP(IDNMaps[[#This Row],[Type]],RecordCount[],8,0),0),"")</f>
        <v/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" s="6" t="str">
        <f ca="1">IF(IDNMaps[[#This Row],[Type]]="","",COUNTIF($K$1:IDNMaps[[#This Row],[Type]],IDNMaps[[#This Row],[Type]]))</f>
        <v/>
      </c>
      <c r="M44" s="6" t="str">
        <f ca="1">IFERROR(VLOOKUP(IDNMaps[[#This Row],[Type]],RecordCount[],6,0)&amp;"-"&amp;IDNMaps[[#This Row],[Type Count]],"")</f>
        <v/>
      </c>
      <c r="N44" s="6" t="str">
        <f ca="1">IFERROR(VLOOKUP(IDNMaps[[#This Row],[Primary]],INDIRECT(VLOOKUP(IDNMaps[[#This Row],[Type]],RecordCount[],2,0)),VLOOKUP(IDNMaps[[#This Row],[Type]],RecordCount[],7,0),0),"")</f>
        <v/>
      </c>
      <c r="O44" s="6" t="str">
        <f ca="1">IF(IDNMaps[[#This Row],[Name]]="","","("&amp;IDNMaps[[#This Row],[Type]]&amp;") "&amp;IDNMaps[[#This Row],[Name]])</f>
        <v/>
      </c>
      <c r="P44" s="6" t="str">
        <f ca="1">IFERROR(VLOOKUP(IDNMaps[[#This Row],[Primary]],INDIRECT(VLOOKUP(IDNMaps[[#This Row],[Type]],RecordCount[],2,0)),VLOOKUP(IDNMaps[[#This Row],[Type]],RecordCount[],8,0),0),"")</f>
        <v/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" s="6" t="str">
        <f ca="1">IF(IDNMaps[[#This Row],[Type]]="","",COUNTIF($K$1:IDNMaps[[#This Row],[Type]],IDNMaps[[#This Row],[Type]]))</f>
        <v/>
      </c>
      <c r="M45" s="6" t="str">
        <f ca="1">IFERROR(VLOOKUP(IDNMaps[[#This Row],[Type]],RecordCount[],6,0)&amp;"-"&amp;IDNMaps[[#This Row],[Type Count]],"")</f>
        <v/>
      </c>
      <c r="N45" s="6" t="str">
        <f ca="1">IFERROR(VLOOKUP(IDNMaps[[#This Row],[Primary]],INDIRECT(VLOOKUP(IDNMaps[[#This Row],[Type]],RecordCount[],2,0)),VLOOKUP(IDNMaps[[#This Row],[Type]],RecordCount[],7,0),0),"")</f>
        <v/>
      </c>
      <c r="O45" s="6" t="str">
        <f ca="1">IF(IDNMaps[[#This Row],[Name]]="","","("&amp;IDNMaps[[#This Row],[Type]]&amp;") "&amp;IDNMaps[[#This Row],[Name]])</f>
        <v/>
      </c>
      <c r="P45" s="6" t="str">
        <f ca="1">IFERROR(VLOOKUP(IDNMaps[[#This Row],[Primary]],INDIRECT(VLOOKUP(IDNMaps[[#This Row],[Type]],RecordCount[],2,0)),VLOOKUP(IDNMaps[[#This Row],[Type]],RecordCount[],8,0),0),"")</f>
        <v/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" s="6" t="str">
        <f ca="1">IF(IDNMaps[[#This Row],[Type]]="","",COUNTIF($K$1:IDNMaps[[#This Row],[Type]],IDNMaps[[#This Row],[Type]]))</f>
        <v/>
      </c>
      <c r="M46" s="6" t="str">
        <f ca="1">IFERROR(VLOOKUP(IDNMaps[[#This Row],[Type]],RecordCount[],6,0)&amp;"-"&amp;IDNMaps[[#This Row],[Type Count]],"")</f>
        <v/>
      </c>
      <c r="N46" s="6" t="str">
        <f ca="1">IFERROR(VLOOKUP(IDNMaps[[#This Row],[Primary]],INDIRECT(VLOOKUP(IDNMaps[[#This Row],[Type]],RecordCount[],2,0)),VLOOKUP(IDNMaps[[#This Row],[Type]],RecordCount[],7,0),0),"")</f>
        <v/>
      </c>
      <c r="O46" s="6" t="str">
        <f ca="1">IF(IDNMaps[[#This Row],[Name]]="","","("&amp;IDNMaps[[#This Row],[Type]]&amp;") "&amp;IDNMaps[[#This Row],[Name]])</f>
        <v/>
      </c>
      <c r="P46" s="6" t="str">
        <f ca="1">IFERROR(VLOOKUP(IDNMaps[[#This Row],[Primary]],INDIRECT(VLOOKUP(IDNMaps[[#This Row],[Type]],RecordCount[],2,0)),VLOOKUP(IDNMaps[[#This Row],[Type]],RecordCount[],8,0),0),"")</f>
        <v/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" s="6" t="str">
        <f ca="1">IF(IDNMaps[[#This Row],[Type]]="","",COUNTIF($K$1:IDNMaps[[#This Row],[Type]],IDNMaps[[#This Row],[Type]]))</f>
        <v/>
      </c>
      <c r="M47" s="6" t="str">
        <f ca="1">IFERROR(VLOOKUP(IDNMaps[[#This Row],[Type]],RecordCount[],6,0)&amp;"-"&amp;IDNMaps[[#This Row],[Type Count]],"")</f>
        <v/>
      </c>
      <c r="N47" s="6" t="str">
        <f ca="1">IFERROR(VLOOKUP(IDNMaps[[#This Row],[Primary]],INDIRECT(VLOOKUP(IDNMaps[[#This Row],[Type]],RecordCount[],2,0)),VLOOKUP(IDNMaps[[#This Row],[Type]],RecordCount[],7,0),0),"")</f>
        <v/>
      </c>
      <c r="O47" s="6" t="str">
        <f ca="1">IF(IDNMaps[[#This Row],[Name]]="","","("&amp;IDNMaps[[#This Row],[Type]]&amp;") "&amp;IDNMaps[[#This Row],[Name]])</f>
        <v/>
      </c>
      <c r="P47" s="6" t="str">
        <f ca="1">IFERROR(VLOOKUP(IDNMaps[[#This Row],[Primary]],INDIRECT(VLOOKUP(IDNMaps[[#This Row],[Type]],RecordCount[],2,0)),VLOOKUP(IDNMaps[[#This Row],[Type]],RecordCount[],8,0),0),"")</f>
        <v/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" s="6" t="str">
        <f ca="1">IF(IDNMaps[[#This Row],[Type]]="","",COUNTIF($K$1:IDNMaps[[#This Row],[Type]],IDNMaps[[#This Row],[Type]]))</f>
        <v/>
      </c>
      <c r="M48" s="6" t="str">
        <f ca="1">IFERROR(VLOOKUP(IDNMaps[[#This Row],[Type]],RecordCount[],6,0)&amp;"-"&amp;IDNMaps[[#This Row],[Type Count]],"")</f>
        <v/>
      </c>
      <c r="N48" s="6" t="str">
        <f ca="1">IFERROR(VLOOKUP(IDNMaps[[#This Row],[Primary]],INDIRECT(VLOOKUP(IDNMaps[[#This Row],[Type]],RecordCount[],2,0)),VLOOKUP(IDNMaps[[#This Row],[Type]],RecordCount[],7,0),0),"")</f>
        <v/>
      </c>
      <c r="O48" s="6" t="str">
        <f ca="1">IF(IDNMaps[[#This Row],[Name]]="","","("&amp;IDNMaps[[#This Row],[Type]]&amp;") "&amp;IDNMaps[[#This Row],[Name]])</f>
        <v/>
      </c>
      <c r="P48" s="6" t="str">
        <f ca="1">IFERROR(VLOOKUP(IDNMaps[[#This Row],[Primary]],INDIRECT(VLOOKUP(IDNMaps[[#This Row],[Type]],RecordCount[],2,0)),VLOOKUP(IDNMaps[[#This Row],[Type]],RecordCount[],8,0),0),"")</f>
        <v/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" s="6" t="str">
        <f ca="1">IF(IDNMaps[[#This Row],[Type]]="","",COUNTIF($K$1:IDNMaps[[#This Row],[Type]],IDNMaps[[#This Row],[Type]]))</f>
        <v/>
      </c>
      <c r="M49" s="6" t="str">
        <f ca="1">IFERROR(VLOOKUP(IDNMaps[[#This Row],[Type]],RecordCount[],6,0)&amp;"-"&amp;IDNMaps[[#This Row],[Type Count]],"")</f>
        <v/>
      </c>
      <c r="N49" s="6" t="str">
        <f ca="1">IFERROR(VLOOKUP(IDNMaps[[#This Row],[Primary]],INDIRECT(VLOOKUP(IDNMaps[[#This Row],[Type]],RecordCount[],2,0)),VLOOKUP(IDNMaps[[#This Row],[Type]],RecordCount[],7,0),0),"")</f>
        <v/>
      </c>
      <c r="O49" s="6" t="str">
        <f ca="1">IF(IDNMaps[[#This Row],[Name]]="","","("&amp;IDNMaps[[#This Row],[Type]]&amp;") "&amp;IDNMaps[[#This Row],[Name]])</f>
        <v/>
      </c>
      <c r="P49" s="6" t="str">
        <f ca="1">IFERROR(VLOOKUP(IDNMaps[[#This Row],[Primary]],INDIRECT(VLOOKUP(IDNMaps[[#This Row],[Type]],RecordCount[],2,0)),VLOOKUP(IDNMaps[[#This Row],[Type]],RecordCount[],8,0),0),"")</f>
        <v/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" s="6" t="str">
        <f ca="1">IF(IDNMaps[[#This Row],[Type]]="","",COUNTIF($K$1:IDNMaps[[#This Row],[Type]],IDNMaps[[#This Row],[Type]]))</f>
        <v/>
      </c>
      <c r="M50" s="6" t="str">
        <f ca="1">IFERROR(VLOOKUP(IDNMaps[[#This Row],[Type]],RecordCount[],6,0)&amp;"-"&amp;IDNMaps[[#This Row],[Type Count]],"")</f>
        <v/>
      </c>
      <c r="N50" s="6" t="str">
        <f ca="1">IFERROR(VLOOKUP(IDNMaps[[#This Row],[Primary]],INDIRECT(VLOOKUP(IDNMaps[[#This Row],[Type]],RecordCount[],2,0)),VLOOKUP(IDNMaps[[#This Row],[Type]],RecordCount[],7,0),0),"")</f>
        <v/>
      </c>
      <c r="O50" s="6" t="str">
        <f ca="1">IF(IDNMaps[[#This Row],[Name]]="","","("&amp;IDNMaps[[#This Row],[Type]]&amp;") "&amp;IDNMaps[[#This Row],[Name]])</f>
        <v/>
      </c>
      <c r="P50" s="6" t="str">
        <f ca="1">IFERROR(VLOOKUP(IDNMaps[[#This Row],[Primary]],INDIRECT(VLOOKUP(IDNMaps[[#This Row],[Type]],RecordCount[],2,0)),VLOOKUP(IDNMaps[[#This Row],[Type]],RecordCount[],8,0),0),"")</f>
        <v/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1" s="6" t="str">
        <f ca="1">IF(IDNMaps[[#This Row],[Type]]="","",COUNTIF($K$1:IDNMaps[[#This Row],[Type]],IDNMaps[[#This Row],[Type]]))</f>
        <v/>
      </c>
      <c r="M51" s="6" t="str">
        <f ca="1">IFERROR(VLOOKUP(IDNMaps[[#This Row],[Type]],RecordCount[],6,0)&amp;"-"&amp;IDNMaps[[#This Row],[Type Count]],"")</f>
        <v/>
      </c>
      <c r="N51" s="6" t="str">
        <f ca="1">IFERROR(VLOOKUP(IDNMaps[[#This Row],[Primary]],INDIRECT(VLOOKUP(IDNMaps[[#This Row],[Type]],RecordCount[],2,0)),VLOOKUP(IDNMaps[[#This Row],[Type]],RecordCount[],7,0),0),"")</f>
        <v/>
      </c>
      <c r="O51" s="6" t="str">
        <f ca="1">IF(IDNMaps[[#This Row],[Name]]="","","("&amp;IDNMaps[[#This Row],[Type]]&amp;") "&amp;IDNMaps[[#This Row],[Name]])</f>
        <v/>
      </c>
      <c r="P51" s="6" t="str">
        <f ca="1">IFERROR(VLOOKUP(IDNMaps[[#This Row],[Primary]],INDIRECT(VLOOKUP(IDNMaps[[#This Row],[Type]],RecordCount[],2,0)),VLOOKUP(IDNMaps[[#This Row],[Type]],RecordCount[],8,0),0),"")</f>
        <v/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2" s="6" t="str">
        <f ca="1">IF(IDNMaps[[#This Row],[Type]]="","",COUNTIF($K$1:IDNMaps[[#This Row],[Type]],IDNMaps[[#This Row],[Type]]))</f>
        <v/>
      </c>
      <c r="M52" s="6" t="str">
        <f ca="1">IFERROR(VLOOKUP(IDNMaps[[#This Row],[Type]],RecordCount[],6,0)&amp;"-"&amp;IDNMaps[[#This Row],[Type Count]],"")</f>
        <v/>
      </c>
      <c r="N52" s="6" t="str">
        <f ca="1">IFERROR(VLOOKUP(IDNMaps[[#This Row],[Primary]],INDIRECT(VLOOKUP(IDNMaps[[#This Row],[Type]],RecordCount[],2,0)),VLOOKUP(IDNMaps[[#This Row],[Type]],RecordCount[],7,0),0),"")</f>
        <v/>
      </c>
      <c r="O52" s="6" t="str">
        <f ca="1">IF(IDNMaps[[#This Row],[Name]]="","","("&amp;IDNMaps[[#This Row],[Type]]&amp;") "&amp;IDNMaps[[#This Row],[Name]])</f>
        <v/>
      </c>
      <c r="P52" s="6" t="str">
        <f ca="1">IFERROR(VLOOKUP(IDNMaps[[#This Row],[Primary]],INDIRECT(VLOOKUP(IDNMaps[[#This Row],[Type]],RecordCount[],2,0)),VLOOKUP(IDNMaps[[#This Row],[Type]],RecordCount[],8,0),0),"")</f>
        <v/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3" s="6" t="str">
        <f ca="1">IF(IDNMaps[[#This Row],[Type]]="","",COUNTIF($K$1:IDNMaps[[#This Row],[Type]],IDNMaps[[#This Row],[Type]]))</f>
        <v/>
      </c>
      <c r="M53" s="6" t="str">
        <f ca="1">IFERROR(VLOOKUP(IDNMaps[[#This Row],[Type]],RecordCount[],6,0)&amp;"-"&amp;IDNMaps[[#This Row],[Type Count]],"")</f>
        <v/>
      </c>
      <c r="N53" s="6" t="str">
        <f ca="1">IFERROR(VLOOKUP(IDNMaps[[#This Row],[Primary]],INDIRECT(VLOOKUP(IDNMaps[[#This Row],[Type]],RecordCount[],2,0)),VLOOKUP(IDNMaps[[#This Row],[Type]],RecordCount[],7,0),0),"")</f>
        <v/>
      </c>
      <c r="O53" s="6" t="str">
        <f ca="1">IF(IDNMaps[[#This Row],[Name]]="","","("&amp;IDNMaps[[#This Row],[Type]]&amp;") "&amp;IDNMaps[[#This Row],[Name]])</f>
        <v/>
      </c>
      <c r="P53" s="6" t="str">
        <f ca="1">IFERROR(VLOOKUP(IDNMaps[[#This Row],[Primary]],INDIRECT(VLOOKUP(IDNMaps[[#This Row],[Type]],RecordCount[],2,0)),VLOOKUP(IDNMaps[[#This Row],[Type]],RecordCount[],8,0),0),"")</f>
        <v/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4" s="6" t="str">
        <f ca="1">IF(IDNMaps[[#This Row],[Type]]="","",COUNTIF($K$1:IDNMaps[[#This Row],[Type]],IDNMaps[[#This Row],[Type]]))</f>
        <v/>
      </c>
      <c r="M54" s="6" t="str">
        <f ca="1">IFERROR(VLOOKUP(IDNMaps[[#This Row],[Type]],RecordCount[],6,0)&amp;"-"&amp;IDNMaps[[#This Row],[Type Count]],"")</f>
        <v/>
      </c>
      <c r="N54" s="6" t="str">
        <f ca="1">IFERROR(VLOOKUP(IDNMaps[[#This Row],[Primary]],INDIRECT(VLOOKUP(IDNMaps[[#This Row],[Type]],RecordCount[],2,0)),VLOOKUP(IDNMaps[[#This Row],[Type]],RecordCount[],7,0),0),"")</f>
        <v/>
      </c>
      <c r="O54" s="6" t="str">
        <f ca="1">IF(IDNMaps[[#This Row],[Name]]="","","("&amp;IDNMaps[[#This Row],[Type]]&amp;") "&amp;IDNMaps[[#This Row],[Name]])</f>
        <v/>
      </c>
      <c r="P54" s="6" t="str">
        <f ca="1">IFERROR(VLOOKUP(IDNMaps[[#This Row],[Primary]],INDIRECT(VLOOKUP(IDNMaps[[#This Row],[Type]],RecordCount[],2,0)),VLOOKUP(IDNMaps[[#This Row],[Type]],RecordCount[],8,0),0),"")</f>
        <v/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5" s="6" t="str">
        <f ca="1">IF(IDNMaps[[#This Row],[Type]]="","",COUNTIF($K$1:IDNMaps[[#This Row],[Type]],IDNMaps[[#This Row],[Type]]))</f>
        <v/>
      </c>
      <c r="M55" s="6" t="str">
        <f ca="1">IFERROR(VLOOKUP(IDNMaps[[#This Row],[Type]],RecordCount[],6,0)&amp;"-"&amp;IDNMaps[[#This Row],[Type Count]],"")</f>
        <v/>
      </c>
      <c r="N55" s="6" t="str">
        <f ca="1">IFERROR(VLOOKUP(IDNMaps[[#This Row],[Primary]],INDIRECT(VLOOKUP(IDNMaps[[#This Row],[Type]],RecordCount[],2,0)),VLOOKUP(IDNMaps[[#This Row],[Type]],RecordCount[],7,0),0),"")</f>
        <v/>
      </c>
      <c r="O55" s="6" t="str">
        <f ca="1">IF(IDNMaps[[#This Row],[Name]]="","","("&amp;IDNMaps[[#This Row],[Type]]&amp;") "&amp;IDNMaps[[#This Row],[Name]])</f>
        <v/>
      </c>
      <c r="P55" s="6" t="str">
        <f ca="1">IFERROR(VLOOKUP(IDNMaps[[#This Row],[Primary]],INDIRECT(VLOOKUP(IDNMaps[[#This Row],[Type]],RecordCount[],2,0)),VLOOKUP(IDNMaps[[#This Row],[Type]],RecordCount[],8,0),0),"")</f>
        <v/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6" s="6" t="str">
        <f ca="1">IF(IDNMaps[[#This Row],[Type]]="","",COUNTIF($K$1:IDNMaps[[#This Row],[Type]],IDNMaps[[#This Row],[Type]]))</f>
        <v/>
      </c>
      <c r="M56" s="6" t="str">
        <f ca="1">IFERROR(VLOOKUP(IDNMaps[[#This Row],[Type]],RecordCount[],6,0)&amp;"-"&amp;IDNMaps[[#This Row],[Type Count]],"")</f>
        <v/>
      </c>
      <c r="N56" s="6" t="str">
        <f ca="1">IFERROR(VLOOKUP(IDNMaps[[#This Row],[Primary]],INDIRECT(VLOOKUP(IDNMaps[[#This Row],[Type]],RecordCount[],2,0)),VLOOKUP(IDNMaps[[#This Row],[Type]],RecordCount[],7,0),0),"")</f>
        <v/>
      </c>
      <c r="O56" s="6" t="str">
        <f ca="1">IF(IDNMaps[[#This Row],[Name]]="","","("&amp;IDNMaps[[#This Row],[Type]]&amp;") "&amp;IDNMaps[[#This Row],[Name]])</f>
        <v/>
      </c>
      <c r="P56" s="6" t="str">
        <f ca="1">IFERROR(VLOOKUP(IDNMaps[[#This Row],[Primary]],INDIRECT(VLOOKUP(IDNMaps[[#This Row],[Type]],RecordCount[],2,0)),VLOOKUP(IDNMaps[[#This Row],[Type]],RecordCount[],8,0),0),"")</f>
        <v/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7" s="6" t="str">
        <f ca="1">IF(IDNMaps[[#This Row],[Type]]="","",COUNTIF($K$1:IDNMaps[[#This Row],[Type]],IDNMaps[[#This Row],[Type]]))</f>
        <v/>
      </c>
      <c r="M57" s="6" t="str">
        <f ca="1">IFERROR(VLOOKUP(IDNMaps[[#This Row],[Type]],RecordCount[],6,0)&amp;"-"&amp;IDNMaps[[#This Row],[Type Count]],"")</f>
        <v/>
      </c>
      <c r="N57" s="6" t="str">
        <f ca="1">IFERROR(VLOOKUP(IDNMaps[[#This Row],[Primary]],INDIRECT(VLOOKUP(IDNMaps[[#This Row],[Type]],RecordCount[],2,0)),VLOOKUP(IDNMaps[[#This Row],[Type]],RecordCount[],7,0),0),"")</f>
        <v/>
      </c>
      <c r="O57" s="6" t="str">
        <f ca="1">IF(IDNMaps[[#This Row],[Name]]="","","("&amp;IDNMaps[[#This Row],[Type]]&amp;") "&amp;IDNMaps[[#This Row],[Name]])</f>
        <v/>
      </c>
      <c r="P57" s="6" t="str">
        <f ca="1">IFERROR(VLOOKUP(IDNMaps[[#This Row],[Primary]],INDIRECT(VLOOKUP(IDNMaps[[#This Row],[Type]],RecordCount[],2,0)),VLOOKUP(IDNMaps[[#This Row],[Type]],RecordCount[],8,0),0),"")</f>
        <v/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8" s="6" t="str">
        <f ca="1">IF(IDNMaps[[#This Row],[Type]]="","",COUNTIF($K$1:IDNMaps[[#This Row],[Type]],IDNMaps[[#This Row],[Type]]))</f>
        <v/>
      </c>
      <c r="M58" s="6" t="str">
        <f ca="1">IFERROR(VLOOKUP(IDNMaps[[#This Row],[Type]],RecordCount[],6,0)&amp;"-"&amp;IDNMaps[[#This Row],[Type Count]],"")</f>
        <v/>
      </c>
      <c r="N58" s="6" t="str">
        <f ca="1">IFERROR(VLOOKUP(IDNMaps[[#This Row],[Primary]],INDIRECT(VLOOKUP(IDNMaps[[#This Row],[Type]],RecordCount[],2,0)),VLOOKUP(IDNMaps[[#This Row],[Type]],RecordCount[],7,0),0),"")</f>
        <v/>
      </c>
      <c r="O58" s="6" t="str">
        <f ca="1">IF(IDNMaps[[#This Row],[Name]]="","","("&amp;IDNMaps[[#This Row],[Type]]&amp;") "&amp;IDNMaps[[#This Row],[Name]])</f>
        <v/>
      </c>
      <c r="P58" s="6" t="str">
        <f ca="1">IFERROR(VLOOKUP(IDNMaps[[#This Row],[Primary]],INDIRECT(VLOOKUP(IDNMaps[[#This Row],[Type]],RecordCount[],2,0)),VLOOKUP(IDNMaps[[#This Row],[Type]],RecordCount[],8,0),0),"")</f>
        <v/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9" s="6" t="str">
        <f ca="1">IF(IDNMaps[[#This Row],[Type]]="","",COUNTIF($K$1:IDNMaps[[#This Row],[Type]],IDNMaps[[#This Row],[Type]]))</f>
        <v/>
      </c>
      <c r="M59" s="6" t="str">
        <f ca="1">IFERROR(VLOOKUP(IDNMaps[[#This Row],[Type]],RecordCount[],6,0)&amp;"-"&amp;IDNMaps[[#This Row],[Type Count]],"")</f>
        <v/>
      </c>
      <c r="N59" s="6" t="str">
        <f ca="1">IFERROR(VLOOKUP(IDNMaps[[#This Row],[Primary]],INDIRECT(VLOOKUP(IDNMaps[[#This Row],[Type]],RecordCount[],2,0)),VLOOKUP(IDNMaps[[#This Row],[Type]],RecordCount[],7,0),0),"")</f>
        <v/>
      </c>
      <c r="O59" s="6" t="str">
        <f ca="1">IF(IDNMaps[[#This Row],[Name]]="","","("&amp;IDNMaps[[#This Row],[Type]]&amp;") "&amp;IDNMaps[[#This Row],[Name]])</f>
        <v/>
      </c>
      <c r="P59" s="6" t="str">
        <f ca="1">IFERROR(VLOOKUP(IDNMaps[[#This Row],[Primary]],INDIRECT(VLOOKUP(IDNMaps[[#This Row],[Type]],RecordCount[],2,0)),VLOOKUP(IDNMaps[[#This Row],[Type]],RecordCount[],8,0),0),"")</f>
        <v/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0" s="6" t="str">
        <f ca="1">IF(IDNMaps[[#This Row],[Type]]="","",COUNTIF($K$1:IDNMaps[[#This Row],[Type]],IDNMaps[[#This Row],[Type]]))</f>
        <v/>
      </c>
      <c r="M60" s="6" t="str">
        <f ca="1">IFERROR(VLOOKUP(IDNMaps[[#This Row],[Type]],RecordCount[],6,0)&amp;"-"&amp;IDNMaps[[#This Row],[Type Count]],"")</f>
        <v/>
      </c>
      <c r="N60" s="6" t="str">
        <f ca="1">IFERROR(VLOOKUP(IDNMaps[[#This Row],[Primary]],INDIRECT(VLOOKUP(IDNMaps[[#This Row],[Type]],RecordCount[],2,0)),VLOOKUP(IDNMaps[[#This Row],[Type]],RecordCount[],7,0),0),"")</f>
        <v/>
      </c>
      <c r="O60" s="6" t="str">
        <f ca="1">IF(IDNMaps[[#This Row],[Name]]="","","("&amp;IDNMaps[[#This Row],[Type]]&amp;") "&amp;IDNMaps[[#This Row],[Name]])</f>
        <v/>
      </c>
      <c r="P60" s="6" t="str">
        <f ca="1">IFERROR(VLOOKUP(IDNMaps[[#This Row],[Primary]],INDIRECT(VLOOKUP(IDNMaps[[#This Row],[Type]],RecordCount[],2,0)),VLOOKUP(IDNMaps[[#This Row],[Type]],RecordCount[],8,0),0),"")</f>
        <v/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1" s="6" t="str">
        <f ca="1">IF(IDNMaps[[#This Row],[Type]]="","",COUNTIF($K$1:IDNMaps[[#This Row],[Type]],IDNMaps[[#This Row],[Type]]))</f>
        <v/>
      </c>
      <c r="M61" s="6" t="str">
        <f ca="1">IFERROR(VLOOKUP(IDNMaps[[#This Row],[Type]],RecordCount[],6,0)&amp;"-"&amp;IDNMaps[[#This Row],[Type Count]],"")</f>
        <v/>
      </c>
      <c r="N61" s="6" t="str">
        <f ca="1">IFERROR(VLOOKUP(IDNMaps[[#This Row],[Primary]],INDIRECT(VLOOKUP(IDNMaps[[#This Row],[Type]],RecordCount[],2,0)),VLOOKUP(IDNMaps[[#This Row],[Type]],RecordCount[],7,0),0),"")</f>
        <v/>
      </c>
      <c r="O61" s="6" t="str">
        <f ca="1">IF(IDNMaps[[#This Row],[Name]]="","","("&amp;IDNMaps[[#This Row],[Type]]&amp;") "&amp;IDNMaps[[#This Row],[Name]])</f>
        <v/>
      </c>
      <c r="P61" s="6" t="str">
        <f ca="1">IFERROR(VLOOKUP(IDNMaps[[#This Row],[Primary]],INDIRECT(VLOOKUP(IDNMaps[[#This Row],[Type]],RecordCount[],2,0)),VLOOKUP(IDNMaps[[#This Row],[Type]],RecordCount[],8,0),0),"")</f>
        <v/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2" s="6" t="str">
        <f ca="1">IF(IDNMaps[[#This Row],[Type]]="","",COUNTIF($K$1:IDNMaps[[#This Row],[Type]],IDNMaps[[#This Row],[Type]]))</f>
        <v/>
      </c>
      <c r="M62" s="6" t="str">
        <f ca="1">IFERROR(VLOOKUP(IDNMaps[[#This Row],[Type]],RecordCount[],6,0)&amp;"-"&amp;IDNMaps[[#This Row],[Type Count]],"")</f>
        <v/>
      </c>
      <c r="N62" s="6" t="str">
        <f ca="1">IFERROR(VLOOKUP(IDNMaps[[#This Row],[Primary]],INDIRECT(VLOOKUP(IDNMaps[[#This Row],[Type]],RecordCount[],2,0)),VLOOKUP(IDNMaps[[#This Row],[Type]],RecordCount[],7,0),0),"")</f>
        <v/>
      </c>
      <c r="O62" s="6" t="str">
        <f ca="1">IF(IDNMaps[[#This Row],[Name]]="","","("&amp;IDNMaps[[#This Row],[Type]]&amp;") "&amp;IDNMaps[[#This Row],[Name]])</f>
        <v/>
      </c>
      <c r="P62" s="6" t="str">
        <f ca="1">IFERROR(VLOOKUP(IDNMaps[[#This Row],[Primary]],INDIRECT(VLOOKUP(IDNMaps[[#This Row],[Type]],RecordCount[],2,0)),VLOOKUP(IDNMaps[[#This Row],[Type]],RecordCount[],8,0),0),"")</f>
        <v/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3" s="6" t="str">
        <f ca="1">IF(IDNMaps[[#This Row],[Type]]="","",COUNTIF($K$1:IDNMaps[[#This Row],[Type]],IDNMaps[[#This Row],[Type]]))</f>
        <v/>
      </c>
      <c r="M63" s="6" t="str">
        <f ca="1">IFERROR(VLOOKUP(IDNMaps[[#This Row],[Type]],RecordCount[],6,0)&amp;"-"&amp;IDNMaps[[#This Row],[Type Count]],"")</f>
        <v/>
      </c>
      <c r="N63" s="6" t="str">
        <f ca="1">IFERROR(VLOOKUP(IDNMaps[[#This Row],[Primary]],INDIRECT(VLOOKUP(IDNMaps[[#This Row],[Type]],RecordCount[],2,0)),VLOOKUP(IDNMaps[[#This Row],[Type]],RecordCount[],7,0),0),"")</f>
        <v/>
      </c>
      <c r="O63" s="6" t="str">
        <f ca="1">IF(IDNMaps[[#This Row],[Name]]="","","("&amp;IDNMaps[[#This Row],[Type]]&amp;") "&amp;IDNMaps[[#This Row],[Name]])</f>
        <v/>
      </c>
      <c r="P63" s="6" t="str">
        <f ca="1">IFERROR(VLOOKUP(IDNMaps[[#This Row],[Primary]],INDIRECT(VLOOKUP(IDNMaps[[#This Row],[Type]],RecordCount[],2,0)),VLOOKUP(IDNMaps[[#This Row],[Type]],RecordCount[],8,0),0),"")</f>
        <v/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4" s="6" t="str">
        <f ca="1">IF(IDNMaps[[#This Row],[Type]]="","",COUNTIF($K$1:IDNMaps[[#This Row],[Type]],IDNMaps[[#This Row],[Type]]))</f>
        <v/>
      </c>
      <c r="M64" s="6" t="str">
        <f ca="1">IFERROR(VLOOKUP(IDNMaps[[#This Row],[Type]],RecordCount[],6,0)&amp;"-"&amp;IDNMaps[[#This Row],[Type Count]],"")</f>
        <v/>
      </c>
      <c r="N64" s="6" t="str">
        <f ca="1">IFERROR(VLOOKUP(IDNMaps[[#This Row],[Primary]],INDIRECT(VLOOKUP(IDNMaps[[#This Row],[Type]],RecordCount[],2,0)),VLOOKUP(IDNMaps[[#This Row],[Type]],RecordCount[],7,0),0),"")</f>
        <v/>
      </c>
      <c r="O64" s="6" t="str">
        <f ca="1">IF(IDNMaps[[#This Row],[Name]]="","","("&amp;IDNMaps[[#This Row],[Type]]&amp;") "&amp;IDNMaps[[#This Row],[Name]])</f>
        <v/>
      </c>
      <c r="P64" s="6" t="str">
        <f ca="1">IFERROR(VLOOKUP(IDNMaps[[#This Row],[Primary]],INDIRECT(VLOOKUP(IDNMaps[[#This Row],[Type]],RecordCount[],2,0)),VLOOKUP(IDNMaps[[#This Row],[Type]],RecordCount[],8,0),0),"")</f>
        <v/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5" s="6" t="str">
        <f ca="1">IF(IDNMaps[[#This Row],[Type]]="","",COUNTIF($K$1:IDNMaps[[#This Row],[Type]],IDNMaps[[#This Row],[Type]]))</f>
        <v/>
      </c>
      <c r="M65" s="6" t="str">
        <f ca="1">IFERROR(VLOOKUP(IDNMaps[[#This Row],[Type]],RecordCount[],6,0)&amp;"-"&amp;IDNMaps[[#This Row],[Type Count]],"")</f>
        <v/>
      </c>
      <c r="N65" s="6" t="str">
        <f ca="1">IFERROR(VLOOKUP(IDNMaps[[#This Row],[Primary]],INDIRECT(VLOOKUP(IDNMaps[[#This Row],[Type]],RecordCount[],2,0)),VLOOKUP(IDNMaps[[#This Row],[Type]],RecordCount[],7,0),0),"")</f>
        <v/>
      </c>
      <c r="O65" s="6" t="str">
        <f ca="1">IF(IDNMaps[[#This Row],[Name]]="","","("&amp;IDNMaps[[#This Row],[Type]]&amp;") "&amp;IDNMaps[[#This Row],[Name]])</f>
        <v/>
      </c>
      <c r="P65" s="6" t="str">
        <f ca="1">IFERROR(VLOOKUP(IDNMaps[[#This Row],[Primary]],INDIRECT(VLOOKUP(IDNMaps[[#This Row],[Type]],RecordCount[],2,0)),VLOOKUP(IDNMaps[[#This Row],[Type]],RecordCount[],8,0),0),"")</f>
        <v/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6" s="6" t="str">
        <f ca="1">IF(IDNMaps[[#This Row],[Type]]="","",COUNTIF($K$1:IDNMaps[[#This Row],[Type]],IDNMaps[[#This Row],[Type]]))</f>
        <v/>
      </c>
      <c r="M66" s="6" t="str">
        <f ca="1">IFERROR(VLOOKUP(IDNMaps[[#This Row],[Type]],RecordCount[],6,0)&amp;"-"&amp;IDNMaps[[#This Row],[Type Count]],"")</f>
        <v/>
      </c>
      <c r="N66" s="6" t="str">
        <f ca="1">IFERROR(VLOOKUP(IDNMaps[[#This Row],[Primary]],INDIRECT(VLOOKUP(IDNMaps[[#This Row],[Type]],RecordCount[],2,0)),VLOOKUP(IDNMaps[[#This Row],[Type]],RecordCount[],7,0),0),"")</f>
        <v/>
      </c>
      <c r="O66" s="6" t="str">
        <f ca="1">IF(IDNMaps[[#This Row],[Name]]="","","("&amp;IDNMaps[[#This Row],[Type]]&amp;") "&amp;IDNMaps[[#This Row],[Name]])</f>
        <v/>
      </c>
      <c r="P66" s="6" t="str">
        <f ca="1">IFERROR(VLOOKUP(IDNMaps[[#This Row],[Primary]],INDIRECT(VLOOKUP(IDNMaps[[#This Row],[Type]],RecordCount[],2,0)),VLOOKUP(IDNMaps[[#This Row],[Type]],RecordCount[],8,0),0),"")</f>
        <v/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6" sqref="F6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754</v>
      </c>
    </row>
    <row r="2" spans="1:10" x14ac:dyDescent="0.25">
      <c r="A2" s="1" t="s">
        <v>21</v>
      </c>
      <c r="B2" s="1" t="s">
        <v>783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3</v>
      </c>
    </row>
    <row r="5" spans="1:10" x14ac:dyDescent="0.25">
      <c r="A5" s="61" t="s">
        <v>23</v>
      </c>
      <c r="B5" s="61" t="s">
        <v>762</v>
      </c>
      <c r="C5" s="61" t="s">
        <v>23</v>
      </c>
      <c r="D5" s="61">
        <v>128</v>
      </c>
      <c r="E5" s="61" t="s">
        <v>763</v>
      </c>
      <c r="F5" s="61" t="s">
        <v>764</v>
      </c>
      <c r="G5" s="61"/>
      <c r="H5" s="61"/>
      <c r="I5" s="61"/>
      <c r="J5" s="63">
        <f>COUNTIF(TableFields[Field],Columns[[#This Row],[Column]])</f>
        <v>2</v>
      </c>
    </row>
    <row r="6" spans="1:10" x14ac:dyDescent="0.25">
      <c r="A6" s="61" t="s">
        <v>994</v>
      </c>
      <c r="B6" s="61" t="s">
        <v>762</v>
      </c>
      <c r="C6" s="61" t="s">
        <v>994</v>
      </c>
      <c r="D6" s="61">
        <v>128</v>
      </c>
      <c r="E6" s="61" t="s">
        <v>763</v>
      </c>
      <c r="F6" s="61" t="s">
        <v>764</v>
      </c>
      <c r="G6" s="61"/>
      <c r="H6" s="61"/>
      <c r="I6" s="61"/>
      <c r="J6" s="63">
        <f>COUNTIF(TableFields[Field],Columns[[#This Row],[Column]])</f>
        <v>1</v>
      </c>
    </row>
    <row r="7" spans="1:10" x14ac:dyDescent="0.25">
      <c r="A7" s="61" t="s">
        <v>765</v>
      </c>
      <c r="B7" s="61" t="s">
        <v>766</v>
      </c>
      <c r="C7" s="61" t="s">
        <v>767</v>
      </c>
      <c r="D7" s="61" t="s">
        <v>760</v>
      </c>
      <c r="E7" s="61"/>
      <c r="F7" s="61"/>
      <c r="G7" s="61"/>
      <c r="H7" s="61"/>
      <c r="I7" s="61"/>
      <c r="J7" s="63">
        <f>COUNTIF(TableFields[Field],Columns[[#This Row],[Column]])</f>
        <v>1</v>
      </c>
    </row>
    <row r="8" spans="1:10" x14ac:dyDescent="0.25">
      <c r="A8" s="61" t="s">
        <v>993</v>
      </c>
      <c r="B8" s="61" t="s">
        <v>766</v>
      </c>
      <c r="C8" s="61" t="s">
        <v>985</v>
      </c>
      <c r="D8" s="61" t="s">
        <v>985</v>
      </c>
      <c r="E8" s="61"/>
      <c r="F8" s="61"/>
      <c r="G8" s="61"/>
      <c r="H8" s="61"/>
      <c r="I8" s="61"/>
      <c r="J8" s="63">
        <f>COUNTIF(TableFields[Field],Columns[[#This Row],[Column]])</f>
        <v>1</v>
      </c>
    </row>
    <row r="9" spans="1:10" x14ac:dyDescent="0.25">
      <c r="A9" s="61" t="s">
        <v>768</v>
      </c>
      <c r="B9" s="61" t="s">
        <v>768</v>
      </c>
      <c r="C9" s="61" t="s">
        <v>768</v>
      </c>
      <c r="D9" s="61"/>
      <c r="E9" s="61" t="s">
        <v>763</v>
      </c>
      <c r="F9" s="61" t="s">
        <v>764</v>
      </c>
      <c r="G9" s="61"/>
      <c r="H9" s="61"/>
      <c r="I9" s="61"/>
      <c r="J9" s="63">
        <f>COUNTIF(TableFields[Field],Columns[[#This Row],[Column]])</f>
        <v>1</v>
      </c>
    </row>
    <row r="10" spans="1:10" x14ac:dyDescent="0.25">
      <c r="A10" s="61" t="s">
        <v>769</v>
      </c>
      <c r="B10" s="61" t="s">
        <v>770</v>
      </c>
      <c r="C10" s="61" t="s">
        <v>769</v>
      </c>
      <c r="D10" s="61"/>
      <c r="E10" s="61" t="s">
        <v>763</v>
      </c>
      <c r="F10" s="61" t="s">
        <v>777</v>
      </c>
      <c r="G10" s="61" t="s">
        <v>764</v>
      </c>
      <c r="H10" s="61"/>
      <c r="I10" s="61"/>
      <c r="J10" s="63">
        <f>COUNTIF(TableFields[Field],Columns[[#This Row],[Column]])</f>
        <v>1</v>
      </c>
    </row>
    <row r="11" spans="1:10" x14ac:dyDescent="0.25">
      <c r="A11" s="61" t="s">
        <v>771</v>
      </c>
      <c r="B11" s="61" t="s">
        <v>772</v>
      </c>
      <c r="C11" s="61" t="s">
        <v>771</v>
      </c>
      <c r="D11" s="61"/>
      <c r="E11" s="61" t="s">
        <v>763</v>
      </c>
      <c r="F11" s="61" t="s">
        <v>778</v>
      </c>
      <c r="G11" s="61" t="s">
        <v>764</v>
      </c>
      <c r="H11" s="61"/>
      <c r="I11" s="61"/>
      <c r="J11" s="63">
        <f>COUNTIF(TableFields[Field],Columns[[#This Row],[Column]])</f>
        <v>1</v>
      </c>
    </row>
    <row r="12" spans="1:10" x14ac:dyDescent="0.25">
      <c r="A12" s="61" t="s">
        <v>773</v>
      </c>
      <c r="B12" s="61" t="s">
        <v>772</v>
      </c>
      <c r="C12" s="61" t="s">
        <v>773</v>
      </c>
      <c r="D12" s="61"/>
      <c r="E12" s="61" t="s">
        <v>763</v>
      </c>
      <c r="F12" s="61" t="s">
        <v>778</v>
      </c>
      <c r="G12" s="61" t="s">
        <v>764</v>
      </c>
      <c r="H12" s="61"/>
      <c r="I12" s="61"/>
      <c r="J12" s="63">
        <f>COUNTIF(TableFields[Field],Columns[[#This Row],[Column]])</f>
        <v>1</v>
      </c>
    </row>
    <row r="13" spans="1:10" x14ac:dyDescent="0.25">
      <c r="A13" s="61" t="s">
        <v>774</v>
      </c>
      <c r="B13" s="61" t="s">
        <v>770</v>
      </c>
      <c r="C13" s="61" t="s">
        <v>774</v>
      </c>
      <c r="D13" s="61"/>
      <c r="E13" s="61" t="s">
        <v>763</v>
      </c>
      <c r="F13" s="61" t="s">
        <v>779</v>
      </c>
      <c r="G13" s="61" t="s">
        <v>764</v>
      </c>
      <c r="H13" s="61"/>
      <c r="I13" s="61"/>
      <c r="J13" s="63">
        <f>COUNTIF(TableFields[Field],Columns[[#This Row],[Column]])</f>
        <v>1</v>
      </c>
    </row>
    <row r="14" spans="1:10" x14ac:dyDescent="0.25">
      <c r="A14" s="61" t="s">
        <v>775</v>
      </c>
      <c r="B14" s="61" t="s">
        <v>770</v>
      </c>
      <c r="C14" s="61" t="s">
        <v>775</v>
      </c>
      <c r="D14" s="61"/>
      <c r="E14" s="61" t="s">
        <v>763</v>
      </c>
      <c r="F14" s="61" t="s">
        <v>779</v>
      </c>
      <c r="G14" s="61" t="s">
        <v>764</v>
      </c>
      <c r="H14" s="61"/>
      <c r="I14" s="61"/>
      <c r="J14" s="63">
        <f>COUNTIF(TableFields[Field],Columns[[#This Row],[Column]])</f>
        <v>1</v>
      </c>
    </row>
    <row r="15" spans="1:10" x14ac:dyDescent="0.25">
      <c r="A15" s="61" t="s">
        <v>776</v>
      </c>
      <c r="B15" s="61" t="s">
        <v>770</v>
      </c>
      <c r="C15" s="61" t="s">
        <v>776</v>
      </c>
      <c r="D15" s="61"/>
      <c r="E15" s="61" t="s">
        <v>763</v>
      </c>
      <c r="F15" s="61" t="s">
        <v>779</v>
      </c>
      <c r="G15" s="61" t="s">
        <v>764</v>
      </c>
      <c r="H15" s="61"/>
      <c r="I15" s="61"/>
      <c r="J15" s="63">
        <f>COUNTIF(TableFields[Field],Columns[[#This Row],[Column]])</f>
        <v>1</v>
      </c>
    </row>
  </sheetData>
  <conditionalFormatting sqref="A2:A15">
    <cfRule type="duplicateValues" dxfId="455" priority="40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workbookViewId="0">
      <selection activeCell="K10" sqref="K10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61" t="s">
        <v>985</v>
      </c>
      <c r="B2" s="61" t="s">
        <v>21</v>
      </c>
      <c r="C2" s="61" t="str">
        <f>VLOOKUP(TableFields[Field],Columns[],2,0)&amp;"("</f>
        <v>bigIncrements(</v>
      </c>
      <c r="D2" s="61" t="str">
        <f>IF(VLOOKUP(TableFields[Field],Columns[],3,0)&lt;&gt;"","'"&amp;VLOOKUP(TableFields[Field],Columns[],3,0)&amp;"'","")</f>
        <v>'id'</v>
      </c>
      <c r="E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61" t="str">
        <f>IF(VLOOKUP(TableFields[Field],Columns[],5,0)=0,"","-&gt;"&amp;VLOOKUP(TableFields[Field],Columns[],5,0))</f>
        <v/>
      </c>
      <c r="G2" s="61" t="str">
        <f>IF(VLOOKUP(TableFields[Field],Columns[],6,0)=0,"","-&gt;"&amp;VLOOKUP(TableFields[Field],Columns[],6,0))</f>
        <v/>
      </c>
      <c r="H2" s="61" t="str">
        <f>IF(VLOOKUP(TableFields[Field],Columns[],7,0)=0,"","-&gt;"&amp;VLOOKUP(TableFields[Field],Columns[],7,0))</f>
        <v/>
      </c>
      <c r="I2" s="61" t="str">
        <f>IF(VLOOKUP(TableFields[Field],Columns[],8,0)=0,"","-&gt;"&amp;VLOOKUP(TableFields[Field],Columns[],8,0))</f>
        <v/>
      </c>
      <c r="J2" s="61" t="str">
        <f>IF(VLOOKUP(TableFields[Field],Columns[],9,0)=0,"","-&gt;"&amp;VLOOKUP(TableFields[Field],Columns[],9,0))</f>
        <v/>
      </c>
      <c r="K2" s="6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61" t="s">
        <v>985</v>
      </c>
      <c r="B3" s="61" t="s">
        <v>23</v>
      </c>
      <c r="C3" s="61" t="str">
        <f>VLOOKUP(TableFields[Field],Columns[],2,0)&amp;"("</f>
        <v>string(</v>
      </c>
      <c r="D3" s="61" t="str">
        <f>IF(VLOOKUP(TableFields[Field],Columns[],3,0)&lt;&gt;"","'"&amp;VLOOKUP(TableFields[Field],Columns[],3,0)&amp;"'","")</f>
        <v>'name'</v>
      </c>
      <c r="E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" s="61" t="str">
        <f>IF(VLOOKUP(TableFields[Field],Columns[],5,0)=0,"","-&gt;"&amp;VLOOKUP(TableFields[Field],Columns[],5,0))</f>
        <v>-&gt;index()</v>
      </c>
      <c r="G3" s="61" t="str">
        <f>IF(VLOOKUP(TableFields[Field],Columns[],6,0)=0,"","-&gt;"&amp;VLOOKUP(TableFields[Field],Columns[],6,0))</f>
        <v>-&gt;nullable()</v>
      </c>
      <c r="H3" s="61" t="str">
        <f>IF(VLOOKUP(TableFields[Field],Columns[],7,0)=0,"","-&gt;"&amp;VLOOKUP(TableFields[Field],Columns[],7,0))</f>
        <v/>
      </c>
      <c r="I3" s="61" t="str">
        <f>IF(VLOOKUP(TableFields[Field],Columns[],8,0)=0,"","-&gt;"&amp;VLOOKUP(TableFields[Field],Columns[],8,0))</f>
        <v/>
      </c>
      <c r="J3" s="61" t="str">
        <f>IF(VLOOKUP(TableFields[Field],Columns[],9,0)=0,"","-&gt;"&amp;VLOOKUP(TableFields[Field],Columns[],9,0))</f>
        <v/>
      </c>
      <c r="K3" s="61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4" spans="1:11" x14ac:dyDescent="0.25">
      <c r="A4" s="61" t="s">
        <v>985</v>
      </c>
      <c r="B4" s="61" t="s">
        <v>288</v>
      </c>
      <c r="C4" s="61" t="str">
        <f>VLOOKUP(TableFields[Field],Columns[],2,0)&amp;"("</f>
        <v>audit(</v>
      </c>
      <c r="D4" s="61" t="str">
        <f>IF(VLOOKUP(TableFields[Field],Columns[],3,0)&lt;&gt;"","'"&amp;VLOOKUP(TableFields[Field],Columns[],3,0)&amp;"'","")</f>
        <v/>
      </c>
      <c r="E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" s="61" t="str">
        <f>IF(VLOOKUP(TableFields[Field],Columns[],5,0)=0,"","-&gt;"&amp;VLOOKUP(TableFields[Field],Columns[],5,0))</f>
        <v/>
      </c>
      <c r="G4" s="61" t="str">
        <f>IF(VLOOKUP(TableFields[Field],Columns[],6,0)=0,"","-&gt;"&amp;VLOOKUP(TableFields[Field],Columns[],6,0))</f>
        <v/>
      </c>
      <c r="H4" s="61" t="str">
        <f>IF(VLOOKUP(TableFields[Field],Columns[],7,0)=0,"","-&gt;"&amp;VLOOKUP(TableFields[Field],Columns[],7,0))</f>
        <v/>
      </c>
      <c r="I4" s="61" t="str">
        <f>IF(VLOOKUP(TableFields[Field],Columns[],8,0)=0,"","-&gt;"&amp;VLOOKUP(TableFields[Field],Columns[],8,0))</f>
        <v/>
      </c>
      <c r="J4" s="61" t="str">
        <f>IF(VLOOKUP(TableFields[Field],Columns[],9,0)=0,"","-&gt;"&amp;VLOOKUP(TableFields[Field],Columns[],9,0))</f>
        <v/>
      </c>
      <c r="K4" s="6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5" spans="1:11" x14ac:dyDescent="0.25">
      <c r="A5" s="1" t="s">
        <v>760</v>
      </c>
      <c r="B5" s="1" t="s">
        <v>21</v>
      </c>
      <c r="C5" s="1" t="str">
        <f>VLOOKUP(TableFields[Field],Columns[],2,0)&amp;"("</f>
        <v>bigIncrements(</v>
      </c>
      <c r="D5" s="1" t="str">
        <f>IF(VLOOKUP(TableFields[Field],Columns[],3,0)&lt;&gt;"","'"&amp;VLOOKUP(TableFields[Field],Columns[],3,0)&amp;"'","")</f>
        <v>'id'</v>
      </c>
      <c r="E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" s="1" t="str">
        <f>IF(VLOOKUP(TableFields[Field],Columns[],5,0)=0,"","-&gt;"&amp;VLOOKUP(TableFields[Field],Columns[],5,0))</f>
        <v/>
      </c>
      <c r="G5" s="1" t="str">
        <f>IF(VLOOKUP(TableFields[Field],Columns[],6,0)=0,"","-&gt;"&amp;VLOOKUP(TableFields[Field],Columns[],6,0))</f>
        <v/>
      </c>
      <c r="H5" s="1" t="str">
        <f>IF(VLOOKUP(TableFields[Field],Columns[],7,0)=0,"","-&gt;"&amp;VLOOKUP(TableFields[Field],Columns[],7,0))</f>
        <v/>
      </c>
      <c r="I5" s="1" t="str">
        <f>IF(VLOOKUP(TableFields[Field],Columns[],8,0)=0,"","-&gt;"&amp;VLOOKUP(TableFields[Field],Columns[],8,0))</f>
        <v/>
      </c>
      <c r="J5" s="1" t="str">
        <f>IF(VLOOKUP(TableFields[Field],Columns[],9,0)=0,"","-&gt;"&amp;VLOOKUP(TableFields[Field],Columns[],9,0))</f>
        <v/>
      </c>
      <c r="K5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6" spans="1:11" x14ac:dyDescent="0.25">
      <c r="A6" s="61" t="s">
        <v>760</v>
      </c>
      <c r="B6" s="61" t="s">
        <v>994</v>
      </c>
      <c r="C6" s="61" t="str">
        <f>VLOOKUP(TableFields[Field],Columns[],2,0)&amp;"("</f>
        <v>string(</v>
      </c>
      <c r="D6" s="61" t="str">
        <f>IF(VLOOKUP(TableFields[Field],Columns[],3,0)&lt;&gt;"","'"&amp;VLOOKUP(TableFields[Field],Columns[],3,0)&amp;"'","")</f>
        <v>'code'</v>
      </c>
      <c r="E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6" s="61" t="str">
        <f>IF(VLOOKUP(TableFields[Field],Columns[],5,0)=0,"","-&gt;"&amp;VLOOKUP(TableFields[Field],Columns[],5,0))</f>
        <v>-&gt;index()</v>
      </c>
      <c r="G6" s="61" t="str">
        <f>IF(VLOOKUP(TableFields[Field],Columns[],6,0)=0,"","-&gt;"&amp;VLOOKUP(TableFields[Field],Columns[],6,0))</f>
        <v>-&gt;nullable()</v>
      </c>
      <c r="H6" s="61" t="str">
        <f>IF(VLOOKUP(TableFields[Field],Columns[],7,0)=0,"","-&gt;"&amp;VLOOKUP(TableFields[Field],Columns[],7,0))</f>
        <v/>
      </c>
      <c r="I6" s="61" t="str">
        <f>IF(VLOOKUP(TableFields[Field],Columns[],8,0)=0,"","-&gt;"&amp;VLOOKUP(TableFields[Field],Columns[],8,0))</f>
        <v/>
      </c>
      <c r="J6" s="61" t="str">
        <f>IF(VLOOKUP(TableFields[Field],Columns[],9,0)=0,"","-&gt;"&amp;VLOOKUP(TableFields[Field],Columns[],9,0))</f>
        <v/>
      </c>
      <c r="K6" s="61" t="str">
        <f>"$table-&gt;"&amp;TableFields[Type]&amp;TableFields[Name]&amp;TableFields[Arg2]&amp;TableFields[Method1]&amp;TableFields[Method2]&amp;TableFields[Method3]&amp;TableFields[Method4]&amp;TableFields[Method5]&amp;";"</f>
        <v>$table-&gt;string('code', '128')-&gt;index()-&gt;nullable();</v>
      </c>
    </row>
    <row r="7" spans="1:11" x14ac:dyDescent="0.25">
      <c r="A7" s="61" t="s">
        <v>760</v>
      </c>
      <c r="B7" s="61" t="s">
        <v>23</v>
      </c>
      <c r="C7" s="61" t="str">
        <f>VLOOKUP(TableFields[Field],Columns[],2,0)&amp;"("</f>
        <v>string(</v>
      </c>
      <c r="D7" s="61" t="str">
        <f>IF(VLOOKUP(TableFields[Field],Columns[],3,0)&lt;&gt;"","'"&amp;VLOOKUP(TableFields[Field],Columns[],3,0)&amp;"'","")</f>
        <v>'name'</v>
      </c>
      <c r="E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" s="61" t="str">
        <f>IF(VLOOKUP(TableFields[Field],Columns[],5,0)=0,"","-&gt;"&amp;VLOOKUP(TableFields[Field],Columns[],5,0))</f>
        <v>-&gt;index()</v>
      </c>
      <c r="G7" s="61" t="str">
        <f>IF(VLOOKUP(TableFields[Field],Columns[],6,0)=0,"","-&gt;"&amp;VLOOKUP(TableFields[Field],Columns[],6,0))</f>
        <v>-&gt;nullable()</v>
      </c>
      <c r="H7" s="61" t="str">
        <f>IF(VLOOKUP(TableFields[Field],Columns[],7,0)=0,"","-&gt;"&amp;VLOOKUP(TableFields[Field],Columns[],7,0))</f>
        <v/>
      </c>
      <c r="I7" s="61" t="str">
        <f>IF(VLOOKUP(TableFields[Field],Columns[],8,0)=0,"","-&gt;"&amp;VLOOKUP(TableFields[Field],Columns[],8,0))</f>
        <v/>
      </c>
      <c r="J7" s="61" t="str">
        <f>IF(VLOOKUP(TableFields[Field],Columns[],9,0)=0,"","-&gt;"&amp;VLOOKUP(TableFields[Field],Columns[],9,0))</f>
        <v/>
      </c>
      <c r="K7" s="61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8" spans="1:11" x14ac:dyDescent="0.25">
      <c r="A8" s="61" t="s">
        <v>760</v>
      </c>
      <c r="B8" s="61" t="s">
        <v>993</v>
      </c>
      <c r="C8" s="61" t="str">
        <f>VLOOKUP(TableFields[Field],Columns[],2,0)&amp;"("</f>
        <v>foreignNullable(</v>
      </c>
      <c r="D8" s="61" t="str">
        <f>IF(VLOOKUP(TableFields[Field],Columns[],3,0)&lt;&gt;"","'"&amp;VLOOKUP(TableFields[Field],Columns[],3,0)&amp;"'","")</f>
        <v>'nationality'</v>
      </c>
      <c r="E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'nationality')</v>
      </c>
      <c r="F8" s="61" t="str">
        <f>IF(VLOOKUP(TableFields[Field],Columns[],5,0)=0,"","-&gt;"&amp;VLOOKUP(TableFields[Field],Columns[],5,0))</f>
        <v/>
      </c>
      <c r="G8" s="61" t="str">
        <f>IF(VLOOKUP(TableFields[Field],Columns[],6,0)=0,"","-&gt;"&amp;VLOOKUP(TableFields[Field],Columns[],6,0))</f>
        <v/>
      </c>
      <c r="H8" s="61" t="str">
        <f>IF(VLOOKUP(TableFields[Field],Columns[],7,0)=0,"","-&gt;"&amp;VLOOKUP(TableFields[Field],Columns[],7,0))</f>
        <v/>
      </c>
      <c r="I8" s="61" t="str">
        <f>IF(VLOOKUP(TableFields[Field],Columns[],8,0)=0,"","-&gt;"&amp;VLOOKUP(TableFields[Field],Columns[],8,0))</f>
        <v/>
      </c>
      <c r="J8" s="61" t="str">
        <f>IF(VLOOKUP(TableFields[Field],Columns[],9,0)=0,"","-&gt;"&amp;VLOOKUP(TableFields[Field],Columns[],9,0))</f>
        <v/>
      </c>
      <c r="K8" s="61" t="str">
        <f>"$table-&gt;"&amp;TableFields[Type]&amp;TableFields[Name]&amp;TableFields[Arg2]&amp;TableFields[Method1]&amp;TableFields[Method2]&amp;TableFields[Method3]&amp;TableFields[Method4]&amp;TableFields[Method5]&amp;";"</f>
        <v>$table-&gt;foreignNullable('nationality', 'nationality');</v>
      </c>
    </row>
    <row r="9" spans="1:11" x14ac:dyDescent="0.25">
      <c r="A9" s="61" t="s">
        <v>760</v>
      </c>
      <c r="B9" s="61" t="s">
        <v>288</v>
      </c>
      <c r="C9" s="61" t="str">
        <f>VLOOKUP(TableFields[Field],Columns[],2,0)&amp;"("</f>
        <v>audit(</v>
      </c>
      <c r="D9" s="61" t="str">
        <f>IF(VLOOKUP(TableFields[Field],Columns[],3,0)&lt;&gt;"","'"&amp;VLOOKUP(TableFields[Field],Columns[],3,0)&amp;"'","")</f>
        <v/>
      </c>
      <c r="E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" s="61" t="str">
        <f>IF(VLOOKUP(TableFields[Field],Columns[],5,0)=0,"","-&gt;"&amp;VLOOKUP(TableFields[Field],Columns[],5,0))</f>
        <v/>
      </c>
      <c r="G9" s="61" t="str">
        <f>IF(VLOOKUP(TableFields[Field],Columns[],6,0)=0,"","-&gt;"&amp;VLOOKUP(TableFields[Field],Columns[],6,0))</f>
        <v/>
      </c>
      <c r="H9" s="61" t="str">
        <f>IF(VLOOKUP(TableFields[Field],Columns[],7,0)=0,"","-&gt;"&amp;VLOOKUP(TableFields[Field],Columns[],7,0))</f>
        <v/>
      </c>
      <c r="I9" s="61" t="str">
        <f>IF(VLOOKUP(TableFields[Field],Columns[],8,0)=0,"","-&gt;"&amp;VLOOKUP(TableFields[Field],Columns[],8,0))</f>
        <v/>
      </c>
      <c r="J9" s="61" t="str">
        <f>IF(VLOOKUP(TableFields[Field],Columns[],9,0)=0,"","-&gt;"&amp;VLOOKUP(TableFields[Field],Columns[],9,0))</f>
        <v/>
      </c>
      <c r="K9" s="6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" spans="1:11" x14ac:dyDescent="0.25">
      <c r="A10" s="61" t="s">
        <v>761</v>
      </c>
      <c r="B10" s="61" t="s">
        <v>21</v>
      </c>
      <c r="C10" s="61" t="str">
        <f>VLOOKUP(TableFields[Field],Columns[],2,0)&amp;"("</f>
        <v>bigIncrements(</v>
      </c>
      <c r="D10" s="61" t="str">
        <f>IF(VLOOKUP(TableFields[Field],Columns[],3,0)&lt;&gt;"","'"&amp;VLOOKUP(TableFields[Field],Columns[],3,0)&amp;"'","")</f>
        <v>'id'</v>
      </c>
      <c r="E1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" s="61" t="str">
        <f>IF(VLOOKUP(TableFields[Field],Columns[],5,0)=0,"","-&gt;"&amp;VLOOKUP(TableFields[Field],Columns[],5,0))</f>
        <v/>
      </c>
      <c r="G10" s="61" t="str">
        <f>IF(VLOOKUP(TableFields[Field],Columns[],6,0)=0,"","-&gt;"&amp;VLOOKUP(TableFields[Field],Columns[],6,0))</f>
        <v/>
      </c>
      <c r="H10" s="61" t="str">
        <f>IF(VLOOKUP(TableFields[Field],Columns[],7,0)=0,"","-&gt;"&amp;VLOOKUP(TableFields[Field],Columns[],7,0))</f>
        <v/>
      </c>
      <c r="I10" s="61" t="str">
        <f>IF(VLOOKUP(TableFields[Field],Columns[],8,0)=0,"","-&gt;"&amp;VLOOKUP(TableFields[Field],Columns[],8,0))</f>
        <v/>
      </c>
      <c r="J10" s="61" t="str">
        <f>IF(VLOOKUP(TableFields[Field],Columns[],9,0)=0,"","-&gt;"&amp;VLOOKUP(TableFields[Field],Columns[],9,0))</f>
        <v/>
      </c>
      <c r="K10" s="6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" spans="1:11" x14ac:dyDescent="0.25">
      <c r="A11" s="61" t="s">
        <v>761</v>
      </c>
      <c r="B11" s="61" t="s">
        <v>765</v>
      </c>
      <c r="C11" s="61" t="str">
        <f>VLOOKUP(TableFields[Field],Columns[],2,0)&amp;"("</f>
        <v>foreignNullable(</v>
      </c>
      <c r="D11" s="61" t="str">
        <f>IF(VLOOKUP(TableFields[Field],Columns[],3,0)&lt;&gt;"","'"&amp;VLOOKUP(TableFields[Field],Columns[],3,0)&amp;"'","")</f>
        <v>'maid'</v>
      </c>
      <c r="E1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'maids')</v>
      </c>
      <c r="F11" s="61" t="str">
        <f>IF(VLOOKUP(TableFields[Field],Columns[],5,0)=0,"","-&gt;"&amp;VLOOKUP(TableFields[Field],Columns[],5,0))</f>
        <v/>
      </c>
      <c r="G11" s="61" t="str">
        <f>IF(VLOOKUP(TableFields[Field],Columns[],6,0)=0,"","-&gt;"&amp;VLOOKUP(TableFields[Field],Columns[],6,0))</f>
        <v/>
      </c>
      <c r="H11" s="61" t="str">
        <f>IF(VLOOKUP(TableFields[Field],Columns[],7,0)=0,"","-&gt;"&amp;VLOOKUP(TableFields[Field],Columns[],7,0))</f>
        <v/>
      </c>
      <c r="I11" s="61" t="str">
        <f>IF(VLOOKUP(TableFields[Field],Columns[],8,0)=0,"","-&gt;"&amp;VLOOKUP(TableFields[Field],Columns[],8,0))</f>
        <v/>
      </c>
      <c r="J11" s="61" t="str">
        <f>IF(VLOOKUP(TableFields[Field],Columns[],9,0)=0,"","-&gt;"&amp;VLOOKUP(TableFields[Field],Columns[],9,0))</f>
        <v/>
      </c>
      <c r="K11" s="61" t="str">
        <f>"$table-&gt;"&amp;TableFields[Type]&amp;TableFields[Name]&amp;TableFields[Arg2]&amp;TableFields[Method1]&amp;TableFields[Method2]&amp;TableFields[Method3]&amp;TableFields[Method4]&amp;TableFields[Method5]&amp;";"</f>
        <v>$table-&gt;foreignNullable('maid', 'maids');</v>
      </c>
    </row>
    <row r="12" spans="1:11" x14ac:dyDescent="0.25">
      <c r="A12" s="61" t="s">
        <v>761</v>
      </c>
      <c r="B12" s="61" t="s">
        <v>768</v>
      </c>
      <c r="C12" s="61" t="str">
        <f>VLOOKUP(TableFields[Field],Columns[],2,0)&amp;"("</f>
        <v>date(</v>
      </c>
      <c r="D12" s="61" t="str">
        <f>IF(VLOOKUP(TableFields[Field],Columns[],3,0)&lt;&gt;"","'"&amp;VLOOKUP(TableFields[Field],Columns[],3,0)&amp;"'","")</f>
        <v>'date'</v>
      </c>
      <c r="E1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" s="61" t="str">
        <f>IF(VLOOKUP(TableFields[Field],Columns[],5,0)=0,"","-&gt;"&amp;VLOOKUP(TableFields[Field],Columns[],5,0))</f>
        <v>-&gt;index()</v>
      </c>
      <c r="G12" s="61" t="str">
        <f>IF(VLOOKUP(TableFields[Field],Columns[],6,0)=0,"","-&gt;"&amp;VLOOKUP(TableFields[Field],Columns[],6,0))</f>
        <v>-&gt;nullable()</v>
      </c>
      <c r="H12" s="61" t="str">
        <f>IF(VLOOKUP(TableFields[Field],Columns[],7,0)=0,"","-&gt;"&amp;VLOOKUP(TableFields[Field],Columns[],7,0))</f>
        <v/>
      </c>
      <c r="I12" s="61" t="str">
        <f>IF(VLOOKUP(TableFields[Field],Columns[],8,0)=0,"","-&gt;"&amp;VLOOKUP(TableFields[Field],Columns[],8,0))</f>
        <v/>
      </c>
      <c r="J12" s="61" t="str">
        <f>IF(VLOOKUP(TableFields[Field],Columns[],9,0)=0,"","-&gt;"&amp;VLOOKUP(TableFields[Field],Columns[],9,0))</f>
        <v/>
      </c>
      <c r="K12" s="61" t="str">
        <f>"$table-&gt;"&amp;TableFields[Type]&amp;TableFields[Name]&amp;TableFields[Arg2]&amp;TableFields[Method1]&amp;TableFields[Method2]&amp;TableFields[Method3]&amp;TableFields[Method4]&amp;TableFields[Method5]&amp;";"</f>
        <v>$table-&gt;date('date')-&gt;index()-&gt;nullable();</v>
      </c>
    </row>
    <row r="13" spans="1:11" x14ac:dyDescent="0.25">
      <c r="A13" s="61" t="s">
        <v>761</v>
      </c>
      <c r="B13" s="61" t="s">
        <v>775</v>
      </c>
      <c r="C13" s="61" t="str">
        <f>VLOOKUP(TableFields[Field],Columns[],2,0)&amp;"("</f>
        <v>unsignedMediumInteger(</v>
      </c>
      <c r="D13" s="61" t="str">
        <f>IF(VLOOKUP(TableFields[Field],Columns[],3,0)&lt;&gt;"","'"&amp;VLOOKUP(TableFields[Field],Columns[],3,0)&amp;"'","")</f>
        <v>'hours'</v>
      </c>
      <c r="E1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" s="61" t="str">
        <f>IF(VLOOKUP(TableFields[Field],Columns[],5,0)=0,"","-&gt;"&amp;VLOOKUP(TableFields[Field],Columns[],5,0))</f>
        <v>-&gt;index()</v>
      </c>
      <c r="G13" s="61" t="str">
        <f>IF(VLOOKUP(TableFields[Field],Columns[],6,0)=0,"","-&gt;"&amp;VLOOKUP(TableFields[Field],Columns[],6,0))</f>
        <v>-&gt;default(0)</v>
      </c>
      <c r="H13" s="61" t="str">
        <f>IF(VLOOKUP(TableFields[Field],Columns[],7,0)=0,"","-&gt;"&amp;VLOOKUP(TableFields[Field],Columns[],7,0))</f>
        <v>-&gt;nullable()</v>
      </c>
      <c r="I13" s="61" t="str">
        <f>IF(VLOOKUP(TableFields[Field],Columns[],8,0)=0,"","-&gt;"&amp;VLOOKUP(TableFields[Field],Columns[],8,0))</f>
        <v/>
      </c>
      <c r="J13" s="61" t="str">
        <f>IF(VLOOKUP(TableFields[Field],Columns[],9,0)=0,"","-&gt;"&amp;VLOOKUP(TableFields[Field],Columns[],9,0))</f>
        <v/>
      </c>
      <c r="K13" s="61" t="str">
        <f>"$table-&gt;"&amp;TableFields[Type]&amp;TableFields[Name]&amp;TableFields[Arg2]&amp;TableFields[Method1]&amp;TableFields[Method2]&amp;TableFields[Method3]&amp;TableFields[Method4]&amp;TableFields[Method5]&amp;";"</f>
        <v>$table-&gt;unsignedMediumInteger('hours')-&gt;index()-&gt;default(0)-&gt;nullable();</v>
      </c>
    </row>
    <row r="14" spans="1:11" x14ac:dyDescent="0.25">
      <c r="A14" s="61" t="s">
        <v>761</v>
      </c>
      <c r="B14" s="61" t="s">
        <v>776</v>
      </c>
      <c r="C14" s="61" t="str">
        <f>VLOOKUP(TableFields[Field],Columns[],2,0)&amp;"("</f>
        <v>unsignedMediumInteger(</v>
      </c>
      <c r="D14" s="61" t="str">
        <f>IF(VLOOKUP(TableFields[Field],Columns[],3,0)&lt;&gt;"","'"&amp;VLOOKUP(TableFields[Field],Columns[],3,0)&amp;"'","")</f>
        <v>'amount'</v>
      </c>
      <c r="E1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" s="61" t="str">
        <f>IF(VLOOKUP(TableFields[Field],Columns[],5,0)=0,"","-&gt;"&amp;VLOOKUP(TableFields[Field],Columns[],5,0))</f>
        <v>-&gt;index()</v>
      </c>
      <c r="G14" s="61" t="str">
        <f>IF(VLOOKUP(TableFields[Field],Columns[],6,0)=0,"","-&gt;"&amp;VLOOKUP(TableFields[Field],Columns[],6,0))</f>
        <v>-&gt;default(0)</v>
      </c>
      <c r="H14" s="61" t="str">
        <f>IF(VLOOKUP(TableFields[Field],Columns[],7,0)=0,"","-&gt;"&amp;VLOOKUP(TableFields[Field],Columns[],7,0))</f>
        <v>-&gt;nullable()</v>
      </c>
      <c r="I14" s="61" t="str">
        <f>IF(VLOOKUP(TableFields[Field],Columns[],8,0)=0,"","-&gt;"&amp;VLOOKUP(TableFields[Field],Columns[],8,0))</f>
        <v/>
      </c>
      <c r="J14" s="61" t="str">
        <f>IF(VLOOKUP(TableFields[Field],Columns[],9,0)=0,"","-&gt;"&amp;VLOOKUP(TableFields[Field],Columns[],9,0))</f>
        <v/>
      </c>
      <c r="K14" s="61" t="str">
        <f>"$table-&gt;"&amp;TableFields[Type]&amp;TableFields[Name]&amp;TableFields[Arg2]&amp;TableFields[Method1]&amp;TableFields[Method2]&amp;TableFields[Method3]&amp;TableFields[Method4]&amp;TableFields[Method5]&amp;";"</f>
        <v>$table-&gt;unsignedMediumInteger('amount')-&gt;index()-&gt;default(0)-&gt;nullable();</v>
      </c>
    </row>
    <row r="15" spans="1:11" x14ac:dyDescent="0.25">
      <c r="A15" s="61" t="s">
        <v>761</v>
      </c>
      <c r="B15" s="61" t="s">
        <v>769</v>
      </c>
      <c r="C15" s="61" t="str">
        <f>VLOOKUP(TableFields[Field],Columns[],2,0)&amp;"("</f>
        <v>unsignedMediumInteger(</v>
      </c>
      <c r="D15" s="61" t="str">
        <f>IF(VLOOKUP(TableFields[Field],Columns[],3,0)&lt;&gt;"","'"&amp;VLOOKUP(TableFields[Field],Columns[],3,0)&amp;"'","")</f>
        <v>'year'</v>
      </c>
      <c r="E1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" s="61" t="str">
        <f>IF(VLOOKUP(TableFields[Field],Columns[],5,0)=0,"","-&gt;"&amp;VLOOKUP(TableFields[Field],Columns[],5,0))</f>
        <v>-&gt;index()</v>
      </c>
      <c r="G15" s="61" t="str">
        <f>IF(VLOOKUP(TableFields[Field],Columns[],6,0)=0,"","-&gt;"&amp;VLOOKUP(TableFields[Field],Columns[],6,0))</f>
        <v>-&gt;default(2019)</v>
      </c>
      <c r="H15" s="61" t="str">
        <f>IF(VLOOKUP(TableFields[Field],Columns[],7,0)=0,"","-&gt;"&amp;VLOOKUP(TableFields[Field],Columns[],7,0))</f>
        <v>-&gt;nullable()</v>
      </c>
      <c r="I15" s="61" t="str">
        <f>IF(VLOOKUP(TableFields[Field],Columns[],8,0)=0,"","-&gt;"&amp;VLOOKUP(TableFields[Field],Columns[],8,0))</f>
        <v/>
      </c>
      <c r="J15" s="61" t="str">
        <f>IF(VLOOKUP(TableFields[Field],Columns[],9,0)=0,"","-&gt;"&amp;VLOOKUP(TableFields[Field],Columns[],9,0))</f>
        <v/>
      </c>
      <c r="K15" s="61" t="str">
        <f>"$table-&gt;"&amp;TableFields[Type]&amp;TableFields[Name]&amp;TableFields[Arg2]&amp;TableFields[Method1]&amp;TableFields[Method2]&amp;TableFields[Method3]&amp;TableFields[Method4]&amp;TableFields[Method5]&amp;";"</f>
        <v>$table-&gt;unsignedMediumInteger('year')-&gt;index()-&gt;default(2019)-&gt;nullable();</v>
      </c>
    </row>
    <row r="16" spans="1:11" x14ac:dyDescent="0.25">
      <c r="A16" s="61" t="s">
        <v>761</v>
      </c>
      <c r="B16" s="61" t="s">
        <v>771</v>
      </c>
      <c r="C16" s="61" t="str">
        <f>VLOOKUP(TableFields[Field],Columns[],2,0)&amp;"("</f>
        <v>unsignedTinyInteger(</v>
      </c>
      <c r="D16" s="61" t="str">
        <f>IF(VLOOKUP(TableFields[Field],Columns[],3,0)&lt;&gt;"","'"&amp;VLOOKUP(TableFields[Field],Columns[],3,0)&amp;"'","")</f>
        <v>'month'</v>
      </c>
      <c r="E1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" s="61" t="str">
        <f>IF(VLOOKUP(TableFields[Field],Columns[],5,0)=0,"","-&gt;"&amp;VLOOKUP(TableFields[Field],Columns[],5,0))</f>
        <v>-&gt;index()</v>
      </c>
      <c r="G16" s="61" t="str">
        <f>IF(VLOOKUP(TableFields[Field],Columns[],6,0)=0,"","-&gt;"&amp;VLOOKUP(TableFields[Field],Columns[],6,0))</f>
        <v>-&gt;default(1)</v>
      </c>
      <c r="H16" s="61" t="str">
        <f>IF(VLOOKUP(TableFields[Field],Columns[],7,0)=0,"","-&gt;"&amp;VLOOKUP(TableFields[Field],Columns[],7,0))</f>
        <v>-&gt;nullable()</v>
      </c>
      <c r="I16" s="61" t="str">
        <f>IF(VLOOKUP(TableFields[Field],Columns[],8,0)=0,"","-&gt;"&amp;VLOOKUP(TableFields[Field],Columns[],8,0))</f>
        <v/>
      </c>
      <c r="J16" s="61" t="str">
        <f>IF(VLOOKUP(TableFields[Field],Columns[],9,0)=0,"","-&gt;"&amp;VLOOKUP(TableFields[Field],Columns[],9,0))</f>
        <v/>
      </c>
      <c r="K16" s="61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$table-&gt;unsignedTinyInteger('month')-&gt;index()-&gt;default(1)-&gt;nullable();</v>
      </c>
    </row>
    <row r="17" spans="1:11" x14ac:dyDescent="0.25">
      <c r="A17" s="61" t="s">
        <v>761</v>
      </c>
      <c r="B17" s="61" t="s">
        <v>773</v>
      </c>
      <c r="C17" s="61" t="str">
        <f>VLOOKUP(TableFields[Field],Columns[],2,0)&amp;"("</f>
        <v>unsignedTinyInteger(</v>
      </c>
      <c r="D17" s="61" t="str">
        <f>IF(VLOOKUP(TableFields[Field],Columns[],3,0)&lt;&gt;"","'"&amp;VLOOKUP(TableFields[Field],Columns[],3,0)&amp;"'","")</f>
        <v>'week'</v>
      </c>
      <c r="E1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" s="61" t="str">
        <f>IF(VLOOKUP(TableFields[Field],Columns[],5,0)=0,"","-&gt;"&amp;VLOOKUP(TableFields[Field],Columns[],5,0))</f>
        <v>-&gt;index()</v>
      </c>
      <c r="G17" s="61" t="str">
        <f>IF(VLOOKUP(TableFields[Field],Columns[],6,0)=0,"","-&gt;"&amp;VLOOKUP(TableFields[Field],Columns[],6,0))</f>
        <v>-&gt;default(1)</v>
      </c>
      <c r="H17" s="61" t="str">
        <f>IF(VLOOKUP(TableFields[Field],Columns[],7,0)=0,"","-&gt;"&amp;VLOOKUP(TableFields[Field],Columns[],7,0))</f>
        <v>-&gt;nullable()</v>
      </c>
      <c r="I17" s="61" t="str">
        <f>IF(VLOOKUP(TableFields[Field],Columns[],8,0)=0,"","-&gt;"&amp;VLOOKUP(TableFields[Field],Columns[],8,0))</f>
        <v/>
      </c>
      <c r="J17" s="61" t="str">
        <f>IF(VLOOKUP(TableFields[Field],Columns[],9,0)=0,"","-&gt;"&amp;VLOOKUP(TableFields[Field],Columns[],9,0))</f>
        <v/>
      </c>
      <c r="K17" s="61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$table-&gt;unsignedTinyInteger('week')-&gt;index()-&gt;default(1)-&gt;nullable();</v>
      </c>
    </row>
    <row r="18" spans="1:11" x14ac:dyDescent="0.25">
      <c r="A18" s="61" t="s">
        <v>761</v>
      </c>
      <c r="B18" s="61" t="s">
        <v>774</v>
      </c>
      <c r="C18" s="61" t="str">
        <f>VLOOKUP(TableFields[Field],Columns[],2,0)&amp;"("</f>
        <v>unsignedMediumInteger(</v>
      </c>
      <c r="D18" s="61" t="str">
        <f>IF(VLOOKUP(TableFields[Field],Columns[],3,0)&lt;&gt;"","'"&amp;VLOOKUP(TableFields[Field],Columns[],3,0)&amp;"'","")</f>
        <v>'day'</v>
      </c>
      <c r="E1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" s="61" t="str">
        <f>IF(VLOOKUP(TableFields[Field],Columns[],5,0)=0,"","-&gt;"&amp;VLOOKUP(TableFields[Field],Columns[],5,0))</f>
        <v>-&gt;index()</v>
      </c>
      <c r="G18" s="61" t="str">
        <f>IF(VLOOKUP(TableFields[Field],Columns[],6,0)=0,"","-&gt;"&amp;VLOOKUP(TableFields[Field],Columns[],6,0))</f>
        <v>-&gt;default(0)</v>
      </c>
      <c r="H18" s="61" t="str">
        <f>IF(VLOOKUP(TableFields[Field],Columns[],7,0)=0,"","-&gt;"&amp;VLOOKUP(TableFields[Field],Columns[],7,0))</f>
        <v>-&gt;nullable()</v>
      </c>
      <c r="I18" s="61" t="str">
        <f>IF(VLOOKUP(TableFields[Field],Columns[],8,0)=0,"","-&gt;"&amp;VLOOKUP(TableFields[Field],Columns[],8,0))</f>
        <v/>
      </c>
      <c r="J18" s="61" t="str">
        <f>IF(VLOOKUP(TableFields[Field],Columns[],9,0)=0,"","-&gt;"&amp;VLOOKUP(TableFields[Field],Columns[],9,0))</f>
        <v/>
      </c>
      <c r="K18" s="61" t="str">
        <f>"$table-&gt;"&amp;TableFields[Type]&amp;TableFields[Name]&amp;TableFields[Arg2]&amp;TableFields[Method1]&amp;TableFields[Method2]&amp;TableFields[Method3]&amp;TableFields[Method4]&amp;TableFields[Method5]&amp;";"</f>
        <v>$table-&gt;unsignedMediumInteger('day')-&gt;index()-&gt;default(0)-&gt;nullable();</v>
      </c>
    </row>
    <row r="19" spans="1:11" x14ac:dyDescent="0.25">
      <c r="A19" s="61" t="s">
        <v>761</v>
      </c>
      <c r="B19" s="61" t="s">
        <v>288</v>
      </c>
      <c r="C19" s="61" t="str">
        <f>VLOOKUP(TableFields[Field],Columns[],2,0)&amp;"("</f>
        <v>audit(</v>
      </c>
      <c r="D19" s="61" t="str">
        <f>IF(VLOOKUP(TableFields[Field],Columns[],3,0)&lt;&gt;"","'"&amp;VLOOKUP(TableFields[Field],Columns[],3,0)&amp;"'","")</f>
        <v/>
      </c>
      <c r="E1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" s="61" t="str">
        <f>IF(VLOOKUP(TableFields[Field],Columns[],5,0)=0,"","-&gt;"&amp;VLOOKUP(TableFields[Field],Columns[],5,0))</f>
        <v/>
      </c>
      <c r="G19" s="61" t="str">
        <f>IF(VLOOKUP(TableFields[Field],Columns[],6,0)=0,"","-&gt;"&amp;VLOOKUP(TableFields[Field],Columns[],6,0))</f>
        <v/>
      </c>
      <c r="H19" s="61" t="str">
        <f>IF(VLOOKUP(TableFields[Field],Columns[],7,0)=0,"","-&gt;"&amp;VLOOKUP(TableFields[Field],Columns[],7,0))</f>
        <v/>
      </c>
      <c r="I19" s="61" t="str">
        <f>IF(VLOOKUP(TableFields[Field],Columns[],8,0)=0,"","-&gt;"&amp;VLOOKUP(TableFields[Field],Columns[],8,0))</f>
        <v/>
      </c>
      <c r="J19" s="61" t="str">
        <f>IF(VLOOKUP(TableFields[Field],Columns[],9,0)=0,"","-&gt;"&amp;VLOOKUP(TableFields[Field],Columns[],9,0))</f>
        <v/>
      </c>
      <c r="K19" s="6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61" spans="1:11" s="20" customFormat="1" x14ac:dyDescent="0.25">
      <c r="A61"/>
      <c r="B61"/>
      <c r="C61"/>
      <c r="D61"/>
      <c r="E61"/>
      <c r="F61"/>
      <c r="G61"/>
      <c r="H61"/>
      <c r="I61"/>
      <c r="J61"/>
      <c r="K61"/>
    </row>
    <row r="306" spans="1:11" s="20" customFormat="1" x14ac:dyDescent="0.25">
      <c r="A306"/>
      <c r="B306"/>
      <c r="C306"/>
      <c r="D306"/>
      <c r="E306"/>
      <c r="F306"/>
      <c r="G306"/>
      <c r="H306"/>
      <c r="I306"/>
      <c r="J306"/>
      <c r="K306"/>
    </row>
    <row r="332" spans="1:11" s="20" customFormat="1" x14ac:dyDescent="0.25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 x14ac:dyDescent="0.25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 x14ac:dyDescent="0.25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 x14ac:dyDescent="0.25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 x14ac:dyDescent="0.25">
      <c r="A360"/>
      <c r="B360"/>
      <c r="C360"/>
      <c r="D360"/>
      <c r="E360"/>
      <c r="F360"/>
      <c r="G360"/>
      <c r="H360"/>
      <c r="I360"/>
      <c r="J360"/>
      <c r="K360"/>
    </row>
  </sheetData>
  <dataConsolidate/>
  <dataValidations count="2">
    <dataValidation type="list" allowBlank="1" showInputMessage="1" showErrorMessage="1" sqref="B2:B19">
      <formula1>AvailableFields</formula1>
    </dataValidation>
    <dataValidation type="list" allowBlank="1" showInputMessage="1" showErrorMessage="1" sqref="A2:A19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B1" workbookViewId="0">
      <selection activeCell="B17" sqref="B17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Groups-0</v>
      </c>
      <c r="B2" s="13" t="s">
        <v>76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Roles-0</v>
      </c>
      <c r="B3" s="68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" s="68" t="s">
        <v>23</v>
      </c>
      <c r="E3" s="68" t="s">
        <v>24</v>
      </c>
      <c r="F3" s="68" t="s">
        <v>25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x14ac:dyDescent="0.25">
      <c r="A4" s="60" t="str">
        <f>TableData[Table Name]&amp;"-"&amp;(COUNTIF($B$1:TableData[[#This Row],[Table Name]],TableData[[#This Row],[Table Name]])-1)</f>
        <v>Group Roles-0</v>
      </c>
      <c r="B4" s="68" t="s">
        <v>93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" s="68" t="s">
        <v>63</v>
      </c>
      <c r="E4" s="68" t="s">
        <v>65</v>
      </c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</row>
    <row r="5" spans="1:18" x14ac:dyDescent="0.25">
      <c r="A5" s="60" t="str">
        <f>TableData[Table Name]&amp;"-"&amp;(COUNTIF($B$1:TableData[[#This Row],[Table Name]],TableData[[#This Row],[Table Name]])-1)</f>
        <v>Users-0</v>
      </c>
      <c r="B5" s="68" t="s">
        <v>78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" s="68" t="s">
        <v>23</v>
      </c>
      <c r="E5" s="68" t="s">
        <v>894</v>
      </c>
      <c r="F5" s="68" t="s">
        <v>895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</row>
    <row r="6" spans="1:18" x14ac:dyDescent="0.25">
      <c r="A6" s="60" t="str">
        <f>TableData[Table Name]&amp;"-"&amp;(COUNTIF($B$1:TableData[[#This Row],[Table Name]],TableData[[#This Row],[Table Name]])-1)</f>
        <v>Group Users-0</v>
      </c>
      <c r="B6" s="68" t="s">
        <v>756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8" t="s">
        <v>63</v>
      </c>
      <c r="E6" s="68" t="s">
        <v>64</v>
      </c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</row>
    <row r="7" spans="1:18" x14ac:dyDescent="0.25">
      <c r="A7" s="60" t="str">
        <f>TableData[Table Name]&amp;"-"&amp;(COUNTIF($B$1:TableData[[#This Row],[Table Name]],TableData[[#This Row],[Table Name]])-1)</f>
        <v>Resource Roles-0</v>
      </c>
      <c r="B7" s="68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7" s="68" t="s">
        <v>22</v>
      </c>
      <c r="E7" s="68" t="s">
        <v>65</v>
      </c>
      <c r="F7" s="68" t="s">
        <v>896</v>
      </c>
      <c r="G7" s="68" t="s">
        <v>897</v>
      </c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</row>
    <row r="8" spans="1:18" x14ac:dyDescent="0.25">
      <c r="A8" s="60" t="str">
        <f>TableData[Table Name]&amp;"-"&amp;(COUNTIF($B$1:TableData[[#This Row],[Table Name]],TableData[[#This Row],[Table Name]])-1)</f>
        <v>Groups-1</v>
      </c>
      <c r="B8" s="68" t="s">
        <v>76</v>
      </c>
      <c r="C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555201</v>
      </c>
      <c r="D8" s="68" t="s">
        <v>898</v>
      </c>
      <c r="E8" s="13" t="s">
        <v>960</v>
      </c>
      <c r="F8" s="13" t="s">
        <v>960</v>
      </c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</row>
    <row r="9" spans="1:18" x14ac:dyDescent="0.25">
      <c r="A9" s="60" t="str">
        <f>TableData[Table Name]&amp;"-"&amp;(COUNTIF($B$1:TableData[[#This Row],[Table Name]],TableData[[#This Row],[Table Name]])-1)</f>
        <v>Groups-2</v>
      </c>
      <c r="B9" s="68" t="s">
        <v>76</v>
      </c>
      <c r="C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555202</v>
      </c>
      <c r="D9" s="68" t="s">
        <v>899</v>
      </c>
      <c r="E9" s="13" t="s">
        <v>900</v>
      </c>
      <c r="F9" s="13" t="s">
        <v>900</v>
      </c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18" x14ac:dyDescent="0.25">
      <c r="A10" s="60" t="str">
        <f>TableData[Table Name]&amp;"-"&amp;(COUNTIF($B$1:TableData[[#This Row],[Table Name]],TableData[[#This Row],[Table Name]])-1)</f>
        <v>Roles-1</v>
      </c>
      <c r="B10" s="68" t="s">
        <v>79</v>
      </c>
      <c r="C1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555401</v>
      </c>
      <c r="D10" s="68" t="s">
        <v>898</v>
      </c>
      <c r="E10" s="13" t="s">
        <v>960</v>
      </c>
      <c r="F10" s="13" t="s">
        <v>960</v>
      </c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</row>
    <row r="11" spans="1:18" x14ac:dyDescent="0.25">
      <c r="A11" s="60" t="str">
        <f>TableData[Table Name]&amp;"-"&amp;(COUNTIF($B$1:TableData[[#This Row],[Table Name]],TableData[[#This Row],[Table Name]])-1)</f>
        <v>Roles-2</v>
      </c>
      <c r="B11" s="68" t="s">
        <v>79</v>
      </c>
      <c r="C1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555402</v>
      </c>
      <c r="D11" s="68" t="s">
        <v>899</v>
      </c>
      <c r="E11" s="13" t="s">
        <v>900</v>
      </c>
      <c r="F11" s="13" t="s">
        <v>900</v>
      </c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</row>
    <row r="12" spans="1:18" x14ac:dyDescent="0.25">
      <c r="A12" s="60" t="str">
        <f>TableData[Table Name]&amp;"-"&amp;(COUNTIF($B$1:TableData[[#This Row],[Table Name]],TableData[[#This Row],[Table Name]])-1)</f>
        <v>Group Roles-1</v>
      </c>
      <c r="B12" s="68" t="s">
        <v>93</v>
      </c>
      <c r="C1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555501</v>
      </c>
      <c r="D12" s="68">
        <v>555201</v>
      </c>
      <c r="E12" s="68">
        <v>555401</v>
      </c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</row>
    <row r="13" spans="1:18" x14ac:dyDescent="0.25">
      <c r="A13" s="60" t="str">
        <f>TableData[Table Name]&amp;"-"&amp;(COUNTIF($B$1:TableData[[#This Row],[Table Name]],TableData[[#This Row],[Table Name]])-1)</f>
        <v>Group Roles-2</v>
      </c>
      <c r="B13" s="68" t="s">
        <v>93</v>
      </c>
      <c r="C1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555502</v>
      </c>
      <c r="D13" s="68">
        <v>555202</v>
      </c>
      <c r="E13" s="68">
        <v>555402</v>
      </c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</row>
    <row r="14" spans="1:18" x14ac:dyDescent="0.25">
      <c r="A14" s="60" t="str">
        <f>TableData[Table Name]&amp;"-"&amp;(COUNTIF($B$1:TableData[[#This Row],[Table Name]],TableData[[#This Row],[Table Name]])-1)</f>
        <v>Resource Roles-1</v>
      </c>
      <c r="B14" s="68" t="s">
        <v>94</v>
      </c>
      <c r="C1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555701</v>
      </c>
      <c r="D14" s="68">
        <v>555601</v>
      </c>
      <c r="E14" s="68">
        <v>555401</v>
      </c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</row>
    <row r="15" spans="1:18" x14ac:dyDescent="0.25">
      <c r="A15" s="60" t="str">
        <f>TableData[Table Name]&amp;"-"&amp;(COUNTIF($B$1:TableData[[#This Row],[Table Name]],TableData[[#This Row],[Table Name]])-1)</f>
        <v>Resource Roles-2</v>
      </c>
      <c r="B15" s="68" t="s">
        <v>94</v>
      </c>
      <c r="C1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555702</v>
      </c>
      <c r="D15" s="68">
        <v>555602</v>
      </c>
      <c r="E15" s="68">
        <v>555402</v>
      </c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</row>
    <row r="16" spans="1:18" x14ac:dyDescent="0.25">
      <c r="A16" s="15" t="str">
        <f>TableData[Table Name]&amp;"-"&amp;(COUNTIF($B$1:TableData[[#This Row],[Table Name]],TableData[[#This Row],[Table Name]])-1)</f>
        <v>Resource Roles-3</v>
      </c>
      <c r="B16" s="13" t="s">
        <v>94</v>
      </c>
      <c r="C1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555703</v>
      </c>
      <c r="D16" s="68">
        <v>555603</v>
      </c>
      <c r="E16" s="68">
        <v>555402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x14ac:dyDescent="0.25">
      <c r="A17" s="60" t="str">
        <f>TableData[Table Name]&amp;"-"&amp;(COUNTIF($B$1:TableData[[#This Row],[Table Name]],TableData[[#This Row],[Table Name]])-1)</f>
        <v>Resource Roles-4</v>
      </c>
      <c r="B17" s="13" t="s">
        <v>94</v>
      </c>
      <c r="C1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555704</v>
      </c>
      <c r="D17" s="68">
        <v>555604</v>
      </c>
      <c r="E17" s="68">
        <v>555402</v>
      </c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4" workbookViewId="0">
      <selection activeCell="H45" sqref="H45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755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555100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AUTO_INCREMENT=555101');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555100');\DB::statement('ALTER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555200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AUTO_INCREMENT=555201');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555200');\DB::statement('ALTER TABLE `__groups` AUTO_INCREMENT=1');</v>
      </c>
    </row>
    <row r="4" spans="1:11" x14ac:dyDescent="0.25">
      <c r="A4" s="5" t="s">
        <v>756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555300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AUTO_INCREMENT=555301');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555300');\DB::statement('ALTER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555400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AUTO_INCREMENT=555401');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555400');\DB::statement('ALTER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555500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AUTO_INCREMENT=555501');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555500');\DB::statement('ALTER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555600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AUTO_INCREMENT=555601');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555600');\DB::statement('ALTER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555700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AUTO_INCREMENT=555701');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555700');\DB::statement('ALTER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555800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AUTO_INCREMENT=555801');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555800');\DB::statement('ALTER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555900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AUTO_INCREMENT=555901');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555900');\DB::statement('ALTER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556000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AUTO_INCREMENT=556001');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556000');\DB::statement('ALTER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556100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AUTO_INCREMENT=556101');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556100');\DB::statement('ALTER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556200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AUTO_INCREMENT=556201');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556200');\DB::statement('ALTER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556300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AUTO_INCREMENT=556301');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556300');\DB::statement('ALTER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556400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AUTO_INCREMENT=556401');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556400');\DB::statement('ALTER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556500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AUTO_INCREMENT=556501');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556500');\DB::statement('ALTER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556600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AUTO_INCREMENT=556601');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556600');\DB::statement('ALTER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556700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AUTO_INCREMENT=556701');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556700');\DB::statement('ALTER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556800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AUTO_INCREMENT=556801');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556800');\DB::statement('ALTER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556900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AUTO_INCREMENT=556901');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556900');\DB::statement('ALTER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557000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AUTO_INCREMENT=557001');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557000');\DB::statement('ALTER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557100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AUTO_INCREMENT=557101');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557100');\DB::statement('ALTER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557200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AUTO_INCREMENT=557201');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557200');\DB::statement('ALTER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557300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AUTO_INCREMENT=557301');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557300');\DB::statement('ALTER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557400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AUTO_INCREMENT=557401');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557400');\DB::statement('ALTER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557500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AUTO_INCREMENT=557501');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557500');\DB::statement('ALTER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557600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AUTO_INCREMENT=557601');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557600');\DB::statement('ALTER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557700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AUTO_INCREMENT=557701');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557700');\DB::statement('ALTER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557800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AUTO_INCREMENT=557801');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557800');\DB::statement('ALTER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557900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AUTO_INCREMENT=557901');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557900');\DB::statement('ALTER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558000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AUTO_INCREMENT=558001');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558000');\DB::statement('ALTER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558100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AUTO_INCREMENT=558101');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558100');\DB::statement('ALTER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558200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AUTO_INCREMENT=558201');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558200');\DB::statement('ALTER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558300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AUTO_INCREMENT=558301');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558300');\DB::statement('ALTER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757</v>
      </c>
      <c r="G35" s="11">
        <v>1</v>
      </c>
      <c r="H35" s="6" t="s">
        <v>753</v>
      </c>
      <c r="I35" s="11">
        <v>558400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AUTO_INCREMENT=558401');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558400');\DB::statement('ALTER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558500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AUTO_INCREMENT=558501');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558500');\DB::statement('ALTER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558600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AUTO_INCREMENT=558601');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558600');\DB::statement('ALTER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558700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AUTO_INCREMENT=558701');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558700');\DB::statement('ALTER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558800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AUTO_INCREMENT=558801');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558800');\DB::statement('ALTER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558900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AUTO_INCREMENT=558901');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558900');\DB::statement('ALTER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559000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AUTO_INCREMENT=559001');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559000');\DB::statement('ALTER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559100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AUTO_INCREMENT=559101');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559100');\DB::statement('ALTER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559200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AUTO_INCREMENT=559201');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559200');\DB::statement('ALTER TABLE `__resource_dashboard_section_items` AUTO_INCREMENT=1');</v>
      </c>
    </row>
    <row r="44" spans="1:11" x14ac:dyDescent="0.25">
      <c r="A44" s="61" t="s">
        <v>989</v>
      </c>
      <c r="B44" s="5" t="s">
        <v>985</v>
      </c>
      <c r="C44" s="83" t="str">
        <f>VLOOKUP(SeedMap[Table Name],Tables[],4,0)</f>
        <v>App\Model</v>
      </c>
      <c r="D44" s="83" t="str">
        <f>VLOOKUP(SeedMap[Table Name],Tables[],5,0)</f>
        <v>Nationality</v>
      </c>
      <c r="E44" s="1" t="s">
        <v>161</v>
      </c>
      <c r="F44" s="1" t="s">
        <v>341</v>
      </c>
      <c r="G44" s="11">
        <v>2</v>
      </c>
      <c r="H44" s="6" t="s">
        <v>780</v>
      </c>
      <c r="I44" s="64"/>
      <c r="J44" s="62" t="str">
        <f>IF(ISNUMBER(SeedMap[Last ID]),"\DB::statement('ALTER TABLE `" &amp;VLOOKUP(SeedMap[[#This Row],[Table Name]],Tables[[Name]:[Table]],2,0) &amp; "`  AUTO_INCREMENT=" &amp; SeedMap[Last ID]+1&amp;"');","")</f>
        <v/>
      </c>
      <c r="K44" s="62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61" t="s">
        <v>781</v>
      </c>
      <c r="B45" s="5" t="s">
        <v>760</v>
      </c>
      <c r="C45" s="61" t="str">
        <f>VLOOKUP(SeedMap[Table Name],Tables[],4,0)</f>
        <v>App\Model</v>
      </c>
      <c r="D45" s="61" t="str">
        <f>VLOOKUP(SeedMap[Table Name],Tables[],5,0)</f>
        <v>Maid</v>
      </c>
      <c r="E45" s="1" t="s">
        <v>161</v>
      </c>
      <c r="F45" s="1" t="s">
        <v>341</v>
      </c>
      <c r="G45" s="11">
        <v>2</v>
      </c>
      <c r="H45" s="6" t="s">
        <v>780</v>
      </c>
      <c r="I45" s="64"/>
      <c r="J45" s="62" t="str">
        <f>IF(ISNUMBER(SeedMap[Last ID]),"\DB::statement('ALTER TABLE `" &amp;VLOOKUP(SeedMap[[#This Row],[Table Name]],Tables[[Name]:[Table]],2,0) &amp; "`  AUTO_INCREMENT=" &amp; SeedMap[Last ID]+1&amp;"');","")</f>
        <v/>
      </c>
      <c r="K45" s="62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61" t="s">
        <v>782</v>
      </c>
      <c r="B46" s="5" t="s">
        <v>761</v>
      </c>
      <c r="C46" s="61" t="str">
        <f>VLOOKUP(SeedMap[Table Name],Tables[],4,0)</f>
        <v>App\Model</v>
      </c>
      <c r="D46" s="61" t="str">
        <f>VLOOKUP(SeedMap[Table Name],Tables[],5,0)</f>
        <v>MaidJob</v>
      </c>
      <c r="E46" s="1" t="s">
        <v>161</v>
      </c>
      <c r="F46" s="1" t="s">
        <v>341</v>
      </c>
      <c r="G46" s="11">
        <v>2</v>
      </c>
      <c r="H46" s="6" t="s">
        <v>780</v>
      </c>
      <c r="I46" s="64"/>
      <c r="J46" s="62" t="str">
        <f>IF(ISNUMBER(SeedMap[Last ID]),"\DB::statement('ALTER TABLE `" &amp;VLOOKUP(SeedMap[[#This Row],[Table Name]],Tables[[Name]:[Table]],2,0) &amp; "`  AUTO_INCREMENT=" &amp; SeedMap[Last ID]+1&amp;"');","")</f>
        <v/>
      </c>
      <c r="K46" s="62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46">
      <formula1>TableNames</formula1>
    </dataValidation>
    <dataValidation type="list" allowBlank="1" showInputMessage="1" showErrorMessage="1" sqref="H2:H46">
      <formula1>"truncate,query"</formula1>
    </dataValidation>
  </dataValidations>
  <pageMargins left="0.7" right="0.7" top="0.75" bottom="0.75" header="0.3" footer="0.3"/>
  <pageSetup paperSize="9" orientation="portrait" horizontalDpi="4294967293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abSelected="1" workbookViewId="0">
      <selection activeCell="B6" sqref="B6:R19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91" t="s">
        <v>177</v>
      </c>
      <c r="B1" s="91"/>
      <c r="C1" s="91"/>
      <c r="D1" s="91"/>
      <c r="E1" s="92" t="str">
        <f>"\"&amp;VLOOKUP($A$1,SeedMap[],3,0)&amp;"\"&amp;VLOOKUP($A$1,SeedMap[],4,0)&amp;"::"&amp;VLOOKUP($A$1,SeedMap[],8,0)&amp;"()"</f>
        <v>\Milestone\Appframe\Model\ResourceFormFieldValidation::query()</v>
      </c>
      <c r="F1" s="92"/>
      <c r="G1" s="92"/>
      <c r="H1" s="92"/>
      <c r="I1" s="93" t="s">
        <v>73</v>
      </c>
      <c r="J1" s="93"/>
      <c r="K1" s="93"/>
      <c r="L1" s="93"/>
      <c r="M1" s="93"/>
      <c r="N1" s="93"/>
      <c r="O1" s="93"/>
      <c r="P1" s="93"/>
      <c r="Q1" s="93"/>
      <c r="R1" s="93"/>
      <c r="S1" s="23" t="str">
        <f>""</f>
        <v/>
      </c>
      <c r="T1" s="10"/>
    </row>
    <row r="2" spans="1:20" s="28" customFormat="1" ht="15" customHeight="1" x14ac:dyDescent="0.25">
      <c r="A2" s="91"/>
      <c r="B2" s="91"/>
      <c r="C2" s="91"/>
      <c r="D2" s="91"/>
      <c r="E2" s="92" t="str">
        <f>VLOOKUP($A$1,SeedMap[],5,0)</f>
        <v>FieldValidations</v>
      </c>
      <c r="F2" s="92"/>
      <c r="G2" s="92"/>
      <c r="H2" s="92"/>
      <c r="I2" s="93" t="s">
        <v>72</v>
      </c>
      <c r="J2" s="93"/>
      <c r="K2" s="93"/>
      <c r="L2" s="93"/>
      <c r="M2" s="93"/>
      <c r="N2" s="93"/>
      <c r="O2" s="93"/>
      <c r="P2" s="93"/>
      <c r="Q2" s="93"/>
      <c r="R2" s="93"/>
      <c r="S2" s="23" t="str">
        <f>";"</f>
        <v>;</v>
      </c>
      <c r="T2" s="10"/>
    </row>
    <row r="3" spans="1:20" s="28" customFormat="1" ht="15" customHeight="1" x14ac:dyDescent="0.25">
      <c r="A3" s="91"/>
      <c r="B3" s="91"/>
      <c r="C3" s="91"/>
      <c r="D3" s="91"/>
      <c r="E3" s="92" t="str">
        <f>VLOOKUP($A$1,SeedMap[],6,0)</f>
        <v>[[Primary]:[Arg 3]]</v>
      </c>
      <c r="F3" s="92"/>
      <c r="G3" s="92"/>
      <c r="H3" s="92"/>
      <c r="I3" s="93" t="s">
        <v>158</v>
      </c>
      <c r="J3" s="93"/>
      <c r="K3" s="93"/>
      <c r="L3" s="93"/>
      <c r="M3" s="93"/>
      <c r="N3" s="93"/>
      <c r="O3" s="93"/>
      <c r="P3" s="93"/>
      <c r="Q3" s="93"/>
      <c r="R3" s="93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1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form_field</v>
      </c>
      <c r="E5" s="25" t="str">
        <f t="shared" ca="1" si="1"/>
        <v>rule</v>
      </c>
      <c r="F5" s="25" t="str">
        <f t="shared" ca="1" si="1"/>
        <v>message</v>
      </c>
      <c r="G5" s="25" t="str">
        <f t="shared" ca="1" si="1"/>
        <v>arg1</v>
      </c>
      <c r="H5" s="25" t="str">
        <f t="shared" ca="1" si="1"/>
        <v>arg2</v>
      </c>
      <c r="I5" s="25" t="str">
        <f t="shared" ca="1" si="1"/>
        <v>arg3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88" t="str">
        <f>$I$1</f>
        <v>$_ = \DB::statement('SELECT @@GLOBAL.foreign_key_checks');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10"/>
      <c r="T6" s="10"/>
    </row>
    <row r="7" spans="1:20" x14ac:dyDescent="0.25">
      <c r="A7" s="24"/>
      <c r="B7" s="89" t="str">
        <f>$I$2</f>
        <v>\DB::statement('set foreign_key_checks = 0');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</row>
    <row r="8" spans="1:20" x14ac:dyDescent="0.25">
      <c r="A8" s="24"/>
      <c r="B8" s="90" t="str">
        <f>$E$1</f>
        <v>\Milestone\Appframe\Model\ResourceFormFieldValidation::query()</v>
      </c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'556601',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'form_field' =&gt; '556104', </v>
      </c>
      <c r="E9" s="50" t="str">
        <f t="shared" ca="1" si="2"/>
        <v xml:space="preserve">'rule' =&gt; 'required', </v>
      </c>
      <c r="F9" s="50" t="str">
        <f t="shared" ca="1" si="2"/>
        <v xml:space="preserve">'message' =&gt; 'Country Name is Mandatory', </v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'556602', </v>
      </c>
      <c r="D10" s="50" t="str">
        <f t="shared" ca="1" si="2"/>
        <v xml:space="preserve">'form_field' =&gt; '556105', </v>
      </c>
      <c r="E10" s="50" t="str">
        <f t="shared" ca="1" si="2"/>
        <v xml:space="preserve">'rule' =&gt; 'required', </v>
      </c>
      <c r="F10" s="50" t="str">
        <f t="shared" ca="1" si="2"/>
        <v xml:space="preserve">'message' =&gt; 'Code is Mandatory', </v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'556603', </v>
      </c>
      <c r="D11" s="50" t="str">
        <f t="shared" ca="1" si="2"/>
        <v xml:space="preserve">'form_field' =&gt; '556105', </v>
      </c>
      <c r="E11" s="50" t="str">
        <f t="shared" ca="1" si="2"/>
        <v xml:space="preserve">'rule' =&gt; 'unique', </v>
      </c>
      <c r="F11" s="50" t="str">
        <f t="shared" ca="1" si="2"/>
        <v xml:space="preserve">'message' =&gt; 'This code is already in use', </v>
      </c>
      <c r="G11" s="50" t="str">
        <f t="shared" ca="1" si="2"/>
        <v xml:space="preserve">'arg1' =&gt; 'maids', </v>
      </c>
      <c r="H11" s="50" t="str">
        <f t="shared" ca="1" si="2"/>
        <v xml:space="preserve">'arg2' =&gt; 'code', </v>
      </c>
      <c r="I11" s="50" t="str">
        <f t="shared" ca="1" si="2"/>
        <v xml:space="preserve">'arg3' =&gt; '-r:update', </v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'556604', </v>
      </c>
      <c r="D12" s="50" t="str">
        <f t="shared" ca="1" si="2"/>
        <v xml:space="preserve">'form_field' =&gt; '556107', </v>
      </c>
      <c r="E12" s="50" t="str">
        <f t="shared" ca="1" si="2"/>
        <v xml:space="preserve">'rule' =&gt; 'required', </v>
      </c>
      <c r="F12" s="50" t="str">
        <f t="shared" ca="1" si="2"/>
        <v xml:space="preserve">'message' =&gt; 'Maid Name is Mandatory', </v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'556605', </v>
      </c>
      <c r="D13" s="50" t="str">
        <f t="shared" ca="1" si="2"/>
        <v xml:space="preserve">'form_field' =&gt; '556108', </v>
      </c>
      <c r="E13" s="50" t="str">
        <f t="shared" ca="1" si="2"/>
        <v xml:space="preserve">'rule' =&gt; 'required', </v>
      </c>
      <c r="F13" s="50" t="str">
        <f t="shared" ca="1" si="2"/>
        <v xml:space="preserve">'message' =&gt; 'Select Maid', </v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'556606', </v>
      </c>
      <c r="D14" s="50" t="str">
        <f t="shared" ca="1" si="2"/>
        <v xml:space="preserve">'form_field' =&gt; '556108', </v>
      </c>
      <c r="E14" s="50" t="str">
        <f t="shared" ca="1" si="2"/>
        <v xml:space="preserve">'rule' =&gt; 'required', </v>
      </c>
      <c r="F14" s="50" t="str">
        <f t="shared" ca="1" si="2"/>
        <v xml:space="preserve">'message' =&gt; 'Mention Hours', </v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'556607', </v>
      </c>
      <c r="D15" s="50" t="str">
        <f t="shared" ca="1" si="2"/>
        <v xml:space="preserve">'form_field' =&gt; '556101', </v>
      </c>
      <c r="E15" s="50" t="str">
        <f t="shared" ca="1" si="2"/>
        <v xml:space="preserve">'rule' =&gt; 'required', </v>
      </c>
      <c r="F15" s="50" t="str">
        <f t="shared" ca="1" si="2"/>
        <v xml:space="preserve">'message' =&gt; 'Name is mandatory', </v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'556608', </v>
      </c>
      <c r="D16" s="50" t="str">
        <f t="shared" ca="1" si="2"/>
        <v xml:space="preserve">'form_field' =&gt; '556102', </v>
      </c>
      <c r="E16" s="50" t="str">
        <f t="shared" ca="1" si="2"/>
        <v xml:space="preserve">'rule' =&gt; 'required', </v>
      </c>
      <c r="F16" s="50" t="str">
        <f t="shared" ca="1" si="2"/>
        <v xml:space="preserve">'message' =&gt; 'Email is mandatory', </v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'556609', </v>
      </c>
      <c r="D17" s="50" t="str">
        <f t="shared" ca="1" si="2"/>
        <v xml:space="preserve">'form_field' =&gt; '556103', </v>
      </c>
      <c r="E17" s="50" t="str">
        <f t="shared" ca="1" si="2"/>
        <v xml:space="preserve">'rule' =&gt; 'required', </v>
      </c>
      <c r="F17" s="50" t="str">
        <f t="shared" ca="1" si="2"/>
        <v xml:space="preserve">'message' =&gt; 'Password is mandatory', </v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 x14ac:dyDescent="0.25">
      <c r="A18" s="21">
        <v>10</v>
      </c>
      <c r="B18" s="22" t="str">
        <f t="shared" ca="1" si="3"/>
        <v>;</v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 x14ac:dyDescent="0.25">
      <c r="A19" s="21">
        <v>11</v>
      </c>
      <c r="B19" s="22" t="str">
        <f t="shared" ca="1" si="3"/>
        <v>\DB::statement('set foreign_key_checks = ' . $_);</v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 x14ac:dyDescent="0.25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 x14ac:dyDescent="0.25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 x14ac:dyDescent="0.25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 x14ac:dyDescent="0.25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 x14ac:dyDescent="0.25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 x14ac:dyDescent="0.25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 x14ac:dyDescent="0.25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topLeftCell="E1" workbookViewId="0">
      <selection activeCell="M3" sqref="M3:M6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6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63" t="str">
        <f>Page&amp;"-"&amp;(COUNTA($E$1:ResourceTable[[#This Row],[Name]])-2)</f>
        <v>Resources-1</v>
      </c>
      <c r="B3" s="60" t="str">
        <f>ResourceTable[[#This Row],[Name]]</f>
        <v>Manager</v>
      </c>
      <c r="C3" s="63">
        <f>COUNTA($A$1:ResourceTable[[#This Row],[Primary]])-2</f>
        <v>1</v>
      </c>
      <c r="D3" s="63">
        <f>IF(ResourceTable[[#This Row],[RID]]=0,"id",ResourceTable[[#This Row],[RID]]+IF(ISNUMBER(VLOOKUP(Page,SeedMap[],9,0)),VLOOKUP(Page,SeedMap[],9,0),0))</f>
        <v>555601</v>
      </c>
      <c r="E3" s="61" t="s">
        <v>900</v>
      </c>
      <c r="F3" s="61" t="s">
        <v>900</v>
      </c>
      <c r="G3" s="61" t="s">
        <v>901</v>
      </c>
      <c r="H3" s="62" t="str">
        <f t="shared" ref="H3:H6" si="0">"Milestone\MaidJobEntry"</f>
        <v>Milestone\MaidJobEntry</v>
      </c>
      <c r="I3" s="61" t="s">
        <v>75</v>
      </c>
      <c r="J3" s="61"/>
      <c r="K3" s="61"/>
      <c r="L3" s="61"/>
      <c r="M3" s="63">
        <f>ResourceTable[No]</f>
        <v>555601</v>
      </c>
    </row>
    <row r="4" spans="1:26" x14ac:dyDescent="0.25">
      <c r="A4" s="63" t="str">
        <f>Page&amp;"-"&amp;(COUNTA($E$1:ResourceTable[[#This Row],[Name]])-2)</f>
        <v>Resources-2</v>
      </c>
      <c r="B4" s="60" t="str">
        <f>ResourceTable[[#This Row],[Name]]</f>
        <v>Nationality</v>
      </c>
      <c r="C4" s="63">
        <f>COUNTA($A$1:ResourceTable[[#This Row],[Primary]])-2</f>
        <v>2</v>
      </c>
      <c r="D4" s="63">
        <f>IF(ResourceTable[[#This Row],[RID]]=0,"id",ResourceTable[[#This Row],[RID]]+IF(ISNUMBER(VLOOKUP(Page,SeedMap[],9,0)),VLOOKUP(Page,SeedMap[],9,0),0))</f>
        <v>555602</v>
      </c>
      <c r="E4" s="61" t="s">
        <v>989</v>
      </c>
      <c r="F4" s="61" t="s">
        <v>990</v>
      </c>
      <c r="G4" s="61" t="s">
        <v>989</v>
      </c>
      <c r="H4" s="62" t="str">
        <f>"Milestone\MaidJobEntry"</f>
        <v>Milestone\MaidJobEntry</v>
      </c>
      <c r="I4" s="61" t="s">
        <v>985</v>
      </c>
      <c r="J4" s="61"/>
      <c r="K4" s="61"/>
      <c r="L4" s="61"/>
      <c r="M4" s="63">
        <f>ResourceTable[No]</f>
        <v>555602</v>
      </c>
    </row>
    <row r="5" spans="1:26" x14ac:dyDescent="0.25">
      <c r="A5" s="62" t="str">
        <f>Page&amp;"-"&amp;(COUNTA($E$1:ResourceTable[[#This Row],[Name]])-2)</f>
        <v>Resources-3</v>
      </c>
      <c r="B5" s="60" t="str">
        <f>ResourceTable[[#This Row],[Name]]</f>
        <v>Maid</v>
      </c>
      <c r="C5" s="63">
        <f>COUNTA($A$1:ResourceTable[[#This Row],[Primary]])-2</f>
        <v>3</v>
      </c>
      <c r="D5" s="63">
        <f>IF(ResourceTable[[#This Row],[RID]]=0,"id",ResourceTable[[#This Row],[RID]]+IF(ISNUMBER(VLOOKUP(Page,SeedMap[],9,0)),VLOOKUP(Page,SeedMap[],9,0),0))</f>
        <v>555603</v>
      </c>
      <c r="E5" s="61" t="s">
        <v>784</v>
      </c>
      <c r="F5" s="61" t="s">
        <v>781</v>
      </c>
      <c r="G5" s="61" t="s">
        <v>781</v>
      </c>
      <c r="H5" s="62" t="str">
        <f t="shared" si="0"/>
        <v>Milestone\MaidJobEntry</v>
      </c>
      <c r="I5" s="61" t="s">
        <v>760</v>
      </c>
      <c r="J5" s="61"/>
      <c r="K5" s="61"/>
      <c r="L5" s="61"/>
      <c r="M5" s="63">
        <f>ResourceTable[No]</f>
        <v>555603</v>
      </c>
    </row>
    <row r="6" spans="1:26" x14ac:dyDescent="0.25">
      <c r="A6" s="62" t="str">
        <f>Page&amp;"-"&amp;(COUNTA($E$1:ResourceTable[[#This Row],[Name]])-2)</f>
        <v>Resources-4</v>
      </c>
      <c r="B6" s="60" t="str">
        <f>ResourceTable[[#This Row],[Name]]</f>
        <v>MaidJob</v>
      </c>
      <c r="C6" s="63">
        <f>COUNTA($A$1:ResourceTable[[#This Row],[Primary]])-2</f>
        <v>4</v>
      </c>
      <c r="D6" s="63">
        <f>IF(ResourceTable[[#This Row],[RID]]=0,"id",ResourceTable[[#This Row],[RID]]+IF(ISNUMBER(VLOOKUP(Page,SeedMap[],9,0)),VLOOKUP(Page,SeedMap[],9,0),0))</f>
        <v>555604</v>
      </c>
      <c r="E6" s="1" t="s">
        <v>932</v>
      </c>
      <c r="F6" s="61" t="s">
        <v>782</v>
      </c>
      <c r="G6" s="61" t="s">
        <v>786</v>
      </c>
      <c r="H6" s="62" t="str">
        <f t="shared" si="0"/>
        <v>Milestone\MaidJobEntry</v>
      </c>
      <c r="I6" s="61" t="s">
        <v>761</v>
      </c>
      <c r="J6" s="61" t="s">
        <v>787</v>
      </c>
      <c r="K6" s="61" t="s">
        <v>984</v>
      </c>
      <c r="L6" s="61"/>
      <c r="M6" s="63">
        <f>ResourceTable[No]</f>
        <v>555604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F4" sqref="F4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5" t="str">
        <f>Page&amp;"-"&amp;(COUNTA($E$1:RelationTable[[#This Row],[Resource]])-1)</f>
        <v>Resource Relations-1</v>
      </c>
      <c r="B3" s="63">
        <f>IF(RelationTable[[#This Row],[Resource]]="","id",COUNTA($E$2:RelationTable[[#This Row],[Resource]])+IF(ISNUMBER(VLOOKUP('Table Seed Map'!$A$10,SeedMap[],9,0)),VLOOKUP('Table Seed Map'!$A$10,SeedMap[],9,0),0))</f>
        <v>555901</v>
      </c>
      <c r="C3" s="60" t="str">
        <f>RelationTable[[#This Row],[Resource]]&amp;"/"&amp;RelationTable[[#This Row],[Method]]</f>
        <v>Maid/Jobs</v>
      </c>
      <c r="D3" s="60">
        <f>RelationTable[[#This Row],[No]]</f>
        <v>555901</v>
      </c>
      <c r="E3" s="60" t="s">
        <v>784</v>
      </c>
      <c r="F3" s="15" t="s">
        <v>932</v>
      </c>
      <c r="G3" s="60">
        <f>RelationTable[[#This Row],[No]]</f>
        <v>555901</v>
      </c>
      <c r="H3" s="60">
        <f>IF(RelationTable[[#This Row],[No]]="id","resource",VLOOKUP(RelationTable[Resource],CHOOSE({1,2},ResourceTable[Name],ResourceTable[No]),2,0))</f>
        <v>555603</v>
      </c>
      <c r="I3" s="60" t="s">
        <v>785</v>
      </c>
      <c r="J3" s="60" t="s">
        <v>788</v>
      </c>
      <c r="K3" s="15" t="s">
        <v>786</v>
      </c>
      <c r="L3" s="60" t="s">
        <v>789</v>
      </c>
      <c r="M3" s="66">
        <f>VLOOKUP(RelationTable[Relate Resource],CHOOSE({1,2},ResourceTable[Name],ResourceTable[No]),2,0)</f>
        <v>555604</v>
      </c>
      <c r="N3" s="67">
        <f>RelationTable[RELID]</f>
        <v>555901</v>
      </c>
      <c r="P3" s="62" t="str">
        <f>'Table Seed Map'!$A$9&amp;"-"&amp;COUNTA($Q$1:ResourceScopes[[#This Row],[Resource for Scope]])-1</f>
        <v>Resource Scopes-1</v>
      </c>
      <c r="Q3" s="61" t="s">
        <v>932</v>
      </c>
      <c r="R3" s="62" t="str">
        <f>ResourceScopes[[#This Row],[Resource for Scope]]&amp;"/"&amp;ResourceScopes[[#This Row],[Name]]</f>
        <v>MaidJob/Today</v>
      </c>
      <c r="S3" s="60">
        <f>IF(ResourceScopes[[#This Row],[Resource for Scope]]="","id",-1+COUNTA($Q$1:ResourceScopes[[#This Row],[Resource for Scope]])+VLOOKUP('Table Seed Map'!$A$9,SeedMap[],9,0))</f>
        <v>555801</v>
      </c>
      <c r="T3" s="60">
        <f>IFERROR(VLOOKUP(ResourceScopes[[#This Row],[Resource for Scope]],CHOOSE({1,2},ResourceTable[Name],ResourceTable[No]),2,0),"resource")</f>
        <v>555604</v>
      </c>
      <c r="U3" s="61" t="s">
        <v>792</v>
      </c>
      <c r="V3" s="61" t="s">
        <v>798</v>
      </c>
      <c r="W3" s="61" t="s">
        <v>774</v>
      </c>
    </row>
    <row r="4" spans="1:23" x14ac:dyDescent="0.25">
      <c r="A4" s="65" t="str">
        <f>Page&amp;"-"&amp;(COUNTA($E$1:RelationTable[[#This Row],[Resource]])-1)</f>
        <v>Resource Relations-2</v>
      </c>
      <c r="B4" s="63">
        <f>IF(RelationTable[[#This Row],[Resource]]="","id",COUNTA($E$2:RelationTable[[#This Row],[Resource]])+IF(ISNUMBER(VLOOKUP('Table Seed Map'!$A$10,SeedMap[],9,0)),VLOOKUP('Table Seed Map'!$A$10,SeedMap[],9,0),0))</f>
        <v>555902</v>
      </c>
      <c r="C4" s="60" t="str">
        <f>RelationTable[[#This Row],[Resource]]&amp;"/"&amp;RelationTable[[#This Row],[Method]]</f>
        <v>Maid/Nationality</v>
      </c>
      <c r="D4" s="60">
        <f>RelationTable[[#This Row],[No]]</f>
        <v>555902</v>
      </c>
      <c r="E4" s="60" t="s">
        <v>784</v>
      </c>
      <c r="F4" s="15" t="s">
        <v>989</v>
      </c>
      <c r="G4" s="60">
        <f>RelationTable[[#This Row],[No]]</f>
        <v>555902</v>
      </c>
      <c r="H4" s="60">
        <f>IF(RelationTable[[#This Row],[No]]="id","resource",VLOOKUP(RelationTable[Resource],CHOOSE({1,2},ResourceTable[Name],ResourceTable[No]),2,0))</f>
        <v>555603</v>
      </c>
      <c r="I4" s="60" t="s">
        <v>991</v>
      </c>
      <c r="J4" s="60" t="s">
        <v>992</v>
      </c>
      <c r="K4" s="60" t="s">
        <v>989</v>
      </c>
      <c r="L4" s="60" t="s">
        <v>791</v>
      </c>
      <c r="M4" s="66">
        <f>VLOOKUP(RelationTable[Relate Resource],CHOOSE({1,2},ResourceTable[Name],ResourceTable[No]),2,0)</f>
        <v>555602</v>
      </c>
      <c r="N4" s="67">
        <f>RelationTable[RELID]</f>
        <v>555902</v>
      </c>
      <c r="P4" s="62" t="str">
        <f>'Table Seed Map'!$A$9&amp;"-"&amp;COUNTA($Q$1:ResourceScopes[[#This Row],[Resource for Scope]])-1</f>
        <v>Resource Scopes-2</v>
      </c>
      <c r="Q4" s="61" t="s">
        <v>932</v>
      </c>
      <c r="R4" s="62" t="str">
        <f>ResourceScopes[[#This Row],[Resource for Scope]]&amp;"/"&amp;ResourceScopes[[#This Row],[Name]]</f>
        <v>MaidJob/Yesterday</v>
      </c>
      <c r="S4" s="60">
        <f>IF(ResourceScopes[[#This Row],[Resource for Scope]]="","id",-1+COUNTA($Q$1:ResourceScopes[[#This Row],[Resource for Scope]])+VLOOKUP('Table Seed Map'!$A$9,SeedMap[],9,0))</f>
        <v>555802</v>
      </c>
      <c r="T4" s="60">
        <f>IFERROR(VLOOKUP(ResourceScopes[[#This Row],[Resource for Scope]],CHOOSE({1,2},ResourceTable[Name],ResourceTable[No]),2,0),"resource")</f>
        <v>555604</v>
      </c>
      <c r="U4" s="61" t="s">
        <v>793</v>
      </c>
      <c r="V4" s="61" t="s">
        <v>799</v>
      </c>
      <c r="W4" s="61" t="s">
        <v>803</v>
      </c>
    </row>
    <row r="5" spans="1:23" x14ac:dyDescent="0.25">
      <c r="A5" s="65" t="str">
        <f>Page&amp;"-"&amp;(COUNTA($E$1:RelationTable[[#This Row],[Resource]])-1)</f>
        <v>Resource Relations-3</v>
      </c>
      <c r="B5" s="63">
        <f>IF(RelationTable[[#This Row],[Resource]]="","id",COUNTA($E$2:RelationTable[[#This Row],[Resource]])+IF(ISNUMBER(VLOOKUP('Table Seed Map'!$A$10,SeedMap[],9,0)),VLOOKUP('Table Seed Map'!$A$10,SeedMap[],9,0),0))</f>
        <v>555903</v>
      </c>
      <c r="C5" s="60" t="str">
        <f>RelationTable[[#This Row],[Resource]]&amp;"/"&amp;RelationTable[[#This Row],[Method]]</f>
        <v>MaidJob/Maid</v>
      </c>
      <c r="D5" s="60">
        <f>RelationTable[[#This Row],[No]]</f>
        <v>555903</v>
      </c>
      <c r="E5" s="60" t="s">
        <v>932</v>
      </c>
      <c r="F5" s="15" t="s">
        <v>784</v>
      </c>
      <c r="G5" s="60">
        <f>RelationTable[[#This Row],[No]]</f>
        <v>555903</v>
      </c>
      <c r="H5" s="60">
        <f>IF(RelationTable[[#This Row],[No]]="id","resource",VLOOKUP(RelationTable[Resource],CHOOSE({1,2},ResourceTable[Name],ResourceTable[No]),2,0))</f>
        <v>555604</v>
      </c>
      <c r="I5" s="60" t="s">
        <v>784</v>
      </c>
      <c r="J5" s="60" t="s">
        <v>790</v>
      </c>
      <c r="K5" s="60" t="s">
        <v>784</v>
      </c>
      <c r="L5" s="60" t="s">
        <v>791</v>
      </c>
      <c r="M5" s="66">
        <f>VLOOKUP(RelationTable[Relate Resource],CHOOSE({1,2},ResourceTable[Name],ResourceTable[No]),2,0)</f>
        <v>555603</v>
      </c>
      <c r="N5" s="67">
        <f>RelationTable[RELID]</f>
        <v>555903</v>
      </c>
      <c r="P5" s="62" t="str">
        <f>'Table Seed Map'!$A$9&amp;"-"&amp;COUNTA($Q$1:ResourceScopes[[#This Row],[Resource for Scope]])-1</f>
        <v>Resource Scopes-3</v>
      </c>
      <c r="Q5" s="61" t="s">
        <v>932</v>
      </c>
      <c r="R5" s="62" t="str">
        <f>ResourceScopes[[#This Row],[Resource for Scope]]&amp;"/"&amp;ResourceScopes[[#This Row],[Name]]</f>
        <v>MaidJob/ThisWeek</v>
      </c>
      <c r="S5" s="60">
        <f>IF(ResourceScopes[[#This Row],[Resource for Scope]]="","id",-1+COUNTA($Q$1:ResourceScopes[[#This Row],[Resource for Scope]])+VLOOKUP('Table Seed Map'!$A$9,SeedMap[],9,0))</f>
        <v>555803</v>
      </c>
      <c r="T5" s="60">
        <f>IFERROR(VLOOKUP(ResourceScopes[[#This Row],[Resource for Scope]],CHOOSE({1,2},ResourceTable[Name],ResourceTable[No]),2,0),"resource")</f>
        <v>555604</v>
      </c>
      <c r="U5" s="61" t="s">
        <v>794</v>
      </c>
      <c r="V5" s="61" t="s">
        <v>800</v>
      </c>
      <c r="W5" s="61" t="s">
        <v>773</v>
      </c>
    </row>
    <row r="6" spans="1:23" x14ac:dyDescent="0.25">
      <c r="P6" s="62" t="str">
        <f>'Table Seed Map'!$A$9&amp;"-"&amp;COUNTA($Q$1:ResourceScopes[[#This Row],[Resource for Scope]])-1</f>
        <v>Resource Scopes-4</v>
      </c>
      <c r="Q6" s="61" t="s">
        <v>932</v>
      </c>
      <c r="R6" s="62" t="str">
        <f>ResourceScopes[[#This Row],[Resource for Scope]]&amp;"/"&amp;ResourceScopes[[#This Row],[Name]]</f>
        <v>MaidJob/LastWeek</v>
      </c>
      <c r="S6" s="60">
        <f>IF(ResourceScopes[[#This Row],[Resource for Scope]]="","id",-1+COUNTA($Q$1:ResourceScopes[[#This Row],[Resource for Scope]])+VLOOKUP('Table Seed Map'!$A$9,SeedMap[],9,0))</f>
        <v>555804</v>
      </c>
      <c r="T6" s="60">
        <f>IFERROR(VLOOKUP(ResourceScopes[[#This Row],[Resource for Scope]],CHOOSE({1,2},ResourceTable[Name],ResourceTable[No]),2,0),"resource")</f>
        <v>555604</v>
      </c>
      <c r="U6" s="61" t="s">
        <v>795</v>
      </c>
      <c r="V6" s="61" t="s">
        <v>801</v>
      </c>
      <c r="W6" s="61" t="s">
        <v>975</v>
      </c>
    </row>
    <row r="7" spans="1:23" x14ac:dyDescent="0.25">
      <c r="P7" s="62" t="str">
        <f>'Table Seed Map'!$A$9&amp;"-"&amp;COUNTA($Q$1:ResourceScopes[[#This Row],[Resource for Scope]])-1</f>
        <v>Resource Scopes-5</v>
      </c>
      <c r="Q7" s="61" t="s">
        <v>932</v>
      </c>
      <c r="R7" s="62" t="str">
        <f>ResourceScopes[[#This Row],[Resource for Scope]]&amp;"/"&amp;ResourceScopes[[#This Row],[Name]]</f>
        <v>MaidJob/ThisMonth</v>
      </c>
      <c r="S7" s="60">
        <f>IF(ResourceScopes[[#This Row],[Resource for Scope]]="","id",-1+COUNTA($Q$1:ResourceScopes[[#This Row],[Resource for Scope]])+VLOOKUP('Table Seed Map'!$A$9,SeedMap[],9,0))</f>
        <v>555805</v>
      </c>
      <c r="T7" s="60">
        <f>IFERROR(VLOOKUP(ResourceScopes[[#This Row],[Resource for Scope]],CHOOSE({1,2},ResourceTable[Name],ResourceTable[No]),2,0),"resource")</f>
        <v>555604</v>
      </c>
      <c r="U7" s="61" t="s">
        <v>796</v>
      </c>
      <c r="V7" s="61" t="s">
        <v>802</v>
      </c>
      <c r="W7" s="61" t="s">
        <v>771</v>
      </c>
    </row>
    <row r="8" spans="1:23" x14ac:dyDescent="0.25">
      <c r="P8" s="62" t="str">
        <f>'Table Seed Map'!$A$9&amp;"-"&amp;COUNTA($Q$1:ResourceScopes[[#This Row],[Resource for Scope]])-1</f>
        <v>Resource Scopes-6</v>
      </c>
      <c r="Q8" s="61" t="s">
        <v>932</v>
      </c>
      <c r="R8" s="62" t="str">
        <f>ResourceScopes[[#This Row],[Resource for Scope]]&amp;"/"&amp;ResourceScopes[[#This Row],[Name]]</f>
        <v>MaidJob/LastMonth</v>
      </c>
      <c r="S8" s="60">
        <f>IF(ResourceScopes[[#This Row],[Resource for Scope]]="","id",-1+COUNTA($Q$1:ResourceScopes[[#This Row],[Resource for Scope]])+VLOOKUP('Table Seed Map'!$A$9,SeedMap[],9,0))</f>
        <v>555806</v>
      </c>
      <c r="T8" s="60">
        <f>IFERROR(VLOOKUP(ResourceScopes[[#This Row],[Resource for Scope]],CHOOSE({1,2},ResourceTable[Name],ResourceTable[No]),2,0),"resource")</f>
        <v>555604</v>
      </c>
      <c r="U8" s="61" t="s">
        <v>797</v>
      </c>
      <c r="V8" s="61" t="s">
        <v>802</v>
      </c>
      <c r="W8" s="61" t="s">
        <v>804</v>
      </c>
    </row>
    <row r="9" spans="1:23" x14ac:dyDescent="0.25">
      <c r="P9" s="62" t="str">
        <f>'Table Seed Map'!$A$9&amp;"-"&amp;COUNTA($Q$1:ResourceScopes[[#This Row],[Resource for Scope]])-1</f>
        <v>Resource Scopes-7</v>
      </c>
      <c r="Q9" s="61" t="s">
        <v>932</v>
      </c>
      <c r="R9" s="62" t="str">
        <f>ResourceScopes[[#This Row],[Resource for Scope]]&amp;"/"&amp;ResourceScopes[[#This Row],[Name]]</f>
        <v>MaidJob/Latest</v>
      </c>
      <c r="S9" s="60">
        <f>IF(ResourceScopes[[#This Row],[Resource for Scope]]="","id",-1+COUNTA($Q$1:ResourceScopes[[#This Row],[Resource for Scope]])+VLOOKUP('Table Seed Map'!$A$9,SeedMap[],9,0))</f>
        <v>555807</v>
      </c>
      <c r="T9" s="60">
        <f>IFERROR(VLOOKUP(ResourceScopes[[#This Row],[Resource for Scope]],CHOOSE({1,2},ResourceTable[Name],ResourceTable[No]),2,0),"resource")</f>
        <v>555604</v>
      </c>
      <c r="U9" s="61" t="s">
        <v>805</v>
      </c>
      <c r="V9" s="61" t="s">
        <v>807</v>
      </c>
      <c r="W9" s="61" t="s">
        <v>806</v>
      </c>
    </row>
  </sheetData>
  <dataValidations count="1">
    <dataValidation type="list" allowBlank="1" showInputMessage="1" showErrorMessage="1" sqref="Q2:Q9 E2:F5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topLeftCell="C7" workbookViewId="0">
      <selection activeCell="C18" sqref="C18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Maid/NewMaid</v>
      </c>
      <c r="C3" s="58" t="s">
        <v>784</v>
      </c>
      <c r="D3" s="70">
        <f>IF(ResourceAction[[#This Row],[Resource Name]]="","id",COUNTA($C$1:ResourceAction[[#This Row],[Resource Name]])-1+IF(VLOOKUP('Table Seed Map'!$A$34,SeedMap[],9,0),VLOOKUP('Table Seed Map'!$A$34,SeedMap[],9,0),0))</f>
        <v>558301</v>
      </c>
      <c r="E3" s="70">
        <f>IFERROR(VLOOKUP(ResourceAction[[#This Row],[Resource Name]],ResourceTable[[RName]:[No]],3,0),"resource")</f>
        <v>555603</v>
      </c>
      <c r="F3" s="70" t="s">
        <v>816</v>
      </c>
      <c r="G3" s="70" t="s">
        <v>817</v>
      </c>
      <c r="H3" s="70" t="s">
        <v>784</v>
      </c>
      <c r="I3" s="70"/>
      <c r="J3" s="70" t="s">
        <v>815</v>
      </c>
      <c r="K3" s="69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558401</v>
      </c>
      <c r="M3" s="70">
        <f>IF(ResourceAction[[#This Row],[No]]="id","resource_action",ResourceAction[[#This Row],[No]])</f>
        <v>558301</v>
      </c>
      <c r="N3" s="80" t="s">
        <v>121</v>
      </c>
      <c r="O3" s="81">
        <f ca="1">IF(ResourceAction[[#This Row],[Resource Name]]="","idn1",IF(ResourceAction[[#This Row],[IDN1]]="","",VLOOKUP(ResourceAction[[#This Row],[IDN1]],IDNMaps[[Display]:[ID]],2,0)))</f>
        <v>556003</v>
      </c>
      <c r="P3" s="81" t="str">
        <f>IF(ResourceAction[[#This Row],[Resource Name]]="","idn2",IF(ResourceAction[[#This Row],[IDN2]]="","",VLOOKUP(ResourceAction[[#This Row],[IDN2]],IDNMaps[[Display]:[ID]],2,0)))</f>
        <v/>
      </c>
      <c r="Q3" s="81" t="str">
        <f>IF(ResourceAction[[#This Row],[Resource Name]]="","idn3",IF(ResourceAction[[#This Row],[IDN3]]="","",VLOOKUP(ResourceAction[[#This Row],[IDN3]],IDNMaps[[Display]:[ID]],2,0)))</f>
        <v/>
      </c>
      <c r="R3" s="81" t="str">
        <f>IF(ResourceAction[[#This Row],[Resource Name]]="","idn4",IF(ResourceAction[[#This Row],[IDN4]]="","",VLOOKUP(ResourceAction[[#This Row],[IDN4]],IDNMaps[[Display]:[ID]],2,0)))</f>
        <v/>
      </c>
      <c r="S3" s="81" t="str">
        <f>IF(ResourceAction[[#This Row],[Resource Name]]="","idn5",IF(ResourceAction[[#This Row],[IDN5]]="","",VLOOKUP(ResourceAction[[#This Row],[IDN5]],IDNMaps[[Display]:[ID]],2,0)))</f>
        <v/>
      </c>
      <c r="T3" s="82" t="s">
        <v>814</v>
      </c>
      <c r="U3" s="82"/>
      <c r="V3" s="82"/>
      <c r="W3" s="82"/>
      <c r="X3" s="82"/>
      <c r="Y3" s="77">
        <f>ResourceAction[No]</f>
        <v>558301</v>
      </c>
      <c r="Z3"/>
      <c r="AA3" s="61" t="s">
        <v>861</v>
      </c>
      <c r="AB3" s="60">
        <f>VLOOKUP(ActionListNData[[#This Row],[Action Name]],ResourceAction[[Display]:[No]],3,0)</f>
        <v>558305</v>
      </c>
      <c r="AC3" s="60" t="s">
        <v>819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558601</v>
      </c>
      <c r="AG3" s="60">
        <f>ActionListNData[[#This Row],[Action]]</f>
        <v>558305</v>
      </c>
      <c r="AH3" s="60">
        <f>IF(ActionListNData[[#This Row],[Action Name]]="","resource_list",IFERROR(VLOOKUP(ActionListNData[[#This Row],[Resource List]],ResourceList[[ListDisplayName]:[No]],2,0),""))</f>
        <v>557303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3" s="60">
        <f>ActionListNData[[#This Row],[Action]]</f>
        <v>558305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Maid/ListMaid</v>
      </c>
      <c r="C4" s="58" t="s">
        <v>784</v>
      </c>
      <c r="D4" s="70">
        <f>IF(ResourceAction[[#This Row],[Resource Name]]="","id",COUNTA($C$1:ResourceAction[[#This Row],[Resource Name]])-1+IF(VLOOKUP('Table Seed Map'!$A$34,SeedMap[],9,0),VLOOKUP('Table Seed Map'!$A$34,SeedMap[],9,0),0))</f>
        <v>558302</v>
      </c>
      <c r="E4" s="70">
        <f>IFERROR(VLOOKUP(ResourceAction[[#This Row],[Resource Name]],ResourceTable[[RName]:[No]],3,0),"resource")</f>
        <v>555603</v>
      </c>
      <c r="F4" s="70" t="s">
        <v>820</v>
      </c>
      <c r="G4" s="70" t="s">
        <v>818</v>
      </c>
      <c r="H4" s="70" t="s">
        <v>781</v>
      </c>
      <c r="I4" s="70"/>
      <c r="J4" s="70" t="s">
        <v>821</v>
      </c>
      <c r="K4" s="69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558402</v>
      </c>
      <c r="M4" s="70">
        <f>IF(ResourceAction[[#This Row],[No]]="id","resource_action",ResourceAction[[#This Row],[No]])</f>
        <v>558302</v>
      </c>
      <c r="N4" s="80" t="s">
        <v>122</v>
      </c>
      <c r="O4" s="81">
        <f ca="1">IF(ResourceAction[[#This Row],[Resource Name]]="","idn1",IF(ResourceAction[[#This Row],[IDN1]]="","",VLOOKUP(ResourceAction[[#This Row],[IDN1]],IDNMaps[[Display]:[ID]],2,0)))</f>
        <v>557303</v>
      </c>
      <c r="P4" s="81" t="str">
        <f>IF(ResourceAction[[#This Row],[Resource Name]]="","idn2",IF(ResourceAction[[#This Row],[IDN2]]="","",VLOOKUP(ResourceAction[[#This Row],[IDN2]],IDNMaps[[Display]:[ID]],2,0)))</f>
        <v/>
      </c>
      <c r="Q4" s="81" t="str">
        <f>IF(ResourceAction[[#This Row],[Resource Name]]="","idn3",IF(ResourceAction[[#This Row],[IDN3]]="","",VLOOKUP(ResourceAction[[#This Row],[IDN3]],IDNMaps[[Display]:[ID]],2,0)))</f>
        <v/>
      </c>
      <c r="R4" s="81" t="str">
        <f>IF(ResourceAction[[#This Row],[Resource Name]]="","idn4",IF(ResourceAction[[#This Row],[IDN4]]="","",VLOOKUP(ResourceAction[[#This Row],[IDN4]],IDNMaps[[Display]:[ID]],2,0)))</f>
        <v/>
      </c>
      <c r="S4" s="81" t="str">
        <f>IF(ResourceAction[[#This Row],[Resource Name]]="","idn5",IF(ResourceAction[[#This Row],[IDN5]]="","",VLOOKUP(ResourceAction[[#This Row],[IDN5]],IDNMaps[[Display]:[ID]],2,0)))</f>
        <v/>
      </c>
      <c r="T4" s="82" t="s">
        <v>822</v>
      </c>
      <c r="U4" s="82"/>
      <c r="V4" s="82"/>
      <c r="W4" s="82"/>
      <c r="X4" s="82"/>
      <c r="Y4" s="77">
        <f>ResourceAction[No]</f>
        <v>558302</v>
      </c>
      <c r="Z4"/>
      <c r="AA4" s="61" t="s">
        <v>950</v>
      </c>
      <c r="AB4" s="60">
        <f>VLOOKUP(ActionListNData[[#This Row],[Action Name]],ResourceAction[[Display]:[No]],3,0)</f>
        <v>558306</v>
      </c>
      <c r="AC4" s="60" t="s">
        <v>933</v>
      </c>
      <c r="AD4" s="60"/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558602</v>
      </c>
      <c r="AG4" s="60">
        <f>ActionListNData[[#This Row],[Action]]</f>
        <v>558306</v>
      </c>
      <c r="AH4" s="60">
        <f>IF(ActionListNData[[#This Row],[Action Name]]="","resource_list",IFERROR(VLOOKUP(ActionListNData[[#This Row],[Resource List]],ResourceList[[ListDisplayName]:[No]],2,0),""))</f>
        <v>557304</v>
      </c>
      <c r="AI4" s="60" t="str">
        <f>'Table Seed Map'!$A$38&amp;"-"&amp;-1+COUNTA($AD$1:ActionListNData[[#This Row],[Resource Data]])</f>
        <v>Action Data-0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4" s="60">
        <f>ActionListNData[[#This Row],[Action]]</f>
        <v>558306</v>
      </c>
      <c r="AL4" s="60" t="str">
        <f>IF(ActionListNData[[#This Row],[Action Name]]="","resource_data",IFERROR(VLOOKUP(ActionListNData[[#This Row],[Resource Data]],ResourceData[[DataDisplayName]:[No]],2,0),""))</f>
        <v/>
      </c>
    </row>
    <row r="5" spans="1:45" x14ac:dyDescent="0.2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MaidJob/NewJobEntry</v>
      </c>
      <c r="C5" s="58" t="s">
        <v>932</v>
      </c>
      <c r="D5" s="70">
        <f>IF(ResourceAction[[#This Row],[Resource Name]]="","id",COUNTA($C$1:ResourceAction[[#This Row],[Resource Name]])-1+IF(VLOOKUP('Table Seed Map'!$A$34,SeedMap[],9,0),VLOOKUP('Table Seed Map'!$A$34,SeedMap[],9,0),0))</f>
        <v>558303</v>
      </c>
      <c r="E5" s="70">
        <f>IFERROR(VLOOKUP(ResourceAction[[#This Row],[Resource Name]],ResourceTable[[RName]:[No]],3,0),"resource")</f>
        <v>555604</v>
      </c>
      <c r="F5" s="70" t="s">
        <v>837</v>
      </c>
      <c r="G5" s="70" t="s">
        <v>838</v>
      </c>
      <c r="H5" s="70" t="s">
        <v>839</v>
      </c>
      <c r="I5" s="70"/>
      <c r="J5" s="70" t="s">
        <v>840</v>
      </c>
      <c r="K5" s="69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558403</v>
      </c>
      <c r="M5" s="70">
        <f>IF(ResourceAction[[#This Row],[No]]="id","resource_action",ResourceAction[[#This Row],[No]])</f>
        <v>558303</v>
      </c>
      <c r="N5" s="80" t="s">
        <v>121</v>
      </c>
      <c r="O5" s="81">
        <f ca="1">IF(ResourceAction[[#This Row],[Resource Name]]="","idn1",IF(ResourceAction[[#This Row],[IDN1]]="","",VLOOKUP(ResourceAction[[#This Row],[IDN1]],IDNMaps[[Display]:[ID]],2,0)))</f>
        <v>556004</v>
      </c>
      <c r="P5" s="81" t="str">
        <f>IF(ResourceAction[[#This Row],[Resource Name]]="","idn2",IF(ResourceAction[[#This Row],[IDN2]]="","",VLOOKUP(ResourceAction[[#This Row],[IDN2]],IDNMaps[[Display]:[ID]],2,0)))</f>
        <v/>
      </c>
      <c r="Q5" s="81" t="str">
        <f>IF(ResourceAction[[#This Row],[Resource Name]]="","idn3",IF(ResourceAction[[#This Row],[IDN3]]="","",VLOOKUP(ResourceAction[[#This Row],[IDN3]],IDNMaps[[Display]:[ID]],2,0)))</f>
        <v/>
      </c>
      <c r="R5" s="81" t="str">
        <f>IF(ResourceAction[[#This Row],[Resource Name]]="","idn4",IF(ResourceAction[[#This Row],[IDN4]]="","",VLOOKUP(ResourceAction[[#This Row],[IDN4]],IDNMaps[[Display]:[ID]],2,0)))</f>
        <v/>
      </c>
      <c r="S5" s="81" t="str">
        <f>IF(ResourceAction[[#This Row],[Resource Name]]="","idn5",IF(ResourceAction[[#This Row],[IDN5]]="","",VLOOKUP(ResourceAction[[#This Row],[IDN5]],IDNMaps[[Display]:[ID]],2,0)))</f>
        <v/>
      </c>
      <c r="T5" s="82" t="s">
        <v>951</v>
      </c>
      <c r="U5" s="82"/>
      <c r="V5" s="82"/>
      <c r="W5" s="82"/>
      <c r="X5" s="82"/>
      <c r="Y5" s="77">
        <f>ResourceAction[No]</f>
        <v>558303</v>
      </c>
      <c r="Z5"/>
      <c r="AA5" s="1" t="s">
        <v>978</v>
      </c>
      <c r="AB5" s="60">
        <f>VLOOKUP(ActionListNData[[#This Row],[Action Name]],ResourceAction[[Display]:[No]],3,0)</f>
        <v>558316</v>
      </c>
      <c r="AC5" s="60" t="s">
        <v>819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558603</v>
      </c>
      <c r="AG5" s="60">
        <f>ActionListNData[[#This Row],[Action]]</f>
        <v>558316</v>
      </c>
      <c r="AH5" s="60">
        <f>IF(ActionListNData[[#This Row],[Action Name]]="","resource_list",IFERROR(VLOOKUP(ActionListNData[[#This Row],[Resource List]],ResourceList[[ListDisplayName]:[No]],2,0),""))</f>
        <v>557303</v>
      </c>
      <c r="AI5" s="60" t="str">
        <f>'Table Seed Map'!$A$38&amp;"-"&amp;-1+COUNTA($AD$1:ActionListNData[[#This Row],[Resource Data]])</f>
        <v>Action Data-0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5" s="60">
        <f>ActionListNData[[#This Row],[Action]]</f>
        <v>558316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70" t="str">
        <f>'Table Seed Map'!$A$34&amp;"-"&amp;(COUNTA($E$1:ResourceAction[[#This Row],[Resource]])-2)</f>
        <v>Resource Actions-4</v>
      </c>
      <c r="B6" s="70" t="str">
        <f>ResourceAction[[#This Row],[Resource Name]]&amp;"/"&amp;ResourceAction[[#This Row],[Name]]</f>
        <v>MaidJob/ListJobEntries</v>
      </c>
      <c r="C6" s="58" t="s">
        <v>932</v>
      </c>
      <c r="D6" s="70">
        <f>IF(ResourceAction[[#This Row],[Resource Name]]="","id",COUNTA($C$1:ResourceAction[[#This Row],[Resource Name]])-1+IF(VLOOKUP('Table Seed Map'!$A$34,SeedMap[],9,0),VLOOKUP('Table Seed Map'!$A$34,SeedMap[],9,0),0))</f>
        <v>558304</v>
      </c>
      <c r="E6" s="70">
        <f>IFERROR(VLOOKUP(ResourceAction[[#This Row],[Resource Name]],ResourceTable[[RName]:[No]],3,0),"resource")</f>
        <v>555604</v>
      </c>
      <c r="F6" s="70" t="s">
        <v>850</v>
      </c>
      <c r="G6" s="70" t="s">
        <v>851</v>
      </c>
      <c r="H6" s="70" t="s">
        <v>843</v>
      </c>
      <c r="I6" s="70"/>
      <c r="J6" s="70" t="s">
        <v>843</v>
      </c>
      <c r="K6" s="69" t="str">
        <f>'Table Seed Map'!$A$35&amp;"-"&amp;(COUNTA($E$1:ResourceAction[[#This Row],[Resource]])-2)</f>
        <v>Action Method-4</v>
      </c>
      <c r="L6" s="70">
        <f>IF(ResourceAction[[#This Row],[No]]="id","id",-2+COUNTA($E$1:ResourceAction[[#This Row],[Resource]])+IF(ISNUMBER(VLOOKUP('Table Seed Map'!$A$35,SeedMap[],9,0)),VLOOKUP('Table Seed Map'!$A$35,SeedMap[],9,0),0))</f>
        <v>558404</v>
      </c>
      <c r="M6" s="70">
        <f>IF(ResourceAction[[#This Row],[No]]="id","resource_action",ResourceAction[[#This Row],[No]])</f>
        <v>558304</v>
      </c>
      <c r="N6" s="80" t="s">
        <v>122</v>
      </c>
      <c r="O6" s="81">
        <f ca="1">IF(ResourceAction[[#This Row],[Resource Name]]="","idn1",IF(ResourceAction[[#This Row],[IDN1]]="","",VLOOKUP(ResourceAction[[#This Row],[IDN1]],IDNMaps[[Display]:[ID]],2,0)))</f>
        <v>557304</v>
      </c>
      <c r="P6" s="81" t="str">
        <f>IF(ResourceAction[[#This Row],[Resource Name]]="","idn2",IF(ResourceAction[[#This Row],[IDN2]]="","",VLOOKUP(ResourceAction[[#This Row],[IDN2]],IDNMaps[[Display]:[ID]],2,0)))</f>
        <v/>
      </c>
      <c r="Q6" s="81" t="str">
        <f>IF(ResourceAction[[#This Row],[Resource Name]]="","idn3",IF(ResourceAction[[#This Row],[IDN3]]="","",VLOOKUP(ResourceAction[[#This Row],[IDN3]],IDNMaps[[Display]:[ID]],2,0)))</f>
        <v/>
      </c>
      <c r="R6" s="81" t="str">
        <f>IF(ResourceAction[[#This Row],[Resource Name]]="","idn4",IF(ResourceAction[[#This Row],[IDN4]]="","",VLOOKUP(ResourceAction[[#This Row],[IDN4]],IDNMaps[[Display]:[ID]],2,0)))</f>
        <v/>
      </c>
      <c r="S6" s="81" t="str">
        <f>IF(ResourceAction[[#This Row],[Resource Name]]="","idn5",IF(ResourceAction[[#This Row],[IDN5]]="","",VLOOKUP(ResourceAction[[#This Row],[IDN5]],IDNMaps[[Display]:[ID]],2,0)))</f>
        <v/>
      </c>
      <c r="T6" s="82" t="s">
        <v>952</v>
      </c>
      <c r="U6" s="82"/>
      <c r="V6" s="82"/>
      <c r="W6" s="82"/>
      <c r="X6" s="82"/>
      <c r="Y6" s="77">
        <f>ResourceAction[No]</f>
        <v>558304</v>
      </c>
      <c r="Z6"/>
      <c r="AA6" s="1" t="s">
        <v>979</v>
      </c>
      <c r="AB6" s="60">
        <f>VLOOKUP(ActionListNData[[#This Row],[Action Name]],ResourceAction[[Display]:[No]],3,0)</f>
        <v>558317</v>
      </c>
      <c r="AC6" s="60" t="s">
        <v>819</v>
      </c>
      <c r="AD6" s="60"/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558604</v>
      </c>
      <c r="AG6" s="60">
        <f>ActionListNData[[#This Row],[Action]]</f>
        <v>558317</v>
      </c>
      <c r="AH6" s="60">
        <f>IF(ActionListNData[[#This Row],[Action Name]]="","resource_list",IFERROR(VLOOKUP(ActionListNData[[#This Row],[Resource List]],ResourceList[[ListDisplayName]:[No]],2,0),""))</f>
        <v>557303</v>
      </c>
      <c r="AI6" s="60" t="str">
        <f>'Table Seed Map'!$A$38&amp;"-"&amp;-1+COUNTA($AD$1:ActionListNData[[#This Row],[Resource Data]])</f>
        <v>Action Data-0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6" s="60">
        <f>ActionListNData[[#This Row],[Action]]</f>
        <v>558317</v>
      </c>
      <c r="AL6" s="60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Maid/UpdateMaidDetails</v>
      </c>
      <c r="C7" s="58" t="s">
        <v>784</v>
      </c>
      <c r="D7" s="70">
        <f>IF(ResourceAction[[#This Row],[Resource Name]]="","id",COUNTA($C$1:ResourceAction[[#This Row],[Resource Name]])-1+IF(VLOOKUP('Table Seed Map'!$A$34,SeedMap[],9,0),VLOOKUP('Table Seed Map'!$A$34,SeedMap[],9,0),0))</f>
        <v>558305</v>
      </c>
      <c r="E7" s="70">
        <f>IFERROR(VLOOKUP(ResourceAction[[#This Row],[Resource Name]],ResourceTable[[RName]:[No]],3,0),"resource")</f>
        <v>555603</v>
      </c>
      <c r="F7" s="70" t="s">
        <v>852</v>
      </c>
      <c r="G7" s="70" t="s">
        <v>853</v>
      </c>
      <c r="H7" s="70" t="s">
        <v>335</v>
      </c>
      <c r="I7" s="70"/>
      <c r="J7" s="37"/>
      <c r="K7" s="69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558405</v>
      </c>
      <c r="M7" s="70">
        <f>IF(ResourceAction[[#This Row],[No]]="id","resource_action",ResourceAction[[#This Row],[No]])</f>
        <v>558305</v>
      </c>
      <c r="N7" s="80" t="s">
        <v>224</v>
      </c>
      <c r="O7" s="81">
        <f ca="1">IF(ResourceAction[[#This Row],[Resource Name]]="","idn1",IF(ResourceAction[[#This Row],[IDN1]]="","",VLOOKUP(ResourceAction[[#This Row],[IDN1]],IDNMaps[[Display]:[ID]],2,0)))</f>
        <v>556003</v>
      </c>
      <c r="P7" s="81">
        <f ca="1">IF(ResourceAction[[#This Row],[Resource Name]]="","idn2",IF(ResourceAction[[#This Row],[IDN2]]="","",VLOOKUP(ResourceAction[[#This Row],[IDN2]],IDNMaps[[Display]:[ID]],2,0)))</f>
        <v>557801</v>
      </c>
      <c r="Q7" s="81" t="str">
        <f>IF(ResourceAction[[#This Row],[Resource Name]]="","idn3",IF(ResourceAction[[#This Row],[IDN3]]="","",VLOOKUP(ResourceAction[[#This Row],[IDN3]],IDNMaps[[Display]:[ID]],2,0)))</f>
        <v/>
      </c>
      <c r="R7" s="81" t="str">
        <f>IF(ResourceAction[[#This Row],[Resource Name]]="","idn4",IF(ResourceAction[[#This Row],[IDN4]]="","",VLOOKUP(ResourceAction[[#This Row],[IDN4]],IDNMaps[[Display]:[ID]],2,0)))</f>
        <v/>
      </c>
      <c r="S7" s="81" t="str">
        <f>IF(ResourceAction[[#This Row],[Resource Name]]="","idn5",IF(ResourceAction[[#This Row],[IDN5]]="","",VLOOKUP(ResourceAction[[#This Row],[IDN5]],IDNMaps[[Display]:[ID]],2,0)))</f>
        <v/>
      </c>
      <c r="T7" s="82" t="s">
        <v>814</v>
      </c>
      <c r="U7" s="82" t="s">
        <v>856</v>
      </c>
      <c r="V7" s="82"/>
      <c r="W7" s="82"/>
      <c r="X7" s="82"/>
      <c r="Y7" s="77">
        <f>ResourceAction[No]</f>
        <v>558305</v>
      </c>
      <c r="Z7"/>
      <c r="AA7" s="1" t="s">
        <v>980</v>
      </c>
      <c r="AB7" s="60">
        <f>VLOOKUP(ActionListNData[[#This Row],[Action Name]],ResourceAction[[Display]:[No]],3,0)</f>
        <v>558318</v>
      </c>
      <c r="AC7" s="60" t="s">
        <v>819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558605</v>
      </c>
      <c r="AG7" s="60">
        <f>ActionListNData[[#This Row],[Action]]</f>
        <v>558318</v>
      </c>
      <c r="AH7" s="60">
        <f>IF(ActionListNData[[#This Row],[Action Name]]="","resource_list",IFERROR(VLOOKUP(ActionListNData[[#This Row],[Resource List]],ResourceList[[ListDisplayName]:[No]],2,0),""))</f>
        <v>557303</v>
      </c>
      <c r="AI7" s="60" t="str">
        <f>'Table Seed Map'!$A$38&amp;"-"&amp;-1+COUNTA($AD$1:ActionListNData[[#This Row],[Resource Data]])</f>
        <v>Action Data-0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7" s="60">
        <f>ActionListNData[[#This Row],[Action]]</f>
        <v>558318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MaidJob/UpdateJobEntry</v>
      </c>
      <c r="C8" s="58" t="s">
        <v>932</v>
      </c>
      <c r="D8" s="70">
        <f>IF(ResourceAction[[#This Row],[Resource Name]]="","id",COUNTA($C$1:ResourceAction[[#This Row],[Resource Name]])-1+IF(VLOOKUP('Table Seed Map'!$A$34,SeedMap[],9,0),VLOOKUP('Table Seed Map'!$A$34,SeedMap[],9,0),0))</f>
        <v>558306</v>
      </c>
      <c r="E8" s="70">
        <f>IFERROR(VLOOKUP(ResourceAction[[#This Row],[Resource Name]],ResourceTable[[RName]:[No]],3,0),"resource")</f>
        <v>555604</v>
      </c>
      <c r="F8" s="70" t="s">
        <v>859</v>
      </c>
      <c r="G8" s="70" t="s">
        <v>860</v>
      </c>
      <c r="H8" s="70" t="s">
        <v>335</v>
      </c>
      <c r="I8" s="70"/>
      <c r="J8" s="37"/>
      <c r="K8" s="69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558406</v>
      </c>
      <c r="M8" s="70">
        <f>IF(ResourceAction[[#This Row],[No]]="id","resource_action",ResourceAction[[#This Row],[No]])</f>
        <v>558306</v>
      </c>
      <c r="N8" s="80" t="s">
        <v>224</v>
      </c>
      <c r="O8" s="81">
        <f ca="1">IF(ResourceAction[[#This Row],[Resource Name]]="","idn1",IF(ResourceAction[[#This Row],[IDN1]]="","",VLOOKUP(ResourceAction[[#This Row],[IDN1]],IDNMaps[[Display]:[ID]],2,0)))</f>
        <v>556004</v>
      </c>
      <c r="P8" s="81">
        <f ca="1">IF(ResourceAction[[#This Row],[Resource Name]]="","idn2",IF(ResourceAction[[#This Row],[IDN2]]="","",VLOOKUP(ResourceAction[[#This Row],[IDN2]],IDNMaps[[Display]:[ID]],2,0)))</f>
        <v>557802</v>
      </c>
      <c r="Q8" s="81" t="str">
        <f>IF(ResourceAction[[#This Row],[Resource Name]]="","idn3",IF(ResourceAction[[#This Row],[IDN3]]="","",VLOOKUP(ResourceAction[[#This Row],[IDN3]],IDNMaps[[Display]:[ID]],2,0)))</f>
        <v/>
      </c>
      <c r="R8" s="81" t="str">
        <f>IF(ResourceAction[[#This Row],[Resource Name]]="","idn4",IF(ResourceAction[[#This Row],[IDN4]]="","",VLOOKUP(ResourceAction[[#This Row],[IDN4]],IDNMaps[[Display]:[ID]],2,0)))</f>
        <v/>
      </c>
      <c r="S8" s="81" t="str">
        <f>IF(ResourceAction[[#This Row],[Resource Name]]="","idn5",IF(ResourceAction[[#This Row],[IDN5]]="","",VLOOKUP(ResourceAction[[#This Row],[IDN5]],IDNMaps[[Display]:[ID]],2,0)))</f>
        <v/>
      </c>
      <c r="T8" s="82" t="s">
        <v>951</v>
      </c>
      <c r="U8" s="82" t="s">
        <v>953</v>
      </c>
      <c r="V8" s="82"/>
      <c r="W8" s="82"/>
      <c r="X8" s="82"/>
      <c r="Y8" s="77">
        <f>ResourceAction[No]</f>
        <v>558306</v>
      </c>
      <c r="Z8"/>
      <c r="AA8" s="1" t="s">
        <v>981</v>
      </c>
      <c r="AB8" s="60">
        <f>VLOOKUP(ActionListNData[[#This Row],[Action Name]],ResourceAction[[Display]:[No]],3,0)</f>
        <v>558319</v>
      </c>
      <c r="AC8" s="60" t="s">
        <v>819</v>
      </c>
      <c r="AD8" s="60"/>
      <c r="AE8" s="60" t="str">
        <f>'Table Seed Map'!$A$37&amp;"-"&amp;-1+COUNTA($AC$1:ActionListNData[[#This Row],[Resource List]])</f>
        <v>Action List-6</v>
      </c>
      <c r="AF8" s="60">
        <f>IF(ActionListNData[[#This Row],[Action Name]]="","id",-1+COUNTA($AC$1:ActionListNData[[#This Row],[Resource List]])+IF(ISNUMBER(VLOOKUP('Table Seed Map'!$A$37,SeedMap[],9,0)),VLOOKUP('Table Seed Map'!$A$37,SeedMap[],9,0),0))</f>
        <v>558606</v>
      </c>
      <c r="AG8" s="60">
        <f>ActionListNData[[#This Row],[Action]]</f>
        <v>558319</v>
      </c>
      <c r="AH8" s="60">
        <f>IF(ActionListNData[[#This Row],[Action Name]]="","resource_list",IFERROR(VLOOKUP(ActionListNData[[#This Row],[Resource List]],ResourceList[[ListDisplayName]:[No]],2,0),""))</f>
        <v>557303</v>
      </c>
      <c r="AI8" s="60" t="str">
        <f>'Table Seed Map'!$A$38&amp;"-"&amp;-1+COUNTA($AD$1:ActionListNData[[#This Row],[Resource Data]])</f>
        <v>Action Data-0</v>
      </c>
      <c r="AJ8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8" s="60">
        <f>ActionListNData[[#This Row],[Action]]</f>
        <v>558319</v>
      </c>
      <c r="AL8" s="60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MaidJob/ListTodayJobEntries</v>
      </c>
      <c r="C9" s="58" t="s">
        <v>932</v>
      </c>
      <c r="D9" s="70">
        <f>IF(ResourceAction[[#This Row],[Resource Name]]="","id",COUNTA($C$1:ResourceAction[[#This Row],[Resource Name]])-1+IF(VLOOKUP('Table Seed Map'!$A$34,SeedMap[],9,0),VLOOKUP('Table Seed Map'!$A$34,SeedMap[],9,0),0))</f>
        <v>558307</v>
      </c>
      <c r="E9" s="70">
        <f>IFERROR(VLOOKUP(ResourceAction[[#This Row],[Resource Name]],ResourceTable[[RName]:[No]],3,0),"resource")</f>
        <v>555604</v>
      </c>
      <c r="F9" s="70" t="s">
        <v>874</v>
      </c>
      <c r="G9" s="70" t="s">
        <v>880</v>
      </c>
      <c r="H9" s="70"/>
      <c r="I9" s="70"/>
      <c r="J9" s="70" t="s">
        <v>886</v>
      </c>
      <c r="K9" s="69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558407</v>
      </c>
      <c r="M9" s="70">
        <f>IF(ResourceAction[[#This Row],[No]]="id","resource_action",ResourceAction[[#This Row],[No]])</f>
        <v>558307</v>
      </c>
      <c r="N9" s="80" t="s">
        <v>122</v>
      </c>
      <c r="O9" s="81">
        <f ca="1">IF(ResourceAction[[#This Row],[Resource Name]]="","idn1",IF(ResourceAction[[#This Row],[IDN1]]="","",VLOOKUP(ResourceAction[[#This Row],[IDN1]],IDNMaps[[Display]:[ID]],2,0)))</f>
        <v>557305</v>
      </c>
      <c r="P9" s="81" t="str">
        <f>IF(ResourceAction[[#This Row],[Resource Name]]="","idn2",IF(ResourceAction[[#This Row],[IDN2]]="","",VLOOKUP(ResourceAction[[#This Row],[IDN2]],IDNMaps[[Display]:[ID]],2,0)))</f>
        <v/>
      </c>
      <c r="Q9" s="81" t="str">
        <f>IF(ResourceAction[[#This Row],[Resource Name]]="","idn3",IF(ResourceAction[[#This Row],[IDN3]]="","",VLOOKUP(ResourceAction[[#This Row],[IDN3]],IDNMaps[[Display]:[ID]],2,0)))</f>
        <v/>
      </c>
      <c r="R9" s="81" t="str">
        <f>IF(ResourceAction[[#This Row],[Resource Name]]="","idn4",IF(ResourceAction[[#This Row],[IDN4]]="","",VLOOKUP(ResourceAction[[#This Row],[IDN4]],IDNMaps[[Display]:[ID]],2,0)))</f>
        <v/>
      </c>
      <c r="S9" s="81" t="str">
        <f>IF(ResourceAction[[#This Row],[Resource Name]]="","idn5",IF(ResourceAction[[#This Row],[IDN5]]="","",VLOOKUP(ResourceAction[[#This Row],[IDN5]],IDNMaps[[Display]:[ID]],2,0)))</f>
        <v/>
      </c>
      <c r="T9" s="82" t="s">
        <v>954</v>
      </c>
      <c r="U9" s="82"/>
      <c r="V9" s="82"/>
      <c r="W9" s="82"/>
      <c r="X9" s="82"/>
      <c r="Y9" s="77">
        <f>ResourceAction[No]</f>
        <v>558307</v>
      </c>
      <c r="Z9"/>
      <c r="AA9" s="1" t="s">
        <v>982</v>
      </c>
      <c r="AB9" s="60">
        <f>VLOOKUP(ActionListNData[[#This Row],[Action Name]],ResourceAction[[Display]:[No]],3,0)</f>
        <v>558320</v>
      </c>
      <c r="AC9" s="60" t="s">
        <v>819</v>
      </c>
      <c r="AD9" s="60"/>
      <c r="AE9" s="60" t="str">
        <f>'Table Seed Map'!$A$37&amp;"-"&amp;-1+COUNTA($AC$1:ActionListNData[[#This Row],[Resource List]])</f>
        <v>Action List-7</v>
      </c>
      <c r="AF9" s="60">
        <f>IF(ActionListNData[[#This Row],[Action Name]]="","id",-1+COUNTA($AC$1:ActionListNData[[#This Row],[Resource List]])+IF(ISNUMBER(VLOOKUP('Table Seed Map'!$A$37,SeedMap[],9,0)),VLOOKUP('Table Seed Map'!$A$37,SeedMap[],9,0),0))</f>
        <v>558607</v>
      </c>
      <c r="AG9" s="60">
        <f>ActionListNData[[#This Row],[Action]]</f>
        <v>558320</v>
      </c>
      <c r="AH9" s="60">
        <f>IF(ActionListNData[[#This Row],[Action Name]]="","resource_list",IFERROR(VLOOKUP(ActionListNData[[#This Row],[Resource List]],ResourceList[[ListDisplayName]:[No]],2,0),""))</f>
        <v>557303</v>
      </c>
      <c r="AI9" s="60" t="str">
        <f>'Table Seed Map'!$A$38&amp;"-"&amp;-1+COUNTA($AD$1:ActionListNData[[#This Row],[Resource Data]])</f>
        <v>Action Data-0</v>
      </c>
      <c r="AJ9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9" s="60">
        <f>ActionListNData[[#This Row],[Action]]</f>
        <v>558320</v>
      </c>
      <c r="AL9" s="60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MaidJob/ListYesterdayJobEntries</v>
      </c>
      <c r="C10" s="58" t="s">
        <v>932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558308</v>
      </c>
      <c r="E10" s="70">
        <f>IFERROR(VLOOKUP(ResourceAction[[#This Row],[Resource Name]],ResourceTable[[RName]:[No]],3,0),"resource")</f>
        <v>555604</v>
      </c>
      <c r="F10" s="70" t="s">
        <v>875</v>
      </c>
      <c r="G10" s="70" t="s">
        <v>881</v>
      </c>
      <c r="H10" s="70"/>
      <c r="I10" s="70"/>
      <c r="J10" s="70" t="s">
        <v>887</v>
      </c>
      <c r="K10" s="69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558408</v>
      </c>
      <c r="M10" s="70">
        <f>IF(ResourceAction[[#This Row],[No]]="id","resource_action",ResourceAction[[#This Row],[No]])</f>
        <v>558308</v>
      </c>
      <c r="N10" s="80" t="s">
        <v>122</v>
      </c>
      <c r="O10" s="81">
        <f ca="1">IF(ResourceAction[[#This Row],[Resource Name]]="","idn1",IF(ResourceAction[[#This Row],[IDN1]]="","",VLOOKUP(ResourceAction[[#This Row],[IDN1]],IDNMaps[[Display]:[ID]],2,0)))</f>
        <v>557306</v>
      </c>
      <c r="P10" s="81" t="str">
        <f>IF(ResourceAction[[#This Row],[Resource Name]]="","idn2",IF(ResourceAction[[#This Row],[IDN2]]="","",VLOOKUP(ResourceAction[[#This Row],[IDN2]],IDNMaps[[Display]:[ID]],2,0)))</f>
        <v/>
      </c>
      <c r="Q10" s="81" t="str">
        <f>IF(ResourceAction[[#This Row],[Resource Name]]="","idn3",IF(ResourceAction[[#This Row],[IDN3]]="","",VLOOKUP(ResourceAction[[#This Row],[IDN3]],IDNMaps[[Display]:[ID]],2,0)))</f>
        <v/>
      </c>
      <c r="R10" s="81" t="str">
        <f>IF(ResourceAction[[#This Row],[Resource Name]]="","idn4",IF(ResourceAction[[#This Row],[IDN4]]="","",VLOOKUP(ResourceAction[[#This Row],[IDN4]],IDNMaps[[Display]:[ID]],2,0)))</f>
        <v/>
      </c>
      <c r="S10" s="81" t="str">
        <f>IF(ResourceAction[[#This Row],[Resource Name]]="","idn5",IF(ResourceAction[[#This Row],[IDN5]]="","",VLOOKUP(ResourceAction[[#This Row],[IDN5]],IDNMaps[[Display]:[ID]],2,0)))</f>
        <v/>
      </c>
      <c r="T10" s="82" t="s">
        <v>955</v>
      </c>
      <c r="U10" s="82"/>
      <c r="V10" s="82"/>
      <c r="W10" s="82"/>
      <c r="X10" s="82"/>
      <c r="Y10" s="77">
        <f>ResourceAction[No]</f>
        <v>558308</v>
      </c>
      <c r="Z10"/>
      <c r="AA10" s="1" t="s">
        <v>983</v>
      </c>
      <c r="AB10" s="60">
        <f>VLOOKUP(ActionListNData[[#This Row],[Action Name]],ResourceAction[[Display]:[No]],3,0)</f>
        <v>558321</v>
      </c>
      <c r="AC10" s="60" t="s">
        <v>819</v>
      </c>
      <c r="AD10" s="60"/>
      <c r="AE10" s="60" t="str">
        <f>'Table Seed Map'!$A$37&amp;"-"&amp;-1+COUNTA($AC$1:ActionListNData[[#This Row],[Resource List]])</f>
        <v>Action List-8</v>
      </c>
      <c r="AF10" s="60">
        <f>IF(ActionListNData[[#This Row],[Action Name]]="","id",-1+COUNTA($AC$1:ActionListNData[[#This Row],[Resource List]])+IF(ISNUMBER(VLOOKUP('Table Seed Map'!$A$37,SeedMap[],9,0)),VLOOKUP('Table Seed Map'!$A$37,SeedMap[],9,0),0))</f>
        <v>558608</v>
      </c>
      <c r="AG10" s="60">
        <f>ActionListNData[[#This Row],[Action]]</f>
        <v>558321</v>
      </c>
      <c r="AH10" s="60">
        <f>IF(ActionListNData[[#This Row],[Action Name]]="","resource_list",IFERROR(VLOOKUP(ActionListNData[[#This Row],[Resource List]],ResourceList[[ListDisplayName]:[No]],2,0),""))</f>
        <v>557303</v>
      </c>
      <c r="AI10" s="60" t="str">
        <f>'Table Seed Map'!$A$38&amp;"-"&amp;-1+COUNTA($AD$1:ActionListNData[[#This Row],[Resource Data]])</f>
        <v>Action Data-0</v>
      </c>
      <c r="AJ10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10" s="60">
        <f>ActionListNData[[#This Row],[Action]]</f>
        <v>558321</v>
      </c>
      <c r="AL10" s="60" t="str">
        <f>IF(ActionListNData[[#This Row],[Action Name]]="","resource_data",IFERROR(VLOOKUP(ActionListNData[[#This Row],[Resource Data]],ResourceData[[DataDisplayName]:[No]],2,0),""))</f>
        <v/>
      </c>
    </row>
    <row r="11" spans="1:45" x14ac:dyDescent="0.2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MaidJob/ListWeekJobEntries</v>
      </c>
      <c r="C11" s="58" t="s">
        <v>932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558309</v>
      </c>
      <c r="E11" s="70">
        <f>IFERROR(VLOOKUP(ResourceAction[[#This Row],[Resource Name]],ResourceTable[[RName]:[No]],3,0),"resource")</f>
        <v>555604</v>
      </c>
      <c r="F11" s="70" t="s">
        <v>877</v>
      </c>
      <c r="G11" s="70" t="s">
        <v>882</v>
      </c>
      <c r="H11" s="70"/>
      <c r="I11" s="70"/>
      <c r="J11" s="70" t="s">
        <v>889</v>
      </c>
      <c r="K11" s="69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558409</v>
      </c>
      <c r="M11" s="70">
        <f>IF(ResourceAction[[#This Row],[No]]="id","resource_action",ResourceAction[[#This Row],[No]])</f>
        <v>558309</v>
      </c>
      <c r="N11" s="80" t="s">
        <v>122</v>
      </c>
      <c r="O11" s="81">
        <f ca="1">IF(ResourceAction[[#This Row],[Resource Name]]="","idn1",IF(ResourceAction[[#This Row],[IDN1]]="","",VLOOKUP(ResourceAction[[#This Row],[IDN1]],IDNMaps[[Display]:[ID]],2,0)))</f>
        <v>557307</v>
      </c>
      <c r="P11" s="81" t="str">
        <f>IF(ResourceAction[[#This Row],[Resource Name]]="","idn2",IF(ResourceAction[[#This Row],[IDN2]]="","",VLOOKUP(ResourceAction[[#This Row],[IDN2]],IDNMaps[[Display]:[ID]],2,0)))</f>
        <v/>
      </c>
      <c r="Q11" s="81" t="str">
        <f>IF(ResourceAction[[#This Row],[Resource Name]]="","idn3",IF(ResourceAction[[#This Row],[IDN3]]="","",VLOOKUP(ResourceAction[[#This Row],[IDN3]],IDNMaps[[Display]:[ID]],2,0)))</f>
        <v/>
      </c>
      <c r="R11" s="81" t="str">
        <f>IF(ResourceAction[[#This Row],[Resource Name]]="","idn4",IF(ResourceAction[[#This Row],[IDN4]]="","",VLOOKUP(ResourceAction[[#This Row],[IDN4]],IDNMaps[[Display]:[ID]],2,0)))</f>
        <v/>
      </c>
      <c r="S11" s="81" t="str">
        <f>IF(ResourceAction[[#This Row],[Resource Name]]="","idn5",IF(ResourceAction[[#This Row],[IDN5]]="","",VLOOKUP(ResourceAction[[#This Row],[IDN5]],IDNMaps[[Display]:[ID]],2,0)))</f>
        <v/>
      </c>
      <c r="T11" s="82" t="s">
        <v>956</v>
      </c>
      <c r="U11" s="82"/>
      <c r="V11" s="82"/>
      <c r="W11" s="82"/>
      <c r="X11" s="82"/>
      <c r="Y11" s="77">
        <f>ResourceAction[No]</f>
        <v>558309</v>
      </c>
      <c r="Z11"/>
      <c r="AA11" s="1" t="s">
        <v>931</v>
      </c>
      <c r="AB11" s="15">
        <f>VLOOKUP(ActionListNData[[#This Row],[Action Name]],ResourceAction[[Display]:[No]],3,0)</f>
        <v>558315</v>
      </c>
      <c r="AC11" s="60" t="s">
        <v>904</v>
      </c>
      <c r="AD11" s="15"/>
      <c r="AE11" s="15" t="str">
        <f>'Table Seed Map'!$A$37&amp;"-"&amp;-1+COUNTA($AC$1:ActionListNData[[#This Row],[Resource List]])</f>
        <v>Action List-9</v>
      </c>
      <c r="AF11" s="15">
        <f>IF(ActionListNData[[#This Row],[Action Name]]="","id",-1+COUNTA($AC$1:ActionListNData[[#This Row],[Resource List]])+IF(ISNUMBER(VLOOKUP('Table Seed Map'!$A$37,SeedMap[],9,0)),VLOOKUP('Table Seed Map'!$A$37,SeedMap[],9,0),0))</f>
        <v>558609</v>
      </c>
      <c r="AG11" s="15">
        <f>ActionListNData[[#This Row],[Action]]</f>
        <v>558315</v>
      </c>
      <c r="AH11" s="15">
        <f>IF(ActionListNData[[#This Row],[Action Name]]="","resource_list",IFERROR(VLOOKUP(ActionListNData[[#This Row],[Resource List]],ResourceList[[ListDisplayName]:[No]],2,0),""))</f>
        <v>557301</v>
      </c>
      <c r="AI11" s="15" t="str">
        <f>'Table Seed Map'!$A$38&amp;"-"&amp;-1+COUNTA($AD$1:ActionListNData[[#This Row],[Resource Data]])</f>
        <v>Action Data-0</v>
      </c>
      <c r="AJ11" s="15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11" s="15">
        <f>ActionListNData[[#This Row],[Action]]</f>
        <v>558315</v>
      </c>
      <c r="AL11" s="15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MaidJob/ListLastWeekJobEntries</v>
      </c>
      <c r="C12" s="58" t="s">
        <v>932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558310</v>
      </c>
      <c r="E12" s="70">
        <f>IFERROR(VLOOKUP(ResourceAction[[#This Row],[Resource Name]],ResourceTable[[RName]:[No]],3,0),"resource")</f>
        <v>555604</v>
      </c>
      <c r="F12" s="70" t="s">
        <v>876</v>
      </c>
      <c r="G12" s="70" t="s">
        <v>883</v>
      </c>
      <c r="H12" s="70"/>
      <c r="I12" s="70"/>
      <c r="J12" s="70" t="s">
        <v>888</v>
      </c>
      <c r="K12" s="69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558410</v>
      </c>
      <c r="M12" s="70">
        <f>IF(ResourceAction[[#This Row],[No]]="id","resource_action",ResourceAction[[#This Row],[No]])</f>
        <v>558310</v>
      </c>
      <c r="N12" s="80" t="s">
        <v>122</v>
      </c>
      <c r="O12" s="81">
        <f ca="1">IF(ResourceAction[[#This Row],[Resource Name]]="","idn1",IF(ResourceAction[[#This Row],[IDN1]]="","",VLOOKUP(ResourceAction[[#This Row],[IDN1]],IDNMaps[[Display]:[ID]],2,0)))</f>
        <v>557308</v>
      </c>
      <c r="P12" s="81" t="str">
        <f>IF(ResourceAction[[#This Row],[Resource Name]]="","idn2",IF(ResourceAction[[#This Row],[IDN2]]="","",VLOOKUP(ResourceAction[[#This Row],[IDN2]],IDNMaps[[Display]:[ID]],2,0)))</f>
        <v/>
      </c>
      <c r="Q12" s="81" t="str">
        <f>IF(ResourceAction[[#This Row],[Resource Name]]="","idn3",IF(ResourceAction[[#This Row],[IDN3]]="","",VLOOKUP(ResourceAction[[#This Row],[IDN3]],IDNMaps[[Display]:[ID]],2,0)))</f>
        <v/>
      </c>
      <c r="R12" s="81" t="str">
        <f>IF(ResourceAction[[#This Row],[Resource Name]]="","idn4",IF(ResourceAction[[#This Row],[IDN4]]="","",VLOOKUP(ResourceAction[[#This Row],[IDN4]],IDNMaps[[Display]:[ID]],2,0)))</f>
        <v/>
      </c>
      <c r="S12" s="81" t="str">
        <f>IF(ResourceAction[[#This Row],[Resource Name]]="","idn5",IF(ResourceAction[[#This Row],[IDN5]]="","",VLOOKUP(ResourceAction[[#This Row],[IDN5]],IDNMaps[[Display]:[ID]],2,0)))</f>
        <v/>
      </c>
      <c r="T12" s="82" t="s">
        <v>957</v>
      </c>
      <c r="U12" s="82"/>
      <c r="V12" s="82"/>
      <c r="W12" s="82"/>
      <c r="X12" s="82"/>
      <c r="Y12" s="77">
        <f>ResourceAction[No]</f>
        <v>558310</v>
      </c>
      <c r="Z12"/>
    </row>
    <row r="13" spans="1:45" x14ac:dyDescent="0.2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MaidJob/ListMonthJobEntries</v>
      </c>
      <c r="C13" s="58" t="s">
        <v>932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558311</v>
      </c>
      <c r="E13" s="70">
        <f>IFERROR(VLOOKUP(ResourceAction[[#This Row],[Resource Name]],ResourceTable[[RName]:[No]],3,0),"resource")</f>
        <v>555604</v>
      </c>
      <c r="F13" s="70" t="s">
        <v>878</v>
      </c>
      <c r="G13" s="70" t="s">
        <v>884</v>
      </c>
      <c r="H13" s="70"/>
      <c r="I13" s="70"/>
      <c r="J13" s="70" t="s">
        <v>890</v>
      </c>
      <c r="K13" s="69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558411</v>
      </c>
      <c r="M13" s="70">
        <f>IF(ResourceAction[[#This Row],[No]]="id","resource_action",ResourceAction[[#This Row],[No]])</f>
        <v>558311</v>
      </c>
      <c r="N13" s="80" t="s">
        <v>122</v>
      </c>
      <c r="O13" s="81">
        <f ca="1">IF(ResourceAction[[#This Row],[Resource Name]]="","idn1",IF(ResourceAction[[#This Row],[IDN1]]="","",VLOOKUP(ResourceAction[[#This Row],[IDN1]],IDNMaps[[Display]:[ID]],2,0)))</f>
        <v>557309</v>
      </c>
      <c r="P13" s="81" t="str">
        <f>IF(ResourceAction[[#This Row],[Resource Name]]="","idn2",IF(ResourceAction[[#This Row],[IDN2]]="","",VLOOKUP(ResourceAction[[#This Row],[IDN2]],IDNMaps[[Display]:[ID]],2,0)))</f>
        <v/>
      </c>
      <c r="Q13" s="81" t="str">
        <f>IF(ResourceAction[[#This Row],[Resource Name]]="","idn3",IF(ResourceAction[[#This Row],[IDN3]]="","",VLOOKUP(ResourceAction[[#This Row],[IDN3]],IDNMaps[[Display]:[ID]],2,0)))</f>
        <v/>
      </c>
      <c r="R13" s="81" t="str">
        <f>IF(ResourceAction[[#This Row],[Resource Name]]="","idn4",IF(ResourceAction[[#This Row],[IDN4]]="","",VLOOKUP(ResourceAction[[#This Row],[IDN4]],IDNMaps[[Display]:[ID]],2,0)))</f>
        <v/>
      </c>
      <c r="S13" s="81" t="str">
        <f>IF(ResourceAction[[#This Row],[Resource Name]]="","idn5",IF(ResourceAction[[#This Row],[IDN5]]="","",VLOOKUP(ResourceAction[[#This Row],[IDN5]],IDNMaps[[Display]:[ID]],2,0)))</f>
        <v/>
      </c>
      <c r="T13" s="82" t="s">
        <v>958</v>
      </c>
      <c r="U13" s="82"/>
      <c r="V13" s="82"/>
      <c r="W13" s="82"/>
      <c r="X13" s="82"/>
      <c r="Y13" s="77">
        <f>ResourceAction[No]</f>
        <v>558311</v>
      </c>
    </row>
    <row r="14" spans="1:45" x14ac:dyDescent="0.2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MaidJob/ListLastMonthJobEntries</v>
      </c>
      <c r="C14" s="58" t="s">
        <v>932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558312</v>
      </c>
      <c r="E14" s="70">
        <f>IFERROR(VLOOKUP(ResourceAction[[#This Row],[Resource Name]],ResourceTable[[RName]:[No]],3,0),"resource")</f>
        <v>555604</v>
      </c>
      <c r="F14" s="70" t="s">
        <v>879</v>
      </c>
      <c r="G14" s="70" t="s">
        <v>885</v>
      </c>
      <c r="H14" s="70"/>
      <c r="I14" s="70"/>
      <c r="J14" s="70" t="s">
        <v>891</v>
      </c>
      <c r="K14" s="69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558412</v>
      </c>
      <c r="M14" s="70">
        <f>IF(ResourceAction[[#This Row],[No]]="id","resource_action",ResourceAction[[#This Row],[No]])</f>
        <v>558312</v>
      </c>
      <c r="N14" s="80" t="s">
        <v>122</v>
      </c>
      <c r="O14" s="81">
        <f ca="1">IF(ResourceAction[[#This Row],[Resource Name]]="","idn1",IF(ResourceAction[[#This Row],[IDN1]]="","",VLOOKUP(ResourceAction[[#This Row],[IDN1]],IDNMaps[[Display]:[ID]],2,0)))</f>
        <v>557310</v>
      </c>
      <c r="P14" s="81" t="str">
        <f>IF(ResourceAction[[#This Row],[Resource Name]]="","idn2",IF(ResourceAction[[#This Row],[IDN2]]="","",VLOOKUP(ResourceAction[[#This Row],[IDN2]],IDNMaps[[Display]:[ID]],2,0)))</f>
        <v/>
      </c>
      <c r="Q14" s="81" t="str">
        <f>IF(ResourceAction[[#This Row],[Resource Name]]="","idn3",IF(ResourceAction[[#This Row],[IDN3]]="","",VLOOKUP(ResourceAction[[#This Row],[IDN3]],IDNMaps[[Display]:[ID]],2,0)))</f>
        <v/>
      </c>
      <c r="R14" s="81" t="str">
        <f>IF(ResourceAction[[#This Row],[Resource Name]]="","idn4",IF(ResourceAction[[#This Row],[IDN4]]="","",VLOOKUP(ResourceAction[[#This Row],[IDN4]],IDNMaps[[Display]:[ID]],2,0)))</f>
        <v/>
      </c>
      <c r="S14" s="81" t="str">
        <f>IF(ResourceAction[[#This Row],[Resource Name]]="","idn5",IF(ResourceAction[[#This Row],[IDN5]]="","",VLOOKUP(ResourceAction[[#This Row],[IDN5]],IDNMaps[[Display]:[ID]],2,0)))</f>
        <v/>
      </c>
      <c r="T14" s="82" t="s">
        <v>959</v>
      </c>
      <c r="U14" s="82"/>
      <c r="V14" s="82"/>
      <c r="W14" s="82"/>
      <c r="X14" s="82"/>
      <c r="Y14" s="77">
        <f>ResourceAction[No]</f>
        <v>558312</v>
      </c>
    </row>
    <row r="15" spans="1:45" x14ac:dyDescent="0.25">
      <c r="A15" s="37" t="str">
        <f>'Table Seed Map'!$A$34&amp;"-"&amp;(COUNTA($E$1:ResourceAction[[#This Row],[Resource]])-2)</f>
        <v>Resource Actions-13</v>
      </c>
      <c r="B15" s="37" t="str">
        <f>ResourceAction[[#This Row],[Resource Name]]&amp;"/"&amp;ResourceAction[[#This Row],[Name]]</f>
        <v>Manager/AddManager</v>
      </c>
      <c r="C15" s="35" t="s">
        <v>900</v>
      </c>
      <c r="D15" s="37">
        <f>IF(ResourceAction[[#This Row],[Resource Name]]="","id",COUNTA($C$1:ResourceAction[[#This Row],[Resource Name]])-1+IF(VLOOKUP('Table Seed Map'!$A$34,SeedMap[],9,0),VLOOKUP('Table Seed Map'!$A$34,SeedMap[],9,0),0))</f>
        <v>558313</v>
      </c>
      <c r="E15" s="37">
        <f>IFERROR(VLOOKUP(ResourceAction[[#This Row],[Resource Name]],ResourceTable[[RName]:[No]],3,0),"resource")</f>
        <v>555601</v>
      </c>
      <c r="F15" s="37" t="s">
        <v>922</v>
      </c>
      <c r="G15" s="37" t="s">
        <v>927</v>
      </c>
      <c r="H15" s="37"/>
      <c r="I15" s="37"/>
      <c r="J15" s="37" t="s">
        <v>921</v>
      </c>
      <c r="K15" s="39" t="str">
        <f>'Table Seed Map'!$A$35&amp;"-"&amp;(COUNTA($E$1:ResourceAction[[#This Row],[Resource]])-2)</f>
        <v>Action Method-13</v>
      </c>
      <c r="L15" s="37">
        <f>IF(ResourceAction[[#This Row],[No]]="id","id",-2+COUNTA($E$1:ResourceAction[[#This Row],[Resource]])+IF(ISNUMBER(VLOOKUP('Table Seed Map'!$A$35,SeedMap[],9,0)),VLOOKUP('Table Seed Map'!$A$35,SeedMap[],9,0),0))</f>
        <v>558413</v>
      </c>
      <c r="M15" s="37">
        <f>IF(ResourceAction[[#This Row],[No]]="id","resource_action",ResourceAction[[#This Row],[No]])</f>
        <v>558313</v>
      </c>
      <c r="N15" s="80" t="s">
        <v>121</v>
      </c>
      <c r="O15" s="49">
        <f ca="1">IF(ResourceAction[[#This Row],[Resource Name]]="","idn1",IF(ResourceAction[[#This Row],[IDN1]]="","",VLOOKUP(ResourceAction[[#This Row],[IDN1]],IDNMaps[[Display]:[ID]],2,0)))</f>
        <v>556001</v>
      </c>
      <c r="P15" s="49" t="str">
        <f>IF(ResourceAction[[#This Row],[Resource Name]]="","idn2",IF(ResourceAction[[#This Row],[IDN2]]="","",VLOOKUP(ResourceAction[[#This Row],[IDN2]],IDNMaps[[Display]:[ID]],2,0)))</f>
        <v/>
      </c>
      <c r="Q15" s="49" t="str">
        <f>IF(ResourceAction[[#This Row],[Resource Name]]="","idn3",IF(ResourceAction[[#This Row],[IDN3]]="","",VLOOKUP(ResourceAction[[#This Row],[IDN3]],IDNMaps[[Display]:[ID]],2,0)))</f>
        <v/>
      </c>
      <c r="R15" s="49" t="str">
        <f>IF(ResourceAction[[#This Row],[Resource Name]]="","idn4",IF(ResourceAction[[#This Row],[IDN4]]="","",VLOOKUP(ResourceAction[[#This Row],[IDN4]],IDNMaps[[Display]:[ID]],2,0)))</f>
        <v/>
      </c>
      <c r="S15" s="49" t="str">
        <f>IF(ResourceAction[[#This Row],[Resource Name]]="","idn5",IF(ResourceAction[[#This Row],[IDN5]]="","",VLOOKUP(ResourceAction[[#This Row],[IDN5]],IDNMaps[[Display]:[ID]],2,0)))</f>
        <v/>
      </c>
      <c r="T15" s="82" t="s">
        <v>923</v>
      </c>
      <c r="U15" s="57"/>
      <c r="V15" s="57"/>
      <c r="W15" s="57"/>
      <c r="X15" s="57"/>
      <c r="Y15" s="54">
        <f>ResourceAction[No]</f>
        <v>558313</v>
      </c>
    </row>
    <row r="16" spans="1:45" x14ac:dyDescent="0.25">
      <c r="A16" s="37" t="str">
        <f>'Table Seed Map'!$A$34&amp;"-"&amp;(COUNTA($E$1:ResourceAction[[#This Row],[Resource]])-2)</f>
        <v>Resource Actions-14</v>
      </c>
      <c r="B16" s="37" t="str">
        <f>ResourceAction[[#This Row],[Resource Name]]&amp;"/"&amp;ResourceAction[[#This Row],[Name]]</f>
        <v>Manager/ListManagers</v>
      </c>
      <c r="C16" s="35" t="s">
        <v>900</v>
      </c>
      <c r="D16" s="37">
        <f>IF(ResourceAction[[#This Row],[Resource Name]]="","id",COUNTA($C$1:ResourceAction[[#This Row],[Resource Name]])-1+IF(VLOOKUP('Table Seed Map'!$A$34,SeedMap[],9,0),VLOOKUP('Table Seed Map'!$A$34,SeedMap[],9,0),0))</f>
        <v>558314</v>
      </c>
      <c r="E16" s="37">
        <f>IFERROR(VLOOKUP(ResourceAction[[#This Row],[Resource Name]],ResourceTable[[RName]:[No]],3,0),"resource")</f>
        <v>555601</v>
      </c>
      <c r="F16" s="37" t="s">
        <v>924</v>
      </c>
      <c r="G16" s="37" t="s">
        <v>903</v>
      </c>
      <c r="H16" s="37"/>
      <c r="I16" s="37"/>
      <c r="J16" s="37" t="s">
        <v>821</v>
      </c>
      <c r="K16" s="39" t="str">
        <f>'Table Seed Map'!$A$35&amp;"-"&amp;(COUNTA($E$1:ResourceAction[[#This Row],[Resource]])-2)</f>
        <v>Action Method-14</v>
      </c>
      <c r="L16" s="37">
        <f>IF(ResourceAction[[#This Row],[No]]="id","id",-2+COUNTA($E$1:ResourceAction[[#This Row],[Resource]])+IF(ISNUMBER(VLOOKUP('Table Seed Map'!$A$35,SeedMap[],9,0)),VLOOKUP('Table Seed Map'!$A$35,SeedMap[],9,0),0))</f>
        <v>558414</v>
      </c>
      <c r="M16" s="37">
        <f>IF(ResourceAction[[#This Row],[No]]="id","resource_action",ResourceAction[[#This Row],[No]])</f>
        <v>558314</v>
      </c>
      <c r="N16" s="80" t="s">
        <v>122</v>
      </c>
      <c r="O16" s="49">
        <f ca="1">IF(ResourceAction[[#This Row],[Resource Name]]="","idn1",IF(ResourceAction[[#This Row],[IDN1]]="","",VLOOKUP(ResourceAction[[#This Row],[IDN1]],IDNMaps[[Display]:[ID]],2,0)))</f>
        <v>557301</v>
      </c>
      <c r="P16" s="49" t="str">
        <f>IF(ResourceAction[[#This Row],[Resource Name]]="","idn2",IF(ResourceAction[[#This Row],[IDN2]]="","",VLOOKUP(ResourceAction[[#This Row],[IDN2]],IDNMaps[[Display]:[ID]],2,0)))</f>
        <v/>
      </c>
      <c r="Q16" s="49" t="str">
        <f>IF(ResourceAction[[#This Row],[Resource Name]]="","idn3",IF(ResourceAction[[#This Row],[IDN3]]="","",VLOOKUP(ResourceAction[[#This Row],[IDN3]],IDNMaps[[Display]:[ID]],2,0)))</f>
        <v/>
      </c>
      <c r="R16" s="49" t="str">
        <f>IF(ResourceAction[[#This Row],[Resource Name]]="","idn4",IF(ResourceAction[[#This Row],[IDN4]]="","",VLOOKUP(ResourceAction[[#This Row],[IDN4]],IDNMaps[[Display]:[ID]],2,0)))</f>
        <v/>
      </c>
      <c r="S16" s="49" t="str">
        <f>IF(ResourceAction[[#This Row],[Resource Name]]="","idn5",IF(ResourceAction[[#This Row],[IDN5]]="","",VLOOKUP(ResourceAction[[#This Row],[IDN5]],IDNMaps[[Display]:[ID]],2,0)))</f>
        <v/>
      </c>
      <c r="T16" s="82" t="s">
        <v>925</v>
      </c>
      <c r="U16" s="57"/>
      <c r="V16" s="57"/>
      <c r="W16" s="57"/>
      <c r="X16" s="57"/>
      <c r="Y16" s="54">
        <f>ResourceAction[No]</f>
        <v>558314</v>
      </c>
    </row>
    <row r="17" spans="1:25" x14ac:dyDescent="0.25">
      <c r="A17" s="37" t="str">
        <f>'Table Seed Map'!$A$34&amp;"-"&amp;(COUNTA($E$1:ResourceAction[[#This Row],[Resource]])-2)</f>
        <v>Resource Actions-15</v>
      </c>
      <c r="B17" s="37" t="str">
        <f>ResourceAction[[#This Row],[Resource Name]]&amp;"/"&amp;ResourceAction[[#This Row],[Name]]</f>
        <v>Manager/UpdateManager</v>
      </c>
      <c r="C17" s="35" t="s">
        <v>900</v>
      </c>
      <c r="D17" s="37">
        <f>IF(ResourceAction[[#This Row],[Resource Name]]="","id",COUNTA($C$1:ResourceAction[[#This Row],[Resource Name]])-1+IF(VLOOKUP('Table Seed Map'!$A$34,SeedMap[],9,0),VLOOKUP('Table Seed Map'!$A$34,SeedMap[],9,0),0))</f>
        <v>558315</v>
      </c>
      <c r="E17" s="37">
        <f>IFERROR(VLOOKUP(ResourceAction[[#This Row],[Resource Name]],ResourceTable[[RName]:[No]],3,0),"resource")</f>
        <v>555601</v>
      </c>
      <c r="F17" s="37" t="s">
        <v>926</v>
      </c>
      <c r="G17" s="37" t="s">
        <v>928</v>
      </c>
      <c r="H17" s="37" t="s">
        <v>929</v>
      </c>
      <c r="I17" s="37"/>
      <c r="J17" s="37"/>
      <c r="K17" s="39" t="str">
        <f>'Table Seed Map'!$A$35&amp;"-"&amp;(COUNTA($E$1:ResourceAction[[#This Row],[Resource]])-2)</f>
        <v>Action Method-15</v>
      </c>
      <c r="L17" s="37">
        <f>IF(ResourceAction[[#This Row],[No]]="id","id",-2+COUNTA($E$1:ResourceAction[[#This Row],[Resource]])+IF(ISNUMBER(VLOOKUP('Table Seed Map'!$A$35,SeedMap[],9,0)),VLOOKUP('Table Seed Map'!$A$35,SeedMap[],9,0),0))</f>
        <v>558415</v>
      </c>
      <c r="M17" s="37">
        <f>IF(ResourceAction[[#This Row],[No]]="id","resource_action",ResourceAction[[#This Row],[No]])</f>
        <v>558315</v>
      </c>
      <c r="N17" s="80" t="s">
        <v>224</v>
      </c>
      <c r="O17" s="49">
        <f ca="1">IF(ResourceAction[[#This Row],[Resource Name]]="","idn1",IF(ResourceAction[[#This Row],[IDN1]]="","",VLOOKUP(ResourceAction[[#This Row],[IDN1]],IDNMaps[[Display]:[ID]],2,0)))</f>
        <v>556001</v>
      </c>
      <c r="P17" s="49">
        <f ca="1">IF(ResourceAction[[#This Row],[Resource Name]]="","idn2",IF(ResourceAction[[#This Row],[IDN2]]="","",VLOOKUP(ResourceAction[[#This Row],[IDN2]],IDNMaps[[Display]:[ID]],2,0)))</f>
        <v>557803</v>
      </c>
      <c r="Q17" s="49" t="str">
        <f>IF(ResourceAction[[#This Row],[Resource Name]]="","idn3",IF(ResourceAction[[#This Row],[IDN3]]="","",VLOOKUP(ResourceAction[[#This Row],[IDN3]],IDNMaps[[Display]:[ID]],2,0)))</f>
        <v/>
      </c>
      <c r="R17" s="49" t="str">
        <f>IF(ResourceAction[[#This Row],[Resource Name]]="","idn4",IF(ResourceAction[[#This Row],[IDN4]]="","",VLOOKUP(ResourceAction[[#This Row],[IDN4]],IDNMaps[[Display]:[ID]],2,0)))</f>
        <v/>
      </c>
      <c r="S17" s="49" t="str">
        <f>IF(ResourceAction[[#This Row],[Resource Name]]="","idn5",IF(ResourceAction[[#This Row],[IDN5]]="","",VLOOKUP(ResourceAction[[#This Row],[IDN5]],IDNMaps[[Display]:[ID]],2,0)))</f>
        <v/>
      </c>
      <c r="T17" s="82" t="s">
        <v>923</v>
      </c>
      <c r="U17" s="82" t="s">
        <v>930</v>
      </c>
      <c r="V17" s="57"/>
      <c r="W17" s="57"/>
      <c r="X17" s="57"/>
      <c r="Y17" s="54">
        <f>ResourceAction[No]</f>
        <v>558315</v>
      </c>
    </row>
    <row r="18" spans="1:25" x14ac:dyDescent="0.25">
      <c r="A18" s="70" t="str">
        <f>'Table Seed Map'!$A$34&amp;"-"&amp;(COUNTA($E$1:ResourceAction[[#This Row],[Resource]])-2)</f>
        <v>Resource Actions-16</v>
      </c>
      <c r="B18" s="70" t="str">
        <f>ResourceAction[[#This Row],[Resource Name]]&amp;"/"&amp;ResourceAction[[#This Row],[Name]]</f>
        <v>Maid/ViewMaidTodayJobs</v>
      </c>
      <c r="C18" s="58" t="s">
        <v>784</v>
      </c>
      <c r="D18" s="70">
        <f>IF(ResourceAction[[#This Row],[Resource Name]]="","id",COUNTA($C$1:ResourceAction[[#This Row],[Resource Name]])-1+IF(VLOOKUP('Table Seed Map'!$A$34,SeedMap[],9,0),VLOOKUP('Table Seed Map'!$A$34,SeedMap[],9,0),0))</f>
        <v>558316</v>
      </c>
      <c r="E18" s="70">
        <f>IFERROR(VLOOKUP(ResourceAction[[#This Row],[Resource Name]],ResourceTable[[RName]:[No]],3,0),"resource")</f>
        <v>555603</v>
      </c>
      <c r="F18" s="70" t="s">
        <v>961</v>
      </c>
      <c r="G18" s="70" t="s">
        <v>967</v>
      </c>
      <c r="H18" s="70" t="s">
        <v>886</v>
      </c>
      <c r="I18" s="70"/>
      <c r="J18" s="70"/>
      <c r="K18" s="69" t="str">
        <f>'Table Seed Map'!$A$35&amp;"-"&amp;(COUNTA($E$1:ResourceAction[[#This Row],[Resource]])-2)</f>
        <v>Action Method-16</v>
      </c>
      <c r="L18" s="70">
        <f>IF(ResourceAction[[#This Row],[No]]="id","id",-2+COUNTA($E$1:ResourceAction[[#This Row],[Resource]])+IF(ISNUMBER(VLOOKUP('Table Seed Map'!$A$35,SeedMap[],9,0)),VLOOKUP('Table Seed Map'!$A$35,SeedMap[],9,0),0))</f>
        <v>558416</v>
      </c>
      <c r="M18" s="70">
        <f>IF(ResourceAction[[#This Row],[No]]="id","resource_action",ResourceAction[[#This Row],[No]])</f>
        <v>558316</v>
      </c>
      <c r="N18" s="80" t="s">
        <v>973</v>
      </c>
      <c r="O18" s="81">
        <f ca="1">IF(ResourceAction[[#This Row],[Resource Name]]="","idn1",IF(ResourceAction[[#This Row],[IDN1]]="","",VLOOKUP(ResourceAction[[#This Row],[IDN1]],IDNMaps[[Display]:[ID]],2,0)))</f>
        <v>555901</v>
      </c>
      <c r="P18" s="81">
        <f ca="1">IF(ResourceAction[[#This Row],[Resource Name]]="","idn2",IF(ResourceAction[[#This Row],[IDN2]]="","",VLOOKUP(ResourceAction[[#This Row],[IDN2]],IDNMaps[[Display]:[ID]],2,0)))</f>
        <v>557305</v>
      </c>
      <c r="Q18" s="81" t="str">
        <f>IF(ResourceAction[[#This Row],[Resource Name]]="","idn3",IF(ResourceAction[[#This Row],[IDN3]]="","",VLOOKUP(ResourceAction[[#This Row],[IDN3]],IDNMaps[[Display]:[ID]],2,0)))</f>
        <v/>
      </c>
      <c r="R18" s="81" t="str">
        <f>IF(ResourceAction[[#This Row],[Resource Name]]="","idn4",IF(ResourceAction[[#This Row],[IDN4]]="","",VLOOKUP(ResourceAction[[#This Row],[IDN4]],IDNMaps[[Display]:[ID]],2,0)))</f>
        <v/>
      </c>
      <c r="S18" s="81" t="str">
        <f>IF(ResourceAction[[#This Row],[Resource Name]]="","idn5",IF(ResourceAction[[#This Row],[IDN5]]="","",VLOOKUP(ResourceAction[[#This Row],[IDN5]],IDNMaps[[Display]:[ID]],2,0)))</f>
        <v/>
      </c>
      <c r="T18" s="82" t="s">
        <v>974</v>
      </c>
      <c r="U18" s="82" t="s">
        <v>954</v>
      </c>
      <c r="V18" s="82"/>
      <c r="W18" s="82"/>
      <c r="X18" s="82"/>
      <c r="Y18" s="77">
        <f>ResourceAction[No]</f>
        <v>558316</v>
      </c>
    </row>
    <row r="19" spans="1:25" x14ac:dyDescent="0.25">
      <c r="A19" s="70" t="str">
        <f>'Table Seed Map'!$A$34&amp;"-"&amp;(COUNTA($E$1:ResourceAction[[#This Row],[Resource]])-2)</f>
        <v>Resource Actions-17</v>
      </c>
      <c r="B19" s="70" t="str">
        <f>ResourceAction[[#This Row],[Resource Name]]&amp;"/"&amp;ResourceAction[[#This Row],[Name]]</f>
        <v>Maid/ViewMaidYesterdayJobs</v>
      </c>
      <c r="C19" s="58" t="s">
        <v>784</v>
      </c>
      <c r="D19" s="70">
        <f>IF(ResourceAction[[#This Row],[Resource Name]]="","id",COUNTA($C$1:ResourceAction[[#This Row],[Resource Name]])-1+IF(VLOOKUP('Table Seed Map'!$A$34,SeedMap[],9,0),VLOOKUP('Table Seed Map'!$A$34,SeedMap[],9,0),0))</f>
        <v>558317</v>
      </c>
      <c r="E19" s="70">
        <f>IFERROR(VLOOKUP(ResourceAction[[#This Row],[Resource Name]],ResourceTable[[RName]:[No]],3,0),"resource")</f>
        <v>555603</v>
      </c>
      <c r="F19" s="70" t="s">
        <v>962</v>
      </c>
      <c r="G19" s="70" t="s">
        <v>968</v>
      </c>
      <c r="H19" s="70" t="s">
        <v>887</v>
      </c>
      <c r="I19" s="70"/>
      <c r="J19" s="70"/>
      <c r="K19" s="69" t="str">
        <f>'Table Seed Map'!$A$35&amp;"-"&amp;(COUNTA($E$1:ResourceAction[[#This Row],[Resource]])-2)</f>
        <v>Action Method-17</v>
      </c>
      <c r="L19" s="70">
        <f>IF(ResourceAction[[#This Row],[No]]="id","id",-2+COUNTA($E$1:ResourceAction[[#This Row],[Resource]])+IF(ISNUMBER(VLOOKUP('Table Seed Map'!$A$35,SeedMap[],9,0)),VLOOKUP('Table Seed Map'!$A$35,SeedMap[],9,0),0))</f>
        <v>558417</v>
      </c>
      <c r="M19" s="70">
        <f>IF(ResourceAction[[#This Row],[No]]="id","resource_action",ResourceAction[[#This Row],[No]])</f>
        <v>558317</v>
      </c>
      <c r="N19" s="80" t="s">
        <v>973</v>
      </c>
      <c r="O19" s="81">
        <f ca="1">IF(ResourceAction[[#This Row],[Resource Name]]="","idn1",IF(ResourceAction[[#This Row],[IDN1]]="","",VLOOKUP(ResourceAction[[#This Row],[IDN1]],IDNMaps[[Display]:[ID]],2,0)))</f>
        <v>555901</v>
      </c>
      <c r="P19" s="81">
        <f ca="1">IF(ResourceAction[[#This Row],[Resource Name]]="","idn2",IF(ResourceAction[[#This Row],[IDN2]]="","",VLOOKUP(ResourceAction[[#This Row],[IDN2]],IDNMaps[[Display]:[ID]],2,0)))</f>
        <v>557306</v>
      </c>
      <c r="Q19" s="81" t="str">
        <f>IF(ResourceAction[[#This Row],[Resource Name]]="","idn3",IF(ResourceAction[[#This Row],[IDN3]]="","",VLOOKUP(ResourceAction[[#This Row],[IDN3]],IDNMaps[[Display]:[ID]],2,0)))</f>
        <v/>
      </c>
      <c r="R19" s="81" t="str">
        <f>IF(ResourceAction[[#This Row],[Resource Name]]="","idn4",IF(ResourceAction[[#This Row],[IDN4]]="","",VLOOKUP(ResourceAction[[#This Row],[IDN4]],IDNMaps[[Display]:[ID]],2,0)))</f>
        <v/>
      </c>
      <c r="S19" s="81" t="str">
        <f>IF(ResourceAction[[#This Row],[Resource Name]]="","idn5",IF(ResourceAction[[#This Row],[IDN5]]="","",VLOOKUP(ResourceAction[[#This Row],[IDN5]],IDNMaps[[Display]:[ID]],2,0)))</f>
        <v/>
      </c>
      <c r="T19" s="82" t="s">
        <v>974</v>
      </c>
      <c r="U19" s="82" t="s">
        <v>955</v>
      </c>
      <c r="V19" s="82"/>
      <c r="W19" s="82"/>
      <c r="X19" s="82"/>
      <c r="Y19" s="77">
        <f>ResourceAction[No]</f>
        <v>558317</v>
      </c>
    </row>
    <row r="20" spans="1:25" x14ac:dyDescent="0.25">
      <c r="A20" s="70" t="str">
        <f>'Table Seed Map'!$A$34&amp;"-"&amp;(COUNTA($E$1:ResourceAction[[#This Row],[Resource]])-2)</f>
        <v>Resource Actions-18</v>
      </c>
      <c r="B20" s="70" t="str">
        <f>ResourceAction[[#This Row],[Resource Name]]&amp;"/"&amp;ResourceAction[[#This Row],[Name]]</f>
        <v>Maid/ViewMaidWeekJobs</v>
      </c>
      <c r="C20" s="58" t="s">
        <v>784</v>
      </c>
      <c r="D20" s="70">
        <f>IF(ResourceAction[[#This Row],[Resource Name]]="","id",COUNTA($C$1:ResourceAction[[#This Row],[Resource Name]])-1+IF(VLOOKUP('Table Seed Map'!$A$34,SeedMap[],9,0),VLOOKUP('Table Seed Map'!$A$34,SeedMap[],9,0),0))</f>
        <v>558318</v>
      </c>
      <c r="E20" s="70">
        <f>IFERROR(VLOOKUP(ResourceAction[[#This Row],[Resource Name]],ResourceTable[[RName]:[No]],3,0),"resource")</f>
        <v>555603</v>
      </c>
      <c r="F20" s="70" t="s">
        <v>963</v>
      </c>
      <c r="G20" s="70" t="s">
        <v>969</v>
      </c>
      <c r="H20" s="70" t="s">
        <v>892</v>
      </c>
      <c r="I20" s="70"/>
      <c r="J20" s="70"/>
      <c r="K20" s="69" t="str">
        <f>'Table Seed Map'!$A$35&amp;"-"&amp;(COUNTA($E$1:ResourceAction[[#This Row],[Resource]])-2)</f>
        <v>Action Method-18</v>
      </c>
      <c r="L20" s="70">
        <f>IF(ResourceAction[[#This Row],[No]]="id","id",-2+COUNTA($E$1:ResourceAction[[#This Row],[Resource]])+IF(ISNUMBER(VLOOKUP('Table Seed Map'!$A$35,SeedMap[],9,0)),VLOOKUP('Table Seed Map'!$A$35,SeedMap[],9,0),0))</f>
        <v>558418</v>
      </c>
      <c r="M20" s="70">
        <f>IF(ResourceAction[[#This Row],[No]]="id","resource_action",ResourceAction[[#This Row],[No]])</f>
        <v>558318</v>
      </c>
      <c r="N20" s="80" t="s">
        <v>973</v>
      </c>
      <c r="O20" s="81">
        <f ca="1">IF(ResourceAction[[#This Row],[Resource Name]]="","idn1",IF(ResourceAction[[#This Row],[IDN1]]="","",VLOOKUP(ResourceAction[[#This Row],[IDN1]],IDNMaps[[Display]:[ID]],2,0)))</f>
        <v>555901</v>
      </c>
      <c r="P20" s="81">
        <f ca="1">IF(ResourceAction[[#This Row],[Resource Name]]="","idn2",IF(ResourceAction[[#This Row],[IDN2]]="","",VLOOKUP(ResourceAction[[#This Row],[IDN2]],IDNMaps[[Display]:[ID]],2,0)))</f>
        <v>557307</v>
      </c>
      <c r="Q20" s="81" t="str">
        <f>IF(ResourceAction[[#This Row],[Resource Name]]="","idn3",IF(ResourceAction[[#This Row],[IDN3]]="","",VLOOKUP(ResourceAction[[#This Row],[IDN3]],IDNMaps[[Display]:[ID]],2,0)))</f>
        <v/>
      </c>
      <c r="R20" s="81" t="str">
        <f>IF(ResourceAction[[#This Row],[Resource Name]]="","idn4",IF(ResourceAction[[#This Row],[IDN4]]="","",VLOOKUP(ResourceAction[[#This Row],[IDN4]],IDNMaps[[Display]:[ID]],2,0)))</f>
        <v/>
      </c>
      <c r="S20" s="81" t="str">
        <f>IF(ResourceAction[[#This Row],[Resource Name]]="","idn5",IF(ResourceAction[[#This Row],[IDN5]]="","",VLOOKUP(ResourceAction[[#This Row],[IDN5]],IDNMaps[[Display]:[ID]],2,0)))</f>
        <v/>
      </c>
      <c r="T20" s="82" t="s">
        <v>974</v>
      </c>
      <c r="U20" s="82" t="s">
        <v>956</v>
      </c>
      <c r="V20" s="82"/>
      <c r="W20" s="82"/>
      <c r="X20" s="82"/>
      <c r="Y20" s="77">
        <f>ResourceAction[No]</f>
        <v>558318</v>
      </c>
    </row>
    <row r="21" spans="1:25" x14ac:dyDescent="0.25">
      <c r="A21" s="70" t="str">
        <f>'Table Seed Map'!$A$34&amp;"-"&amp;(COUNTA($E$1:ResourceAction[[#This Row],[Resource]])-2)</f>
        <v>Resource Actions-19</v>
      </c>
      <c r="B21" s="70" t="str">
        <f>ResourceAction[[#This Row],[Resource Name]]&amp;"/"&amp;ResourceAction[[#This Row],[Name]]</f>
        <v>Maid/ViewMaidLastWeekJobs</v>
      </c>
      <c r="C21" s="58" t="s">
        <v>784</v>
      </c>
      <c r="D21" s="70">
        <f>IF(ResourceAction[[#This Row],[Resource Name]]="","id",COUNTA($C$1:ResourceAction[[#This Row],[Resource Name]])-1+IF(VLOOKUP('Table Seed Map'!$A$34,SeedMap[],9,0),VLOOKUP('Table Seed Map'!$A$34,SeedMap[],9,0),0))</f>
        <v>558319</v>
      </c>
      <c r="E21" s="70">
        <f>IFERROR(VLOOKUP(ResourceAction[[#This Row],[Resource Name]],ResourceTable[[RName]:[No]],3,0),"resource")</f>
        <v>555603</v>
      </c>
      <c r="F21" s="70" t="s">
        <v>964</v>
      </c>
      <c r="G21" s="70" t="s">
        <v>970</v>
      </c>
      <c r="H21" s="70" t="s">
        <v>888</v>
      </c>
      <c r="I21" s="70"/>
      <c r="J21" s="70"/>
      <c r="K21" s="69" t="str">
        <f>'Table Seed Map'!$A$35&amp;"-"&amp;(COUNTA($E$1:ResourceAction[[#This Row],[Resource]])-2)</f>
        <v>Action Method-19</v>
      </c>
      <c r="L21" s="70">
        <f>IF(ResourceAction[[#This Row],[No]]="id","id",-2+COUNTA($E$1:ResourceAction[[#This Row],[Resource]])+IF(ISNUMBER(VLOOKUP('Table Seed Map'!$A$35,SeedMap[],9,0)),VLOOKUP('Table Seed Map'!$A$35,SeedMap[],9,0),0))</f>
        <v>558419</v>
      </c>
      <c r="M21" s="70">
        <f>IF(ResourceAction[[#This Row],[No]]="id","resource_action",ResourceAction[[#This Row],[No]])</f>
        <v>558319</v>
      </c>
      <c r="N21" s="80" t="s">
        <v>973</v>
      </c>
      <c r="O21" s="81">
        <f ca="1">IF(ResourceAction[[#This Row],[Resource Name]]="","idn1",IF(ResourceAction[[#This Row],[IDN1]]="","",VLOOKUP(ResourceAction[[#This Row],[IDN1]],IDNMaps[[Display]:[ID]],2,0)))</f>
        <v>555901</v>
      </c>
      <c r="P21" s="81">
        <f ca="1">IF(ResourceAction[[#This Row],[Resource Name]]="","idn2",IF(ResourceAction[[#This Row],[IDN2]]="","",VLOOKUP(ResourceAction[[#This Row],[IDN2]],IDNMaps[[Display]:[ID]],2,0)))</f>
        <v>557308</v>
      </c>
      <c r="Q21" s="81" t="str">
        <f>IF(ResourceAction[[#This Row],[Resource Name]]="","idn3",IF(ResourceAction[[#This Row],[IDN3]]="","",VLOOKUP(ResourceAction[[#This Row],[IDN3]],IDNMaps[[Display]:[ID]],2,0)))</f>
        <v/>
      </c>
      <c r="R21" s="81" t="str">
        <f>IF(ResourceAction[[#This Row],[Resource Name]]="","idn4",IF(ResourceAction[[#This Row],[IDN4]]="","",VLOOKUP(ResourceAction[[#This Row],[IDN4]],IDNMaps[[Display]:[ID]],2,0)))</f>
        <v/>
      </c>
      <c r="S21" s="81" t="str">
        <f>IF(ResourceAction[[#This Row],[Resource Name]]="","idn5",IF(ResourceAction[[#This Row],[IDN5]]="","",VLOOKUP(ResourceAction[[#This Row],[IDN5]],IDNMaps[[Display]:[ID]],2,0)))</f>
        <v/>
      </c>
      <c r="T21" s="82" t="s">
        <v>974</v>
      </c>
      <c r="U21" s="82" t="s">
        <v>957</v>
      </c>
      <c r="V21" s="82"/>
      <c r="W21" s="82"/>
      <c r="X21" s="82"/>
      <c r="Y21" s="77">
        <f>ResourceAction[No]</f>
        <v>558319</v>
      </c>
    </row>
    <row r="22" spans="1:25" x14ac:dyDescent="0.25">
      <c r="A22" s="70" t="str">
        <f>'Table Seed Map'!$A$34&amp;"-"&amp;(COUNTA($E$1:ResourceAction[[#This Row],[Resource]])-2)</f>
        <v>Resource Actions-20</v>
      </c>
      <c r="B22" s="70" t="str">
        <f>ResourceAction[[#This Row],[Resource Name]]&amp;"/"&amp;ResourceAction[[#This Row],[Name]]</f>
        <v>Maid/ViewMaidMonthJobs</v>
      </c>
      <c r="C22" s="58" t="s">
        <v>784</v>
      </c>
      <c r="D22" s="70">
        <f>IF(ResourceAction[[#This Row],[Resource Name]]="","id",COUNTA($C$1:ResourceAction[[#This Row],[Resource Name]])-1+IF(VLOOKUP('Table Seed Map'!$A$34,SeedMap[],9,0),VLOOKUP('Table Seed Map'!$A$34,SeedMap[],9,0),0))</f>
        <v>558320</v>
      </c>
      <c r="E22" s="70">
        <f>IFERROR(VLOOKUP(ResourceAction[[#This Row],[Resource Name]],ResourceTable[[RName]:[No]],3,0),"resource")</f>
        <v>555603</v>
      </c>
      <c r="F22" s="70" t="s">
        <v>965</v>
      </c>
      <c r="G22" s="70" t="s">
        <v>971</v>
      </c>
      <c r="H22" s="70" t="s">
        <v>893</v>
      </c>
      <c r="I22" s="70"/>
      <c r="J22" s="70"/>
      <c r="K22" s="69" t="str">
        <f>'Table Seed Map'!$A$35&amp;"-"&amp;(COUNTA($E$1:ResourceAction[[#This Row],[Resource]])-2)</f>
        <v>Action Method-20</v>
      </c>
      <c r="L22" s="70">
        <f>IF(ResourceAction[[#This Row],[No]]="id","id",-2+COUNTA($E$1:ResourceAction[[#This Row],[Resource]])+IF(ISNUMBER(VLOOKUP('Table Seed Map'!$A$35,SeedMap[],9,0)),VLOOKUP('Table Seed Map'!$A$35,SeedMap[],9,0),0))</f>
        <v>558420</v>
      </c>
      <c r="M22" s="70">
        <f>IF(ResourceAction[[#This Row],[No]]="id","resource_action",ResourceAction[[#This Row],[No]])</f>
        <v>558320</v>
      </c>
      <c r="N22" s="80" t="s">
        <v>973</v>
      </c>
      <c r="O22" s="81">
        <f ca="1">IF(ResourceAction[[#This Row],[Resource Name]]="","idn1",IF(ResourceAction[[#This Row],[IDN1]]="","",VLOOKUP(ResourceAction[[#This Row],[IDN1]],IDNMaps[[Display]:[ID]],2,0)))</f>
        <v>555901</v>
      </c>
      <c r="P22" s="81">
        <f ca="1">IF(ResourceAction[[#This Row],[Resource Name]]="","idn2",IF(ResourceAction[[#This Row],[IDN2]]="","",VLOOKUP(ResourceAction[[#This Row],[IDN2]],IDNMaps[[Display]:[ID]],2,0)))</f>
        <v>557309</v>
      </c>
      <c r="Q22" s="81" t="str">
        <f>IF(ResourceAction[[#This Row],[Resource Name]]="","idn3",IF(ResourceAction[[#This Row],[IDN3]]="","",VLOOKUP(ResourceAction[[#This Row],[IDN3]],IDNMaps[[Display]:[ID]],2,0)))</f>
        <v/>
      </c>
      <c r="R22" s="81" t="str">
        <f>IF(ResourceAction[[#This Row],[Resource Name]]="","idn4",IF(ResourceAction[[#This Row],[IDN4]]="","",VLOOKUP(ResourceAction[[#This Row],[IDN4]],IDNMaps[[Display]:[ID]],2,0)))</f>
        <v/>
      </c>
      <c r="S22" s="81" t="str">
        <f>IF(ResourceAction[[#This Row],[Resource Name]]="","idn5",IF(ResourceAction[[#This Row],[IDN5]]="","",VLOOKUP(ResourceAction[[#This Row],[IDN5]],IDNMaps[[Display]:[ID]],2,0)))</f>
        <v/>
      </c>
      <c r="T22" s="82" t="s">
        <v>974</v>
      </c>
      <c r="U22" s="82" t="s">
        <v>958</v>
      </c>
      <c r="V22" s="82"/>
      <c r="W22" s="82"/>
      <c r="X22" s="82"/>
      <c r="Y22" s="77">
        <f>ResourceAction[No]</f>
        <v>558320</v>
      </c>
    </row>
    <row r="23" spans="1:25" x14ac:dyDescent="0.25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Maid/ViewMaidLastMonthJobs</v>
      </c>
      <c r="C23" s="58" t="s">
        <v>784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558321</v>
      </c>
      <c r="E23" s="70">
        <f>IFERROR(VLOOKUP(ResourceAction[[#This Row],[Resource Name]],ResourceTable[[RName]:[No]],3,0),"resource")</f>
        <v>555603</v>
      </c>
      <c r="F23" s="70" t="s">
        <v>966</v>
      </c>
      <c r="G23" s="70" t="s">
        <v>972</v>
      </c>
      <c r="H23" s="70" t="s">
        <v>891</v>
      </c>
      <c r="I23" s="70"/>
      <c r="J23" s="70"/>
      <c r="K23" s="69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558421</v>
      </c>
      <c r="M23" s="70">
        <f>IF(ResourceAction[[#This Row],[No]]="id","resource_action",ResourceAction[[#This Row],[No]])</f>
        <v>558321</v>
      </c>
      <c r="N23" s="80" t="s">
        <v>973</v>
      </c>
      <c r="O23" s="81">
        <f ca="1">IF(ResourceAction[[#This Row],[Resource Name]]="","idn1",IF(ResourceAction[[#This Row],[IDN1]]="","",VLOOKUP(ResourceAction[[#This Row],[IDN1]],IDNMaps[[Display]:[ID]],2,0)))</f>
        <v>555901</v>
      </c>
      <c r="P23" s="81">
        <f ca="1">IF(ResourceAction[[#This Row],[Resource Name]]="","idn2",IF(ResourceAction[[#This Row],[IDN2]]="","",VLOOKUP(ResourceAction[[#This Row],[IDN2]],IDNMaps[[Display]:[ID]],2,0)))</f>
        <v>557310</v>
      </c>
      <c r="Q23" s="81" t="str">
        <f>IF(ResourceAction[[#This Row],[Resource Name]]="","idn3",IF(ResourceAction[[#This Row],[IDN3]]="","",VLOOKUP(ResourceAction[[#This Row],[IDN3]],IDNMaps[[Display]:[ID]],2,0)))</f>
        <v/>
      </c>
      <c r="R23" s="81" t="str">
        <f>IF(ResourceAction[[#This Row],[Resource Name]]="","idn4",IF(ResourceAction[[#This Row],[IDN4]]="","",VLOOKUP(ResourceAction[[#This Row],[IDN4]],IDNMaps[[Display]:[ID]],2,0)))</f>
        <v/>
      </c>
      <c r="S23" s="81" t="str">
        <f>IF(ResourceAction[[#This Row],[Resource Name]]="","idn5",IF(ResourceAction[[#This Row],[IDN5]]="","",VLOOKUP(ResourceAction[[#This Row],[IDN5]],IDNMaps[[Display]:[ID]],2,0)))</f>
        <v/>
      </c>
      <c r="T23" s="82" t="s">
        <v>974</v>
      </c>
      <c r="U23" s="82" t="s">
        <v>959</v>
      </c>
      <c r="V23" s="82"/>
      <c r="W23" s="82"/>
      <c r="X23" s="82"/>
      <c r="Y23" s="77">
        <f>ResourceAction[No]</f>
        <v>558321</v>
      </c>
    </row>
    <row r="24" spans="1:25" x14ac:dyDescent="0.25">
      <c r="A24" s="37" t="str">
        <f>'Table Seed Map'!$A$34&amp;"-"&amp;(COUNTA($E$1:ResourceAction[[#This Row],[Resource]])-2)</f>
        <v>Resource Actions-22</v>
      </c>
      <c r="B24" s="37" t="str">
        <f>ResourceAction[[#This Row],[Resource Name]]&amp;"/"&amp;ResourceAction[[#This Row],[Name]]</f>
        <v>Nationality/NewNationality</v>
      </c>
      <c r="C24" s="35" t="s">
        <v>989</v>
      </c>
      <c r="D24" s="37">
        <f>IF(ResourceAction[[#This Row],[Resource Name]]="","id",COUNTA($C$1:ResourceAction[[#This Row],[Resource Name]])-1+IF(VLOOKUP('Table Seed Map'!$A$34,SeedMap[],9,0),VLOOKUP('Table Seed Map'!$A$34,SeedMap[],9,0),0))</f>
        <v>558322</v>
      </c>
      <c r="E24" s="37">
        <f>IFERROR(VLOOKUP(ResourceAction[[#This Row],[Resource Name]],ResourceTable[[RName]:[No]],3,0),"resource")</f>
        <v>555602</v>
      </c>
      <c r="F24" s="37" t="s">
        <v>1013</v>
      </c>
      <c r="G24" s="37" t="s">
        <v>1014</v>
      </c>
      <c r="H24" s="37"/>
      <c r="I24" s="37"/>
      <c r="J24" s="37" t="s">
        <v>1015</v>
      </c>
      <c r="K24" s="39" t="str">
        <f>'Table Seed Map'!$A$35&amp;"-"&amp;(COUNTA($E$1:ResourceAction[[#This Row],[Resource]])-2)</f>
        <v>Action Method-22</v>
      </c>
      <c r="L24" s="37">
        <f>IF(ResourceAction[[#This Row],[No]]="id","id",-2+COUNTA($E$1:ResourceAction[[#This Row],[Resource]])+IF(ISNUMBER(VLOOKUP('Table Seed Map'!$A$35,SeedMap[],9,0)),VLOOKUP('Table Seed Map'!$A$35,SeedMap[],9,0),0))</f>
        <v>558422</v>
      </c>
      <c r="M24" s="37">
        <f>IF(ResourceAction[[#This Row],[No]]="id","resource_action",ResourceAction[[#This Row],[No]])</f>
        <v>558322</v>
      </c>
      <c r="N24" s="80" t="s">
        <v>121</v>
      </c>
      <c r="O24" s="49">
        <f ca="1">IF(ResourceAction[[#This Row],[Resource Name]]="","idn1",IF(ResourceAction[[#This Row],[IDN1]]="","",VLOOKUP(ResourceAction[[#This Row],[IDN1]],IDNMaps[[Display]:[ID]],2,0)))</f>
        <v>556002</v>
      </c>
      <c r="P24" s="49" t="str">
        <f>IF(ResourceAction[[#This Row],[Resource Name]]="","idn2",IF(ResourceAction[[#This Row],[IDN2]]="","",VLOOKUP(ResourceAction[[#This Row],[IDN2]],IDNMaps[[Display]:[ID]],2,0)))</f>
        <v/>
      </c>
      <c r="Q24" s="49" t="str">
        <f>IF(ResourceAction[[#This Row],[Resource Name]]="","idn3",IF(ResourceAction[[#This Row],[IDN3]]="","",VLOOKUP(ResourceAction[[#This Row],[IDN3]],IDNMaps[[Display]:[ID]],2,0)))</f>
        <v/>
      </c>
      <c r="R24" s="49" t="str">
        <f>IF(ResourceAction[[#This Row],[Resource Name]]="","idn4",IF(ResourceAction[[#This Row],[IDN4]]="","",VLOOKUP(ResourceAction[[#This Row],[IDN4]],IDNMaps[[Display]:[ID]],2,0)))</f>
        <v/>
      </c>
      <c r="S24" s="49" t="str">
        <f>IF(ResourceAction[[#This Row],[Resource Name]]="","idn5",IF(ResourceAction[[#This Row],[IDN5]]="","",VLOOKUP(ResourceAction[[#This Row],[IDN5]],IDNMaps[[Display]:[ID]],2,0)))</f>
        <v/>
      </c>
      <c r="T24" s="82" t="s">
        <v>1017</v>
      </c>
      <c r="U24" s="57"/>
      <c r="V24" s="57"/>
      <c r="W24" s="57"/>
      <c r="X24" s="57"/>
      <c r="Y24" s="54">
        <f>ResourceAction[No]</f>
        <v>558322</v>
      </c>
    </row>
    <row r="25" spans="1:25" x14ac:dyDescent="0.25">
      <c r="A25" s="37" t="str">
        <f>'Table Seed Map'!$A$34&amp;"-"&amp;(COUNTA($E$1:ResourceAction[[#This Row],[Resource]])-2)</f>
        <v>Resource Actions-23</v>
      </c>
      <c r="B25" s="37" t="str">
        <f>ResourceAction[[#This Row],[Resource Name]]&amp;"/"&amp;ResourceAction[[#This Row],[Name]]</f>
        <v>Nationality/ListNationality</v>
      </c>
      <c r="C25" s="35" t="s">
        <v>989</v>
      </c>
      <c r="D25" s="37">
        <f>IF(ResourceAction[[#This Row],[Resource Name]]="","id",COUNTA($C$1:ResourceAction[[#This Row],[Resource Name]])-1+IF(VLOOKUP('Table Seed Map'!$A$34,SeedMap[],9,0),VLOOKUP('Table Seed Map'!$A$34,SeedMap[],9,0),0))</f>
        <v>558323</v>
      </c>
      <c r="E25" s="37">
        <f>IFERROR(VLOOKUP(ResourceAction[[#This Row],[Resource Name]],ResourceTable[[RName]:[No]],3,0),"resource")</f>
        <v>555602</v>
      </c>
      <c r="F25" s="37" t="s">
        <v>1018</v>
      </c>
      <c r="G25" s="37" t="s">
        <v>1019</v>
      </c>
      <c r="H25" s="37"/>
      <c r="I25" s="37"/>
      <c r="J25" s="37" t="s">
        <v>821</v>
      </c>
      <c r="K25" s="39" t="str">
        <f>'Table Seed Map'!$A$35&amp;"-"&amp;(COUNTA($E$1:ResourceAction[[#This Row],[Resource]])-2)</f>
        <v>Action Method-23</v>
      </c>
      <c r="L25" s="37">
        <f>IF(ResourceAction[[#This Row],[No]]="id","id",-2+COUNTA($E$1:ResourceAction[[#This Row],[Resource]])+IF(ISNUMBER(VLOOKUP('Table Seed Map'!$A$35,SeedMap[],9,0)),VLOOKUP('Table Seed Map'!$A$35,SeedMap[],9,0),0))</f>
        <v>558423</v>
      </c>
      <c r="M25" s="37">
        <f>IF(ResourceAction[[#This Row],[No]]="id","resource_action",ResourceAction[[#This Row],[No]])</f>
        <v>558323</v>
      </c>
      <c r="N25" s="80" t="s">
        <v>122</v>
      </c>
      <c r="O25" s="49">
        <f ca="1">IF(ResourceAction[[#This Row],[Resource Name]]="","idn1",IF(ResourceAction[[#This Row],[IDN1]]="","",VLOOKUP(ResourceAction[[#This Row],[IDN1]],IDNMaps[[Display]:[ID]],2,0)))</f>
        <v>557302</v>
      </c>
      <c r="P25" s="49" t="str">
        <f>IF(ResourceAction[[#This Row],[Resource Name]]="","idn2",IF(ResourceAction[[#This Row],[IDN2]]="","",VLOOKUP(ResourceAction[[#This Row],[IDN2]],IDNMaps[[Display]:[ID]],2,0)))</f>
        <v/>
      </c>
      <c r="Q25" s="49" t="str">
        <f>IF(ResourceAction[[#This Row],[Resource Name]]="","idn3",IF(ResourceAction[[#This Row],[IDN3]]="","",VLOOKUP(ResourceAction[[#This Row],[IDN3]],IDNMaps[[Display]:[ID]],2,0)))</f>
        <v/>
      </c>
      <c r="R25" s="49" t="str">
        <f>IF(ResourceAction[[#This Row],[Resource Name]]="","idn4",IF(ResourceAction[[#This Row],[IDN4]]="","",VLOOKUP(ResourceAction[[#This Row],[IDN4]],IDNMaps[[Display]:[ID]],2,0)))</f>
        <v/>
      </c>
      <c r="S25" s="49" t="str">
        <f>IF(ResourceAction[[#This Row],[Resource Name]]="","idn5",IF(ResourceAction[[#This Row],[IDN5]]="","",VLOOKUP(ResourceAction[[#This Row],[IDN5]],IDNMaps[[Display]:[ID]],2,0)))</f>
        <v/>
      </c>
      <c r="T25" s="82" t="s">
        <v>1016</v>
      </c>
      <c r="U25" s="57"/>
      <c r="V25" s="57"/>
      <c r="W25" s="57"/>
      <c r="X25" s="57"/>
      <c r="Y25" s="54">
        <f>ResourceAction[No]</f>
        <v>558323</v>
      </c>
    </row>
  </sheetData>
  <dataValidations count="7">
    <dataValidation type="list" allowBlank="1" showInputMessage="1" showErrorMessage="1" sqref="AN2 AA2:AA11">
      <formula1>ActionsName</formula1>
    </dataValidation>
    <dataValidation type="list" allowBlank="1" showInputMessage="1" showErrorMessage="1" sqref="AC2:AC11">
      <formula1>ListNames</formula1>
    </dataValidation>
    <dataValidation type="list" allowBlank="1" showInputMessage="1" showErrorMessage="1" sqref="AD2:AD11">
      <formula1>DataNames</formula1>
    </dataValidation>
    <dataValidation type="list" allowBlank="1" showInputMessage="1" showErrorMessage="1" sqref="I2:I25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25">
      <formula1>Resources</formula1>
    </dataValidation>
    <dataValidation type="list" allowBlank="1" showInputMessage="1" showErrorMessage="1" sqref="T2:X25">
      <formula1>IDNs</formula1>
    </dataValidation>
    <dataValidation type="list" allowBlank="1" showInputMessage="1" showErrorMessage="1" sqref="N2:N25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2019-11-28T11:34:49Z</dcterms:modified>
</cp:coreProperties>
</file>