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Framework Tables" sheetId="1" r:id="rId1"/>
    <sheet name="Fields" sheetId="2" state="hidden" r:id="rId2"/>
    <sheet name="Table Fields" sheetId="3" state="hidden" r:id="rId3"/>
    <sheet name="Table Data" sheetId="24" state="hidden" r:id="rId4"/>
    <sheet name="Table Seed Map" sheetId="21" r:id="rId5"/>
    <sheet name="Seed Statement" sheetId="25" r:id="rId6"/>
    <sheet name="Helper-Resources" sheetId="14" r:id="rId7"/>
    <sheet name="Helper-Relation" sheetId="19" state="hidden" r:id="rId8"/>
    <sheet name="Helper-ResourceAction" sheetId="27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'Helper-Relation'!$F$2:$F$30,'Helper-Relation'!#REF!,'Helper-Relation'!#REF!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L2" i="27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O2" i="9" l="1"/>
  <c r="O3"/>
  <c r="O4"/>
  <c r="O5"/>
  <c r="O6"/>
  <c r="O7"/>
  <c r="O8"/>
  <c r="O9"/>
  <c r="O10"/>
  <c r="O11"/>
  <c r="O12"/>
  <c r="O13"/>
  <c r="O14"/>
  <c r="O15"/>
  <c r="O16"/>
  <c r="O17"/>
  <c r="O18"/>
  <c r="O19"/>
  <c r="O20"/>
  <c r="AV2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F24" i="27" l="1"/>
  <c r="AH24"/>
  <c r="AJ24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F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L23"/>
  <c r="AL22"/>
  <c r="AL21"/>
  <c r="AL20"/>
  <c r="AL18"/>
  <c r="AL15"/>
  <c r="AL14"/>
  <c r="AL13"/>
  <c r="AL12"/>
  <c r="AL11"/>
  <c r="AL10"/>
  <c r="AL9"/>
  <c r="AL8"/>
  <c r="AL7"/>
  <c r="AL6"/>
  <c r="AL5"/>
  <c r="AL4"/>
  <c r="AL3"/>
  <c r="E2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Y3" l="1"/>
  <c r="M4"/>
  <c r="Y5"/>
  <c r="M19"/>
  <c r="M20"/>
  <c r="Y21"/>
  <c r="Y23"/>
  <c r="Y27"/>
  <c r="M31"/>
  <c r="Y11"/>
  <c r="M12"/>
  <c r="Y13"/>
  <c r="Y14"/>
  <c r="M28"/>
  <c r="Y29"/>
  <c r="Y30"/>
  <c r="Y6"/>
  <c r="Y2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M7"/>
  <c r="M8"/>
  <c r="M9"/>
  <c r="M10"/>
  <c r="Y15"/>
  <c r="Y16"/>
  <c r="M17"/>
  <c r="Y18"/>
  <c r="M24"/>
  <c r="M25"/>
  <c r="M26"/>
  <c r="P3"/>
  <c r="P4"/>
  <c r="P5"/>
  <c r="P6"/>
  <c r="P7"/>
  <c r="P8"/>
  <c r="P9"/>
  <c r="P10"/>
  <c r="P11"/>
  <c r="P12"/>
  <c r="P24"/>
  <c r="P28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Y24"/>
  <c r="AP21" i="29"/>
  <c r="AP20"/>
  <c r="AV20"/>
  <c r="AP19"/>
  <c r="AP18"/>
  <c r="AP17"/>
  <c r="AP16"/>
  <c r="AV16"/>
  <c r="AP15"/>
  <c r="AV15"/>
  <c r="AP14"/>
  <c r="AV14"/>
  <c r="AP13"/>
  <c r="AV13"/>
  <c r="AP12"/>
  <c r="AP11"/>
  <c r="AP10"/>
  <c r="AP9"/>
  <c r="AV9"/>
  <c r="AP8"/>
  <c r="AV8"/>
  <c r="AP7"/>
  <c r="AP6"/>
  <c r="AV6"/>
  <c r="AP5"/>
  <c r="AV5"/>
  <c r="AP4"/>
  <c r="AV4"/>
  <c r="AP3"/>
  <c r="AV3"/>
  <c r="AL6"/>
  <c r="AL3"/>
  <c r="A3"/>
  <c r="A4"/>
  <c r="A5"/>
  <c r="A6"/>
  <c r="C3"/>
  <c r="C4"/>
  <c r="C5"/>
  <c r="C6"/>
  <c r="AV40" i="28"/>
  <c r="BA40"/>
  <c r="BB40"/>
  <c r="AV39"/>
  <c r="BA39"/>
  <c r="BB39"/>
  <c r="AV38"/>
  <c r="BA38"/>
  <c r="BB38"/>
  <c r="AV37"/>
  <c r="AZ37"/>
  <c r="BA37"/>
  <c r="BB37"/>
  <c r="AV36"/>
  <c r="AZ36"/>
  <c r="BA36"/>
  <c r="BB36"/>
  <c r="AV35"/>
  <c r="BA35"/>
  <c r="BB35"/>
  <c r="AV34"/>
  <c r="AW34"/>
  <c r="AZ34"/>
  <c r="BA34"/>
  <c r="BB34"/>
  <c r="AV33"/>
  <c r="AZ33"/>
  <c r="BA33"/>
  <c r="BB33"/>
  <c r="AV32"/>
  <c r="AZ32"/>
  <c r="BA32"/>
  <c r="BB32"/>
  <c r="AV31"/>
  <c r="BA31"/>
  <c r="BB31"/>
  <c r="AV30"/>
  <c r="AZ30"/>
  <c r="BA30"/>
  <c r="BB30"/>
  <c r="AV29"/>
  <c r="AZ29"/>
  <c r="BA29"/>
  <c r="BB29"/>
  <c r="AV28"/>
  <c r="BA28"/>
  <c r="BB28"/>
  <c r="AV27"/>
  <c r="AZ27"/>
  <c r="BA27"/>
  <c r="BB27"/>
  <c r="AV26"/>
  <c r="AZ26"/>
  <c r="BA26"/>
  <c r="BB26"/>
  <c r="AV25"/>
  <c r="AZ25"/>
  <c r="BA25"/>
  <c r="BB25"/>
  <c r="AV24"/>
  <c r="AZ24"/>
  <c r="BA24"/>
  <c r="BB24"/>
  <c r="AV23"/>
  <c r="AZ23"/>
  <c r="BA23"/>
  <c r="BB23"/>
  <c r="AV22"/>
  <c r="AZ22"/>
  <c r="BA22"/>
  <c r="BB22"/>
  <c r="AV21"/>
  <c r="BA21"/>
  <c r="BB21"/>
  <c r="AV20"/>
  <c r="BA20"/>
  <c r="BB20"/>
  <c r="AV19"/>
  <c r="BA19"/>
  <c r="BB19"/>
  <c r="AV18"/>
  <c r="AZ18"/>
  <c r="BA18"/>
  <c r="BB18"/>
  <c r="AV17"/>
  <c r="AZ17"/>
  <c r="BA17"/>
  <c r="BB17"/>
  <c r="AV16"/>
  <c r="AZ16"/>
  <c r="BA16"/>
  <c r="BB16"/>
  <c r="AV15"/>
  <c r="AZ15"/>
  <c r="BA15"/>
  <c r="BB15"/>
  <c r="AV14"/>
  <c r="AZ14"/>
  <c r="BA14"/>
  <c r="BB14"/>
  <c r="AV13"/>
  <c r="AW13"/>
  <c r="AZ13"/>
  <c r="BA13"/>
  <c r="BB13"/>
  <c r="AV12"/>
  <c r="AZ12"/>
  <c r="BA12"/>
  <c r="BB12"/>
  <c r="AV11"/>
  <c r="AZ11"/>
  <c r="BA11"/>
  <c r="BB11"/>
  <c r="AV10"/>
  <c r="AZ10"/>
  <c r="BA10"/>
  <c r="BB10"/>
  <c r="AV9"/>
  <c r="AZ9"/>
  <c r="BA9"/>
  <c r="BB9"/>
  <c r="AV8"/>
  <c r="AZ8"/>
  <c r="BA8"/>
  <c r="BB8"/>
  <c r="AV7"/>
  <c r="AZ7"/>
  <c r="BA7"/>
  <c r="BB7"/>
  <c r="AV6"/>
  <c r="AZ6"/>
  <c r="BA6"/>
  <c r="BB6"/>
  <c r="AV5"/>
  <c r="AW5"/>
  <c r="AZ5"/>
  <c r="BA5"/>
  <c r="BB5"/>
  <c r="AV4"/>
  <c r="AZ4"/>
  <c r="BA4"/>
  <c r="BB4"/>
  <c r="AV3"/>
  <c r="AW3"/>
  <c r="AZ3"/>
  <c r="BA3"/>
  <c r="BB3"/>
  <c r="AK15"/>
  <c r="AL15"/>
  <c r="AM15"/>
  <c r="AN15"/>
  <c r="AK14"/>
  <c r="AL14"/>
  <c r="AM14"/>
  <c r="AN14"/>
  <c r="AI13"/>
  <c r="AK13"/>
  <c r="AL13"/>
  <c r="AM13"/>
  <c r="AN13"/>
  <c r="AK12"/>
  <c r="AL12"/>
  <c r="AM12"/>
  <c r="AN12"/>
  <c r="AI11"/>
  <c r="AK11"/>
  <c r="AL11"/>
  <c r="AM11"/>
  <c r="AN11"/>
  <c r="AK10"/>
  <c r="AL10"/>
  <c r="AM10"/>
  <c r="AN10"/>
  <c r="AK9"/>
  <c r="AL9"/>
  <c r="AM9"/>
  <c r="AN9"/>
  <c r="AK8"/>
  <c r="AL8"/>
  <c r="AM8"/>
  <c r="AN8"/>
  <c r="AK7"/>
  <c r="AL7"/>
  <c r="AM7"/>
  <c r="AN7"/>
  <c r="AK6"/>
  <c r="AL6"/>
  <c r="AM6"/>
  <c r="AN6"/>
  <c r="AK5"/>
  <c r="AL5"/>
  <c r="AM5"/>
  <c r="AN5"/>
  <c r="AK4"/>
  <c r="AL4"/>
  <c r="AM4"/>
  <c r="AN4"/>
  <c r="AK3"/>
  <c r="AL3"/>
  <c r="AM3"/>
  <c r="AN3"/>
  <c r="N13"/>
  <c r="Z13" s="1"/>
  <c r="N5"/>
  <c r="Z5" s="1"/>
  <c r="P3" i="19"/>
  <c r="P4"/>
  <c r="P5"/>
  <c r="P6"/>
  <c r="P7"/>
  <c r="P8"/>
  <c r="P9"/>
  <c r="P10"/>
  <c r="R3"/>
  <c r="R4"/>
  <c r="R5"/>
  <c r="R6"/>
  <c r="R7"/>
  <c r="R8"/>
  <c r="R9"/>
  <c r="R10"/>
  <c r="A3" i="28"/>
  <c r="A4"/>
  <c r="A5"/>
  <c r="A6"/>
  <c r="A7"/>
  <c r="A8"/>
  <c r="A9"/>
  <c r="A10"/>
  <c r="A11"/>
  <c r="A12"/>
  <c r="A13"/>
  <c r="C3"/>
  <c r="C4"/>
  <c r="C5"/>
  <c r="C6"/>
  <c r="C7"/>
  <c r="C8"/>
  <c r="C9"/>
  <c r="C10"/>
  <c r="C11"/>
  <c r="C12"/>
  <c r="C13"/>
  <c r="D3"/>
  <c r="AW4" s="1"/>
  <c r="D4"/>
  <c r="AW8" s="1"/>
  <c r="D5"/>
  <c r="AI5" s="1"/>
  <c r="D6"/>
  <c r="AW17" s="1"/>
  <c r="D7"/>
  <c r="D8"/>
  <c r="AW24" s="1"/>
  <c r="D9"/>
  <c r="AW29" s="1"/>
  <c r="D10"/>
  <c r="K10" s="1"/>
  <c r="D11"/>
  <c r="K11" s="1"/>
  <c r="D12"/>
  <c r="AW37" s="1"/>
  <c r="D13"/>
  <c r="K13" s="1"/>
  <c r="BC4" i="9"/>
  <c r="BC3"/>
  <c r="Q3"/>
  <c r="Q4"/>
  <c r="Q6"/>
  <c r="Q7"/>
  <c r="AD7" s="1"/>
  <c r="Q8"/>
  <c r="Q9"/>
  <c r="Q10"/>
  <c r="Q11"/>
  <c r="Q12"/>
  <c r="Q13"/>
  <c r="Q14"/>
  <c r="Q15"/>
  <c r="Q16"/>
  <c r="Q17"/>
  <c r="Q18"/>
  <c r="Q19"/>
  <c r="Q20"/>
  <c r="BE4" s="1"/>
  <c r="P3"/>
  <c r="P4"/>
  <c r="P5"/>
  <c r="P6"/>
  <c r="P7"/>
  <c r="P8"/>
  <c r="P9"/>
  <c r="P10"/>
  <c r="P11"/>
  <c r="P12"/>
  <c r="P13"/>
  <c r="P14"/>
  <c r="P15"/>
  <c r="P16"/>
  <c r="P17"/>
  <c r="P18"/>
  <c r="P19"/>
  <c r="P20"/>
  <c r="Q5"/>
  <c r="AD5" s="1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L3"/>
  <c r="AL4" s="1"/>
  <c r="AM4" s="1"/>
  <c r="AT3"/>
  <c r="AW3" s="1"/>
  <c r="AT4"/>
  <c r="AW4" s="1"/>
  <c r="AT5"/>
  <c r="AW5" s="1"/>
  <c r="AT6"/>
  <c r="AW6" s="1"/>
  <c r="AT7"/>
  <c r="AT8"/>
  <c r="AT9"/>
  <c r="AT10"/>
  <c r="AT11"/>
  <c r="AW11" s="1"/>
  <c r="AT12"/>
  <c r="AW12" s="1"/>
  <c r="AT13"/>
  <c r="AW13" s="1"/>
  <c r="AT14"/>
  <c r="AW14" s="1"/>
  <c r="AT15"/>
  <c r="AT16"/>
  <c r="AT17"/>
  <c r="AT18"/>
  <c r="AT19"/>
  <c r="AW19" s="1"/>
  <c r="AT20"/>
  <c r="AW20" s="1"/>
  <c r="AW7"/>
  <c r="AW8"/>
  <c r="AW9"/>
  <c r="AW10"/>
  <c r="AW15"/>
  <c r="AW16"/>
  <c r="AW17"/>
  <c r="AW18"/>
  <c r="C2"/>
  <c r="B3"/>
  <c r="B4"/>
  <c r="B5"/>
  <c r="B6"/>
  <c r="B7"/>
  <c r="B8"/>
  <c r="B9"/>
  <c r="B10"/>
  <c r="A4" i="14"/>
  <c r="B4"/>
  <c r="A30" i="19"/>
  <c r="B30"/>
  <c r="C30"/>
  <c r="A21"/>
  <c r="A22"/>
  <c r="A23"/>
  <c r="A24"/>
  <c r="A25"/>
  <c r="A26"/>
  <c r="A27"/>
  <c r="A28"/>
  <c r="A29"/>
  <c r="B21"/>
  <c r="D21" s="1"/>
  <c r="N21" s="1"/>
  <c r="B22"/>
  <c r="B23"/>
  <c r="B24"/>
  <c r="B25"/>
  <c r="D25" s="1"/>
  <c r="N25" s="1"/>
  <c r="B26"/>
  <c r="D26" s="1"/>
  <c r="N26" s="1"/>
  <c r="B27"/>
  <c r="B28"/>
  <c r="D28" s="1"/>
  <c r="N28" s="1"/>
  <c r="B29"/>
  <c r="D29" s="1"/>
  <c r="N29" s="1"/>
  <c r="C21"/>
  <c r="C22"/>
  <c r="C23"/>
  <c r="C24"/>
  <c r="C25"/>
  <c r="C26"/>
  <c r="C27"/>
  <c r="C28"/>
  <c r="C29"/>
  <c r="A3"/>
  <c r="A4"/>
  <c r="A5"/>
  <c r="A6"/>
  <c r="A7"/>
  <c r="A8"/>
  <c r="A9"/>
  <c r="A10"/>
  <c r="A11"/>
  <c r="A12"/>
  <c r="A13"/>
  <c r="A14"/>
  <c r="A15"/>
  <c r="A16"/>
  <c r="A17"/>
  <c r="A18"/>
  <c r="A19"/>
  <c r="A20"/>
  <c r="B3"/>
  <c r="G3" s="1"/>
  <c r="B4"/>
  <c r="D4" s="1"/>
  <c r="N4" s="1"/>
  <c r="B5"/>
  <c r="G5" s="1"/>
  <c r="B6"/>
  <c r="G6" s="1"/>
  <c r="B7"/>
  <c r="G7" s="1"/>
  <c r="B8"/>
  <c r="D8" s="1"/>
  <c r="N8" s="1"/>
  <c r="B9"/>
  <c r="G9" s="1"/>
  <c r="B10"/>
  <c r="G10" s="1"/>
  <c r="B11"/>
  <c r="G11" s="1"/>
  <c r="B12"/>
  <c r="D12" s="1"/>
  <c r="N12" s="1"/>
  <c r="B13"/>
  <c r="D13" s="1"/>
  <c r="N13" s="1"/>
  <c r="B14"/>
  <c r="G14" s="1"/>
  <c r="B15"/>
  <c r="G15" s="1"/>
  <c r="B16"/>
  <c r="B17"/>
  <c r="G17" s="1"/>
  <c r="B18"/>
  <c r="G18" s="1"/>
  <c r="B19"/>
  <c r="G19" s="1"/>
  <c r="B20"/>
  <c r="D20" s="1"/>
  <c r="N20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A3" i="14"/>
  <c r="A5"/>
  <c r="A6"/>
  <c r="A7"/>
  <c r="A8"/>
  <c r="A9"/>
  <c r="A10"/>
  <c r="A11"/>
  <c r="A12"/>
  <c r="A13"/>
  <c r="B3"/>
  <c r="B5"/>
  <c r="B6"/>
  <c r="B7"/>
  <c r="B8"/>
  <c r="B9"/>
  <c r="B10"/>
  <c r="B11"/>
  <c r="B12"/>
  <c r="B13"/>
  <c r="AB24" i="27" l="1"/>
  <c r="AK24" s="1"/>
  <c r="AW11" i="28"/>
  <c r="N16"/>
  <c r="Z16" s="1"/>
  <c r="AW18"/>
  <c r="AW38"/>
  <c r="AV10" i="29"/>
  <c r="AW26" i="28"/>
  <c r="AV18" i="29"/>
  <c r="N12" i="28"/>
  <c r="Z12" s="1"/>
  <c r="AI3"/>
  <c r="AN5" i="9"/>
  <c r="N7" i="28"/>
  <c r="Z7" s="1"/>
  <c r="AI10"/>
  <c r="AW10"/>
  <c r="AZ39"/>
  <c r="AV17" i="29"/>
  <c r="N15" i="28"/>
  <c r="Z15" s="1"/>
  <c r="AW14"/>
  <c r="BE3" i="9"/>
  <c r="N6" i="28"/>
  <c r="Z6" s="1"/>
  <c r="AI6"/>
  <c r="AW27"/>
  <c r="AW35"/>
  <c r="AH8" i="27"/>
  <c r="AH7"/>
  <c r="K9" i="28"/>
  <c r="AH16" i="27"/>
  <c r="AH12"/>
  <c r="AH18"/>
  <c r="AH17"/>
  <c r="AH13"/>
  <c r="AH19"/>
  <c r="AH15"/>
  <c r="AW21" i="28"/>
  <c r="AL4" i="29"/>
  <c r="AV7"/>
  <c r="N14" i="28"/>
  <c r="Z14" s="1"/>
  <c r="AI8"/>
  <c r="AW16"/>
  <c r="AZ21"/>
  <c r="AW32"/>
  <c r="AW40"/>
  <c r="K8"/>
  <c r="AH14" i="27"/>
  <c r="AH10"/>
  <c r="AH11"/>
  <c r="K12" i="28"/>
  <c r="AH9" i="27"/>
  <c r="K4" i="28"/>
  <c r="AH4" i="27"/>
  <c r="AH21"/>
  <c r="AW19" i="28"/>
  <c r="AZ40"/>
  <c r="K7"/>
  <c r="AW22"/>
  <c r="N4"/>
  <c r="Z4" s="1"/>
  <c r="N11"/>
  <c r="Z11" s="1"/>
  <c r="AI9"/>
  <c r="AW9"/>
  <c r="AW25"/>
  <c r="AW33"/>
  <c r="AZ38"/>
  <c r="AV19" i="29"/>
  <c r="K5" i="28"/>
  <c r="AH22" i="27"/>
  <c r="AH5"/>
  <c r="N8" i="28"/>
  <c r="Z8" s="1"/>
  <c r="N3"/>
  <c r="Z3" s="1"/>
  <c r="N10"/>
  <c r="Z10" s="1"/>
  <c r="AI4"/>
  <c r="AI12"/>
  <c r="AW12"/>
  <c r="AW20"/>
  <c r="AW28"/>
  <c r="AW36"/>
  <c r="K3"/>
  <c r="AH20" i="27"/>
  <c r="AH3"/>
  <c r="K6" i="28"/>
  <c r="AH6" i="27"/>
  <c r="AH23"/>
  <c r="AI14" i="28"/>
  <c r="AW6"/>
  <c r="AW30"/>
  <c r="N9"/>
  <c r="Z9" s="1"/>
  <c r="AI7"/>
  <c r="AI15"/>
  <c r="AW7"/>
  <c r="AW15"/>
  <c r="AW23"/>
  <c r="AW31"/>
  <c r="AW39"/>
  <c r="M29" i="27"/>
  <c r="M30"/>
  <c r="Y31"/>
  <c r="M23"/>
  <c r="M22"/>
  <c r="M21"/>
  <c r="M16"/>
  <c r="M15"/>
  <c r="M14"/>
  <c r="M13"/>
  <c r="Y8"/>
  <c r="Y7"/>
  <c r="M6"/>
  <c r="M5"/>
  <c r="Y17"/>
  <c r="Y9"/>
  <c r="Y26"/>
  <c r="Y19"/>
  <c r="Y28"/>
  <c r="Y12"/>
  <c r="Y4"/>
  <c r="M18"/>
  <c r="M27"/>
  <c r="M11"/>
  <c r="M3"/>
  <c r="Y25"/>
  <c r="Y10"/>
  <c r="Y20"/>
  <c r="AA12" i="29"/>
  <c r="AA11"/>
  <c r="AA10"/>
  <c r="AA5"/>
  <c r="Z4"/>
  <c r="AA4"/>
  <c r="AA16" i="28"/>
  <c r="AB16"/>
  <c r="AC16"/>
  <c r="AD16"/>
  <c r="W16"/>
  <c r="U16" s="1"/>
  <c r="AA15"/>
  <c r="AB15"/>
  <c r="AC15"/>
  <c r="AD15"/>
  <c r="V15"/>
  <c r="W15"/>
  <c r="U15" s="1"/>
  <c r="V14"/>
  <c r="AA14"/>
  <c r="AB13"/>
  <c r="AC13"/>
  <c r="AD13"/>
  <c r="V13"/>
  <c r="W13"/>
  <c r="U13" s="1"/>
  <c r="AB12"/>
  <c r="AC12"/>
  <c r="V12"/>
  <c r="AD12"/>
  <c r="W12"/>
  <c r="U12" s="1"/>
  <c r="V11"/>
  <c r="W11"/>
  <c r="U11" s="1"/>
  <c r="W10"/>
  <c r="U10" s="1"/>
  <c r="AA9"/>
  <c r="AC9"/>
  <c r="AB8"/>
  <c r="V8"/>
  <c r="AB7"/>
  <c r="AC7"/>
  <c r="AD7"/>
  <c r="V7"/>
  <c r="AD6"/>
  <c r="AA5"/>
  <c r="Y5" s="1"/>
  <c r="AB6"/>
  <c r="AA6"/>
  <c r="Y6" s="1"/>
  <c r="AC6"/>
  <c r="V6"/>
  <c r="AC5"/>
  <c r="V5"/>
  <c r="AD5"/>
  <c r="AB5"/>
  <c r="AC4"/>
  <c r="AB3"/>
  <c r="AA3"/>
  <c r="AD16" i="9"/>
  <c r="AN16"/>
  <c r="AD15"/>
  <c r="AN15"/>
  <c r="AD14"/>
  <c r="AN14"/>
  <c r="AD13"/>
  <c r="AN13"/>
  <c r="AD8"/>
  <c r="AN8"/>
  <c r="AN7"/>
  <c r="AD6"/>
  <c r="AN6"/>
  <c r="AN18"/>
  <c r="AD18"/>
  <c r="AY18"/>
  <c r="AY11"/>
  <c r="AN11"/>
  <c r="AD11"/>
  <c r="AN20"/>
  <c r="AD20"/>
  <c r="AY20"/>
  <c r="AN19"/>
  <c r="AD19"/>
  <c r="AY19"/>
  <c r="AN4"/>
  <c r="AD4"/>
  <c r="AY4"/>
  <c r="AN3"/>
  <c r="AY3"/>
  <c r="AD3"/>
  <c r="AN12"/>
  <c r="AD12"/>
  <c r="AY12"/>
  <c r="AD17"/>
  <c r="AY17"/>
  <c r="AN17"/>
  <c r="AD9"/>
  <c r="AN9"/>
  <c r="AY9"/>
  <c r="AL5"/>
  <c r="AM5" s="1"/>
  <c r="AN10"/>
  <c r="AD10"/>
  <c r="AY10"/>
  <c r="AY13"/>
  <c r="AY5"/>
  <c r="AM3"/>
  <c r="AY14"/>
  <c r="AY6"/>
  <c r="AY15"/>
  <c r="AY7"/>
  <c r="AY16"/>
  <c r="AY8"/>
  <c r="D27" i="19"/>
  <c r="N27" s="1"/>
  <c r="G27"/>
  <c r="G26"/>
  <c r="G25"/>
  <c r="G24"/>
  <c r="D24"/>
  <c r="N24" s="1"/>
  <c r="G20"/>
  <c r="G13"/>
  <c r="D11"/>
  <c r="N11" s="1"/>
  <c r="D10"/>
  <c r="G8"/>
  <c r="D5"/>
  <c r="N5" s="1"/>
  <c r="G4"/>
  <c r="D30"/>
  <c r="N30" s="1"/>
  <c r="G30"/>
  <c r="G16"/>
  <c r="D16"/>
  <c r="G28"/>
  <c r="G12"/>
  <c r="G29"/>
  <c r="G21"/>
  <c r="D22"/>
  <c r="N22" s="1"/>
  <c r="D18"/>
  <c r="G22"/>
  <c r="D23"/>
  <c r="AA13" i="28" s="1"/>
  <c r="D19" i="19"/>
  <c r="Z12" i="29" s="1"/>
  <c r="D3" i="19"/>
  <c r="N3" s="1"/>
  <c r="G23"/>
  <c r="D14"/>
  <c r="D6"/>
  <c r="N6" s="1"/>
  <c r="D15"/>
  <c r="AA7" i="28" s="1"/>
  <c r="D7" i="19"/>
  <c r="D17"/>
  <c r="D9"/>
  <c r="N9" s="1"/>
  <c r="AG24" i="27" l="1"/>
  <c r="V10" i="28"/>
  <c r="AD14"/>
  <c r="V16"/>
  <c r="AA9" i="29"/>
  <c r="AD9" i="28"/>
  <c r="AB10"/>
  <c r="AB9"/>
  <c r="V9"/>
  <c r="AC10"/>
  <c r="AB14"/>
  <c r="W14"/>
  <c r="U14" s="1"/>
  <c r="W9"/>
  <c r="U9" s="1"/>
  <c r="AD10"/>
  <c r="AC14"/>
  <c r="N10" i="19"/>
  <c r="AZ19" i="28"/>
  <c r="N7" i="19"/>
  <c r="AZ20" i="28"/>
  <c r="N17" i="19"/>
  <c r="AL7" i="29"/>
  <c r="N23" i="19"/>
  <c r="AV21" i="29"/>
  <c r="AZ35" i="28"/>
  <c r="N16" i="19"/>
  <c r="AV12" i="29"/>
  <c r="AD4" i="28"/>
  <c r="AA4"/>
  <c r="Y4" s="1"/>
  <c r="AC8"/>
  <c r="AA10"/>
  <c r="V4"/>
  <c r="AD8"/>
  <c r="AD11"/>
  <c r="AC3"/>
  <c r="AA11"/>
  <c r="N18" i="19"/>
  <c r="AL9" i="29"/>
  <c r="N19" i="19"/>
  <c r="Z11" i="29"/>
  <c r="AL8"/>
  <c r="W8" i="28"/>
  <c r="U8" s="1"/>
  <c r="Z9" i="29"/>
  <c r="AD3" i="28"/>
  <c r="AB11"/>
  <c r="Z7" i="29"/>
  <c r="N15" i="19"/>
  <c r="AZ28" i="28"/>
  <c r="AZ31"/>
  <c r="AV11" i="29"/>
  <c r="N14" i="19"/>
  <c r="AL5" i="29"/>
  <c r="Z10"/>
  <c r="V3" i="28"/>
  <c r="AB4"/>
  <c r="AA8"/>
  <c r="AC11"/>
  <c r="AA12"/>
  <c r="Z5" i="29"/>
  <c r="Z6"/>
  <c r="Z8"/>
  <c r="Y3" i="28"/>
  <c r="AL6" i="9"/>
  <c r="AM6" l="1"/>
  <c r="AL7"/>
  <c r="AM7" l="1"/>
  <c r="AL8"/>
  <c r="AM8" l="1"/>
  <c r="AL9"/>
  <c r="AM9" l="1"/>
  <c r="AL10"/>
  <c r="AM10" l="1"/>
  <c r="AL11"/>
  <c r="AM11" l="1"/>
  <c r="AL12"/>
  <c r="AM12" l="1"/>
  <c r="AL13"/>
  <c r="AM13" l="1"/>
  <c r="AL14"/>
  <c r="AM14" l="1"/>
  <c r="AL15"/>
  <c r="AM15" l="1"/>
  <c r="AL16"/>
  <c r="AM16" l="1"/>
  <c r="AL17"/>
  <c r="AM17" l="1"/>
  <c r="AL18"/>
  <c r="AM18" l="1"/>
  <c r="AL19"/>
  <c r="AL20" l="1"/>
  <c r="AM20" s="1"/>
  <c r="AM19"/>
  <c r="A13" i="26" l="1"/>
  <c r="C13"/>
  <c r="D13"/>
  <c r="A12"/>
  <c r="C12"/>
  <c r="E12" s="1"/>
  <c r="D12"/>
  <c r="D2"/>
  <c r="D3"/>
  <c r="D4"/>
  <c r="D5"/>
  <c r="D6"/>
  <c r="D7"/>
  <c r="D8"/>
  <c r="D9"/>
  <c r="D10"/>
  <c r="D11"/>
  <c r="H2" i="2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C43" i="3"/>
  <c r="C44"/>
  <c r="C45"/>
  <c r="C46"/>
  <c r="C47"/>
  <c r="C48"/>
  <c r="C49"/>
  <c r="C50"/>
  <c r="C51"/>
  <c r="C52"/>
  <c r="C53"/>
  <c r="C54"/>
  <c r="C55"/>
  <c r="C56"/>
  <c r="C57"/>
  <c r="D43"/>
  <c r="D44"/>
  <c r="D45"/>
  <c r="D46"/>
  <c r="D47"/>
  <c r="D48"/>
  <c r="D49"/>
  <c r="D50"/>
  <c r="D51"/>
  <c r="D52"/>
  <c r="D53"/>
  <c r="D54"/>
  <c r="D55"/>
  <c r="D56"/>
  <c r="D57"/>
  <c r="E43"/>
  <c r="E44"/>
  <c r="E45"/>
  <c r="E46"/>
  <c r="E47"/>
  <c r="E48"/>
  <c r="E49"/>
  <c r="E50"/>
  <c r="E51"/>
  <c r="E52"/>
  <c r="E53"/>
  <c r="E54"/>
  <c r="E55"/>
  <c r="E56"/>
  <c r="E57"/>
  <c r="F43"/>
  <c r="F44"/>
  <c r="F45"/>
  <c r="F46"/>
  <c r="F47"/>
  <c r="F48"/>
  <c r="F49"/>
  <c r="F50"/>
  <c r="F51"/>
  <c r="F52"/>
  <c r="F53"/>
  <c r="F54"/>
  <c r="F55"/>
  <c r="F56"/>
  <c r="F57"/>
  <c r="G43"/>
  <c r="G44"/>
  <c r="G45"/>
  <c r="G46"/>
  <c r="G47"/>
  <c r="G48"/>
  <c r="G49"/>
  <c r="G50"/>
  <c r="G51"/>
  <c r="G52"/>
  <c r="G53"/>
  <c r="G54"/>
  <c r="G55"/>
  <c r="G56"/>
  <c r="G57"/>
  <c r="H43"/>
  <c r="H44"/>
  <c r="H45"/>
  <c r="H46"/>
  <c r="H47"/>
  <c r="H48"/>
  <c r="H49"/>
  <c r="H50"/>
  <c r="H51"/>
  <c r="H52"/>
  <c r="H53"/>
  <c r="H54"/>
  <c r="H55"/>
  <c r="H56"/>
  <c r="H57"/>
  <c r="I43"/>
  <c r="I44"/>
  <c r="I45"/>
  <c r="I46"/>
  <c r="I47"/>
  <c r="I48"/>
  <c r="I49"/>
  <c r="I50"/>
  <c r="I51"/>
  <c r="I52"/>
  <c r="I53"/>
  <c r="I54"/>
  <c r="I55"/>
  <c r="I56"/>
  <c r="I57"/>
  <c r="J43"/>
  <c r="J44"/>
  <c r="J45"/>
  <c r="J46"/>
  <c r="J47"/>
  <c r="J48"/>
  <c r="J49"/>
  <c r="J50"/>
  <c r="J51"/>
  <c r="J52"/>
  <c r="J53"/>
  <c r="J54"/>
  <c r="J55"/>
  <c r="J56"/>
  <c r="J57"/>
  <c r="C24"/>
  <c r="C25"/>
  <c r="C26"/>
  <c r="C27"/>
  <c r="C28"/>
  <c r="C29"/>
  <c r="C30"/>
  <c r="C31"/>
  <c r="C32"/>
  <c r="C33"/>
  <c r="C34"/>
  <c r="C35"/>
  <c r="C36"/>
  <c r="C37"/>
  <c r="C38"/>
  <c r="C39"/>
  <c r="C40"/>
  <c r="D24"/>
  <c r="D25"/>
  <c r="D26"/>
  <c r="D27"/>
  <c r="D28"/>
  <c r="D29"/>
  <c r="D30"/>
  <c r="D31"/>
  <c r="D32"/>
  <c r="D33"/>
  <c r="D34"/>
  <c r="D35"/>
  <c r="D36"/>
  <c r="D37"/>
  <c r="D38"/>
  <c r="D39"/>
  <c r="D40"/>
  <c r="E24"/>
  <c r="E25"/>
  <c r="E26"/>
  <c r="E27"/>
  <c r="E28"/>
  <c r="E29"/>
  <c r="E30"/>
  <c r="E31"/>
  <c r="E32"/>
  <c r="E33"/>
  <c r="E34"/>
  <c r="E35"/>
  <c r="E36"/>
  <c r="E37"/>
  <c r="E38"/>
  <c r="E39"/>
  <c r="E40"/>
  <c r="F24"/>
  <c r="F25"/>
  <c r="F26"/>
  <c r="F27"/>
  <c r="F28"/>
  <c r="F29"/>
  <c r="F30"/>
  <c r="F31"/>
  <c r="F32"/>
  <c r="F33"/>
  <c r="F34"/>
  <c r="F35"/>
  <c r="F36"/>
  <c r="F37"/>
  <c r="F38"/>
  <c r="F39"/>
  <c r="F40"/>
  <c r="G24"/>
  <c r="G25"/>
  <c r="G26"/>
  <c r="G27"/>
  <c r="G28"/>
  <c r="G29"/>
  <c r="G30"/>
  <c r="G31"/>
  <c r="G32"/>
  <c r="G33"/>
  <c r="G34"/>
  <c r="G35"/>
  <c r="G36"/>
  <c r="G37"/>
  <c r="G38"/>
  <c r="G39"/>
  <c r="G40"/>
  <c r="H24"/>
  <c r="H25"/>
  <c r="H26"/>
  <c r="H27"/>
  <c r="H28"/>
  <c r="H29"/>
  <c r="H30"/>
  <c r="H31"/>
  <c r="H32"/>
  <c r="H33"/>
  <c r="H34"/>
  <c r="H35"/>
  <c r="H36"/>
  <c r="H37"/>
  <c r="H38"/>
  <c r="H39"/>
  <c r="H40"/>
  <c r="I24"/>
  <c r="I25"/>
  <c r="I26"/>
  <c r="I27"/>
  <c r="I28"/>
  <c r="I29"/>
  <c r="I30"/>
  <c r="I31"/>
  <c r="I32"/>
  <c r="I33"/>
  <c r="I34"/>
  <c r="I35"/>
  <c r="I36"/>
  <c r="I37"/>
  <c r="I38"/>
  <c r="I39"/>
  <c r="I40"/>
  <c r="J24"/>
  <c r="J25"/>
  <c r="J26"/>
  <c r="J27"/>
  <c r="J28"/>
  <c r="J29"/>
  <c r="J30"/>
  <c r="J31"/>
  <c r="J32"/>
  <c r="J33"/>
  <c r="J34"/>
  <c r="J35"/>
  <c r="J36"/>
  <c r="J37"/>
  <c r="J38"/>
  <c r="J39"/>
  <c r="J40"/>
  <c r="C12"/>
  <c r="D12"/>
  <c r="E12"/>
  <c r="F12"/>
  <c r="G12"/>
  <c r="H12"/>
  <c r="I12"/>
  <c r="J12"/>
  <c r="C11"/>
  <c r="C13"/>
  <c r="C14"/>
  <c r="C15"/>
  <c r="C16"/>
  <c r="C17"/>
  <c r="C18"/>
  <c r="C19"/>
  <c r="C20"/>
  <c r="C21"/>
  <c r="C22"/>
  <c r="C23"/>
  <c r="C41"/>
  <c r="C42"/>
  <c r="D11"/>
  <c r="D13"/>
  <c r="D14"/>
  <c r="D15"/>
  <c r="D16"/>
  <c r="D17"/>
  <c r="D18"/>
  <c r="D19"/>
  <c r="D20"/>
  <c r="D21"/>
  <c r="D22"/>
  <c r="D23"/>
  <c r="D41"/>
  <c r="D42"/>
  <c r="E11"/>
  <c r="E13"/>
  <c r="E14"/>
  <c r="E15"/>
  <c r="E16"/>
  <c r="E17"/>
  <c r="E18"/>
  <c r="E19"/>
  <c r="E20"/>
  <c r="E21"/>
  <c r="E22"/>
  <c r="E23"/>
  <c r="E41"/>
  <c r="E42"/>
  <c r="F11"/>
  <c r="F13"/>
  <c r="F14"/>
  <c r="F15"/>
  <c r="F16"/>
  <c r="F17"/>
  <c r="F18"/>
  <c r="F19"/>
  <c r="F20"/>
  <c r="F21"/>
  <c r="F22"/>
  <c r="F23"/>
  <c r="F41"/>
  <c r="F42"/>
  <c r="G11"/>
  <c r="G13"/>
  <c r="G14"/>
  <c r="G15"/>
  <c r="G16"/>
  <c r="G17"/>
  <c r="G18"/>
  <c r="G19"/>
  <c r="G20"/>
  <c r="G21"/>
  <c r="G22"/>
  <c r="G23"/>
  <c r="G41"/>
  <c r="G42"/>
  <c r="H11"/>
  <c r="H13"/>
  <c r="H14"/>
  <c r="H15"/>
  <c r="H16"/>
  <c r="H17"/>
  <c r="H18"/>
  <c r="H19"/>
  <c r="H20"/>
  <c r="H21"/>
  <c r="H22"/>
  <c r="H23"/>
  <c r="H41"/>
  <c r="H42"/>
  <c r="I11"/>
  <c r="I13"/>
  <c r="I14"/>
  <c r="I15"/>
  <c r="I16"/>
  <c r="I17"/>
  <c r="I18"/>
  <c r="I19"/>
  <c r="I20"/>
  <c r="I21"/>
  <c r="I22"/>
  <c r="I23"/>
  <c r="I41"/>
  <c r="I42"/>
  <c r="J11"/>
  <c r="J13"/>
  <c r="J14"/>
  <c r="J15"/>
  <c r="J16"/>
  <c r="J17"/>
  <c r="J18"/>
  <c r="J19"/>
  <c r="J20"/>
  <c r="J21"/>
  <c r="J22"/>
  <c r="J23"/>
  <c r="J41"/>
  <c r="J42"/>
  <c r="C2"/>
  <c r="C3"/>
  <c r="C4"/>
  <c r="C5"/>
  <c r="C6"/>
  <c r="C7"/>
  <c r="C8"/>
  <c r="C9"/>
  <c r="C10"/>
  <c r="D2"/>
  <c r="D3"/>
  <c r="D4"/>
  <c r="D5"/>
  <c r="D6"/>
  <c r="D7"/>
  <c r="D8"/>
  <c r="D9"/>
  <c r="D10"/>
  <c r="E2"/>
  <c r="E3"/>
  <c r="E4"/>
  <c r="E5"/>
  <c r="E6"/>
  <c r="E7"/>
  <c r="E8"/>
  <c r="E9"/>
  <c r="E10"/>
  <c r="F2"/>
  <c r="F3"/>
  <c r="F4"/>
  <c r="F5"/>
  <c r="F6"/>
  <c r="F7"/>
  <c r="F8"/>
  <c r="F9"/>
  <c r="F10"/>
  <c r="G2"/>
  <c r="G3"/>
  <c r="G4"/>
  <c r="G5"/>
  <c r="G6"/>
  <c r="G7"/>
  <c r="G8"/>
  <c r="G9"/>
  <c r="G10"/>
  <c r="H2"/>
  <c r="H3"/>
  <c r="H4"/>
  <c r="H5"/>
  <c r="H6"/>
  <c r="H7"/>
  <c r="H8"/>
  <c r="H9"/>
  <c r="H10"/>
  <c r="I2"/>
  <c r="I3"/>
  <c r="I4"/>
  <c r="I5"/>
  <c r="I6"/>
  <c r="I7"/>
  <c r="I8"/>
  <c r="I9"/>
  <c r="I10"/>
  <c r="J2"/>
  <c r="J3"/>
  <c r="J4"/>
  <c r="J5"/>
  <c r="J6"/>
  <c r="J7"/>
  <c r="J8"/>
  <c r="J9"/>
  <c r="J10"/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D46"/>
  <c r="B46"/>
  <c r="C46"/>
  <c r="E46" s="1"/>
  <c r="C58" i="3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D48" i="1"/>
  <c r="D47"/>
  <c r="D50"/>
  <c r="D51"/>
  <c r="D52"/>
  <c r="D53"/>
  <c r="D54"/>
  <c r="D55"/>
  <c r="D56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9"/>
  <c r="B48"/>
  <c r="H48" s="1"/>
  <c r="B49"/>
  <c r="B50"/>
  <c r="H50" s="1"/>
  <c r="B51"/>
  <c r="B52"/>
  <c r="H52" s="1"/>
  <c r="B53"/>
  <c r="H53" s="1"/>
  <c r="B54"/>
  <c r="B55"/>
  <c r="H55" s="1"/>
  <c r="B56"/>
  <c r="H56" s="1"/>
  <c r="B47"/>
  <c r="H49"/>
  <c r="C47"/>
  <c r="E47" s="1"/>
  <c r="C48"/>
  <c r="E48" s="1"/>
  <c r="C49"/>
  <c r="E49" s="1"/>
  <c r="C50"/>
  <c r="E50" s="1"/>
  <c r="C51"/>
  <c r="E51" s="1"/>
  <c r="J51" s="1"/>
  <c r="C52"/>
  <c r="E52" s="1"/>
  <c r="G52" s="1"/>
  <c r="C53"/>
  <c r="E53" s="1"/>
  <c r="C54"/>
  <c r="E54" s="1"/>
  <c r="C55"/>
  <c r="E55" s="1"/>
  <c r="C56"/>
  <c r="E56" s="1"/>
  <c r="E13" i="26" l="1"/>
  <c r="G12"/>
  <c r="H12" s="1"/>
  <c r="F12"/>
  <c r="K46" i="3"/>
  <c r="K53"/>
  <c r="K55"/>
  <c r="K56"/>
  <c r="K48"/>
  <c r="K47"/>
  <c r="K43"/>
  <c r="K50"/>
  <c r="K57"/>
  <c r="K54"/>
  <c r="K52"/>
  <c r="K51"/>
  <c r="K49"/>
  <c r="K44"/>
  <c r="K45"/>
  <c r="K24"/>
  <c r="K35"/>
  <c r="K27"/>
  <c r="K36"/>
  <c r="K28"/>
  <c r="K37"/>
  <c r="K29"/>
  <c r="K38"/>
  <c r="K30"/>
  <c r="K39"/>
  <c r="K31"/>
  <c r="K40"/>
  <c r="K32"/>
  <c r="K34"/>
  <c r="K33"/>
  <c r="K25"/>
  <c r="K26"/>
  <c r="K12"/>
  <c r="K20"/>
  <c r="K23"/>
  <c r="K15"/>
  <c r="K19"/>
  <c r="K41"/>
  <c r="K16"/>
  <c r="K22"/>
  <c r="K14"/>
  <c r="K42"/>
  <c r="K18"/>
  <c r="K21"/>
  <c r="K17"/>
  <c r="K11"/>
  <c r="K13"/>
  <c r="K2"/>
  <c r="K8"/>
  <c r="K9"/>
  <c r="K10"/>
  <c r="K4"/>
  <c r="K3"/>
  <c r="K5"/>
  <c r="K6"/>
  <c r="K7"/>
  <c r="H46" i="1"/>
  <c r="J49"/>
  <c r="I49"/>
  <c r="J50"/>
  <c r="I50"/>
  <c r="G46"/>
  <c r="J46"/>
  <c r="I46"/>
  <c r="H54"/>
  <c r="K65" i="3"/>
  <c r="K113"/>
  <c r="K89"/>
  <c r="K73"/>
  <c r="K105"/>
  <c r="K121"/>
  <c r="K97"/>
  <c r="K81"/>
  <c r="K114"/>
  <c r="K106"/>
  <c r="K98"/>
  <c r="K90"/>
  <c r="K82"/>
  <c r="K74"/>
  <c r="K66"/>
  <c r="K58"/>
  <c r="K116"/>
  <c r="K108"/>
  <c r="K100"/>
  <c r="K92"/>
  <c r="K84"/>
  <c r="K76"/>
  <c r="K68"/>
  <c r="K60"/>
  <c r="K117"/>
  <c r="K109"/>
  <c r="K101"/>
  <c r="K93"/>
  <c r="K85"/>
  <c r="K77"/>
  <c r="K69"/>
  <c r="K61"/>
  <c r="K118"/>
  <c r="K110"/>
  <c r="K102"/>
  <c r="K94"/>
  <c r="K86"/>
  <c r="K78"/>
  <c r="K70"/>
  <c r="K62"/>
  <c r="K119"/>
  <c r="K111"/>
  <c r="K103"/>
  <c r="K95"/>
  <c r="K87"/>
  <c r="K79"/>
  <c r="K71"/>
  <c r="K63"/>
  <c r="K120"/>
  <c r="K112"/>
  <c r="K104"/>
  <c r="K96"/>
  <c r="K88"/>
  <c r="K80"/>
  <c r="K72"/>
  <c r="K64"/>
  <c r="K107"/>
  <c r="K91"/>
  <c r="K75"/>
  <c r="K67"/>
  <c r="K59"/>
  <c r="K99"/>
  <c r="K83"/>
  <c r="K115"/>
  <c r="H51" i="1"/>
  <c r="H47"/>
  <c r="J53"/>
  <c r="G53"/>
  <c r="I53"/>
  <c r="J54"/>
  <c r="I54"/>
  <c r="G54"/>
  <c r="G55"/>
  <c r="J55"/>
  <c r="I55"/>
  <c r="G47"/>
  <c r="I47"/>
  <c r="J47"/>
  <c r="I56"/>
  <c r="G56"/>
  <c r="J56"/>
  <c r="I48"/>
  <c r="G48"/>
  <c r="J48"/>
  <c r="G49"/>
  <c r="J52"/>
  <c r="G50"/>
  <c r="I52"/>
  <c r="G51"/>
  <c r="I51"/>
  <c r="F13" i="26" l="1"/>
  <c r="G13" s="1"/>
  <c r="H13" s="1"/>
  <c r="Q2" i="9"/>
  <c r="U2" i="14"/>
  <c r="T2"/>
  <c r="C38" i="21"/>
  <c r="J38"/>
  <c r="Z2" i="14"/>
  <c r="Y2"/>
  <c r="X2"/>
  <c r="W2"/>
  <c r="V2"/>
  <c r="C19" i="21"/>
  <c r="C33" i="1"/>
  <c r="E33" s="1"/>
  <c r="D19" i="21" s="1"/>
  <c r="B33" i="1"/>
  <c r="C2" i="26"/>
  <c r="C3"/>
  <c r="C4"/>
  <c r="C5"/>
  <c r="C6"/>
  <c r="C7"/>
  <c r="C8"/>
  <c r="C9"/>
  <c r="C10"/>
  <c r="C11"/>
  <c r="EA2" i="9"/>
  <c r="EK2"/>
  <c r="EJ2"/>
  <c r="EI2"/>
  <c r="EH2"/>
  <c r="EG2"/>
  <c r="EF2"/>
  <c r="ED2"/>
  <c r="EC2"/>
  <c r="EB2"/>
  <c r="DN2"/>
  <c r="DZ2"/>
  <c r="J19" i="21"/>
  <c r="M2" i="14"/>
  <c r="B2" i="19"/>
  <c r="A2"/>
  <c r="AV2" i="28"/>
  <c r="D2"/>
  <c r="DM2" i="9"/>
  <c r="DB2"/>
  <c r="DA2"/>
  <c r="S2" i="27"/>
  <c r="R2"/>
  <c r="Q2"/>
  <c r="P2"/>
  <c r="O2"/>
  <c r="J2" i="31"/>
  <c r="J3" s="1"/>
  <c r="J4" s="1"/>
  <c r="AT39" i="28" l="1"/>
  <c r="AT40"/>
  <c r="AT37"/>
  <c r="AT38"/>
  <c r="AT35"/>
  <c r="AT36"/>
  <c r="AT33"/>
  <c r="AT34"/>
  <c r="AT31"/>
  <c r="AT32"/>
  <c r="AT29"/>
  <c r="AT30"/>
  <c r="AT27"/>
  <c r="AT28"/>
  <c r="AT25"/>
  <c r="AT26"/>
  <c r="AT23"/>
  <c r="AT24"/>
  <c r="AT21"/>
  <c r="AT22"/>
  <c r="AT19"/>
  <c r="AT20"/>
  <c r="AT17"/>
  <c r="AT18"/>
  <c r="AT15"/>
  <c r="AT16"/>
  <c r="AT13"/>
  <c r="AT14"/>
  <c r="AT11"/>
  <c r="AT12"/>
  <c r="AT9"/>
  <c r="AT10"/>
  <c r="AT7"/>
  <c r="AT8"/>
  <c r="AT5"/>
  <c r="AT6"/>
  <c r="AT3"/>
  <c r="AT4"/>
  <c r="M10" i="9"/>
  <c r="M18"/>
  <c r="M12"/>
  <c r="M11"/>
  <c r="M9"/>
  <c r="M17"/>
  <c r="M14"/>
  <c r="M5"/>
  <c r="M4"/>
  <c r="M19"/>
  <c r="M8"/>
  <c r="M16"/>
  <c r="M13"/>
  <c r="M20"/>
  <c r="M3"/>
  <c r="M7"/>
  <c r="M15"/>
  <c r="M6"/>
  <c r="G33" i="1"/>
  <c r="J33"/>
  <c r="I33"/>
  <c r="H33"/>
  <c r="H2" i="19"/>
  <c r="G2"/>
  <c r="J5" i="31"/>
  <c r="AI2" i="9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G2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F2"/>
  <c r="AF3" s="1"/>
  <c r="AL2" i="27"/>
  <c r="AH2"/>
  <c r="AE24" s="1"/>
  <c r="K2" i="9"/>
  <c r="AQ2" i="27"/>
  <c r="AP2"/>
  <c r="AO2"/>
  <c r="AS2" i="29"/>
  <c r="AR2"/>
  <c r="AR3" s="1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P2"/>
  <c r="AH2"/>
  <c r="X2"/>
  <c r="Y2"/>
  <c r="U2"/>
  <c r="T2"/>
  <c r="D2"/>
  <c r="D3" s="1"/>
  <c r="A2"/>
  <c r="AV2"/>
  <c r="C2"/>
  <c r="BB2" i="28"/>
  <c r="BA2"/>
  <c r="AZ2"/>
  <c r="AN2"/>
  <c r="AM2"/>
  <c r="AL2"/>
  <c r="AK2"/>
  <c r="AH2"/>
  <c r="Y2"/>
  <c r="Z2"/>
  <c r="U2"/>
  <c r="V2"/>
  <c r="R2" i="19"/>
  <c r="A2" i="28"/>
  <c r="C2"/>
  <c r="BS2" i="9"/>
  <c r="BX2"/>
  <c r="CE2"/>
  <c r="CG2"/>
  <c r="P2" i="19"/>
  <c r="S2"/>
  <c r="S3" s="1"/>
  <c r="AG2" i="27"/>
  <c r="AK2"/>
  <c r="B2"/>
  <c r="K2"/>
  <c r="A2"/>
  <c r="BK2" i="9"/>
  <c r="BJ2"/>
  <c r="BD2"/>
  <c r="BD3" s="1"/>
  <c r="BD4" s="1"/>
  <c r="BC2"/>
  <c r="AT2"/>
  <c r="AJ2"/>
  <c r="P2"/>
  <c r="B2"/>
  <c r="A2"/>
  <c r="C2" i="19"/>
  <c r="A2" i="14"/>
  <c r="C2"/>
  <c r="C3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A2" i="24"/>
  <c r="A3"/>
  <c r="A4"/>
  <c r="A5"/>
  <c r="A6"/>
  <c r="C2"/>
  <c r="C3"/>
  <c r="C4"/>
  <c r="C5"/>
  <c r="C6"/>
  <c r="E3" i="31"/>
  <c r="E4"/>
  <c r="J3" i="29" l="1"/>
  <c r="M5"/>
  <c r="AI5"/>
  <c r="M4"/>
  <c r="AI4"/>
  <c r="AI3"/>
  <c r="D4"/>
  <c r="S4" i="19"/>
  <c r="W3" i="28"/>
  <c r="AB22" i="27"/>
  <c r="AB14"/>
  <c r="AB6"/>
  <c r="AB21"/>
  <c r="AB13"/>
  <c r="AB5"/>
  <c r="AB17"/>
  <c r="AB9"/>
  <c r="AB8"/>
  <c r="AB11"/>
  <c r="AB20"/>
  <c r="AB12"/>
  <c r="AB4"/>
  <c r="AB18"/>
  <c r="AB10"/>
  <c r="AB19"/>
  <c r="AB3"/>
  <c r="AB23"/>
  <c r="AB15"/>
  <c r="AB7"/>
  <c r="AB16"/>
  <c r="AE23"/>
  <c r="AE21"/>
  <c r="AE22"/>
  <c r="AE19"/>
  <c r="AE20"/>
  <c r="AE17"/>
  <c r="AE18"/>
  <c r="AE15"/>
  <c r="AE16"/>
  <c r="AI15"/>
  <c r="AE13"/>
  <c r="AE14"/>
  <c r="AI13"/>
  <c r="AI14"/>
  <c r="AE11"/>
  <c r="AE12"/>
  <c r="AI11"/>
  <c r="AI12"/>
  <c r="AI9"/>
  <c r="AI10"/>
  <c r="AE9"/>
  <c r="AE10"/>
  <c r="AE7"/>
  <c r="AE8"/>
  <c r="AI7"/>
  <c r="AI8"/>
  <c r="AI5"/>
  <c r="AI6"/>
  <c r="AE5"/>
  <c r="AE6"/>
  <c r="AE3"/>
  <c r="AE4"/>
  <c r="AI3"/>
  <c r="AI4"/>
  <c r="AG2" i="29"/>
  <c r="AH3"/>
  <c r="AH3" i="28"/>
  <c r="AU8" i="9"/>
  <c r="AU16"/>
  <c r="AU12"/>
  <c r="AU11"/>
  <c r="AU18"/>
  <c r="AU7"/>
  <c r="AU15"/>
  <c r="AU19"/>
  <c r="AU9"/>
  <c r="AU6"/>
  <c r="AU14"/>
  <c r="AU20"/>
  <c r="AU10"/>
  <c r="AU17"/>
  <c r="AU5"/>
  <c r="AU13"/>
  <c r="AU4"/>
  <c r="AU3"/>
  <c r="AK10"/>
  <c r="AK18"/>
  <c r="AK6"/>
  <c r="AK13"/>
  <c r="AK12"/>
  <c r="AK11"/>
  <c r="AK9"/>
  <c r="AK17"/>
  <c r="AK14"/>
  <c r="AK4"/>
  <c r="AK19"/>
  <c r="AK8"/>
  <c r="AK16"/>
  <c r="AK5"/>
  <c r="AK3"/>
  <c r="AK7"/>
  <c r="AK15"/>
  <c r="AK20"/>
  <c r="AF4"/>
  <c r="AB3"/>
  <c r="D3" i="14"/>
  <c r="C4"/>
  <c r="DO2" i="9"/>
  <c r="DC2"/>
  <c r="AW2"/>
  <c r="AU2"/>
  <c r="J6" i="31"/>
  <c r="AB2" i="9"/>
  <c r="AI2" i="27"/>
  <c r="AE2"/>
  <c r="Y2"/>
  <c r="AA2" i="28"/>
  <c r="AD2"/>
  <c r="AC2"/>
  <c r="AB2"/>
  <c r="K2"/>
  <c r="J2" i="29"/>
  <c r="BY2" i="9"/>
  <c r="BZ2"/>
  <c r="AI2" i="29"/>
  <c r="AE2"/>
  <c r="V2"/>
  <c r="Z2"/>
  <c r="AC2"/>
  <c r="AB2"/>
  <c r="AA2"/>
  <c r="AT2" i="28"/>
  <c r="AW2"/>
  <c r="AF2"/>
  <c r="AI2"/>
  <c r="W2"/>
  <c r="CH2" i="9"/>
  <c r="AK2"/>
  <c r="M2"/>
  <c r="D2" i="19"/>
  <c r="N2" s="1"/>
  <c r="B4" i="25"/>
  <c r="E3"/>
  <c r="E2"/>
  <c r="J28" i="21"/>
  <c r="J29"/>
  <c r="J30"/>
  <c r="J31"/>
  <c r="J32"/>
  <c r="J33"/>
  <c r="J34"/>
  <c r="J35"/>
  <c r="J36"/>
  <c r="J2"/>
  <c r="J8"/>
  <c r="J13"/>
  <c r="J10"/>
  <c r="J11"/>
  <c r="J12"/>
  <c r="J14"/>
  <c r="J15"/>
  <c r="J16"/>
  <c r="J17"/>
  <c r="J18"/>
  <c r="J20"/>
  <c r="J21"/>
  <c r="J22"/>
  <c r="AS6" i="29" l="1"/>
  <c r="AS3"/>
  <c r="AS7"/>
  <c r="D4" i="14"/>
  <c r="M4" s="1"/>
  <c r="E5" i="27"/>
  <c r="E16"/>
  <c r="C5" i="14"/>
  <c r="E4" i="27"/>
  <c r="E31"/>
  <c r="E3"/>
  <c r="E15"/>
  <c r="E6"/>
  <c r="E14"/>
  <c r="E13"/>
  <c r="E3" i="28"/>
  <c r="F10" i="9"/>
  <c r="T3" i="19"/>
  <c r="T9"/>
  <c r="T4"/>
  <c r="E5" i="28"/>
  <c r="E4"/>
  <c r="T10" i="19"/>
  <c r="T6"/>
  <c r="T5"/>
  <c r="E6" i="28"/>
  <c r="E6" i="29"/>
  <c r="Y5"/>
  <c r="U5"/>
  <c r="AC5"/>
  <c r="V5"/>
  <c r="T5" s="1"/>
  <c r="AB5"/>
  <c r="H6" i="19"/>
  <c r="J4" i="29"/>
  <c r="D5"/>
  <c r="Y4"/>
  <c r="U4"/>
  <c r="AC4"/>
  <c r="AB4"/>
  <c r="V4"/>
  <c r="T4" s="1"/>
  <c r="S5" i="19"/>
  <c r="W4" i="28"/>
  <c r="T4" s="1"/>
  <c r="AK14" i="27"/>
  <c r="AG14"/>
  <c r="AK20"/>
  <c r="AG20"/>
  <c r="AG21"/>
  <c r="AK21"/>
  <c r="AK16"/>
  <c r="AG16"/>
  <c r="AK4"/>
  <c r="AG4"/>
  <c r="AK13"/>
  <c r="AG13"/>
  <c r="AK3"/>
  <c r="AG3"/>
  <c r="AK11"/>
  <c r="AG11"/>
  <c r="AK12"/>
  <c r="AG12"/>
  <c r="AK18"/>
  <c r="AG18"/>
  <c r="AK5"/>
  <c r="AG5"/>
  <c r="AK22"/>
  <c r="AG22"/>
  <c r="AK23"/>
  <c r="AG23"/>
  <c r="AK6"/>
  <c r="AG6"/>
  <c r="AK10"/>
  <c r="AG10"/>
  <c r="AK17"/>
  <c r="AG17"/>
  <c r="AK8"/>
  <c r="AG8"/>
  <c r="AK15"/>
  <c r="AG15"/>
  <c r="AK7"/>
  <c r="AG7"/>
  <c r="AK19"/>
  <c r="AG19"/>
  <c r="AK9"/>
  <c r="AG9"/>
  <c r="Y15" i="28"/>
  <c r="Y16"/>
  <c r="AG3" i="29"/>
  <c r="AS4" s="1"/>
  <c r="AH4"/>
  <c r="AG4" s="1"/>
  <c r="AE3"/>
  <c r="AF3" i="28"/>
  <c r="AH4"/>
  <c r="AH5" s="1"/>
  <c r="AH6" s="1"/>
  <c r="AH7" s="1"/>
  <c r="AH8" s="1"/>
  <c r="AH9" s="1"/>
  <c r="AH10" s="1"/>
  <c r="AH11" s="1"/>
  <c r="AH12" s="1"/>
  <c r="AH13" s="1"/>
  <c r="AH14" s="1"/>
  <c r="AH15" s="1"/>
  <c r="X16"/>
  <c r="Y7"/>
  <c r="X15"/>
  <c r="Y14"/>
  <c r="X13"/>
  <c r="X14"/>
  <c r="Y12"/>
  <c r="Y13"/>
  <c r="X12"/>
  <c r="Y11"/>
  <c r="Y10"/>
  <c r="Y9"/>
  <c r="X10"/>
  <c r="X11"/>
  <c r="X8"/>
  <c r="X9"/>
  <c r="Y8"/>
  <c r="X3"/>
  <c r="X7"/>
  <c r="X4"/>
  <c r="X6"/>
  <c r="X5"/>
  <c r="U3"/>
  <c r="T3"/>
  <c r="AB4" i="9"/>
  <c r="AF5"/>
  <c r="Z3"/>
  <c r="AA3"/>
  <c r="AC3" s="1"/>
  <c r="M3" i="14"/>
  <c r="M20" i="19"/>
  <c r="M3"/>
  <c r="M8"/>
  <c r="D5" i="14"/>
  <c r="C6"/>
  <c r="E2" i="28"/>
  <c r="E2" i="29"/>
  <c r="AA2" i="9"/>
  <c r="X2" i="28"/>
  <c r="T2"/>
  <c r="J7" i="31"/>
  <c r="Z2" i="9"/>
  <c r="S2" i="29"/>
  <c r="W2"/>
  <c r="J3" i="21"/>
  <c r="J4"/>
  <c r="J5"/>
  <c r="J6"/>
  <c r="J7"/>
  <c r="J9"/>
  <c r="J23"/>
  <c r="J24"/>
  <c r="J25"/>
  <c r="J26"/>
  <c r="J27"/>
  <c r="J37"/>
  <c r="J39"/>
  <c r="J40"/>
  <c r="J41"/>
  <c r="J42"/>
  <c r="B24" i="1"/>
  <c r="B25"/>
  <c r="H25" s="1"/>
  <c r="B26"/>
  <c r="B27"/>
  <c r="C24"/>
  <c r="E24" s="1"/>
  <c r="C25"/>
  <c r="E25" s="1"/>
  <c r="C26"/>
  <c r="E26" s="1"/>
  <c r="C27"/>
  <c r="E27" s="1"/>
  <c r="G27" s="1"/>
  <c r="B10"/>
  <c r="H10" s="1"/>
  <c r="C10"/>
  <c r="E10" s="1"/>
  <c r="D8" i="21" s="1"/>
  <c r="C8"/>
  <c r="B19" i="1"/>
  <c r="H19" s="1"/>
  <c r="B20"/>
  <c r="B21"/>
  <c r="H21" s="1"/>
  <c r="C19"/>
  <c r="E19" s="1"/>
  <c r="D18" i="21" s="1"/>
  <c r="C20" i="1"/>
  <c r="E20" s="1"/>
  <c r="D21" i="21" s="1"/>
  <c r="C21" i="1"/>
  <c r="E21" s="1"/>
  <c r="C18" i="21"/>
  <c r="C21"/>
  <c r="C22"/>
  <c r="B12" i="1"/>
  <c r="H12" s="1"/>
  <c r="B13"/>
  <c r="B14"/>
  <c r="H14" s="1"/>
  <c r="B15"/>
  <c r="B16"/>
  <c r="H16" s="1"/>
  <c r="B17"/>
  <c r="H17" s="1"/>
  <c r="B18"/>
  <c r="C12"/>
  <c r="E12" s="1"/>
  <c r="C13"/>
  <c r="E13" s="1"/>
  <c r="D14" i="21" s="1"/>
  <c r="C14" i="1"/>
  <c r="E14" s="1"/>
  <c r="D12" i="21" s="1"/>
  <c r="C15" i="1"/>
  <c r="E15" s="1"/>
  <c r="D16" i="21" s="1"/>
  <c r="C16" i="1"/>
  <c r="E16" s="1"/>
  <c r="D13" i="21" s="1"/>
  <c r="C17" i="1"/>
  <c r="E17" s="1"/>
  <c r="D17" i="21" s="1"/>
  <c r="C18" i="1"/>
  <c r="E18" s="1"/>
  <c r="C11" i="21"/>
  <c r="C14"/>
  <c r="C12"/>
  <c r="C16"/>
  <c r="C13"/>
  <c r="C17"/>
  <c r="C15"/>
  <c r="B11" i="1"/>
  <c r="H11" s="1"/>
  <c r="C11"/>
  <c r="E11" s="1"/>
  <c r="C10" i="21"/>
  <c r="B9" i="1"/>
  <c r="H9" s="1"/>
  <c r="C9"/>
  <c r="E9" s="1"/>
  <c r="B8"/>
  <c r="H8" s="1"/>
  <c r="C8"/>
  <c r="E8" s="1"/>
  <c r="AS5" i="29" l="1"/>
  <c r="M6" i="19"/>
  <c r="M5"/>
  <c r="H5"/>
  <c r="AL17" i="27"/>
  <c r="AL24"/>
  <c r="AL19"/>
  <c r="AL16"/>
  <c r="M10" i="29"/>
  <c r="AI9"/>
  <c r="M12"/>
  <c r="M6"/>
  <c r="M9"/>
  <c r="M11"/>
  <c r="AI6"/>
  <c r="AI7"/>
  <c r="M7"/>
  <c r="M8"/>
  <c r="AI8"/>
  <c r="J5"/>
  <c r="D6"/>
  <c r="M28" i="19"/>
  <c r="A6" i="27"/>
  <c r="A3"/>
  <c r="A4"/>
  <c r="K6"/>
  <c r="A5"/>
  <c r="K3"/>
  <c r="K5"/>
  <c r="K4"/>
  <c r="E7"/>
  <c r="K7" s="1"/>
  <c r="E17"/>
  <c r="E7" i="28"/>
  <c r="E18" i="27"/>
  <c r="M10" i="19"/>
  <c r="M9"/>
  <c r="S6"/>
  <c r="W5" i="28"/>
  <c r="U4"/>
  <c r="M7" i="19"/>
  <c r="T5" i="28"/>
  <c r="H4" i="19"/>
  <c r="E19" i="27"/>
  <c r="T8" i="19"/>
  <c r="E4" i="29"/>
  <c r="F4" i="9"/>
  <c r="F3"/>
  <c r="E12" i="28"/>
  <c r="M4" i="19"/>
  <c r="M5" i="14"/>
  <c r="H11" i="19"/>
  <c r="H8"/>
  <c r="H7"/>
  <c r="H12"/>
  <c r="H9"/>
  <c r="H10"/>
  <c r="AE4" i="29"/>
  <c r="AH5"/>
  <c r="AF15" i="28"/>
  <c r="AF14"/>
  <c r="AF13"/>
  <c r="AF11"/>
  <c r="AF10"/>
  <c r="AF9"/>
  <c r="AF12"/>
  <c r="AF8"/>
  <c r="AF7"/>
  <c r="AF6"/>
  <c r="AF5"/>
  <c r="AF4"/>
  <c r="AB5" i="9"/>
  <c r="AF6"/>
  <c r="AA4"/>
  <c r="AC4" s="1"/>
  <c r="Z4"/>
  <c r="C7" i="14"/>
  <c r="D6"/>
  <c r="I12" i="1"/>
  <c r="D11" i="21"/>
  <c r="I18" i="1"/>
  <c r="D15" i="21"/>
  <c r="I21" i="1"/>
  <c r="D22" i="21"/>
  <c r="I11" i="1"/>
  <c r="D10" i="21"/>
  <c r="J8" i="31"/>
  <c r="I27" i="1"/>
  <c r="J27"/>
  <c r="I26"/>
  <c r="G26"/>
  <c r="J26"/>
  <c r="J25"/>
  <c r="G25"/>
  <c r="I25"/>
  <c r="H26"/>
  <c r="J24"/>
  <c r="G24"/>
  <c r="I24"/>
  <c r="H27"/>
  <c r="H24"/>
  <c r="I10"/>
  <c r="G10"/>
  <c r="J10"/>
  <c r="H20"/>
  <c r="H18"/>
  <c r="G19"/>
  <c r="I19"/>
  <c r="J19"/>
  <c r="I20"/>
  <c r="J20"/>
  <c r="G20"/>
  <c r="G15"/>
  <c r="J15"/>
  <c r="I15"/>
  <c r="G21"/>
  <c r="J21"/>
  <c r="H13"/>
  <c r="J14"/>
  <c r="G14"/>
  <c r="I14"/>
  <c r="J12"/>
  <c r="G12"/>
  <c r="G16"/>
  <c r="I16"/>
  <c r="J16"/>
  <c r="I17"/>
  <c r="J17"/>
  <c r="G17"/>
  <c r="G13"/>
  <c r="I13"/>
  <c r="J13"/>
  <c r="G18"/>
  <c r="H15"/>
  <c r="J18"/>
  <c r="G11"/>
  <c r="J11"/>
  <c r="I9"/>
  <c r="G9"/>
  <c r="J9"/>
  <c r="J8"/>
  <c r="I8"/>
  <c r="G8"/>
  <c r="A7" i="27" l="1"/>
  <c r="Y9" i="29"/>
  <c r="AC9"/>
  <c r="V9"/>
  <c r="T9" s="1"/>
  <c r="U9"/>
  <c r="AB9"/>
  <c r="Y11"/>
  <c r="U11"/>
  <c r="AC11"/>
  <c r="V11"/>
  <c r="T11" s="1"/>
  <c r="AB11"/>
  <c r="AI19" i="27"/>
  <c r="AI18"/>
  <c r="AI24"/>
  <c r="AI22"/>
  <c r="AI21"/>
  <c r="AI17"/>
  <c r="AI23"/>
  <c r="AI20"/>
  <c r="AI16"/>
  <c r="S7" i="19"/>
  <c r="W6" i="28"/>
  <c r="U5"/>
  <c r="Y8" i="29"/>
  <c r="AB8"/>
  <c r="V8"/>
  <c r="T8" s="1"/>
  <c r="AC8"/>
  <c r="AA8"/>
  <c r="U8"/>
  <c r="J6"/>
  <c r="M3"/>
  <c r="Y7"/>
  <c r="V7"/>
  <c r="T7" s="1"/>
  <c r="U7"/>
  <c r="AC7"/>
  <c r="AB7"/>
  <c r="AA7"/>
  <c r="Y12"/>
  <c r="U12"/>
  <c r="AC12"/>
  <c r="AB12"/>
  <c r="V12"/>
  <c r="T12" s="1"/>
  <c r="Y10"/>
  <c r="U10"/>
  <c r="AB10"/>
  <c r="AC10"/>
  <c r="V10"/>
  <c r="T10" s="1"/>
  <c r="Y6"/>
  <c r="U6"/>
  <c r="AA6"/>
  <c r="AC6"/>
  <c r="V6"/>
  <c r="T6" s="1"/>
  <c r="AB6"/>
  <c r="C3" i="9"/>
  <c r="C4"/>
  <c r="A4"/>
  <c r="A3"/>
  <c r="E8" i="27"/>
  <c r="E24"/>
  <c r="E20"/>
  <c r="E9"/>
  <c r="E21"/>
  <c r="F5" i="9"/>
  <c r="E3" i="29"/>
  <c r="E8" i="28"/>
  <c r="F8" i="9"/>
  <c r="M11" i="19"/>
  <c r="M12"/>
  <c r="M29"/>
  <c r="AH6" i="29"/>
  <c r="AG5"/>
  <c r="AE5"/>
  <c r="AA5" i="9"/>
  <c r="AC5" s="1"/>
  <c r="AF7"/>
  <c r="AB6"/>
  <c r="Z5"/>
  <c r="C8" i="14"/>
  <c r="D7"/>
  <c r="M25" i="19" s="1"/>
  <c r="M6" i="14"/>
  <c r="J9" i="31"/>
  <c r="AS11" i="29" l="1"/>
  <c r="AS8"/>
  <c r="AS10"/>
  <c r="AS12"/>
  <c r="AS13"/>
  <c r="AS9"/>
  <c r="S8" i="19"/>
  <c r="S9" s="1"/>
  <c r="S10" s="1"/>
  <c r="V3" i="29" s="1"/>
  <c r="W7" i="28"/>
  <c r="T9" s="1"/>
  <c r="Y3" i="29"/>
  <c r="AB3"/>
  <c r="AC3"/>
  <c r="Z3"/>
  <c r="AA3"/>
  <c r="U3"/>
  <c r="T3"/>
  <c r="U6" i="28"/>
  <c r="T16"/>
  <c r="T6"/>
  <c r="T13"/>
  <c r="E4" i="9"/>
  <c r="K4" s="1"/>
  <c r="R7"/>
  <c r="AX7" s="1"/>
  <c r="R6"/>
  <c r="AX6" s="1"/>
  <c r="R3"/>
  <c r="AX3" s="1"/>
  <c r="R5"/>
  <c r="AX5" s="1"/>
  <c r="R4"/>
  <c r="AX4" s="1"/>
  <c r="E3"/>
  <c r="K3" s="1"/>
  <c r="M7" i="14"/>
  <c r="H22" i="19"/>
  <c r="H13"/>
  <c r="H14"/>
  <c r="M23"/>
  <c r="A5" i="9"/>
  <c r="M15" i="19"/>
  <c r="K8" i="27"/>
  <c r="A9"/>
  <c r="K9"/>
  <c r="A8"/>
  <c r="C5" i="9"/>
  <c r="E22" i="27"/>
  <c r="E29"/>
  <c r="E23"/>
  <c r="E30"/>
  <c r="E28"/>
  <c r="E11"/>
  <c r="E27"/>
  <c r="E10"/>
  <c r="E26"/>
  <c r="E25"/>
  <c r="E12"/>
  <c r="E5" i="29"/>
  <c r="E9" i="28"/>
  <c r="T7" i="19"/>
  <c r="F6" i="9"/>
  <c r="A8" s="1"/>
  <c r="F7"/>
  <c r="E10" i="28"/>
  <c r="H21" i="19"/>
  <c r="M26"/>
  <c r="AE6" i="29"/>
  <c r="AH7"/>
  <c r="AG6"/>
  <c r="Z6" i="9"/>
  <c r="AA6"/>
  <c r="AC6" s="1"/>
  <c r="AF8"/>
  <c r="AB7"/>
  <c r="C9" i="14"/>
  <c r="D8"/>
  <c r="H17" i="19" s="1"/>
  <c r="J10" i="31"/>
  <c r="A6" i="9" l="1"/>
  <c r="C8"/>
  <c r="R16" s="1"/>
  <c r="AX16" s="1"/>
  <c r="A22" i="27"/>
  <c r="C6" i="9"/>
  <c r="E6" s="1"/>
  <c r="K6" s="1"/>
  <c r="W10" i="29"/>
  <c r="W4"/>
  <c r="W8"/>
  <c r="W7"/>
  <c r="W9"/>
  <c r="W3"/>
  <c r="W5"/>
  <c r="X5"/>
  <c r="X4"/>
  <c r="W11"/>
  <c r="W12"/>
  <c r="W6"/>
  <c r="X10"/>
  <c r="X7"/>
  <c r="X9"/>
  <c r="X6"/>
  <c r="X11"/>
  <c r="X8"/>
  <c r="X12"/>
  <c r="C7" i="9"/>
  <c r="T10" i="28"/>
  <c r="T14"/>
  <c r="S5" i="29"/>
  <c r="S10"/>
  <c r="S9"/>
  <c r="S8"/>
  <c r="S3"/>
  <c r="S11"/>
  <c r="S7"/>
  <c r="S4"/>
  <c r="S6"/>
  <c r="S12"/>
  <c r="A7" i="9"/>
  <c r="X3" i="29"/>
  <c r="U7" i="28"/>
  <c r="T12"/>
  <c r="T15"/>
  <c r="T7"/>
  <c r="T8"/>
  <c r="T11"/>
  <c r="A16" i="27"/>
  <c r="K17"/>
  <c r="E8" i="9"/>
  <c r="K8" s="1"/>
  <c r="E7"/>
  <c r="K7" s="1"/>
  <c r="R15"/>
  <c r="AX15" s="1"/>
  <c r="R14"/>
  <c r="AX14" s="1"/>
  <c r="K21" i="27"/>
  <c r="A13"/>
  <c r="A14"/>
  <c r="K29"/>
  <c r="K12"/>
  <c r="A15"/>
  <c r="A31"/>
  <c r="A20"/>
  <c r="H20" i="19"/>
  <c r="K24" i="27"/>
  <c r="K10"/>
  <c r="A17"/>
  <c r="A25"/>
  <c r="K14"/>
  <c r="K18"/>
  <c r="H18" i="19"/>
  <c r="E5" i="9"/>
  <c r="K5" s="1"/>
  <c r="R10"/>
  <c r="AX10" s="1"/>
  <c r="R8"/>
  <c r="AX8" s="1"/>
  <c r="R9"/>
  <c r="AX9" s="1"/>
  <c r="A30" i="27"/>
  <c r="A19"/>
  <c r="A18"/>
  <c r="H30" i="19"/>
  <c r="K22" i="27"/>
  <c r="K23"/>
  <c r="K31"/>
  <c r="A28"/>
  <c r="A10"/>
  <c r="K13"/>
  <c r="K11"/>
  <c r="M13" i="19"/>
  <c r="H19"/>
  <c r="M24"/>
  <c r="M14"/>
  <c r="M21"/>
  <c r="H16"/>
  <c r="K28" i="27"/>
  <c r="A24"/>
  <c r="A29"/>
  <c r="K20"/>
  <c r="K15"/>
  <c r="A21"/>
  <c r="A26"/>
  <c r="K19"/>
  <c r="K30"/>
  <c r="A23"/>
  <c r="K25"/>
  <c r="K27"/>
  <c r="K16"/>
  <c r="A27"/>
  <c r="K26"/>
  <c r="A12"/>
  <c r="A11"/>
  <c r="H15" i="19"/>
  <c r="AH8" i="29"/>
  <c r="AE7"/>
  <c r="AG7"/>
  <c r="Z7" i="9"/>
  <c r="AF9"/>
  <c r="AB8"/>
  <c r="Z8" s="1"/>
  <c r="AA7"/>
  <c r="AC7" s="1"/>
  <c r="C10" i="14"/>
  <c r="D9"/>
  <c r="M9" s="1"/>
  <c r="M8"/>
  <c r="J11" i="31"/>
  <c r="A2" i="26"/>
  <c r="R17" i="9" l="1"/>
  <c r="AX17" s="1"/>
  <c r="R11"/>
  <c r="AX11" s="1"/>
  <c r="AS15" i="29"/>
  <c r="AS16"/>
  <c r="R13" i="9"/>
  <c r="AX13" s="1"/>
  <c r="AS14" i="29"/>
  <c r="R12" i="9"/>
  <c r="AX12" s="1"/>
  <c r="M16" i="19"/>
  <c r="AG9" i="29"/>
  <c r="AG8"/>
  <c r="AS17" s="1"/>
  <c r="AH9"/>
  <c r="AE8"/>
  <c r="AF10" i="9"/>
  <c r="AB9"/>
  <c r="AA8"/>
  <c r="AC8" s="1"/>
  <c r="C11" i="14"/>
  <c r="D10"/>
  <c r="M22" i="19" s="1"/>
  <c r="J12" i="31"/>
  <c r="A3" i="26"/>
  <c r="A4" s="1"/>
  <c r="A5" s="1"/>
  <c r="AS19" i="29" l="1"/>
  <c r="AS20"/>
  <c r="AS21"/>
  <c r="AE9"/>
  <c r="AS18"/>
  <c r="F9" i="9"/>
  <c r="E11" i="28"/>
  <c r="M17" i="19"/>
  <c r="M30"/>
  <c r="AF11" i="9"/>
  <c r="AB10"/>
  <c r="AA9"/>
  <c r="AC9" s="1"/>
  <c r="Z9"/>
  <c r="D11" i="14"/>
  <c r="C12"/>
  <c r="E13" i="28" s="1"/>
  <c r="M10" i="14"/>
  <c r="J13" i="31"/>
  <c r="A6" i="26"/>
  <c r="A10" i="9" l="1"/>
  <c r="C9"/>
  <c r="A9"/>
  <c r="C10"/>
  <c r="M11" i="14"/>
  <c r="M18" i="19"/>
  <c r="AF12" i="9"/>
  <c r="AB11"/>
  <c r="Z10"/>
  <c r="AA10"/>
  <c r="AC10" s="1"/>
  <c r="C13" i="14"/>
  <c r="D13" s="1"/>
  <c r="D12"/>
  <c r="H29" i="19" s="1"/>
  <c r="J14" i="31"/>
  <c r="A7" i="26"/>
  <c r="B38" i="1"/>
  <c r="H38" s="1"/>
  <c r="C38"/>
  <c r="E38" s="1"/>
  <c r="B32"/>
  <c r="H32" s="1"/>
  <c r="C32"/>
  <c r="E32" s="1"/>
  <c r="D32" i="21" s="1"/>
  <c r="C32"/>
  <c r="B31" i="1"/>
  <c r="H31" s="1"/>
  <c r="C31"/>
  <c r="E31" s="1"/>
  <c r="D31" i="21" s="1"/>
  <c r="C31"/>
  <c r="R18" i="9" l="1"/>
  <c r="AX18" s="1"/>
  <c r="E9"/>
  <c r="K9" s="1"/>
  <c r="R19"/>
  <c r="AX19" s="1"/>
  <c r="M13" i="14"/>
  <c r="H23" i="19"/>
  <c r="H28"/>
  <c r="H26"/>
  <c r="H27"/>
  <c r="M19"/>
  <c r="H25"/>
  <c r="H24"/>
  <c r="M27"/>
  <c r="E10" i="9"/>
  <c r="K10" s="1"/>
  <c r="R20"/>
  <c r="AX20" s="1"/>
  <c r="AB12"/>
  <c r="AF13"/>
  <c r="Z11"/>
  <c r="AA11"/>
  <c r="AC11" s="1"/>
  <c r="M12" i="14"/>
  <c r="H3" i="19"/>
  <c r="J15" i="31"/>
  <c r="A8" i="26"/>
  <c r="I38" i="1"/>
  <c r="J38"/>
  <c r="G38"/>
  <c r="G32"/>
  <c r="J32"/>
  <c r="I32"/>
  <c r="I31"/>
  <c r="G31"/>
  <c r="J31"/>
  <c r="B30"/>
  <c r="C30"/>
  <c r="E30" s="1"/>
  <c r="D29" i="21" s="1"/>
  <c r="C29"/>
  <c r="B37" i="1"/>
  <c r="H37" s="1"/>
  <c r="C37"/>
  <c r="E37" s="1"/>
  <c r="D36" i="21" s="1"/>
  <c r="C36"/>
  <c r="C2"/>
  <c r="C20"/>
  <c r="C28"/>
  <c r="C30"/>
  <c r="C33"/>
  <c r="C35"/>
  <c r="C34"/>
  <c r="C41"/>
  <c r="T4" i="25"/>
  <c r="S4"/>
  <c r="B7"/>
  <c r="B6"/>
  <c r="S3"/>
  <c r="S2"/>
  <c r="S1"/>
  <c r="AA12" i="9" l="1"/>
  <c r="AC12" s="1"/>
  <c r="Z12"/>
  <c r="AF14"/>
  <c r="AB13"/>
  <c r="J16" i="31"/>
  <c r="C42" i="21"/>
  <c r="A9" i="26"/>
  <c r="H30" i="1"/>
  <c r="I30"/>
  <c r="G30"/>
  <c r="J30"/>
  <c r="I37"/>
  <c r="G37"/>
  <c r="J37"/>
  <c r="C7" i="21"/>
  <c r="D7"/>
  <c r="H2" i="1"/>
  <c r="B3"/>
  <c r="B4"/>
  <c r="H4" s="1"/>
  <c r="B5"/>
  <c r="H5" s="1"/>
  <c r="B6"/>
  <c r="B7"/>
  <c r="H7" s="1"/>
  <c r="B22"/>
  <c r="B23"/>
  <c r="B28"/>
  <c r="H28" s="1"/>
  <c r="B29"/>
  <c r="H29" s="1"/>
  <c r="B34"/>
  <c r="H34" s="1"/>
  <c r="B35"/>
  <c r="B36"/>
  <c r="H36" s="1"/>
  <c r="B39"/>
  <c r="H39" s="1"/>
  <c r="B40"/>
  <c r="B41"/>
  <c r="B42"/>
  <c r="H42" s="1"/>
  <c r="B43"/>
  <c r="H43" s="1"/>
  <c r="B44"/>
  <c r="H44" s="1"/>
  <c r="B45"/>
  <c r="H45" s="1"/>
  <c r="C2"/>
  <c r="E2" s="1"/>
  <c r="D2" i="21" s="1"/>
  <c r="C3"/>
  <c r="C4"/>
  <c r="C5"/>
  <c r="C6"/>
  <c r="C9"/>
  <c r="C23"/>
  <c r="C24"/>
  <c r="C25"/>
  <c r="C37"/>
  <c r="C39"/>
  <c r="C26"/>
  <c r="C40"/>
  <c r="C27"/>
  <c r="C4" i="1"/>
  <c r="E4" s="1"/>
  <c r="G4" s="1"/>
  <c r="C5"/>
  <c r="E5" s="1"/>
  <c r="C6"/>
  <c r="E6" s="1"/>
  <c r="C3"/>
  <c r="E3" s="1"/>
  <c r="C45"/>
  <c r="E45" s="1"/>
  <c r="C44"/>
  <c r="E44" s="1"/>
  <c r="G44" s="1"/>
  <c r="C7"/>
  <c r="E7" s="1"/>
  <c r="C22"/>
  <c r="E22" s="1"/>
  <c r="D20" i="21" s="1"/>
  <c r="C23" i="1"/>
  <c r="E23" s="1"/>
  <c r="C28"/>
  <c r="E28" s="1"/>
  <c r="D28" i="21" s="1"/>
  <c r="C29" i="1"/>
  <c r="E29" s="1"/>
  <c r="C34"/>
  <c r="E34" s="1"/>
  <c r="D33" i="21" s="1"/>
  <c r="C35" i="1"/>
  <c r="E35" s="1"/>
  <c r="D35" i="21" s="1"/>
  <c r="C36" i="1"/>
  <c r="E36" s="1"/>
  <c r="D34" i="21" s="1"/>
  <c r="C39" i="1"/>
  <c r="E39" s="1"/>
  <c r="C40"/>
  <c r="E40" s="1"/>
  <c r="C41"/>
  <c r="E41" s="1"/>
  <c r="C42"/>
  <c r="E42" s="1"/>
  <c r="C43"/>
  <c r="E43" s="1"/>
  <c r="D26" i="21"/>
  <c r="D27"/>
  <c r="AF15" i="9" l="1"/>
  <c r="AB14"/>
  <c r="Z13"/>
  <c r="AA13"/>
  <c r="AC13" s="1"/>
  <c r="D25" i="21"/>
  <c r="D38"/>
  <c r="H3" i="1"/>
  <c r="E2" i="26"/>
  <c r="E7"/>
  <c r="F7" s="1"/>
  <c r="E9"/>
  <c r="E4"/>
  <c r="E6"/>
  <c r="E11"/>
  <c r="E3"/>
  <c r="E10"/>
  <c r="E8"/>
  <c r="F8" s="1"/>
  <c r="E5"/>
  <c r="G29" i="1"/>
  <c r="D30" i="21"/>
  <c r="J17" i="31"/>
  <c r="G41" i="1"/>
  <c r="G43"/>
  <c r="A10" i="26"/>
  <c r="G35" i="1"/>
  <c r="H6"/>
  <c r="G28"/>
  <c r="D41" i="21"/>
  <c r="G40" i="1"/>
  <c r="D42" i="21"/>
  <c r="G36" i="1"/>
  <c r="D24" i="21"/>
  <c r="D40"/>
  <c r="G22" i="1"/>
  <c r="G7"/>
  <c r="D6" i="21"/>
  <c r="G23" i="1"/>
  <c r="D9" i="21"/>
  <c r="G6" i="1"/>
  <c r="D5" i="21"/>
  <c r="D39"/>
  <c r="G34" i="1"/>
  <c r="D23" i="21"/>
  <c r="E1" i="25" s="1"/>
  <c r="G3" i="1"/>
  <c r="D3" i="21"/>
  <c r="G42" i="1"/>
  <c r="D37" i="21"/>
  <c r="G5" i="1"/>
  <c r="D4" i="21"/>
  <c r="H22" i="1"/>
  <c r="H35"/>
  <c r="H40"/>
  <c r="H41"/>
  <c r="H23"/>
  <c r="J2"/>
  <c r="I2"/>
  <c r="G2"/>
  <c r="G45"/>
  <c r="G39"/>
  <c r="I22"/>
  <c r="I6"/>
  <c r="J6"/>
  <c r="I4"/>
  <c r="J4"/>
  <c r="J5"/>
  <c r="I5"/>
  <c r="J3"/>
  <c r="I3"/>
  <c r="I44"/>
  <c r="I39"/>
  <c r="I7"/>
  <c r="I40"/>
  <c r="J41"/>
  <c r="I41"/>
  <c r="J23"/>
  <c r="I23"/>
  <c r="J42"/>
  <c r="I42"/>
  <c r="J28"/>
  <c r="I28"/>
  <c r="I45"/>
  <c r="J45"/>
  <c r="I43"/>
  <c r="J43"/>
  <c r="J29"/>
  <c r="I29"/>
  <c r="I34"/>
  <c r="J34"/>
  <c r="I35"/>
  <c r="J44"/>
  <c r="J39"/>
  <c r="J7"/>
  <c r="J35"/>
  <c r="J36"/>
  <c r="I36"/>
  <c r="J40"/>
  <c r="J22"/>
  <c r="AF16" i="9" l="1"/>
  <c r="AB15"/>
  <c r="Z14"/>
  <c r="AA14"/>
  <c r="AC14" s="1"/>
  <c r="F5" i="26"/>
  <c r="G5" s="1"/>
  <c r="H5" s="1"/>
  <c r="F4"/>
  <c r="G4" s="1"/>
  <c r="H4" s="1"/>
  <c r="F6"/>
  <c r="G6" s="1"/>
  <c r="H6" s="1"/>
  <c r="F3"/>
  <c r="G3" s="1"/>
  <c r="H3" s="1"/>
  <c r="F2"/>
  <c r="G2" s="1"/>
  <c r="H2" s="1"/>
  <c r="G7"/>
  <c r="H7" s="1"/>
  <c r="G8"/>
  <c r="H8" s="1"/>
  <c r="J18" i="31"/>
  <c r="F9" i="26"/>
  <c r="A11"/>
  <c r="B8" i="25"/>
  <c r="AF17" i="9" l="1"/>
  <c r="AB16"/>
  <c r="Z15"/>
  <c r="AA15"/>
  <c r="AC15" s="1"/>
  <c r="G9" i="26"/>
  <c r="H9" s="1"/>
  <c r="J19" i="31"/>
  <c r="F10" i="26"/>
  <c r="AF18" i="9" l="1"/>
  <c r="AB17"/>
  <c r="Z16"/>
  <c r="AA16"/>
  <c r="AC16" s="1"/>
  <c r="G10" i="26"/>
  <c r="H10" s="1"/>
  <c r="J20" i="31"/>
  <c r="F11" i="26"/>
  <c r="AF19" i="9" l="1"/>
  <c r="AB18"/>
  <c r="AA17"/>
  <c r="AC17" s="1"/>
  <c r="Z17"/>
  <c r="G11" i="26"/>
  <c r="H11" s="1"/>
  <c r="J21" i="31"/>
  <c r="AF20" i="9" l="1"/>
  <c r="AB20" s="1"/>
  <c r="AB19"/>
  <c r="Z18"/>
  <c r="AA18"/>
  <c r="AC18" s="1"/>
  <c r="J22" i="31"/>
  <c r="AA20" i="9" l="1"/>
  <c r="AC20" s="1"/>
  <c r="Z20"/>
  <c r="AA19"/>
  <c r="AC19" s="1"/>
  <c r="Z19"/>
  <c r="J23" i="31"/>
  <c r="J24" l="1"/>
  <c r="J25" l="1"/>
  <c r="J26" l="1"/>
  <c r="J27" l="1"/>
  <c r="J28" l="1"/>
  <c r="J29" l="1"/>
  <c r="J30" l="1"/>
  <c r="J31" l="1"/>
  <c r="E2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O5" i="25"/>
  <c r="I5"/>
  <c r="E5" i="31"/>
  <c r="F5" i="25"/>
  <c r="G5"/>
  <c r="Q5"/>
  <c r="D5"/>
  <c r="C5"/>
  <c r="P5"/>
  <c r="L5"/>
  <c r="J5"/>
  <c r="E5"/>
  <c r="N5"/>
  <c r="H5"/>
  <c r="K5"/>
  <c r="B9"/>
  <c r="M5"/>
  <c r="K2" i="31" l="1"/>
  <c r="L2" s="1"/>
  <c r="M2" s="1"/>
  <c r="K5"/>
  <c r="K12"/>
  <c r="K10"/>
  <c r="K8"/>
  <c r="K16"/>
  <c r="K3"/>
  <c r="K4"/>
  <c r="K14"/>
  <c r="K13"/>
  <c r="K7"/>
  <c r="K6"/>
  <c r="K15"/>
  <c r="K17"/>
  <c r="K9"/>
  <c r="K11"/>
  <c r="R9" i="25"/>
  <c r="K18" i="3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J62"/>
  <c r="N9" i="25"/>
  <c r="M9"/>
  <c r="P9"/>
  <c r="L9"/>
  <c r="O9"/>
  <c r="Q9"/>
  <c r="K9"/>
  <c r="J9"/>
  <c r="I9"/>
  <c r="H9"/>
  <c r="E9"/>
  <c r="B10"/>
  <c r="D9"/>
  <c r="G9"/>
  <c r="P2" i="31"/>
  <c r="L13" l="1"/>
  <c r="M13" s="1"/>
  <c r="L5"/>
  <c r="M5" s="1"/>
  <c r="L3"/>
  <c r="M3" s="1"/>
  <c r="L4"/>
  <c r="M4" s="1"/>
  <c r="L12"/>
  <c r="M12" s="1"/>
  <c r="L14"/>
  <c r="M14" s="1"/>
  <c r="L7"/>
  <c r="M7" s="1"/>
  <c r="L10"/>
  <c r="M10" s="1"/>
  <c r="L8"/>
  <c r="M8" s="1"/>
  <c r="L17"/>
  <c r="M17" s="1"/>
  <c r="L16"/>
  <c r="M16" s="1"/>
  <c r="L6"/>
  <c r="M6" s="1"/>
  <c r="L9"/>
  <c r="M9" s="1"/>
  <c r="L15"/>
  <c r="M15" s="1"/>
  <c r="L11"/>
  <c r="M11" s="1"/>
  <c r="R10" i="25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L10" i="25"/>
  <c r="Q10"/>
  <c r="N10"/>
  <c r="M10"/>
  <c r="O10"/>
  <c r="P10"/>
  <c r="K10"/>
  <c r="J10"/>
  <c r="I10"/>
  <c r="H10"/>
  <c r="N3" i="31"/>
  <c r="P11"/>
  <c r="N10"/>
  <c r="N7"/>
  <c r="P10"/>
  <c r="N14"/>
  <c r="P57"/>
  <c r="N28"/>
  <c r="N9"/>
  <c r="N2"/>
  <c r="P33"/>
  <c r="N15"/>
  <c r="P31"/>
  <c r="P20"/>
  <c r="N5"/>
  <c r="N12"/>
  <c r="P13"/>
  <c r="P50"/>
  <c r="P3"/>
  <c r="N11"/>
  <c r="D10" i="25"/>
  <c r="P19" i="31"/>
  <c r="N45"/>
  <c r="P16"/>
  <c r="P7"/>
  <c r="N52"/>
  <c r="P53"/>
  <c r="P47"/>
  <c r="N6"/>
  <c r="N17"/>
  <c r="N48"/>
  <c r="P5"/>
  <c r="P12"/>
  <c r="P51"/>
  <c r="N42"/>
  <c r="N16"/>
  <c r="E10" i="25"/>
  <c r="C10"/>
  <c r="P38" i="31"/>
  <c r="N39"/>
  <c r="P14"/>
  <c r="B11" i="25"/>
  <c r="N37" i="31"/>
  <c r="G10" i="25"/>
  <c r="N56" i="31"/>
  <c r="N29"/>
  <c r="N59"/>
  <c r="P9"/>
  <c r="N23"/>
  <c r="P54"/>
  <c r="P18"/>
  <c r="P40"/>
  <c r="P22"/>
  <c r="P36"/>
  <c r="P15"/>
  <c r="P27"/>
  <c r="N34"/>
  <c r="N35"/>
  <c r="P6"/>
  <c r="N21"/>
  <c r="N46"/>
  <c r="N13"/>
  <c r="P58"/>
  <c r="N60"/>
  <c r="P4"/>
  <c r="N55"/>
  <c r="N26"/>
  <c r="N8"/>
  <c r="N32"/>
  <c r="N30"/>
  <c r="P43"/>
  <c r="P25"/>
  <c r="P24"/>
  <c r="N61"/>
  <c r="P49"/>
  <c r="P17"/>
  <c r="P41"/>
  <c r="P44"/>
  <c r="O13" l="1"/>
  <c r="O5"/>
  <c r="O3"/>
  <c r="O9"/>
  <c r="O12"/>
  <c r="O10"/>
  <c r="O8"/>
  <c r="O17"/>
  <c r="O15"/>
  <c r="O11"/>
  <c r="O16"/>
  <c r="O6"/>
  <c r="O14"/>
  <c r="O7"/>
  <c r="O2"/>
  <c r="R11" i="25"/>
  <c r="O21" i="31"/>
  <c r="O42"/>
  <c r="O55"/>
  <c r="O52"/>
  <c r="O34"/>
  <c r="O56"/>
  <c r="O48"/>
  <c r="O45"/>
  <c r="O35"/>
  <c r="O23"/>
  <c r="O26"/>
  <c r="O32"/>
  <c r="O37"/>
  <c r="O39"/>
  <c r="O59"/>
  <c r="O29"/>
  <c r="O60"/>
  <c r="O30"/>
  <c r="O46"/>
  <c r="O28"/>
  <c r="O61"/>
  <c r="M62"/>
  <c r="K63"/>
  <c r="L63" s="1"/>
  <c r="J64"/>
  <c r="L11" i="25"/>
  <c r="O11"/>
  <c r="P11"/>
  <c r="Q11"/>
  <c r="M11"/>
  <c r="N11"/>
  <c r="J11"/>
  <c r="K11"/>
  <c r="I11"/>
  <c r="H11"/>
  <c r="N50" i="31"/>
  <c r="P37"/>
  <c r="P60"/>
  <c r="N25"/>
  <c r="N58"/>
  <c r="P46"/>
  <c r="N53"/>
  <c r="P34"/>
  <c r="P42"/>
  <c r="P26"/>
  <c r="N54"/>
  <c r="P52"/>
  <c r="N18"/>
  <c r="P32"/>
  <c r="N36"/>
  <c r="P29"/>
  <c r="C11" i="25"/>
  <c r="P28" i="31"/>
  <c r="P45"/>
  <c r="N57"/>
  <c r="N49"/>
  <c r="N62"/>
  <c r="D11" i="25"/>
  <c r="N47" i="31"/>
  <c r="N31"/>
  <c r="N51"/>
  <c r="N38"/>
  <c r="B12" i="25"/>
  <c r="P55" i="31"/>
  <c r="N43"/>
  <c r="P35"/>
  <c r="N40"/>
  <c r="N24"/>
  <c r="P39"/>
  <c r="P23"/>
  <c r="N27"/>
  <c r="P61"/>
  <c r="N44"/>
  <c r="P59"/>
  <c r="P56"/>
  <c r="P21"/>
  <c r="N41"/>
  <c r="N19"/>
  <c r="N22"/>
  <c r="P48"/>
  <c r="N33"/>
  <c r="N4"/>
  <c r="E11" i="25"/>
  <c r="N20" i="31"/>
  <c r="P8"/>
  <c r="P30"/>
  <c r="O4" l="1"/>
  <c r="P16" i="27" s="1"/>
  <c r="P17"/>
  <c r="O19"/>
  <c r="O19" i="31"/>
  <c r="O18"/>
  <c r="O27"/>
  <c r="O31"/>
  <c r="O50"/>
  <c r="O25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O62"/>
  <c r="M63"/>
  <c r="K64"/>
  <c r="L64" s="1"/>
  <c r="J65"/>
  <c r="Q12" i="25"/>
  <c r="O12"/>
  <c r="M12"/>
  <c r="P12"/>
  <c r="L12"/>
  <c r="N12"/>
  <c r="J12"/>
  <c r="K12"/>
  <c r="H12"/>
  <c r="I12"/>
  <c r="D12"/>
  <c r="E12"/>
  <c r="B13"/>
  <c r="C12"/>
  <c r="P62" i="31"/>
  <c r="N63"/>
  <c r="O10" i="27" l="1"/>
  <c r="P26"/>
  <c r="O8"/>
  <c r="P13"/>
  <c r="P27"/>
  <c r="P15"/>
  <c r="P14"/>
  <c r="O31"/>
  <c r="O6"/>
  <c r="P21"/>
  <c r="O5"/>
  <c r="P20"/>
  <c r="O9"/>
  <c r="O7"/>
  <c r="O4"/>
  <c r="O12"/>
  <c r="P30"/>
  <c r="P22"/>
  <c r="O29"/>
  <c r="O3"/>
  <c r="O11"/>
  <c r="P31"/>
  <c r="P29"/>
  <c r="P25"/>
  <c r="P23"/>
  <c r="P18"/>
  <c r="P19"/>
  <c r="O30"/>
  <c r="O28"/>
  <c r="O27"/>
  <c r="O26"/>
  <c r="O25"/>
  <c r="O24"/>
  <c r="O23"/>
  <c r="O22"/>
  <c r="O21"/>
  <c r="O20"/>
  <c r="O18"/>
  <c r="O17"/>
  <c r="O16"/>
  <c r="O15"/>
  <c r="O14"/>
  <c r="O13"/>
  <c r="R13" i="25"/>
  <c r="O63" i="31"/>
  <c r="M64"/>
  <c r="K65"/>
  <c r="L65" s="1"/>
  <c r="J66"/>
  <c r="N13" i="25"/>
  <c r="L13"/>
  <c r="M13"/>
  <c r="O13"/>
  <c r="P13"/>
  <c r="Q13"/>
  <c r="K13"/>
  <c r="J13"/>
  <c r="H13"/>
  <c r="I13"/>
  <c r="E13"/>
  <c r="B14"/>
  <c r="P63" i="31"/>
  <c r="D13" i="25"/>
  <c r="C13"/>
  <c r="P64" i="31"/>
  <c r="R14" i="25" l="1"/>
  <c r="M65" i="31"/>
  <c r="K66"/>
  <c r="L66" s="1"/>
  <c r="J67"/>
  <c r="Q14" i="25"/>
  <c r="M14"/>
  <c r="P14"/>
  <c r="O14"/>
  <c r="N14"/>
  <c r="L14"/>
  <c r="J14"/>
  <c r="K14"/>
  <c r="H14"/>
  <c r="I14"/>
  <c r="N64" i="31"/>
  <c r="D14" i="25"/>
  <c r="E14"/>
  <c r="B15"/>
  <c r="C14"/>
  <c r="N65" i="31"/>
  <c r="R15" i="25" l="1"/>
  <c r="O64" i="31"/>
  <c r="O65"/>
  <c r="M66"/>
  <c r="K67"/>
  <c r="L67" s="1"/>
  <c r="J68"/>
  <c r="L15" i="25"/>
  <c r="O15"/>
  <c r="P15"/>
  <c r="N15"/>
  <c r="Q15"/>
  <c r="M15"/>
  <c r="K15"/>
  <c r="J15"/>
  <c r="I15"/>
  <c r="H15"/>
  <c r="E15"/>
  <c r="D15"/>
  <c r="P65" i="31"/>
  <c r="B16" i="25"/>
  <c r="C15"/>
  <c r="N66" i="31"/>
  <c r="R16" i="25" l="1"/>
  <c r="O66" i="31"/>
  <c r="M67"/>
  <c r="K68"/>
  <c r="L68" s="1"/>
  <c r="J69"/>
  <c r="Q16" i="25"/>
  <c r="P16"/>
  <c r="O16"/>
  <c r="M16"/>
  <c r="L16"/>
  <c r="N16"/>
  <c r="J16"/>
  <c r="K16"/>
  <c r="I16"/>
  <c r="H16"/>
  <c r="C16"/>
  <c r="B17"/>
  <c r="G16"/>
  <c r="D16"/>
  <c r="N67" i="31"/>
  <c r="E16" i="25"/>
  <c r="P66" i="31"/>
  <c r="R17" i="25" l="1"/>
  <c r="O67" i="31"/>
  <c r="M68"/>
  <c r="K69"/>
  <c r="L69" s="1"/>
  <c r="J70"/>
  <c r="Q17" i="25"/>
  <c r="P17"/>
  <c r="L17"/>
  <c r="N17"/>
  <c r="M17"/>
  <c r="O17"/>
  <c r="K17"/>
  <c r="J17"/>
  <c r="H17"/>
  <c r="I17"/>
  <c r="P67" i="31"/>
  <c r="C17" i="25"/>
  <c r="E17"/>
  <c r="B18"/>
  <c r="D17"/>
  <c r="N68" i="31"/>
  <c r="R18" i="25" l="1"/>
  <c r="O68" i="31"/>
  <c r="M69"/>
  <c r="K70"/>
  <c r="L70" s="1"/>
  <c r="J71"/>
  <c r="P18" i="25"/>
  <c r="O18"/>
  <c r="Q18"/>
  <c r="M18"/>
  <c r="N18"/>
  <c r="L18"/>
  <c r="J18"/>
  <c r="K18"/>
  <c r="H18"/>
  <c r="I18"/>
  <c r="B19"/>
  <c r="G18"/>
  <c r="D18"/>
  <c r="E18"/>
  <c r="N69" i="31"/>
  <c r="C18" i="25"/>
  <c r="P68" i="31"/>
  <c r="R19" i="25" l="1"/>
  <c r="O69" i="31"/>
  <c r="M70"/>
  <c r="K71"/>
  <c r="L71" s="1"/>
  <c r="J72"/>
  <c r="N19" i="25"/>
  <c r="L19"/>
  <c r="P19"/>
  <c r="M19"/>
  <c r="O19"/>
  <c r="Q19"/>
  <c r="J19"/>
  <c r="K19"/>
  <c r="I19"/>
  <c r="H19"/>
  <c r="D19"/>
  <c r="B20"/>
  <c r="C19"/>
  <c r="P69" i="31"/>
  <c r="E19" i="25"/>
  <c r="N70" i="31"/>
  <c r="R20" i="25" l="1"/>
  <c r="O70" i="31"/>
  <c r="M71"/>
  <c r="K72"/>
  <c r="L72" s="1"/>
  <c r="J73"/>
  <c r="J20" i="25"/>
  <c r="M20"/>
  <c r="O20"/>
  <c r="Q20"/>
  <c r="L20"/>
  <c r="P20"/>
  <c r="K20"/>
  <c r="N20"/>
  <c r="H20"/>
  <c r="I20"/>
  <c r="C20"/>
  <c r="B21"/>
  <c r="E20"/>
  <c r="D20"/>
  <c r="G20"/>
  <c r="N71" i="31"/>
  <c r="P70"/>
  <c r="R21" i="25" l="1"/>
  <c r="O71" i="31"/>
  <c r="M72"/>
  <c r="K73"/>
  <c r="L73" s="1"/>
  <c r="J74"/>
  <c r="K21" i="25"/>
  <c r="O21"/>
  <c r="J21"/>
  <c r="Q21"/>
  <c r="N21"/>
  <c r="M21"/>
  <c r="L21"/>
  <c r="P21"/>
  <c r="H21"/>
  <c r="I21"/>
  <c r="P71" i="31"/>
  <c r="D21" i="25"/>
  <c r="C21"/>
  <c r="E21"/>
  <c r="B22"/>
  <c r="N72" i="31"/>
  <c r="R22" i="25" l="1"/>
  <c r="O72" i="31"/>
  <c r="M73"/>
  <c r="K74"/>
  <c r="L74" s="1"/>
  <c r="J75"/>
  <c r="N22" i="25"/>
  <c r="K22"/>
  <c r="J22"/>
  <c r="M22"/>
  <c r="O22"/>
  <c r="P22"/>
  <c r="L22"/>
  <c r="Q22"/>
  <c r="I22"/>
  <c r="H22"/>
  <c r="E22"/>
  <c r="B23"/>
  <c r="D22"/>
  <c r="C22"/>
  <c r="G22"/>
  <c r="N73" i="31"/>
  <c r="P72"/>
  <c r="R23" i="25" l="1"/>
  <c r="O73" i="31"/>
  <c r="M74"/>
  <c r="K75"/>
  <c r="L75" s="1"/>
  <c r="J76"/>
  <c r="J23" i="25"/>
  <c r="O23"/>
  <c r="N23"/>
  <c r="M23"/>
  <c r="P23"/>
  <c r="Q23"/>
  <c r="L23"/>
  <c r="K23"/>
  <c r="H23"/>
  <c r="I23"/>
  <c r="P73" i="31"/>
  <c r="E23" i="25"/>
  <c r="D23"/>
  <c r="B24"/>
  <c r="C23"/>
  <c r="N74" i="31"/>
  <c r="R24" i="25" l="1"/>
  <c r="O74" i="31"/>
  <c r="M75"/>
  <c r="K76"/>
  <c r="L76" s="1"/>
  <c r="J77"/>
  <c r="K24" i="25"/>
  <c r="O24"/>
  <c r="J24"/>
  <c r="M24"/>
  <c r="Q24"/>
  <c r="L24"/>
  <c r="N24"/>
  <c r="P24"/>
  <c r="I24"/>
  <c r="H24"/>
  <c r="P74" i="31"/>
  <c r="E24" i="25"/>
  <c r="D24"/>
  <c r="B25"/>
  <c r="C24"/>
  <c r="N75" i="31"/>
  <c r="R25" i="25" l="1"/>
  <c r="O75" i="31"/>
  <c r="M76"/>
  <c r="K77"/>
  <c r="L77" s="1"/>
  <c r="J78"/>
  <c r="Q25" i="25"/>
  <c r="M25"/>
  <c r="L25"/>
  <c r="J25"/>
  <c r="P25"/>
  <c r="K25"/>
  <c r="O25"/>
  <c r="N25"/>
  <c r="I25"/>
  <c r="H25"/>
  <c r="P75" i="31"/>
  <c r="B26" i="25"/>
  <c r="D25"/>
  <c r="C25"/>
  <c r="E25"/>
  <c r="G25"/>
  <c r="N76" i="31"/>
  <c r="R26" i="25" l="1"/>
  <c r="O76" i="31"/>
  <c r="M77"/>
  <c r="K78"/>
  <c r="L78" s="1"/>
  <c r="J79"/>
  <c r="Q26" i="25"/>
  <c r="K26"/>
  <c r="O26"/>
  <c r="J26"/>
  <c r="N26"/>
  <c r="M26"/>
  <c r="L26"/>
  <c r="P26"/>
  <c r="H26"/>
  <c r="I26"/>
  <c r="P76" i="31"/>
  <c r="D26" i="25"/>
  <c r="E26"/>
  <c r="C26"/>
  <c r="B27"/>
  <c r="N77" i="31"/>
  <c r="R27" i="25" l="1"/>
  <c r="O77" i="31"/>
  <c r="M78"/>
  <c r="K79"/>
  <c r="L79" s="1"/>
  <c r="J80"/>
  <c r="Q27" i="25"/>
  <c r="N27"/>
  <c r="M27"/>
  <c r="L27"/>
  <c r="P27"/>
  <c r="K27"/>
  <c r="O27"/>
  <c r="J27"/>
  <c r="I27"/>
  <c r="H27"/>
  <c r="D27"/>
  <c r="B28"/>
  <c r="P77" i="31"/>
  <c r="C27" i="25"/>
  <c r="E27"/>
  <c r="N78" i="31"/>
  <c r="R28" i="25" l="1"/>
  <c r="O78" i="31"/>
  <c r="M79"/>
  <c r="K80"/>
  <c r="L80" s="1"/>
  <c r="J81"/>
  <c r="M28" i="25"/>
  <c r="J28"/>
  <c r="O28"/>
  <c r="L28"/>
  <c r="Q28"/>
  <c r="N28"/>
  <c r="P28"/>
  <c r="K28"/>
  <c r="I28"/>
  <c r="H28"/>
  <c r="P78" i="31"/>
  <c r="B29" i="25"/>
  <c r="C28"/>
  <c r="E28"/>
  <c r="D28"/>
  <c r="N79" i="31"/>
  <c r="R29" i="25" l="1"/>
  <c r="O79" i="31"/>
  <c r="M80"/>
  <c r="K81"/>
  <c r="L81" s="1"/>
  <c r="J82"/>
  <c r="O29" i="25"/>
  <c r="P29"/>
  <c r="J29"/>
  <c r="L29"/>
  <c r="N29"/>
  <c r="Q29"/>
  <c r="K29"/>
  <c r="M29"/>
  <c r="H29"/>
  <c r="I29"/>
  <c r="P79" i="31"/>
  <c r="E29" i="25"/>
  <c r="C29"/>
  <c r="B30"/>
  <c r="D29"/>
  <c r="N80" i="31"/>
  <c r="R30" i="25" l="1"/>
  <c r="O80" i="31"/>
  <c r="M81"/>
  <c r="K82"/>
  <c r="L82" s="1"/>
  <c r="J83"/>
  <c r="L30" i="25"/>
  <c r="N30"/>
  <c r="O30"/>
  <c r="J30"/>
  <c r="M30"/>
  <c r="Q30"/>
  <c r="K30"/>
  <c r="P30"/>
  <c r="I30"/>
  <c r="H30"/>
  <c r="B31"/>
  <c r="D30"/>
  <c r="C30"/>
  <c r="P80" i="31"/>
  <c r="E30" i="25"/>
  <c r="N81" i="31"/>
  <c r="R31" i="25" l="1"/>
  <c r="O81" i="31"/>
  <c r="M82"/>
  <c r="K83"/>
  <c r="L83" s="1"/>
  <c r="J84"/>
  <c r="K31" i="25"/>
  <c r="N31"/>
  <c r="J31"/>
  <c r="P31"/>
  <c r="M31"/>
  <c r="O31"/>
  <c r="L31"/>
  <c r="Q31"/>
  <c r="H31"/>
  <c r="I31"/>
  <c r="E31"/>
  <c r="B32"/>
  <c r="P81" i="31"/>
  <c r="D31" i="25"/>
  <c r="C31"/>
  <c r="N82" i="31"/>
  <c r="R32" i="25" l="1"/>
  <c r="O82" i="31"/>
  <c r="M83"/>
  <c r="K84"/>
  <c r="L84" s="1"/>
  <c r="J85"/>
  <c r="N32" i="25"/>
  <c r="O32"/>
  <c r="Q32"/>
  <c r="J32"/>
  <c r="L32"/>
  <c r="K32"/>
  <c r="P32"/>
  <c r="M32"/>
  <c r="I32"/>
  <c r="H32"/>
  <c r="P82" i="31"/>
  <c r="B33" i="25"/>
  <c r="C32"/>
  <c r="E32"/>
  <c r="D32"/>
  <c r="N83" i="31"/>
  <c r="R33" i="25" l="1"/>
  <c r="O83" i="31"/>
  <c r="M84"/>
  <c r="K85"/>
  <c r="L85" s="1"/>
  <c r="J86"/>
  <c r="O33" i="25"/>
  <c r="L33"/>
  <c r="M33"/>
  <c r="J33"/>
  <c r="Q33"/>
  <c r="P33"/>
  <c r="N33"/>
  <c r="K33"/>
  <c r="H33"/>
  <c r="I33"/>
  <c r="P83" i="31"/>
  <c r="D33" i="25"/>
  <c r="B34"/>
  <c r="C33"/>
  <c r="E33"/>
  <c r="N84" i="31"/>
  <c r="R34" i="25" l="1"/>
  <c r="O84" i="31"/>
  <c r="M85"/>
  <c r="K86"/>
  <c r="L86" s="1"/>
  <c r="J87"/>
  <c r="K34" i="25"/>
  <c r="J34"/>
  <c r="Q34"/>
  <c r="M34"/>
  <c r="P34"/>
  <c r="N34"/>
  <c r="L34"/>
  <c r="O34"/>
  <c r="H34"/>
  <c r="I34"/>
  <c r="P84" i="31"/>
  <c r="D34" i="25"/>
  <c r="E34"/>
  <c r="C34"/>
  <c r="B35"/>
  <c r="N85" i="31"/>
  <c r="R35" i="25" l="1"/>
  <c r="O85" i="31"/>
  <c r="M86"/>
  <c r="K87"/>
  <c r="L87" s="1"/>
  <c r="J88"/>
  <c r="P35" i="25"/>
  <c r="K35"/>
  <c r="J35"/>
  <c r="O35"/>
  <c r="M35"/>
  <c r="L35"/>
  <c r="Q35"/>
  <c r="N35"/>
  <c r="I35"/>
  <c r="H35"/>
  <c r="P85" i="31"/>
  <c r="D35" i="25"/>
  <c r="B36"/>
  <c r="C35"/>
  <c r="E35"/>
  <c r="N86" i="31"/>
  <c r="R36" i="25" l="1"/>
  <c r="O86" i="31"/>
  <c r="M87"/>
  <c r="K88"/>
  <c r="L88" s="1"/>
  <c r="J89"/>
  <c r="J36" i="25"/>
  <c r="O36"/>
  <c r="M36"/>
  <c r="K36"/>
  <c r="N36"/>
  <c r="P36"/>
  <c r="Q36"/>
  <c r="L36"/>
  <c r="H36"/>
  <c r="I36"/>
  <c r="P86" i="31"/>
  <c r="D36" i="25"/>
  <c r="B37"/>
  <c r="C36"/>
  <c r="E36"/>
  <c r="N87" i="31"/>
  <c r="R37" i="25" l="1"/>
  <c r="O87" i="31"/>
  <c r="M88"/>
  <c r="K89"/>
  <c r="L89" s="1"/>
  <c r="J90"/>
  <c r="O37" i="25"/>
  <c r="Q37"/>
  <c r="L37"/>
  <c r="J37"/>
  <c r="P37"/>
  <c r="K37"/>
  <c r="N37"/>
  <c r="M37"/>
  <c r="H37"/>
  <c r="I37"/>
  <c r="P87" i="31"/>
  <c r="C37" i="25"/>
  <c r="D37"/>
  <c r="B38"/>
  <c r="E37"/>
  <c r="N88" i="31"/>
  <c r="R38" i="25" l="1"/>
  <c r="O88" i="31"/>
  <c r="M89"/>
  <c r="K90"/>
  <c r="L90" s="1"/>
  <c r="J91"/>
  <c r="Q38" i="25"/>
  <c r="P38"/>
  <c r="N38"/>
  <c r="J38"/>
  <c r="K38"/>
  <c r="M38"/>
  <c r="O38"/>
  <c r="L38"/>
  <c r="D38"/>
  <c r="C38"/>
  <c r="H38"/>
  <c r="B39"/>
  <c r="I38"/>
  <c r="E38"/>
  <c r="N89" i="31"/>
  <c r="P88"/>
  <c r="R39" i="25" l="1"/>
  <c r="O89" i="31"/>
  <c r="M90"/>
  <c r="K91"/>
  <c r="L91" s="1"/>
  <c r="J92"/>
  <c r="N39" i="25"/>
  <c r="P39"/>
  <c r="Q39"/>
  <c r="M39"/>
  <c r="O39"/>
  <c r="J39"/>
  <c r="L39"/>
  <c r="K39"/>
  <c r="E39"/>
  <c r="H39"/>
  <c r="D39"/>
  <c r="C39"/>
  <c r="B40"/>
  <c r="I39"/>
  <c r="P89" i="31"/>
  <c r="N90"/>
  <c r="R40" i="25" l="1"/>
  <c r="O90" i="31"/>
  <c r="M91"/>
  <c r="K92"/>
  <c r="L92" s="1"/>
  <c r="J93"/>
  <c r="L40" i="25"/>
  <c r="O40"/>
  <c r="K40"/>
  <c r="P40"/>
  <c r="N40"/>
  <c r="J40"/>
  <c r="M40"/>
  <c r="Q40"/>
  <c r="E40"/>
  <c r="H40"/>
  <c r="D40"/>
  <c r="I40"/>
  <c r="B41"/>
  <c r="C40"/>
  <c r="N91" i="31"/>
  <c r="P90"/>
  <c r="R41" i="25" l="1"/>
  <c r="O91" i="31"/>
  <c r="M92"/>
  <c r="K93"/>
  <c r="L93" s="1"/>
  <c r="J94"/>
  <c r="J41" i="25"/>
  <c r="L41"/>
  <c r="O41"/>
  <c r="M41"/>
  <c r="N41"/>
  <c r="K41"/>
  <c r="P41"/>
  <c r="Q41"/>
  <c r="B42"/>
  <c r="E41"/>
  <c r="H41"/>
  <c r="C41"/>
  <c r="I41"/>
  <c r="D41"/>
  <c r="P91" i="31"/>
  <c r="N92"/>
  <c r="R42" i="25" l="1"/>
  <c r="O92" i="31"/>
  <c r="M93"/>
  <c r="K94"/>
  <c r="L94" s="1"/>
  <c r="J95"/>
  <c r="Q42" i="25"/>
  <c r="L42"/>
  <c r="J42"/>
  <c r="P42"/>
  <c r="N42"/>
  <c r="M42"/>
  <c r="O42"/>
  <c r="K42"/>
  <c r="H42"/>
  <c r="B43"/>
  <c r="I42"/>
  <c r="C42"/>
  <c r="E42"/>
  <c r="D42"/>
  <c r="P92" i="31"/>
  <c r="N93"/>
  <c r="R43" i="25" l="1"/>
  <c r="O93" i="31"/>
  <c r="M94"/>
  <c r="K95"/>
  <c r="L95" s="1"/>
  <c r="J96"/>
  <c r="J43" i="25"/>
  <c r="O43"/>
  <c r="K43"/>
  <c r="L43"/>
  <c r="P43"/>
  <c r="M43"/>
  <c r="N43"/>
  <c r="Q43"/>
  <c r="E43"/>
  <c r="H43"/>
  <c r="D43"/>
  <c r="I43"/>
  <c r="B44"/>
  <c r="C43"/>
  <c r="N94" i="31"/>
  <c r="P93"/>
  <c r="R44" i="25" l="1"/>
  <c r="O94" i="31"/>
  <c r="M95"/>
  <c r="K96"/>
  <c r="L96" s="1"/>
  <c r="J97"/>
  <c r="K44" i="25"/>
  <c r="M44"/>
  <c r="P44"/>
  <c r="N44"/>
  <c r="L44"/>
  <c r="Q44"/>
  <c r="J44"/>
  <c r="O44"/>
  <c r="D44"/>
  <c r="H44"/>
  <c r="C44"/>
  <c r="E44"/>
  <c r="B45"/>
  <c r="I44"/>
  <c r="N95" i="31"/>
  <c r="P94"/>
  <c r="R45" i="25" l="1"/>
  <c r="O95" i="31"/>
  <c r="M96"/>
  <c r="K97"/>
  <c r="L97" s="1"/>
  <c r="J98"/>
  <c r="Q45" i="25"/>
  <c r="J45"/>
  <c r="K45"/>
  <c r="P45"/>
  <c r="L45"/>
  <c r="M45"/>
  <c r="N45"/>
  <c r="O45"/>
  <c r="E45"/>
  <c r="H45"/>
  <c r="I45"/>
  <c r="B46"/>
  <c r="C45"/>
  <c r="D45"/>
  <c r="N96" i="31"/>
  <c r="P95"/>
  <c r="R46" i="25" l="1"/>
  <c r="O96" i="31"/>
  <c r="M97"/>
  <c r="K98"/>
  <c r="L98" s="1"/>
  <c r="J99"/>
  <c r="K46" i="25"/>
  <c r="J46"/>
  <c r="O46"/>
  <c r="M46"/>
  <c r="L46"/>
  <c r="Q46"/>
  <c r="P46"/>
  <c r="N46"/>
  <c r="D46"/>
  <c r="H46"/>
  <c r="I46"/>
  <c r="C46"/>
  <c r="E46"/>
  <c r="B47"/>
  <c r="N97" i="31"/>
  <c r="P96"/>
  <c r="R47" i="25" l="1"/>
  <c r="O97" i="31"/>
  <c r="M98"/>
  <c r="K99"/>
  <c r="L99" s="1"/>
  <c r="J100"/>
  <c r="O47" i="25"/>
  <c r="P47"/>
  <c r="D47"/>
  <c r="B48"/>
  <c r="L47"/>
  <c r="N47"/>
  <c r="Q47"/>
  <c r="J47"/>
  <c r="H47"/>
  <c r="M47"/>
  <c r="I47"/>
  <c r="C47"/>
  <c r="E47"/>
  <c r="K47"/>
  <c r="N98" i="31"/>
  <c r="P97"/>
  <c r="R48" i="25" l="1"/>
  <c r="O98" i="31"/>
  <c r="M99"/>
  <c r="K100"/>
  <c r="L100" s="1"/>
  <c r="J101"/>
  <c r="M48" i="25"/>
  <c r="E48"/>
  <c r="N48"/>
  <c r="B49"/>
  <c r="Q48"/>
  <c r="L48"/>
  <c r="H48"/>
  <c r="I48"/>
  <c r="J48"/>
  <c r="P48"/>
  <c r="C48"/>
  <c r="D48"/>
  <c r="K48"/>
  <c r="O48"/>
  <c r="N99" i="31"/>
  <c r="P98"/>
  <c r="R49" i="25" l="1"/>
  <c r="O99" i="31"/>
  <c r="M100"/>
  <c r="K101"/>
  <c r="L101" s="1"/>
  <c r="J102"/>
  <c r="P49" i="25"/>
  <c r="N49"/>
  <c r="Q49"/>
  <c r="O49"/>
  <c r="J49"/>
  <c r="L49"/>
  <c r="M49"/>
  <c r="K49"/>
  <c r="I49"/>
  <c r="D49"/>
  <c r="E49"/>
  <c r="C49"/>
  <c r="H49"/>
  <c r="B50"/>
  <c r="N100" i="31"/>
  <c r="P99"/>
  <c r="K50" i="25" l="1"/>
  <c r="R50"/>
  <c r="M50"/>
  <c r="P50"/>
  <c r="N50"/>
  <c r="O50"/>
  <c r="Q50"/>
  <c r="J50"/>
  <c r="L50"/>
  <c r="O100" i="31"/>
  <c r="M101"/>
  <c r="K102"/>
  <c r="L102" s="1"/>
  <c r="J103"/>
  <c r="C50" i="25"/>
  <c r="H50"/>
  <c r="I50"/>
  <c r="D50"/>
  <c r="E50"/>
  <c r="B51"/>
  <c r="N101" i="31"/>
  <c r="P100"/>
  <c r="L51" i="25" l="1"/>
  <c r="O51"/>
  <c r="M51"/>
  <c r="Q51"/>
  <c r="J51"/>
  <c r="P51"/>
  <c r="K51"/>
  <c r="N51"/>
  <c r="R51"/>
  <c r="O101" i="31"/>
  <c r="M102"/>
  <c r="K103"/>
  <c r="L103" s="1"/>
  <c r="J104"/>
  <c r="H51" i="25"/>
  <c r="C51"/>
  <c r="I51"/>
  <c r="E51"/>
  <c r="D51"/>
  <c r="B52"/>
  <c r="P101" i="31"/>
  <c r="N102"/>
  <c r="K52" i="25" l="1"/>
  <c r="L52"/>
  <c r="J52"/>
  <c r="Q52"/>
  <c r="M52"/>
  <c r="P52"/>
  <c r="O52"/>
  <c r="N52"/>
  <c r="R52"/>
  <c r="O102" i="31"/>
  <c r="M103"/>
  <c r="K104"/>
  <c r="L104" s="1"/>
  <c r="J105"/>
  <c r="B53" i="25"/>
  <c r="D52"/>
  <c r="C52"/>
  <c r="H52"/>
  <c r="I52"/>
  <c r="E52"/>
  <c r="P102" i="31"/>
  <c r="N103"/>
  <c r="O53" i="25" l="1"/>
  <c r="P53"/>
  <c r="Q53"/>
  <c r="J53"/>
  <c r="L53"/>
  <c r="K53"/>
  <c r="N53"/>
  <c r="M53"/>
  <c r="R53"/>
  <c r="O103" i="31"/>
  <c r="M104"/>
  <c r="K105"/>
  <c r="L105" s="1"/>
  <c r="J106"/>
  <c r="E53" i="25"/>
  <c r="D53"/>
  <c r="C53"/>
  <c r="I53"/>
  <c r="B54"/>
  <c r="H53"/>
  <c r="P103" i="31"/>
  <c r="N104"/>
  <c r="P54" i="25" l="1"/>
  <c r="N54"/>
  <c r="K54"/>
  <c r="M54"/>
  <c r="O54"/>
  <c r="J54"/>
  <c r="Q54"/>
  <c r="L54"/>
  <c r="R54"/>
  <c r="O104" i="31"/>
  <c r="M105"/>
  <c r="K106"/>
  <c r="L106" s="1"/>
  <c r="J107"/>
  <c r="B55" i="25"/>
  <c r="H54"/>
  <c r="D54"/>
  <c r="E54"/>
  <c r="G54"/>
  <c r="I54"/>
  <c r="C54"/>
  <c r="N105" i="31"/>
  <c r="P104"/>
  <c r="N55" i="25" l="1"/>
  <c r="J55"/>
  <c r="P55"/>
  <c r="L55"/>
  <c r="Q55"/>
  <c r="O55"/>
  <c r="M55"/>
  <c r="K55"/>
  <c r="R55"/>
  <c r="O105" i="31"/>
  <c r="M106"/>
  <c r="K107"/>
  <c r="L107" s="1"/>
  <c r="J108"/>
  <c r="B56" i="25"/>
  <c r="I55"/>
  <c r="H55"/>
  <c r="D55"/>
  <c r="E55"/>
  <c r="C55"/>
  <c r="P105" i="31"/>
  <c r="N106"/>
  <c r="Q56" i="25" l="1"/>
  <c r="P56"/>
  <c r="O56"/>
  <c r="N56"/>
  <c r="M56"/>
  <c r="K56"/>
  <c r="L56"/>
  <c r="J56"/>
  <c r="R56"/>
  <c r="O106" i="31"/>
  <c r="M107"/>
  <c r="K108"/>
  <c r="L108" s="1"/>
  <c r="J109"/>
  <c r="H56" i="25"/>
  <c r="B57"/>
  <c r="E56"/>
  <c r="D56"/>
  <c r="I56"/>
  <c r="C56"/>
  <c r="P106" i="31"/>
  <c r="N107"/>
  <c r="K57" i="25" l="1"/>
  <c r="O57"/>
  <c r="J57"/>
  <c r="Q57"/>
  <c r="P57"/>
  <c r="M57"/>
  <c r="L57"/>
  <c r="N57"/>
  <c r="R57"/>
  <c r="O107" i="31"/>
  <c r="M108"/>
  <c r="K109"/>
  <c r="L109" s="1"/>
  <c r="J110"/>
  <c r="H57" i="25"/>
  <c r="E57"/>
  <c r="C57"/>
  <c r="I57"/>
  <c r="B58"/>
  <c r="D57"/>
  <c r="P107" i="31"/>
  <c r="N108"/>
  <c r="J58" i="25" l="1"/>
  <c r="K58"/>
  <c r="P58"/>
  <c r="O58"/>
  <c r="N58"/>
  <c r="L58"/>
  <c r="M58"/>
  <c r="Q58"/>
  <c r="R58"/>
  <c r="O108" i="31"/>
  <c r="M109"/>
  <c r="K110"/>
  <c r="L110" s="1"/>
  <c r="J111"/>
  <c r="I58" i="25"/>
  <c r="C58"/>
  <c r="E58"/>
  <c r="H58"/>
  <c r="D58"/>
  <c r="B59"/>
  <c r="P108" i="31"/>
  <c r="N109"/>
  <c r="N59" i="25" l="1"/>
  <c r="K59"/>
  <c r="L59"/>
  <c r="J59"/>
  <c r="Q59"/>
  <c r="O59"/>
  <c r="M59"/>
  <c r="P59"/>
  <c r="R59"/>
  <c r="O109" i="31"/>
  <c r="M110"/>
  <c r="K111"/>
  <c r="L111" s="1"/>
  <c r="J112"/>
  <c r="C59" i="25"/>
  <c r="I59"/>
  <c r="B60"/>
  <c r="D59"/>
  <c r="E59"/>
  <c r="H59"/>
  <c r="P109" i="31"/>
  <c r="N110"/>
  <c r="N60" i="25" l="1"/>
  <c r="M60"/>
  <c r="L60"/>
  <c r="Q60"/>
  <c r="P60"/>
  <c r="J60"/>
  <c r="K60"/>
  <c r="O60"/>
  <c r="R60"/>
  <c r="O110" i="31"/>
  <c r="M111"/>
  <c r="K112"/>
  <c r="L112" s="1"/>
  <c r="J113"/>
  <c r="B61" i="25"/>
  <c r="I60"/>
  <c r="C60"/>
  <c r="H60"/>
  <c r="D60"/>
  <c r="E60"/>
  <c r="N111" i="31"/>
  <c r="P110"/>
  <c r="M61" i="25" l="1"/>
  <c r="O61"/>
  <c r="K61"/>
  <c r="P61"/>
  <c r="L61"/>
  <c r="J61"/>
  <c r="N61"/>
  <c r="Q61"/>
  <c r="R61"/>
  <c r="O111" i="31"/>
  <c r="M112"/>
  <c r="K113"/>
  <c r="L113" s="1"/>
  <c r="J114"/>
  <c r="H61" i="25"/>
  <c r="B62"/>
  <c r="F61"/>
  <c r="C61"/>
  <c r="I61"/>
  <c r="D61"/>
  <c r="E61"/>
  <c r="P111" i="31"/>
  <c r="N112"/>
  <c r="M62" i="25" l="1"/>
  <c r="K62"/>
  <c r="P62"/>
  <c r="N62"/>
  <c r="Q62"/>
  <c r="L62"/>
  <c r="J62"/>
  <c r="O62"/>
  <c r="R62"/>
  <c r="O112" i="31"/>
  <c r="M113"/>
  <c r="K114"/>
  <c r="L114" s="1"/>
  <c r="J115"/>
  <c r="D62" i="25"/>
  <c r="C62"/>
  <c r="G62"/>
  <c r="H62"/>
  <c r="F62"/>
  <c r="E62"/>
  <c r="I62"/>
  <c r="B63"/>
  <c r="N113" i="31"/>
  <c r="P112"/>
  <c r="M63" i="25" l="1"/>
  <c r="L63"/>
  <c r="K63"/>
  <c r="J63"/>
  <c r="P63"/>
  <c r="N63"/>
  <c r="Q63"/>
  <c r="O63"/>
  <c r="R63"/>
  <c r="O113" i="31"/>
  <c r="M114"/>
  <c r="K115"/>
  <c r="L115" s="1"/>
  <c r="J116"/>
  <c r="G63" i="25"/>
  <c r="H63"/>
  <c r="C63"/>
  <c r="B64"/>
  <c r="E63"/>
  <c r="D63"/>
  <c r="F63"/>
  <c r="I63"/>
  <c r="P113" i="31"/>
  <c r="N114"/>
  <c r="L64" i="25" l="1"/>
  <c r="P64"/>
  <c r="K64"/>
  <c r="J64"/>
  <c r="Q64"/>
  <c r="N64"/>
  <c r="M64"/>
  <c r="O64"/>
  <c r="R64"/>
  <c r="O114" i="31"/>
  <c r="M115"/>
  <c r="K116"/>
  <c r="L116" s="1"/>
  <c r="J117"/>
  <c r="H64" i="25"/>
  <c r="F64"/>
  <c r="G64"/>
  <c r="B65"/>
  <c r="D64"/>
  <c r="I64"/>
  <c r="C64"/>
  <c r="E64"/>
  <c r="N115" i="31"/>
  <c r="P114"/>
  <c r="M65" i="25" l="1"/>
  <c r="J65"/>
  <c r="L65"/>
  <c r="N65"/>
  <c r="K65"/>
  <c r="Q65"/>
  <c r="P65"/>
  <c r="O65"/>
  <c r="R65"/>
  <c r="O115" i="31"/>
  <c r="M116"/>
  <c r="K117"/>
  <c r="L117" s="1"/>
  <c r="J118"/>
  <c r="I65" i="25"/>
  <c r="B66"/>
  <c r="D65"/>
  <c r="G65"/>
  <c r="H65"/>
  <c r="E65"/>
  <c r="C65"/>
  <c r="F65"/>
  <c r="P115" i="31"/>
  <c r="N116"/>
  <c r="O66" i="25" l="1"/>
  <c r="P66"/>
  <c r="N66"/>
  <c r="K66"/>
  <c r="L66"/>
  <c r="Q66"/>
  <c r="M66"/>
  <c r="J66"/>
  <c r="R66"/>
  <c r="O116" i="31"/>
  <c r="M117"/>
  <c r="K118"/>
  <c r="L118" s="1"/>
  <c r="J119"/>
  <c r="G66" i="25"/>
  <c r="C66"/>
  <c r="E66"/>
  <c r="B67"/>
  <c r="H66"/>
  <c r="D66"/>
  <c r="F66"/>
  <c r="I66"/>
  <c r="P116" i="31"/>
  <c r="N117"/>
  <c r="L67" i="25" l="1"/>
  <c r="J67"/>
  <c r="P67"/>
  <c r="K67"/>
  <c r="Q67"/>
  <c r="N67"/>
  <c r="O67"/>
  <c r="M67"/>
  <c r="R67"/>
  <c r="O117" i="31"/>
  <c r="M118"/>
  <c r="K119"/>
  <c r="L119" s="1"/>
  <c r="J120"/>
  <c r="I67" i="25"/>
  <c r="E67"/>
  <c r="H67"/>
  <c r="B68"/>
  <c r="C67"/>
  <c r="F67"/>
  <c r="D67"/>
  <c r="G67"/>
  <c r="P117" i="31"/>
  <c r="N118"/>
  <c r="O68" i="25" l="1"/>
  <c r="N68"/>
  <c r="K68"/>
  <c r="Q68"/>
  <c r="M68"/>
  <c r="J68"/>
  <c r="L68"/>
  <c r="P68"/>
  <c r="R68"/>
  <c r="O118" i="31"/>
  <c r="M119"/>
  <c r="K120"/>
  <c r="L120" s="1"/>
  <c r="J121"/>
  <c r="I68" i="25"/>
  <c r="H68"/>
  <c r="E68"/>
  <c r="D68"/>
  <c r="B69"/>
  <c r="G68"/>
  <c r="C68"/>
  <c r="F68"/>
  <c r="P118" i="31"/>
  <c r="N119"/>
  <c r="J69" i="25" l="1"/>
  <c r="O69"/>
  <c r="N69"/>
  <c r="Q69"/>
  <c r="P69"/>
  <c r="M69"/>
  <c r="K69"/>
  <c r="L69"/>
  <c r="R69"/>
  <c r="O119" i="31"/>
  <c r="M120"/>
  <c r="K121"/>
  <c r="L121" s="1"/>
  <c r="J122"/>
  <c r="E69" i="25"/>
  <c r="C69"/>
  <c r="I69"/>
  <c r="F69"/>
  <c r="D69"/>
  <c r="B70"/>
  <c r="H69"/>
  <c r="G69"/>
  <c r="P119" i="31"/>
  <c r="N120"/>
  <c r="N70" i="25" l="1"/>
  <c r="M70"/>
  <c r="P70"/>
  <c r="Q70"/>
  <c r="J70"/>
  <c r="L70"/>
  <c r="K70"/>
  <c r="O70"/>
  <c r="R70"/>
  <c r="O120" i="31"/>
  <c r="M121"/>
  <c r="K122"/>
  <c r="L122" s="1"/>
  <c r="J123"/>
  <c r="H70" i="25"/>
  <c r="G70"/>
  <c r="I70"/>
  <c r="B71"/>
  <c r="D70"/>
  <c r="E70"/>
  <c r="F70"/>
  <c r="C70"/>
  <c r="P120" i="31"/>
  <c r="N121"/>
  <c r="P71" i="25" l="1"/>
  <c r="J71"/>
  <c r="N71"/>
  <c r="L71"/>
  <c r="O71"/>
  <c r="K71"/>
  <c r="M71"/>
  <c r="Q71"/>
  <c r="R71"/>
  <c r="O121" i="31"/>
  <c r="M122"/>
  <c r="K123"/>
  <c r="L123" s="1"/>
  <c r="J124"/>
  <c r="E71" i="25"/>
  <c r="G71"/>
  <c r="B72"/>
  <c r="D71"/>
  <c r="I71"/>
  <c r="H71"/>
  <c r="C71"/>
  <c r="F71"/>
  <c r="P121" i="31"/>
  <c r="N122"/>
  <c r="N72" i="25" l="1"/>
  <c r="L72"/>
  <c r="K72"/>
  <c r="J72"/>
  <c r="Q72"/>
  <c r="P72"/>
  <c r="O72"/>
  <c r="M72"/>
  <c r="R72"/>
  <c r="O122" i="31"/>
  <c r="M123"/>
  <c r="K124"/>
  <c r="L124" s="1"/>
  <c r="J125"/>
  <c r="G72" i="25"/>
  <c r="I72"/>
  <c r="D72"/>
  <c r="F72"/>
  <c r="E72"/>
  <c r="B73"/>
  <c r="C72"/>
  <c r="H72"/>
  <c r="P122" i="31"/>
  <c r="N123"/>
  <c r="L73" i="25" l="1"/>
  <c r="K73"/>
  <c r="J73"/>
  <c r="Q73"/>
  <c r="P73"/>
  <c r="O73"/>
  <c r="N73"/>
  <c r="M73"/>
  <c r="R73"/>
  <c r="O123" i="31"/>
  <c r="M124"/>
  <c r="K125"/>
  <c r="L125" s="1"/>
  <c r="J126"/>
  <c r="I73" i="25"/>
  <c r="H73"/>
  <c r="D73"/>
  <c r="F73"/>
  <c r="G73"/>
  <c r="C73"/>
  <c r="E73"/>
  <c r="B74"/>
  <c r="P123" i="31"/>
  <c r="N124"/>
  <c r="N74" i="25" l="1"/>
  <c r="M74"/>
  <c r="Q74"/>
  <c r="L74"/>
  <c r="P74"/>
  <c r="O74"/>
  <c r="J74"/>
  <c r="K74"/>
  <c r="R74"/>
  <c r="O124" i="31"/>
  <c r="M125"/>
  <c r="K126"/>
  <c r="L126" s="1"/>
  <c r="J127"/>
  <c r="B75" i="25"/>
  <c r="F74"/>
  <c r="G74"/>
  <c r="C74"/>
  <c r="I74"/>
  <c r="H74"/>
  <c r="E74"/>
  <c r="D74"/>
  <c r="P124" i="31"/>
  <c r="N125"/>
  <c r="P75" i="25" l="1"/>
  <c r="N75"/>
  <c r="L75"/>
  <c r="J75"/>
  <c r="K75"/>
  <c r="Q75"/>
  <c r="O75"/>
  <c r="M75"/>
  <c r="R75"/>
  <c r="O125" i="31"/>
  <c r="M126"/>
  <c r="K127"/>
  <c r="L127" s="1"/>
  <c r="J128"/>
  <c r="E75" i="25"/>
  <c r="H75"/>
  <c r="C75"/>
  <c r="G75"/>
  <c r="F75"/>
  <c r="D75"/>
  <c r="B76"/>
  <c r="I75"/>
  <c r="P125" i="31"/>
  <c r="N126"/>
  <c r="O76" i="25" l="1"/>
  <c r="N76"/>
  <c r="M76"/>
  <c r="L76"/>
  <c r="J76"/>
  <c r="K76"/>
  <c r="Q76"/>
  <c r="P76"/>
  <c r="R76"/>
  <c r="O126" i="31"/>
  <c r="M127"/>
  <c r="K128"/>
  <c r="L128" s="1"/>
  <c r="J129"/>
  <c r="F76" i="25"/>
  <c r="C76"/>
  <c r="G76"/>
  <c r="E76"/>
  <c r="I76"/>
  <c r="D76"/>
  <c r="H76"/>
  <c r="B77"/>
  <c r="P126" i="31"/>
  <c r="N127"/>
  <c r="J77" i="25" l="1"/>
  <c r="K77"/>
  <c r="P77"/>
  <c r="Q77"/>
  <c r="L77"/>
  <c r="O77"/>
  <c r="M77"/>
  <c r="N77"/>
  <c r="R77"/>
  <c r="O127" i="31"/>
  <c r="M128"/>
  <c r="K129"/>
  <c r="L129" s="1"/>
  <c r="J130"/>
  <c r="D77" i="25"/>
  <c r="I77"/>
  <c r="C77"/>
  <c r="B78"/>
  <c r="F77"/>
  <c r="E77"/>
  <c r="G77"/>
  <c r="H77"/>
  <c r="P127" i="31"/>
  <c r="N128"/>
  <c r="N78" i="25" l="1"/>
  <c r="Q78"/>
  <c r="M78"/>
  <c r="K78"/>
  <c r="L78"/>
  <c r="J78"/>
  <c r="O78"/>
  <c r="P78"/>
  <c r="R78"/>
  <c r="O128" i="31"/>
  <c r="M129"/>
  <c r="K130"/>
  <c r="L130" s="1"/>
  <c r="J131"/>
  <c r="I78" i="25"/>
  <c r="E78"/>
  <c r="H78"/>
  <c r="F78"/>
  <c r="C78"/>
  <c r="B79"/>
  <c r="D78"/>
  <c r="G78"/>
  <c r="P128" i="31"/>
  <c r="N129"/>
  <c r="M79" i="25" l="1"/>
  <c r="K79"/>
  <c r="N79"/>
  <c r="L79"/>
  <c r="O79"/>
  <c r="J79"/>
  <c r="P79"/>
  <c r="Q79"/>
  <c r="R79"/>
  <c r="O129" i="31"/>
  <c r="M130"/>
  <c r="K131"/>
  <c r="L131" s="1"/>
  <c r="J132"/>
  <c r="F79" i="25"/>
  <c r="D79"/>
  <c r="B80"/>
  <c r="E79"/>
  <c r="C79"/>
  <c r="I79"/>
  <c r="G79"/>
  <c r="H79"/>
  <c r="P129" i="31"/>
  <c r="N130"/>
  <c r="M80" i="25" l="1"/>
  <c r="J80"/>
  <c r="Q80"/>
  <c r="L80"/>
  <c r="K80"/>
  <c r="P80"/>
  <c r="O80"/>
  <c r="N80"/>
  <c r="R80"/>
  <c r="O130" i="31"/>
  <c r="M131"/>
  <c r="K132"/>
  <c r="L132" s="1"/>
  <c r="J133"/>
  <c r="H80" i="25"/>
  <c r="G80"/>
  <c r="D80"/>
  <c r="B81"/>
  <c r="E80"/>
  <c r="C80"/>
  <c r="F80"/>
  <c r="I80"/>
  <c r="P130" i="31"/>
  <c r="N131"/>
  <c r="N81" i="25" l="1"/>
  <c r="P81"/>
  <c r="M81"/>
  <c r="O81"/>
  <c r="L81"/>
  <c r="K81"/>
  <c r="J81"/>
  <c r="Q81"/>
  <c r="R81"/>
  <c r="O131" i="31"/>
  <c r="M132"/>
  <c r="K133"/>
  <c r="L133" s="1"/>
  <c r="J134"/>
  <c r="C81" i="25"/>
  <c r="F81"/>
  <c r="G81"/>
  <c r="E81"/>
  <c r="I81"/>
  <c r="D81"/>
  <c r="B82"/>
  <c r="H81"/>
  <c r="P131" i="31"/>
  <c r="N132"/>
  <c r="P82" i="25" l="1"/>
  <c r="Q82"/>
  <c r="J82"/>
  <c r="O82"/>
  <c r="N82"/>
  <c r="M82"/>
  <c r="K82"/>
  <c r="L82"/>
  <c r="R82"/>
  <c r="O132" i="31"/>
  <c r="M133"/>
  <c r="K134"/>
  <c r="L134" s="1"/>
  <c r="J135"/>
  <c r="F82" i="25"/>
  <c r="G82"/>
  <c r="C82"/>
  <c r="B83"/>
  <c r="E82"/>
  <c r="H82"/>
  <c r="I82"/>
  <c r="D82"/>
  <c r="P132" i="31"/>
  <c r="N133"/>
  <c r="M83" i="25" l="1"/>
  <c r="J83"/>
  <c r="P83"/>
  <c r="N83"/>
  <c r="L83"/>
  <c r="K83"/>
  <c r="Q83"/>
  <c r="O83"/>
  <c r="R83"/>
  <c r="O133" i="31"/>
  <c r="M134"/>
  <c r="K135"/>
  <c r="L135" s="1"/>
  <c r="J136"/>
  <c r="E83" i="25"/>
  <c r="C83"/>
  <c r="H83"/>
  <c r="I83"/>
  <c r="G83"/>
  <c r="B84"/>
  <c r="D83"/>
  <c r="F83"/>
  <c r="P133" i="31"/>
  <c r="N134"/>
  <c r="P84" i="25" l="1"/>
  <c r="K84"/>
  <c r="O84"/>
  <c r="N84"/>
  <c r="J84"/>
  <c r="Q84"/>
  <c r="M84"/>
  <c r="L84"/>
  <c r="R84"/>
  <c r="O134" i="31"/>
  <c r="M135"/>
  <c r="K136"/>
  <c r="L136" s="1"/>
  <c r="J137"/>
  <c r="D84" i="25"/>
  <c r="B85"/>
  <c r="F84"/>
  <c r="C84"/>
  <c r="I84"/>
  <c r="G84"/>
  <c r="H84"/>
  <c r="E84"/>
  <c r="P134" i="31"/>
  <c r="N135"/>
  <c r="K85" i="25" l="1"/>
  <c r="L85"/>
  <c r="J85"/>
  <c r="Q85"/>
  <c r="M85"/>
  <c r="P85"/>
  <c r="N85"/>
  <c r="O85"/>
  <c r="R85"/>
  <c r="O135" i="31"/>
  <c r="M136"/>
  <c r="K137"/>
  <c r="L137" s="1"/>
  <c r="J138"/>
  <c r="D85" i="25"/>
  <c r="E85"/>
  <c r="B86"/>
  <c r="C85"/>
  <c r="F85"/>
  <c r="H85"/>
  <c r="I85"/>
  <c r="G85"/>
  <c r="P135" i="31"/>
  <c r="N136"/>
  <c r="Q86" i="25" l="1"/>
  <c r="O86"/>
  <c r="M86"/>
  <c r="K86"/>
  <c r="N86"/>
  <c r="L86"/>
  <c r="P86"/>
  <c r="J86"/>
  <c r="R86"/>
  <c r="O136" i="31"/>
  <c r="M137"/>
  <c r="K138"/>
  <c r="L138" s="1"/>
  <c r="J139"/>
  <c r="I86" i="25"/>
  <c r="G86"/>
  <c r="F86"/>
  <c r="E86"/>
  <c r="B87"/>
  <c r="D86"/>
  <c r="C86"/>
  <c r="H86"/>
  <c r="P136" i="31"/>
  <c r="N137"/>
  <c r="M87" i="25" l="1"/>
  <c r="N87"/>
  <c r="Q87"/>
  <c r="P87"/>
  <c r="J87"/>
  <c r="L87"/>
  <c r="K87"/>
  <c r="O87"/>
  <c r="R87"/>
  <c r="O137" i="31"/>
  <c r="M138"/>
  <c r="K139"/>
  <c r="L139" s="1"/>
  <c r="J140"/>
  <c r="H87" i="25"/>
  <c r="G87"/>
  <c r="B88"/>
  <c r="C87"/>
  <c r="I87"/>
  <c r="D87"/>
  <c r="F87"/>
  <c r="E87"/>
  <c r="P137" i="31"/>
  <c r="N138"/>
  <c r="N88" i="25" l="1"/>
  <c r="M88"/>
  <c r="Q88"/>
  <c r="L88"/>
  <c r="O88"/>
  <c r="K88"/>
  <c r="J88"/>
  <c r="P88"/>
  <c r="R88"/>
  <c r="O138" i="31"/>
  <c r="M139"/>
  <c r="K140"/>
  <c r="L140" s="1"/>
  <c r="J141"/>
  <c r="B89" i="25"/>
  <c r="C88"/>
  <c r="I88"/>
  <c r="G88"/>
  <c r="E88"/>
  <c r="F88"/>
  <c r="H88"/>
  <c r="D88"/>
  <c r="P138" i="31"/>
  <c r="N139"/>
  <c r="N89" i="25" l="1"/>
  <c r="Q89"/>
  <c r="M89"/>
  <c r="L89"/>
  <c r="O89"/>
  <c r="K89"/>
  <c r="J89"/>
  <c r="P89"/>
  <c r="R89"/>
  <c r="O139" i="31"/>
  <c r="M140"/>
  <c r="K141"/>
  <c r="L141" s="1"/>
  <c r="J142"/>
  <c r="E89" i="25"/>
  <c r="C89"/>
  <c r="B90"/>
  <c r="H89"/>
  <c r="G89"/>
  <c r="I89"/>
  <c r="F89"/>
  <c r="D89"/>
  <c r="P139" i="31"/>
  <c r="N140"/>
  <c r="O90" i="25" l="1"/>
  <c r="M90"/>
  <c r="N90"/>
  <c r="L90"/>
  <c r="J90"/>
  <c r="K90"/>
  <c r="Q90"/>
  <c r="P90"/>
  <c r="R90"/>
  <c r="O140" i="31"/>
  <c r="M141"/>
  <c r="K142"/>
  <c r="L142" s="1"/>
  <c r="J143"/>
  <c r="H90" i="25"/>
  <c r="G90"/>
  <c r="I90"/>
  <c r="F90"/>
  <c r="E90"/>
  <c r="D90"/>
  <c r="B91"/>
  <c r="C90"/>
  <c r="P140" i="31"/>
  <c r="N141"/>
  <c r="N91" i="25" l="1"/>
  <c r="Q91"/>
  <c r="O91"/>
  <c r="L91"/>
  <c r="M91"/>
  <c r="K91"/>
  <c r="J91"/>
  <c r="P91"/>
  <c r="R91"/>
  <c r="O141" i="31"/>
  <c r="M142"/>
  <c r="K143"/>
  <c r="L143" s="1"/>
  <c r="J144"/>
  <c r="I91" i="25"/>
  <c r="G91"/>
  <c r="C91"/>
  <c r="D91"/>
  <c r="H91"/>
  <c r="B92"/>
  <c r="E91"/>
  <c r="F91"/>
  <c r="P141" i="31"/>
  <c r="N142"/>
  <c r="O92" i="25" l="1"/>
  <c r="L92"/>
  <c r="P92"/>
  <c r="N92"/>
  <c r="M92"/>
  <c r="K92"/>
  <c r="Q92"/>
  <c r="J92"/>
  <c r="R92"/>
  <c r="O142" i="31"/>
  <c r="M143"/>
  <c r="K144"/>
  <c r="L144" s="1"/>
  <c r="J145"/>
  <c r="G92" i="25"/>
  <c r="C92"/>
  <c r="F92"/>
  <c r="I92"/>
  <c r="B93"/>
  <c r="D92"/>
  <c r="H92"/>
  <c r="E92"/>
  <c r="P142" i="31"/>
  <c r="N143"/>
  <c r="O93" i="25" l="1"/>
  <c r="N93"/>
  <c r="M93"/>
  <c r="P93"/>
  <c r="K93"/>
  <c r="Q93"/>
  <c r="L93"/>
  <c r="J93"/>
  <c r="R93"/>
  <c r="O143" i="31"/>
  <c r="M144"/>
  <c r="K145"/>
  <c r="L145" s="1"/>
  <c r="J146"/>
  <c r="C93" i="25"/>
  <c r="G93"/>
  <c r="D93"/>
  <c r="E93"/>
  <c r="H93"/>
  <c r="I93"/>
  <c r="F93"/>
  <c r="B94"/>
  <c r="P143" i="31"/>
  <c r="N144"/>
  <c r="K94" i="25" l="1"/>
  <c r="J94"/>
  <c r="Q94"/>
  <c r="N94"/>
  <c r="O94"/>
  <c r="M94"/>
  <c r="P94"/>
  <c r="L94"/>
  <c r="R94"/>
  <c r="O144" i="31"/>
  <c r="M145"/>
  <c r="K146"/>
  <c r="L146" s="1"/>
  <c r="J147"/>
  <c r="H94" i="25"/>
  <c r="E94"/>
  <c r="F94"/>
  <c r="C94"/>
  <c r="B95"/>
  <c r="G94"/>
  <c r="I94"/>
  <c r="D94"/>
  <c r="P144" i="31"/>
  <c r="N145"/>
  <c r="Q95" i="25" l="1"/>
  <c r="L95"/>
  <c r="K95"/>
  <c r="J95"/>
  <c r="N95"/>
  <c r="P95"/>
  <c r="O95"/>
  <c r="M95"/>
  <c r="R95"/>
  <c r="O145" i="31"/>
  <c r="M146"/>
  <c r="K147"/>
  <c r="L147" s="1"/>
  <c r="J148"/>
  <c r="C95" i="25"/>
  <c r="H95"/>
  <c r="I95"/>
  <c r="F95"/>
  <c r="B96"/>
  <c r="G95"/>
  <c r="D95"/>
  <c r="E95"/>
  <c r="P145" i="31"/>
  <c r="N146"/>
  <c r="M96" i="25" l="1"/>
  <c r="L96"/>
  <c r="J96"/>
  <c r="O96"/>
  <c r="N96"/>
  <c r="K96"/>
  <c r="Q96"/>
  <c r="P96"/>
  <c r="R96"/>
  <c r="O146" i="31"/>
  <c r="M147"/>
  <c r="K148"/>
  <c r="L148" s="1"/>
  <c r="J149"/>
  <c r="D96" i="25"/>
  <c r="C96"/>
  <c r="I96"/>
  <c r="G96"/>
  <c r="B97"/>
  <c r="E96"/>
  <c r="F96"/>
  <c r="H96"/>
  <c r="P146" i="31"/>
  <c r="P147"/>
  <c r="M97" i="25" l="1"/>
  <c r="L97"/>
  <c r="K97"/>
  <c r="J97"/>
  <c r="O97"/>
  <c r="N97"/>
  <c r="Q97"/>
  <c r="P97"/>
  <c r="R97"/>
  <c r="M148" i="31"/>
  <c r="K149"/>
  <c r="L149" s="1"/>
  <c r="J150"/>
  <c r="E97" i="25"/>
  <c r="H97"/>
  <c r="I97"/>
  <c r="G97"/>
  <c r="B98"/>
  <c r="F97"/>
  <c r="C97"/>
  <c r="D97"/>
  <c r="N147" i="31"/>
  <c r="N148"/>
  <c r="L98" i="25" l="1"/>
  <c r="Q98"/>
  <c r="K98"/>
  <c r="P98"/>
  <c r="O98"/>
  <c r="N98"/>
  <c r="M98"/>
  <c r="J98"/>
  <c r="R98"/>
  <c r="O147" i="31"/>
  <c r="O148"/>
  <c r="M149"/>
  <c r="K150"/>
  <c r="L150" s="1"/>
  <c r="J151"/>
  <c r="D98" i="25"/>
  <c r="G98"/>
  <c r="F98"/>
  <c r="I98"/>
  <c r="B99"/>
  <c r="E98"/>
  <c r="C98"/>
  <c r="H98"/>
  <c r="P148" i="31"/>
  <c r="N149"/>
  <c r="Q99" i="25" l="1"/>
  <c r="L99"/>
  <c r="J99"/>
  <c r="P99"/>
  <c r="M99"/>
  <c r="K99"/>
  <c r="N99"/>
  <c r="O99"/>
  <c r="R99"/>
  <c r="O149" i="31"/>
  <c r="M150"/>
  <c r="K151"/>
  <c r="L151" s="1"/>
  <c r="J152"/>
  <c r="G99" i="25"/>
  <c r="D99"/>
  <c r="C99"/>
  <c r="E99"/>
  <c r="H99"/>
  <c r="F99"/>
  <c r="B100"/>
  <c r="I99"/>
  <c r="P149" i="31"/>
  <c r="N150"/>
  <c r="O100" i="25" l="1"/>
  <c r="J100"/>
  <c r="K100"/>
  <c r="Q100"/>
  <c r="P100"/>
  <c r="N100"/>
  <c r="M100"/>
  <c r="L100"/>
  <c r="R100"/>
  <c r="O150" i="31"/>
  <c r="M151"/>
  <c r="K152"/>
  <c r="L152" s="1"/>
  <c r="J153"/>
  <c r="H100" i="25"/>
  <c r="F100"/>
  <c r="G100"/>
  <c r="C100"/>
  <c r="E100"/>
  <c r="I100"/>
  <c r="D100"/>
  <c r="B101"/>
  <c r="P150" i="31"/>
  <c r="N151"/>
  <c r="O101" i="25" l="1"/>
  <c r="N101"/>
  <c r="L101"/>
  <c r="Q101"/>
  <c r="M101"/>
  <c r="P101"/>
  <c r="K101"/>
  <c r="J101"/>
  <c r="R101"/>
  <c r="O151" i="31"/>
  <c r="M152"/>
  <c r="K153"/>
  <c r="L153" s="1"/>
  <c r="J154"/>
  <c r="C101" i="25"/>
  <c r="I101"/>
  <c r="H101"/>
  <c r="F101"/>
  <c r="B102"/>
  <c r="D101"/>
  <c r="E101"/>
  <c r="G101"/>
  <c r="P151" i="31"/>
  <c r="N152"/>
  <c r="O102" i="25" l="1"/>
  <c r="J102"/>
  <c r="M102"/>
  <c r="L102"/>
  <c r="P102"/>
  <c r="N102"/>
  <c r="K102"/>
  <c r="Q102"/>
  <c r="R102"/>
  <c r="O152" i="31"/>
  <c r="M153"/>
  <c r="K154"/>
  <c r="L154" s="1"/>
  <c r="J155"/>
  <c r="D102" i="25"/>
  <c r="H102"/>
  <c r="B103"/>
  <c r="G102"/>
  <c r="F102"/>
  <c r="E102"/>
  <c r="I102"/>
  <c r="C102"/>
  <c r="P152" i="31"/>
  <c r="N153"/>
  <c r="O103" i="25" l="1"/>
  <c r="J103"/>
  <c r="N103"/>
  <c r="L103"/>
  <c r="Q103"/>
  <c r="K103"/>
  <c r="P103"/>
  <c r="M103"/>
  <c r="R103"/>
  <c r="O153" i="31"/>
  <c r="M154"/>
  <c r="K155"/>
  <c r="L155" s="1"/>
  <c r="J156"/>
  <c r="F103" i="25"/>
  <c r="G103"/>
  <c r="E103"/>
  <c r="C103"/>
  <c r="D103"/>
  <c r="H103"/>
  <c r="I103"/>
  <c r="B104"/>
  <c r="P153" i="31"/>
  <c r="N154"/>
  <c r="M104" i="25" l="1"/>
  <c r="L104"/>
  <c r="K104"/>
  <c r="J104"/>
  <c r="Q104"/>
  <c r="P104"/>
  <c r="O104"/>
  <c r="N104"/>
  <c r="R104"/>
  <c r="O154" i="31"/>
  <c r="M155"/>
  <c r="K156"/>
  <c r="L156" s="1"/>
  <c r="J157"/>
  <c r="G104" i="25"/>
  <c r="E104"/>
  <c r="I104"/>
  <c r="F104"/>
  <c r="B105"/>
  <c r="D104"/>
  <c r="H104"/>
  <c r="C104"/>
  <c r="P154" i="31"/>
  <c r="N155"/>
  <c r="M105" i="25" l="1"/>
  <c r="L105"/>
  <c r="K105"/>
  <c r="J105"/>
  <c r="Q105"/>
  <c r="P105"/>
  <c r="N105"/>
  <c r="O105"/>
  <c r="R105"/>
  <c r="O155" i="31"/>
  <c r="M156"/>
  <c r="K157"/>
  <c r="L157" s="1"/>
  <c r="J158"/>
  <c r="B106" i="25"/>
  <c r="H105"/>
  <c r="E105"/>
  <c r="G105"/>
  <c r="I105"/>
  <c r="C105"/>
  <c r="F105"/>
  <c r="D105"/>
  <c r="P155" i="31"/>
  <c r="N156"/>
  <c r="P106" i="25" l="1"/>
  <c r="O106"/>
  <c r="M106"/>
  <c r="Q106"/>
  <c r="K106"/>
  <c r="L106"/>
  <c r="N106"/>
  <c r="J106"/>
  <c r="R106"/>
  <c r="O156" i="31"/>
  <c r="M157"/>
  <c r="K158"/>
  <c r="L158" s="1"/>
  <c r="J159"/>
  <c r="E106" i="25"/>
  <c r="H106"/>
  <c r="D106"/>
  <c r="C106"/>
  <c r="F106"/>
  <c r="I106"/>
  <c r="G106"/>
  <c r="B107"/>
  <c r="P156" i="31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K159"/>
  <c r="L159" s="1"/>
  <c r="J160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K160"/>
  <c r="L160" s="1"/>
  <c r="J16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K161"/>
  <c r="L161" s="1"/>
  <c r="J162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K162"/>
  <c r="L162" s="1"/>
  <c r="J163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K163"/>
  <c r="L163" s="1"/>
  <c r="J164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K164"/>
  <c r="L164" s="1"/>
  <c r="J165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K165"/>
  <c r="L165" s="1"/>
  <c r="J166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K166"/>
  <c r="L166" s="1"/>
  <c r="J167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K167"/>
  <c r="L167" s="1"/>
  <c r="J168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K168"/>
  <c r="L168" s="1"/>
  <c r="J169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K169"/>
  <c r="L169" s="1"/>
  <c r="J170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K170"/>
  <c r="L170" s="1"/>
  <c r="J17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K171"/>
  <c r="L171" s="1"/>
  <c r="J172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K172"/>
  <c r="L172" s="1"/>
  <c r="J173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K173"/>
  <c r="L173" s="1"/>
  <c r="J174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K174"/>
  <c r="L174" s="1"/>
  <c r="J175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K175"/>
  <c r="L175" s="1"/>
  <c r="J176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K176"/>
  <c r="L176" s="1"/>
  <c r="J177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K177"/>
  <c r="L177" s="1"/>
  <c r="J178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K178"/>
  <c r="L178" s="1"/>
  <c r="J179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K179"/>
  <c r="L179" s="1"/>
  <c r="J180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K180"/>
  <c r="L180" s="1"/>
  <c r="J18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K181"/>
  <c r="L181" s="1"/>
  <c r="J182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K182"/>
  <c r="L182" s="1"/>
  <c r="J183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K183"/>
  <c r="L183" s="1"/>
  <c r="J184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K184"/>
  <c r="L184" s="1"/>
  <c r="J185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K185"/>
  <c r="L185" s="1"/>
  <c r="J186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K186"/>
  <c r="L186" s="1"/>
  <c r="J187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K187"/>
  <c r="L187" s="1"/>
  <c r="J188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K188"/>
  <c r="L188" s="1"/>
  <c r="J189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K189"/>
  <c r="L189" s="1"/>
  <c r="J190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K190"/>
  <c r="L190" s="1"/>
  <c r="J19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K191"/>
  <c r="L191" s="1"/>
  <c r="J192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K192"/>
  <c r="L192" s="1"/>
  <c r="J193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K193"/>
  <c r="L193" s="1"/>
  <c r="J194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K194"/>
  <c r="L194" s="1"/>
  <c r="J195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K195"/>
  <c r="L195" s="1"/>
  <c r="J196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K196"/>
  <c r="L196" s="1"/>
  <c r="J197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K197"/>
  <c r="L197" s="1"/>
  <c r="J198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K198"/>
  <c r="L198" s="1"/>
  <c r="J199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K199"/>
  <c r="L199" s="1"/>
  <c r="J200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K200"/>
  <c r="L200" s="1"/>
  <c r="J20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K201"/>
  <c r="L201" s="1"/>
  <c r="J202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K202"/>
  <c r="L202" s="1"/>
  <c r="J203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K203"/>
  <c r="L203" s="1"/>
  <c r="J204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K204"/>
  <c r="L204" s="1"/>
  <c r="J205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K205"/>
  <c r="L205" s="1"/>
  <c r="J206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K206"/>
  <c r="L206" s="1"/>
  <c r="J207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K207"/>
  <c r="L207" s="1"/>
  <c r="J208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K208"/>
  <c r="L208" s="1"/>
  <c r="J209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K209"/>
  <c r="L209" s="1"/>
  <c r="J210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K210"/>
  <c r="L210" s="1"/>
  <c r="J21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K211"/>
  <c r="L211" s="1"/>
  <c r="J212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K212"/>
  <c r="L212" s="1"/>
  <c r="J213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K213"/>
  <c r="L213" s="1"/>
  <c r="J214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K214"/>
  <c r="L214" s="1"/>
  <c r="J215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K215"/>
  <c r="L215" s="1"/>
  <c r="J216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K216"/>
  <c r="L216" s="1"/>
  <c r="J217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K217"/>
  <c r="L217" s="1"/>
  <c r="J218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K218"/>
  <c r="L218" s="1"/>
  <c r="J219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K219"/>
  <c r="L219" s="1"/>
  <c r="J220"/>
  <c r="C9" i="25"/>
  <c r="P217" i="31"/>
  <c r="N218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K220"/>
  <c r="L220" s="1"/>
  <c r="J22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K221"/>
  <c r="L221" s="1"/>
  <c r="J222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K222"/>
  <c r="L222" s="1"/>
  <c r="J223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K223"/>
  <c r="L223" s="1"/>
  <c r="J224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K224"/>
  <c r="L224" s="1"/>
  <c r="J225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K225"/>
  <c r="L225" s="1"/>
  <c r="J226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K226"/>
  <c r="L226" s="1"/>
  <c r="J227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K227"/>
  <c r="L227" s="1"/>
  <c r="J228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K228"/>
  <c r="L228" s="1"/>
  <c r="J229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K229"/>
  <c r="L229" s="1"/>
  <c r="J230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K230"/>
  <c r="L230" s="1"/>
  <c r="J23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K231"/>
  <c r="L231" s="1"/>
  <c r="J232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K232"/>
  <c r="L232" s="1"/>
  <c r="J233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K233"/>
  <c r="L233" s="1"/>
  <c r="J234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K234"/>
  <c r="L234" s="1"/>
  <c r="J235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K235"/>
  <c r="L235" s="1"/>
  <c r="J236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K236"/>
  <c r="L236" s="1"/>
  <c r="J237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K237"/>
  <c r="L237" s="1"/>
  <c r="J238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K238"/>
  <c r="L238" s="1"/>
  <c r="J239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K239"/>
  <c r="L239" s="1"/>
  <c r="J240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K240"/>
  <c r="L240" s="1"/>
  <c r="J24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K241"/>
  <c r="L241" s="1"/>
  <c r="J242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K242"/>
  <c r="L242" s="1"/>
  <c r="J243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K243"/>
  <c r="L243" s="1"/>
  <c r="J244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K244"/>
  <c r="L244" s="1"/>
  <c r="J245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K245"/>
  <c r="L245" s="1"/>
  <c r="J246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K246"/>
  <c r="L246" s="1"/>
  <c r="J247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K247"/>
  <c r="L247" s="1"/>
  <c r="J248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K248"/>
  <c r="L248" s="1"/>
  <c r="J249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K249"/>
  <c r="L249" s="1"/>
  <c r="J250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K250"/>
  <c r="L250" s="1"/>
  <c r="J25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K251"/>
  <c r="L251" s="1"/>
  <c r="J252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K252"/>
  <c r="L252" s="1"/>
  <c r="J253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K253"/>
  <c r="L253" s="1"/>
  <c r="J254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K254"/>
  <c r="L254" s="1"/>
  <c r="J255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K255"/>
  <c r="L255" s="1"/>
  <c r="J256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K256"/>
  <c r="L256" s="1"/>
  <c r="J257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K257"/>
  <c r="L257" s="1"/>
  <c r="J258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K258"/>
  <c r="L258" s="1"/>
  <c r="J259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K259"/>
  <c r="L259" s="1"/>
  <c r="J260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500" l="1"/>
  <c r="O501"/>
  <c r="F11" i="25"/>
  <c r="G14"/>
  <c r="P501" i="31"/>
  <c r="G11" i="25"/>
  <c r="G12"/>
  <c r="G15"/>
  <c r="P500" i="31"/>
  <c r="G13" i="25"/>
  <c r="F57" l="1"/>
  <c r="G60"/>
  <c r="F49"/>
  <c r="G53"/>
  <c r="G50"/>
  <c r="F58"/>
  <c r="F54"/>
  <c r="F50"/>
  <c r="F59"/>
  <c r="G51"/>
  <c r="F51"/>
  <c r="G57"/>
  <c r="F52"/>
  <c r="G59"/>
  <c r="G55"/>
  <c r="F53"/>
  <c r="G61"/>
  <c r="F56"/>
  <c r="G58"/>
  <c r="G49"/>
  <c r="F60"/>
  <c r="F55"/>
  <c r="G56"/>
  <c r="G52"/>
  <c r="F48"/>
  <c r="G47"/>
  <c r="G48"/>
  <c r="F47"/>
  <c r="F41"/>
  <c r="G44"/>
  <c r="G38"/>
  <c r="G46"/>
  <c r="F44"/>
  <c r="G39"/>
  <c r="F46"/>
  <c r="G42"/>
  <c r="F45"/>
  <c r="F43"/>
  <c r="F42"/>
  <c r="F40"/>
  <c r="F39"/>
  <c r="G40"/>
  <c r="G45"/>
  <c r="F38"/>
  <c r="G41"/>
  <c r="G43"/>
  <c r="G37"/>
  <c r="G21"/>
  <c r="G34"/>
  <c r="F22"/>
  <c r="G19"/>
  <c r="F15"/>
  <c r="F12"/>
  <c r="F9"/>
  <c r="F24"/>
  <c r="G26"/>
  <c r="F23"/>
  <c r="F33"/>
  <c r="F13"/>
  <c r="G28"/>
  <c r="F17"/>
  <c r="F37"/>
  <c r="F29"/>
  <c r="G30"/>
  <c r="G35"/>
  <c r="G29"/>
  <c r="G31"/>
  <c r="G33"/>
  <c r="F18"/>
  <c r="G32"/>
  <c r="F14"/>
  <c r="F32"/>
  <c r="F19"/>
  <c r="F27"/>
  <c r="F34"/>
  <c r="F21"/>
  <c r="G23"/>
  <c r="F10"/>
  <c r="G36"/>
  <c r="F25"/>
  <c r="G17"/>
  <c r="F36"/>
  <c r="F20"/>
  <c r="F30"/>
  <c r="F31"/>
  <c r="G24"/>
  <c r="F26"/>
  <c r="G27"/>
  <c r="F16"/>
  <c r="F28"/>
  <c r="F35"/>
</calcChain>
</file>

<file path=xl/sharedStrings.xml><?xml version="1.0" encoding="utf-8"?>
<sst xmlns="http://schemas.openxmlformats.org/spreadsheetml/2006/main" count="2428" uniqueCount="965">
  <si>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</si>
  <si>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</si>
  <si>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</si>
  <si>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</si>
  <si>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</si>
  <si>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</si>
  <si>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</si>
  <si>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</si>
  <si>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</si>
  <si>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</si>
  <si>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</si>
  <si>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</si>
  <si>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</si>
  <si>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</si>
  <si>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</si>
  <si>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</si>
  <si>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</si>
  <si>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</si>
  <si>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</si>
  <si>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</si>
  <si>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</si>
  <si>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</si>
  <si>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</si>
  <si>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</si>
  <si>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</si>
  <si>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</si>
  <si>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</si>
  <si>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</si>
  <si>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</si>
  <si>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</si>
  <si>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</si>
  <si>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</si>
  <si>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</si>
  <si>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</si>
  <si>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</si>
  <si>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</si>
  <si>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</si>
  <si>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</si>
  <si>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</si>
  <si>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</si>
  <si>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foreign</t>
  </si>
  <si>
    <t>references('id')</t>
  </si>
  <si>
    <t>onUpdate('cascade')</t>
  </si>
  <si>
    <t>onDelete('cascade')</t>
  </si>
  <si>
    <t>enum</t>
  </si>
  <si>
    <t>type</t>
  </si>
  <si>
    <t>relate_resource</t>
  </si>
  <si>
    <t>onDelete('set null')</t>
  </si>
  <si>
    <t>title_field</t>
  </si>
  <si>
    <t>relation</t>
  </si>
  <si>
    <t>items_per_page</t>
  </si>
  <si>
    <t>action_text</t>
  </si>
  <si>
    <t>list</t>
  </si>
  <si>
    <t>size</t>
  </si>
  <si>
    <t>Statement</t>
  </si>
  <si>
    <t>Column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</si>
  <si>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</si>
  <si>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</si>
  <si>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</si>
  <si>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</si>
  <si>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</si>
  <si>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</si>
  <si>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</si>
  <si>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</si>
  <si>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</si>
  <si>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</si>
  <si>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</si>
  <si>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</si>
  <si>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</si>
  <si>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</si>
  <si>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</si>
  <si>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</si>
  <si>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</si>
  <si>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</si>
  <si>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</si>
  <si>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</si>
  <si>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</si>
  <si>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</si>
  <si>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</si>
  <si>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</si>
  <si>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</si>
  <si>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</si>
  <si>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</si>
  <si>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</si>
  <si>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</si>
  <si>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users</t>
  </si>
  <si>
    <t>Groups</t>
  </si>
  <si>
    <t>Users</t>
  </si>
  <si>
    <t>Roles</t>
  </si>
  <si>
    <t>organisation</t>
  </si>
  <si>
    <t>organisation_contacts</t>
  </si>
  <si>
    <t>detail</t>
  </si>
  <si>
    <t>Resource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</si>
  <si>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</si>
  <si>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</si>
  <si>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</si>
  <si>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</si>
  <si>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</si>
  <si>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</si>
  <si>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</si>
  <si>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</si>
  <si>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email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</si>
  <si>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</si>
  <si>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</si>
  <si>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</si>
  <si>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</si>
  <si>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</si>
  <si>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</si>
  <si>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</si>
  <si>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</si>
  <si>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</si>
  <si>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</si>
  <si>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Model NS</t>
  </si>
  <si>
    <t>Resource Actions</t>
  </si>
  <si>
    <t>ResourceAction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</si>
  <si>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</si>
  <si>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</si>
  <si>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</si>
  <si>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</si>
  <si>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</si>
  <si>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</si>
  <si>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</si>
  <si>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</si>
  <si>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</si>
  <si>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actions</t>
  </si>
  <si>
    <t>actions_availability</t>
  </si>
  <si>
    <t>Lists</t>
  </si>
  <si>
    <t>Data</t>
  </si>
  <si>
    <t>Forms</t>
  </si>
  <si>
    <t>Form 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</si>
  <si>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</si>
  <si>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</si>
  <si>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</si>
  <si>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</si>
  <si>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</si>
  <si>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</si>
  <si>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</si>
  <si>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</si>
  <si>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</si>
  <si>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</si>
  <si>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</si>
  <si>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</si>
  <si>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</si>
  <si>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</si>
  <si>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</si>
  <si>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</si>
  <si>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</si>
  <si>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</si>
  <si>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</si>
  <si>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</si>
  <si>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</si>
  <si>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</si>
  <si>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</si>
  <si>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</si>
  <si>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</si>
  <si>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</si>
  <si>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</si>
  <si>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resource_form_field_options</t>
  </si>
  <si>
    <t>value_attr</t>
  </si>
  <si>
    <t>label_attr</t>
  </si>
  <si>
    <t>preload</t>
  </si>
  <si>
    <t>['Yes','No']</t>
  </si>
  <si>
    <t>default('Yes')</t>
  </si>
  <si>
    <t>Field Options</t>
  </si>
  <si>
    <t>Field Validations</t>
  </si>
  <si>
    <t>Form Defaults</t>
  </si>
  <si>
    <t>Field Data</t>
  </si>
  <si>
    <t>ResourceList</t>
  </si>
  <si>
    <t>List Scopes</t>
  </si>
  <si>
    <t>ResourceData</t>
  </si>
  <si>
    <t>Data Relations</t>
  </si>
  <si>
    <t>Resource Data</t>
  </si>
  <si>
    <t>resource_list_layout</t>
  </si>
  <si>
    <t>field</t>
  </si>
  <si>
    <t>List Layout</t>
  </si>
  <si>
    <t>resource_data_scopes</t>
  </si>
  <si>
    <t>nest_relation1</t>
  </si>
  <si>
    <t>nest_relation2</t>
  </si>
  <si>
    <t>nest_relation3</t>
  </si>
  <si>
    <t>resource_form_layout</t>
  </si>
  <si>
    <t>colspan</t>
  </si>
  <si>
    <t>Form Layout</t>
  </si>
  <si>
    <t>resource_data_view_sections</t>
  </si>
  <si>
    <t>resource_data_view_section_items</t>
  </si>
  <si>
    <t>Data View Section</t>
  </si>
  <si>
    <t>Data View Section Items</t>
  </si>
  <si>
    <t>FormWithData</t>
  </si>
  <si>
    <t>default('No')</t>
  </si>
  <si>
    <t>resource_form_collection</t>
  </si>
  <si>
    <t>Collection Form</t>
  </si>
  <si>
    <t>Form Collection</t>
  </si>
  <si>
    <t>foreign_field</t>
  </si>
  <si>
    <t>Length/Enum</t>
  </si>
  <si>
    <t>Data Scopes</t>
  </si>
  <si>
    <t>resource_list_search</t>
  </si>
  <si>
    <t>List Search</t>
  </si>
  <si>
    <t>resource_form_field_depends</t>
  </si>
  <si>
    <t>depend_field</t>
  </si>
  <si>
    <t>db_field</t>
  </si>
  <si>
    <t>operator</t>
  </si>
  <si>
    <t>compare_method</t>
  </si>
  <si>
    <t>Field 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</si>
  <si>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</si>
  <si>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</si>
  <si>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</si>
  <si>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</si>
  <si>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</si>
  <si>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resource_dashboard_section_items</t>
  </si>
  <si>
    <t>Dashboard Sections</t>
  </si>
  <si>
    <t>Dashboard Section Items</t>
  </si>
  <si>
    <t>Resource Metrics</t>
  </si>
  <si>
    <t>Resource Dashboard</t>
  </si>
  <si>
    <t>resource_form_field_dynamic</t>
  </si>
  <si>
    <t>alter_on</t>
  </si>
  <si>
    <t>Field 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</si>
  <si>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</si>
  <si>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</si>
  <si>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</si>
  <si>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</si>
  <si>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</si>
  <si>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</si>
  <si>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</si>
  <si>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</si>
  <si>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</si>
  <si>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</si>
  <si>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</si>
  <si>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</si>
  <si>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</si>
  <si>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</si>
  <si>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</si>
  <si>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</si>
  <si>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code</t>
  </si>
  <si>
    <t>char</t>
  </si>
  <si>
    <t>Last ID</t>
  </si>
  <si>
    <t>AI Change Query</t>
  </si>
  <si>
    <t>development</t>
  </si>
  <si>
    <t>Form Upload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</si>
  <si>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</si>
  <si>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</si>
  <si>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</si>
  <si>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</si>
  <si>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</si>
  <si>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</si>
  <si>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</si>
  <si>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</si>
  <si>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</si>
  <si>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</si>
  <si>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</si>
  <si>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</si>
  <si>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</si>
  <si>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</si>
  <si>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</si>
  <si>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</si>
  <si>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</si>
  <si>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</si>
  <si>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</si>
  <si>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</si>
  <si>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</si>
  <si>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</si>
  <si>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</si>
  <si>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</si>
  <si>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</si>
  <si>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</si>
  <si>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</si>
  <si>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</si>
  <si>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</si>
  <si>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</si>
  <si>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</si>
  <si>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</si>
  <si>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</si>
  <si>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</si>
  <si>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</si>
  <si>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</si>
  <si>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</si>
  <si>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</si>
  <si>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</si>
  <si>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</si>
  <si>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</si>
  <si>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</si>
  <si>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</si>
  <si>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</si>
  <si>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</si>
  <si>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</si>
  <si>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</si>
  <si>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</si>
  <si>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</si>
  <si>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</si>
  <si>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</si>
  <si>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</si>
  <si>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</si>
  <si>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</si>
  <si>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</si>
  <si>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</si>
  <si>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</si>
  <si>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</si>
  <si>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</si>
  <si>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</si>
  <si>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</si>
  <si>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</si>
  <si>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</si>
  <si>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</si>
  <si>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</si>
  <si>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</si>
  <si>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</si>
  <si>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</si>
  <si>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</si>
  <si>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</si>
  <si>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</si>
  <si>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</si>
  <si>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</si>
  <si>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</si>
  <si>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</si>
  <si>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</si>
  <si>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</si>
  <si>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</si>
  <si>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</si>
  <si>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</si>
  <si>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</si>
  <si>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</si>
  <si>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</si>
  <si>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</si>
  <si>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</si>
  <si>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</si>
  <si>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</si>
  <si>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</si>
  <si>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</si>
  <si>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</si>
  <si>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</si>
  <si>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</si>
  <si>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</si>
  <si>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</si>
  <si>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</si>
  <si>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</si>
  <si>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</si>
  <si>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</si>
  <si>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</si>
  <si>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</si>
  <si>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</si>
  <si>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</si>
  <si>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</si>
  <si>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</si>
  <si>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</si>
  <si>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</si>
  <si>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</si>
  <si>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</si>
  <si>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</si>
  <si>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</si>
  <si>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</si>
  <si>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</si>
  <si>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</si>
  <si>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</si>
  <si>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</si>
  <si>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</si>
  <si>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</si>
  <si>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</si>
  <si>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</si>
  <si>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</si>
  <si>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</si>
  <si>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</si>
  <si>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</si>
  <si>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</si>
  <si>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</si>
  <si>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</si>
  <si>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</si>
  <si>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</si>
  <si>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</si>
  <si>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</si>
  <si>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</si>
  <si>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</si>
  <si>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</si>
  <si>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</si>
  <si>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</si>
  <si>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</si>
  <si>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</si>
  <si>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</si>
  <si>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</si>
  <si>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</si>
  <si>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</si>
  <si>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</si>
  <si>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</si>
  <si>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</si>
  <si>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</si>
  <si>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</si>
  <si>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</si>
  <si>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</si>
  <si>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</si>
  <si>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</si>
  <si>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</si>
  <si>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</si>
  <si>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</si>
  <si>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</si>
  <si>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</si>
  <si>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</si>
  <si>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</si>
  <si>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</si>
  <si>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</si>
  <si>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</si>
  <si>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</si>
  <si>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</si>
  <si>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</si>
  <si>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</si>
  <si>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</si>
  <si>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</si>
  <si>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</si>
  <si>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</si>
  <si>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</si>
  <si>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</si>
  <si>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</si>
  <si>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</si>
  <si>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</si>
  <si>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</si>
  <si>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</si>
  <si>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</si>
  <si>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</si>
  <si>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</si>
  <si>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</si>
  <si>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</si>
  <si>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</si>
  <si>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</si>
  <si>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</si>
  <si>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</si>
  <si>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</si>
  <si>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</si>
  <si>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</si>
  <si>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</si>
  <si>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</si>
  <si>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</si>
  <si>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</si>
  <si>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</si>
  <si>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</si>
  <si>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</si>
  <si>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</si>
  <si>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</si>
  <si>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</si>
  <si>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</si>
  <si>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</si>
  <si>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</si>
  <si>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</si>
  <si>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</si>
  <si>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</si>
  <si>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</si>
  <si>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</si>
  <si>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products</t>
  </si>
  <si>
    <t>product_images</t>
  </si>
  <si>
    <t>visitors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</si>
  <si>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</si>
  <si>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</si>
  <si>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</si>
  <si>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</si>
  <si>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</si>
  <si>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</si>
  <si>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refno</t>
  </si>
  <si>
    <t>type_public</t>
  </si>
  <si>
    <t>status</t>
  </si>
  <si>
    <t>name_nullable</t>
  </si>
  <si>
    <t>narration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</si>
  <si>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</si>
  <si>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</si>
  <si>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</si>
  <si>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</si>
  <si>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</si>
  <si>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</si>
  <si>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</si>
  <si>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</si>
  <si>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</si>
  <si>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itemserial</t>
  </si>
  <si>
    <t>product_type</t>
  </si>
  <si>
    <t>product</t>
  </si>
  <si>
    <t>image</t>
  </si>
  <si>
    <t>default_enum</t>
  </si>
  <si>
    <t>product_foreign</t>
  </si>
  <si>
    <t>number</t>
  </si>
  <si>
    <t>wishlist_author</t>
  </si>
  <si>
    <t>author_foreign</t>
  </si>
  <si>
    <t>visitor</t>
  </si>
  <si>
    <t>wishlist</t>
  </si>
  <si>
    <t>viewed</t>
  </si>
  <si>
    <t>visitor_foreign</t>
  </si>
  <si>
    <t>wishlist_foreign</t>
  </si>
  <si>
    <t>note</t>
  </si>
  <si>
    <t>note_author</t>
  </si>
  <si>
    <t>added_by</t>
  </si>
  <si>
    <t>added_on</t>
  </si>
  <si>
    <t>removed_by</t>
  </si>
  <si>
    <t>removed_on</t>
  </si>
  <si>
    <t>product_status</t>
  </si>
  <si>
    <t>added_by_foreign</t>
  </si>
  <si>
    <t>removed_by_foreign</t>
  </si>
  <si>
    <t>wishlist_product</t>
  </si>
  <si>
    <t>wishlist_product_foreign</t>
  </si>
  <si>
    <t>['Public','Protected','System']</t>
  </si>
  <si>
    <t>default('Public')</t>
  </si>
  <si>
    <t>web_list</t>
  </si>
  <si>
    <t>author</t>
  </si>
  <si>
    <t>['Active','Inactive']</t>
  </si>
  <si>
    <t>default('Active')</t>
  </si>
  <si>
    <t>brand</t>
  </si>
  <si>
    <t>category</t>
  </si>
  <si>
    <t>no</t>
  </si>
  <si>
    <t>detail1</t>
  </si>
  <si>
    <t>detail2</t>
  </si>
  <si>
    <t>detail3</t>
  </si>
  <si>
    <t>detail4</t>
  </si>
  <si>
    <t>detail5</t>
  </si>
  <si>
    <t>['Public','Private']</t>
  </si>
  <si>
    <t>stock</t>
  </si>
  <si>
    <t>default</t>
  </si>
  <si>
    <t>timestamp</t>
  </si>
  <si>
    <t>default(DB::raw('CURRENT_TIMESTAMP'))</t>
  </si>
  <si>
    <t>default(DB::raw('CURRENT_TIMESTAMP ON UPDATE CURRENT_TIMESTAMP'))</t>
  </si>
  <si>
    <t>brand_foreign</t>
  </si>
  <si>
    <t>on('brands')</t>
  </si>
  <si>
    <t>category_foreign</t>
  </si>
  <si>
    <t>on('categories')</t>
  </si>
  <si>
    <t>on('products')</t>
  </si>
  <si>
    <t>on('visitors')</t>
  </si>
  <si>
    <t>on('wishlists')</t>
  </si>
  <si>
    <t>on('wishlist_products')</t>
  </si>
  <si>
    <t>audits</t>
  </si>
  <si>
    <t>group_master</t>
  </si>
  <si>
    <t>eplus_code</t>
  </si>
  <si>
    <t>group_master_foreign</t>
  </si>
  <si>
    <t>product_group_01</t>
  </si>
  <si>
    <t>refno2</t>
  </si>
  <si>
    <t>product_group_10</t>
  </si>
  <si>
    <t>product_group_02</t>
  </si>
  <si>
    <t>product_group_03</t>
  </si>
  <si>
    <t>product_group_04</t>
  </si>
  <si>
    <t>product_group_05</t>
  </si>
  <si>
    <t>product_group_06</t>
  </si>
  <si>
    <t>product_group_07</t>
  </si>
  <si>
    <t>product_group_08</t>
  </si>
  <si>
    <t>product_group_09</t>
  </si>
  <si>
    <t>product_group_01_foreign</t>
  </si>
  <si>
    <t>product_group_02_foreign</t>
  </si>
  <si>
    <t>product_group_03_foreign</t>
  </si>
  <si>
    <t>product_group_04_foreign</t>
  </si>
  <si>
    <t>product_group_05_foreign</t>
  </si>
  <si>
    <t>product_group_06_foreign</t>
  </si>
  <si>
    <t>product_group_07_foreign</t>
  </si>
  <si>
    <t>product_group_08_foreign</t>
  </si>
  <si>
    <t>product_group_09_foreign</t>
  </si>
  <si>
    <t>product_group_10_foreign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</si>
  <si>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</si>
  <si>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</si>
  <si>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</si>
  <si>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</si>
  <si>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</si>
  <si>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</si>
  <si>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</si>
  <si>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</si>
  <si>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</si>
  <si>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</si>
  <si>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2018_11_29_000001_create_item_group_master_table.php</t>
  </si>
  <si>
    <t>2018_11_29_000002_create_products_table.php</t>
  </si>
  <si>
    <t>2018_11_29_000003_create_product_images_table.php</t>
  </si>
  <si>
    <t>2018_11_29_000004_create_visitors_table.php</t>
  </si>
  <si>
    <t>2018_11_29_000005_create_wishlists_table.php</t>
  </si>
  <si>
    <t>2018_11_29_000006_create_wishlist_products_table.php</t>
  </si>
  <si>
    <t>2018_11_29_000007_create_visitor_wishlists_table.php</t>
  </si>
  <si>
    <t>2018_11_29_000008_create_vendor_wishlists_table.php</t>
  </si>
  <si>
    <t>2018_11_29_000009_create_wishlist_notes_table.php</t>
  </si>
  <si>
    <t>2018_11_29_000010_create_wishlist_product_notes_table.php</t>
  </si>
  <si>
    <t>2019_02_11_092945_create_group_master_table.php</t>
  </si>
  <si>
    <t>audit</t>
  </si>
  <si>
    <t>group_details</t>
  </si>
  <si>
    <t>on('group_details')</t>
  </si>
  <si>
    <t>2019_02_11_095126_create_group_details_table.php</t>
  </si>
  <si>
    <t>on('group_master')</t>
  </si>
  <si>
    <t>Product</t>
  </si>
  <si>
    <t>Product Details</t>
  </si>
  <si>
    <t>Products</t>
  </si>
  <si>
    <t>ProductImage</t>
  </si>
  <si>
    <t>Images for a product</t>
  </si>
  <si>
    <t>Product Images</t>
  </si>
  <si>
    <t>Visitor</t>
  </si>
  <si>
    <t>Visitor Details</t>
  </si>
  <si>
    <t>Visitors</t>
  </si>
  <si>
    <t>Wishlist</t>
  </si>
  <si>
    <t>Wishlists created by author or visitor</t>
  </si>
  <si>
    <t>Wishlists</t>
  </si>
  <si>
    <t>VendorWishlist</t>
  </si>
  <si>
    <t>Wishlists which are shared with vendor</t>
  </si>
  <si>
    <t>VisitorWishlist</t>
  </si>
  <si>
    <t>Wishlists which are shared among other visitors</t>
  </si>
  <si>
    <t>WishlistNote</t>
  </si>
  <si>
    <t>Notes added by author or visitors on the basis of a Wishlist</t>
  </si>
  <si>
    <t>Notes</t>
  </si>
  <si>
    <t>WishlistProduct</t>
  </si>
  <si>
    <t>List of products which are added to a wishlist</t>
  </si>
  <si>
    <t>WishlistProductNote</t>
  </si>
  <si>
    <t>Notes related to a product in a wishlist</t>
  </si>
  <si>
    <t>ProductController</t>
  </si>
  <si>
    <t>VisitorController</t>
  </si>
  <si>
    <t>WishListController</t>
  </si>
  <si>
    <t>WishListProductController</t>
  </si>
  <si>
    <t>Milestone\PD\Controller</t>
  </si>
  <si>
    <t>hasMany</t>
  </si>
  <si>
    <t>belongsTo</t>
  </si>
  <si>
    <t>Size</t>
  </si>
  <si>
    <t>Color</t>
  </si>
  <si>
    <t>ProductImages</t>
  </si>
  <si>
    <t>Images of a product</t>
  </si>
  <si>
    <t>Images</t>
  </si>
  <si>
    <t>ProductWishlists</t>
  </si>
  <si>
    <t>Wishlists to which this product belongs to</t>
  </si>
  <si>
    <t>belongsToMany</t>
  </si>
  <si>
    <t>Wishlists which are created by a visitor</t>
  </si>
  <si>
    <t>VisitorWishlistShared</t>
  </si>
  <si>
    <t>Whishlists which are shared to a visitor</t>
  </si>
  <si>
    <t>SharedWishlist</t>
  </si>
  <si>
    <t>WishlistAuthor</t>
  </si>
  <si>
    <t>Author of a wishlist</t>
  </si>
  <si>
    <t>Author</t>
  </si>
  <si>
    <t>WishlistVendor</t>
  </si>
  <si>
    <t>Vendor state details of a wishlist</t>
  </si>
  <si>
    <t>Vendor</t>
  </si>
  <si>
    <t>hasOne</t>
  </si>
  <si>
    <t>WishlistVisitors</t>
  </si>
  <si>
    <t>Visitors to whom with a wishlist shared</t>
  </si>
  <si>
    <t>WishlistNotes</t>
  </si>
  <si>
    <t>Notes or Messages shared on this basis of a wishlist</t>
  </si>
  <si>
    <t>WishlistItems</t>
  </si>
  <si>
    <t>Item or product details in a wishlist</t>
  </si>
  <si>
    <t>Items</t>
  </si>
  <si>
    <t>WishlistProducts</t>
  </si>
  <si>
    <t>All products in a wishlist</t>
  </si>
  <si>
    <t>VisitorWishlistDetails</t>
  </si>
  <si>
    <t>Details of wishlist in a visitor wishlist</t>
  </si>
  <si>
    <t>VisitorWishlistVisitor</t>
  </si>
  <si>
    <t>Visitor details of a visitor wishlist entry</t>
  </si>
  <si>
    <t>WishlistNoteAuthor</t>
  </si>
  <si>
    <t>Author details of a message on wishlist</t>
  </si>
  <si>
    <t>WishlistProductWishlist</t>
  </si>
  <si>
    <t>Details of wishlist in a wishlist product entry</t>
  </si>
  <si>
    <t>WishlistProductAddedBy</t>
  </si>
  <si>
    <t>Visitor who added a product to wishlist</t>
  </si>
  <si>
    <t>Added</t>
  </si>
  <si>
    <t>WishlistProductRemovedBy</t>
  </si>
  <si>
    <t>Visitor who removed a product to wishlist</t>
  </si>
  <si>
    <t>Removed</t>
  </si>
  <si>
    <t>WishlistProductNotes</t>
  </si>
  <si>
    <t>Notes or Messages shared on this basis of a wishlist product</t>
  </si>
  <si>
    <t>WishlistProductDetails</t>
  </si>
  <si>
    <t>Details of a product in wishlist product entry</t>
  </si>
  <si>
    <t>WishlistProductNoteAuthor</t>
  </si>
  <si>
    <t>Author details of a message on wishlist product</t>
  </si>
  <si>
    <t>WishlistVisitorShare</t>
  </si>
  <si>
    <t>Share details of a wishlist</t>
  </si>
  <si>
    <t>Share</t>
  </si>
  <si>
    <t>Group01Products</t>
  </si>
  <si>
    <t>Group02Products</t>
  </si>
  <si>
    <t>Group03Products</t>
  </si>
  <si>
    <t>Group04Products</t>
  </si>
  <si>
    <t>Products of a group 1</t>
  </si>
  <si>
    <t>Products of a group 4</t>
  </si>
  <si>
    <t>Products of a group 3</t>
  </si>
  <si>
    <t>Products of a group 2</t>
  </si>
  <si>
    <t>GroupMaster</t>
  </si>
  <si>
    <t>GroupDetail</t>
  </si>
  <si>
    <t>Group names to which a product can be included</t>
  </si>
  <si>
    <t>Group items</t>
  </si>
  <si>
    <t>Group Masters</t>
  </si>
  <si>
    <t>Group Items</t>
  </si>
  <si>
    <t>Milestone\PD\Model</t>
  </si>
  <si>
    <t>Details of group 01 of this product belongs</t>
  </si>
  <si>
    <t>Details of group 02 of this product belongs</t>
  </si>
  <si>
    <t>Details of group 04 of this product belongs</t>
  </si>
  <si>
    <t>Details of group 03 of this product belongs</t>
  </si>
  <si>
    <t>ProductGroup02</t>
  </si>
  <si>
    <t>ProductGroup01</t>
  </si>
  <si>
    <t>ProductGroup04</t>
  </si>
  <si>
    <t>ProductGroup03</t>
  </si>
  <si>
    <t>AddProductImageForm</t>
  </si>
  <si>
    <t>Form to add image for a product</t>
  </si>
  <si>
    <t>Add Product Image</t>
  </si>
  <si>
    <t>Add Image</t>
  </si>
  <si>
    <t>ChangeImageStatus</t>
  </si>
  <si>
    <t>Make a product image status to active or inactive</t>
  </si>
  <si>
    <t>Change Image Status</t>
  </si>
  <si>
    <t>Update Status</t>
  </si>
  <si>
    <t>Add New Visitor</t>
  </si>
  <si>
    <t>Create a new visitor</t>
  </si>
  <si>
    <t>Add Visitor</t>
  </si>
  <si>
    <t>CreateNewWishlistForm</t>
  </si>
  <si>
    <t>A form to create a new wishlist</t>
  </si>
  <si>
    <t>Create Wish List</t>
  </si>
  <si>
    <t>UpdateWishlistForm</t>
  </si>
  <si>
    <t>Form used to update wishlist details</t>
  </si>
  <si>
    <t>Update Wish List Details</t>
  </si>
  <si>
    <t>AddWishlistVisitorForm</t>
  </si>
  <si>
    <t>Share wishlist with a visitor</t>
  </si>
  <si>
    <t>AddWishlistNote</t>
  </si>
  <si>
    <t>Add a message to wishlist</t>
  </si>
  <si>
    <t>New Message</t>
  </si>
  <si>
    <t>Add Message</t>
  </si>
  <si>
    <t>ChangeItemGroupWebListForm</t>
  </si>
  <si>
    <t>Change the item group web listing state</t>
  </si>
  <si>
    <t>Change Listing property</t>
  </si>
  <si>
    <t>text</t>
  </si>
  <si>
    <t>Product ID</t>
  </si>
  <si>
    <t>Name (if any)</t>
  </si>
  <si>
    <t>file</t>
  </si>
  <si>
    <t>Image File</t>
  </si>
  <si>
    <t>select</t>
  </si>
  <si>
    <t>Change Status to</t>
  </si>
  <si>
    <t>Visitors Name</t>
  </si>
  <si>
    <t>Email Address</t>
  </si>
  <si>
    <t>Contact Number</t>
  </si>
  <si>
    <t>Wish List Name</t>
  </si>
  <si>
    <t>textarea</t>
  </si>
  <si>
    <t>Description (if any)</t>
  </si>
  <si>
    <t>multiselect</t>
  </si>
  <si>
    <t>Select Products</t>
  </si>
  <si>
    <t>Select Visitor</t>
  </si>
  <si>
    <t>Message/Note</t>
  </si>
  <si>
    <t>List on Web</t>
  </si>
  <si>
    <t>ProductImage/AddProductImageForm</t>
  </si>
  <si>
    <t>ProductImage/ChangeImageStatus</t>
  </si>
  <si>
    <t>Visitor/Add New Visitor</t>
  </si>
  <si>
    <t>Wishlist/CreateNewWishlistForm</t>
  </si>
  <si>
    <t>Wishlist/UpdateWishlistForm</t>
  </si>
  <si>
    <t>Visitor/AddWishlistVisitorForm</t>
  </si>
  <si>
    <t>WishlistNote/AddWishlistNote</t>
  </si>
  <si>
    <t>GroupDetail/ChangeItemGroupWebListForm</t>
  </si>
  <si>
    <t>Wishlist/Products</t>
  </si>
  <si>
    <t>Group01</t>
  </si>
  <si>
    <t>Group02</t>
  </si>
  <si>
    <t>Group03</t>
  </si>
  <si>
    <t>Group04</t>
  </si>
  <si>
    <t>Enum</t>
  </si>
  <si>
    <t>ProductImage/ChangeImageStatus/status</t>
  </si>
  <si>
    <t>GroupDetail/ChangeItemGroupWebListForm/list</t>
  </si>
  <si>
    <t>inline</t>
  </si>
  <si>
    <t>Categories</t>
  </si>
  <si>
    <t>Brands</t>
  </si>
  <si>
    <t>ProductsList</t>
  </si>
  <si>
    <t>Liast all products</t>
  </si>
  <si>
    <t>VisitorsList</t>
  </si>
  <si>
    <t>List all visitors</t>
  </si>
  <si>
    <t>WishlistsList</t>
  </si>
  <si>
    <t>List all wishlists</t>
  </si>
  <si>
    <t>List all wshlists in which shared with vendor</t>
  </si>
  <si>
    <t>WishlistNotesList</t>
  </si>
  <si>
    <t>Messages for a wishlist</t>
  </si>
  <si>
    <t>Messages/Notes</t>
  </si>
  <si>
    <t>ProductImagesList</t>
  </si>
  <si>
    <t>List product images</t>
  </si>
  <si>
    <t>WishlistItemsList</t>
  </si>
  <si>
    <t>List items in a wishlist</t>
  </si>
  <si>
    <t>Group01List</t>
  </si>
  <si>
    <t>Group02List</t>
  </si>
  <si>
    <t>Group03List</t>
  </si>
  <si>
    <t>Group04List</t>
  </si>
  <si>
    <t>List all group 04</t>
  </si>
  <si>
    <t>List all group 01</t>
  </si>
  <si>
    <t>List all group 02</t>
  </si>
  <si>
    <t>List all group 03</t>
  </si>
  <si>
    <t>WishlistVendorActive</t>
  </si>
  <si>
    <t>vendorShare</t>
  </si>
  <si>
    <t>ImageStatus</t>
  </si>
  <si>
    <t>Get image status</t>
  </si>
  <si>
    <t>statusOnly</t>
  </si>
  <si>
    <t>Item group which are listable on web</t>
  </si>
  <si>
    <t>web</t>
  </si>
  <si>
    <t>Get list property</t>
  </si>
  <si>
    <t>listOnly</t>
  </si>
  <si>
    <t>Group 01 Items</t>
  </si>
  <si>
    <t>Group 02 Items</t>
  </si>
  <si>
    <t>Group 03 Items</t>
  </si>
  <si>
    <t>Group 04 Items</t>
  </si>
  <si>
    <t>GroupWeb</t>
  </si>
  <si>
    <t>GroupList</t>
  </si>
  <si>
    <t>GroupDetail/Group01List</t>
  </si>
  <si>
    <t>GroupDetail/Group02List</t>
  </si>
  <si>
    <t>GroupDetail/Group03List</t>
  </si>
  <si>
    <t>GroupDetail/Group04List</t>
  </si>
  <si>
    <t>GroupDetail/Group01</t>
  </si>
  <si>
    <t>GroupDetail/Group03</t>
  </si>
  <si>
    <t>GroupDetail/Group02</t>
  </si>
  <si>
    <t>GroupDetail/Group04</t>
  </si>
  <si>
    <t>Wishlist/WishlistVendorActive</t>
  </si>
  <si>
    <t>Wishlist/VendorWishlist</t>
  </si>
  <si>
    <t>Product/ProductsList</t>
  </si>
  <si>
    <t>Product/Group01</t>
  </si>
  <si>
    <t>Product/Group02</t>
  </si>
  <si>
    <t>Product/Group03</t>
  </si>
  <si>
    <t>Product/Group04</t>
  </si>
  <si>
    <t>Wishlist/WishlistsList</t>
  </si>
  <si>
    <t>WishlistNote/WishlistNotesList</t>
  </si>
  <si>
    <t>Wishlist/Author</t>
  </si>
  <si>
    <t>WishlistNote/Author</t>
  </si>
  <si>
    <t>WishlistProduct/WishlistItemsList</t>
  </si>
  <si>
    <t>WishlistProduct/Product</t>
  </si>
  <si>
    <t>WishlistProduct/Added</t>
  </si>
  <si>
    <t>WishlistProduct/Removed</t>
  </si>
  <si>
    <t>Visitor/VisitorsList</t>
  </si>
  <si>
    <t>ProductImage/ProductImagesList</t>
  </si>
  <si>
    <t>Web List</t>
  </si>
  <si>
    <t>Status</t>
  </si>
  <si>
    <t>Code</t>
  </si>
  <si>
    <t>Gender</t>
  </si>
  <si>
    <t>Email</t>
  </si>
  <si>
    <t>Number</t>
  </si>
  <si>
    <t>Added By</t>
  </si>
  <si>
    <t>Removed By</t>
  </si>
  <si>
    <t>VisitorDetails</t>
  </si>
  <si>
    <t>View all details of a visitor</t>
  </si>
  <si>
    <t>ProductImageStatus</t>
  </si>
  <si>
    <t>Get status of product image</t>
  </si>
  <si>
    <t>WishlistDetails</t>
  </si>
  <si>
    <t>Getall details of a wishlist</t>
  </si>
  <si>
    <t>GetListDetail</t>
  </si>
  <si>
    <t>GroupDetail/GetListDetail</t>
  </si>
  <si>
    <t>GroupDetail/GroupList</t>
  </si>
  <si>
    <t>Visitor/VisitorDetails</t>
  </si>
  <si>
    <t>Wishlist/WishlistDetails</t>
  </si>
  <si>
    <t>Visitor/Wishlists</t>
  </si>
  <si>
    <t>Visitor/SharedWishlist</t>
  </si>
  <si>
    <t>Wishlist/Vendor</t>
  </si>
  <si>
    <t>Wishlist/Visitors</t>
  </si>
  <si>
    <t>Wishlist/Notes</t>
  </si>
  <si>
    <t>Wishlist/Items</t>
  </si>
  <si>
    <t>Wish Lists</t>
  </si>
  <si>
    <t>Shared Wishlists</t>
  </si>
  <si>
    <t>Sharing With</t>
  </si>
  <si>
    <t>Visitor/VisitorDetails/1</t>
  </si>
  <si>
    <t>Visitor/VisitorDetails/2</t>
  </si>
  <si>
    <t>Visitor/VisitorDetails/3</t>
  </si>
  <si>
    <t>Wishlist/WishlistDetails/4</t>
  </si>
  <si>
    <t>Wishlist/WishlistDetails/5</t>
  </si>
  <si>
    <t>Wishlist/WishlistDetails/6</t>
  </si>
  <si>
    <t>Wishlist/WishlistDetails/7</t>
  </si>
  <si>
    <t>Shared with Vendor</t>
  </si>
  <si>
    <t>Note</t>
  </si>
  <si>
    <t>ProductsListAction</t>
  </si>
  <si>
    <t>Action to list all products</t>
  </si>
  <si>
    <t>VisitorListAction</t>
  </si>
  <si>
    <t>Action to list all visitor</t>
  </si>
  <si>
    <t>VisitorAddAction</t>
  </si>
  <si>
    <t>Action to add a visitor</t>
  </si>
  <si>
    <t>Create Visitor</t>
  </si>
  <si>
    <t>WishlistListAction</t>
  </si>
  <si>
    <t>Action to list all wishlist</t>
  </si>
  <si>
    <t>WishlistCreateAction</t>
  </si>
  <si>
    <t>Action to create a wishlist</t>
  </si>
  <si>
    <t>Create a Wish List</t>
  </si>
  <si>
    <t>VendorWishlistAction</t>
  </si>
  <si>
    <t>Action to list all wishlists which are shared with vendor</t>
  </si>
  <si>
    <t>Vendor Wishlists</t>
  </si>
  <si>
    <t>AddProductImageAction</t>
  </si>
  <si>
    <t>Action to add a image for a product</t>
  </si>
  <si>
    <t>ProductImagesListAction</t>
  </si>
  <si>
    <t>Action to list all images of a product</t>
  </si>
  <si>
    <t>ImageStatusChangeAction</t>
  </si>
  <si>
    <t>Action to change status of a image</t>
  </si>
  <si>
    <t>VisitorWishlistListAction</t>
  </si>
  <si>
    <t>Action to list all wishlists of a visitor</t>
  </si>
  <si>
    <t>Own Wishlists</t>
  </si>
  <si>
    <t>VisitorSharedWishlistListAction</t>
  </si>
  <si>
    <t>Action to list all wishlist shared with this visitor</t>
  </si>
  <si>
    <t>WishlistSharesListAction</t>
  </si>
  <si>
    <t>Action to list all vistors whom with wishlist shared</t>
  </si>
  <si>
    <t>Shares</t>
  </si>
  <si>
    <t>WishlistProductsListAction</t>
  </si>
  <si>
    <t>List Item details of a wishlist</t>
  </si>
  <si>
    <t>View Items</t>
  </si>
  <si>
    <t>VisitorDetailsAction</t>
  </si>
  <si>
    <t>Action to view details of a visitor</t>
  </si>
  <si>
    <t>Details</t>
  </si>
  <si>
    <t>WishlistMessagesListAction</t>
  </si>
  <si>
    <t>Action to list all messages in a wishlist</t>
  </si>
  <si>
    <t>View Messages</t>
  </si>
  <si>
    <t>ManageWishlistProductsAction</t>
  </si>
  <si>
    <t>Action to manage products in a wishlist</t>
  </si>
  <si>
    <t>Add/Remove Products</t>
  </si>
  <si>
    <t>ShareWishlistAction</t>
  </si>
  <si>
    <t>Action to share wishlist with a visitor</t>
  </si>
  <si>
    <t>Share Wish List</t>
  </si>
  <si>
    <t>WishlistDetailsAction</t>
  </si>
  <si>
    <t>Action to view details of a wishlist</t>
  </si>
  <si>
    <t>UpdateWishlistDetailsAction</t>
  </si>
  <si>
    <t>Action to update wish list details</t>
  </si>
  <si>
    <t>AddWishlistNoteAction</t>
  </si>
  <si>
    <t>Action to add wishlist message</t>
  </si>
  <si>
    <t>Add Note</t>
  </si>
  <si>
    <t>AlterWebListAction</t>
  </si>
  <si>
    <t>Action to alter web listing of a item group</t>
  </si>
  <si>
    <t>Alter Web Listing</t>
  </si>
  <si>
    <t>ListRelation</t>
  </si>
  <si>
    <t>AddRelation</t>
  </si>
  <si>
    <t>ManageRelation</t>
  </si>
  <si>
    <t>(Lists) Group01List</t>
  </si>
  <si>
    <t>(Lists) Group02List</t>
  </si>
  <si>
    <t>(Lists) Group03List</t>
  </si>
  <si>
    <t>(Lists) Group04List</t>
  </si>
  <si>
    <t>(Lists) ProductsList</t>
  </si>
  <si>
    <t>(Lists) VisitorsList</t>
  </si>
  <si>
    <t>(Forms) Visitor/Add New Visitor</t>
  </si>
  <si>
    <t>(Lists) WishlistsList</t>
  </si>
  <si>
    <t>(Forms) Wishlist/CreateNewWishlistForm</t>
  </si>
  <si>
    <t>(Lists) VendorWishlist</t>
  </si>
  <si>
    <t>(Relation) GroupDetail/Group01Products</t>
  </si>
  <si>
    <t>(Relation) GroupDetail/Group02Products</t>
  </si>
  <si>
    <t>(Relation) GroupDetail/Group03Products</t>
  </si>
  <si>
    <t>(Relation) GroupDetail/Group04Products</t>
  </si>
  <si>
    <t>(Relation) Product/Images</t>
  </si>
  <si>
    <t>(Forms) ProductImage/ChangeImageStatus</t>
  </si>
  <si>
    <t>(Relation) Visitor/Wishlists</t>
  </si>
  <si>
    <t>(Relation) Visitor/SharedWishlist</t>
  </si>
  <si>
    <t>(Relation) Wishlist/Visitors</t>
  </si>
  <si>
    <t>(Relation) Wishlist/Items</t>
  </si>
  <si>
    <t>(Data) VisitorDetails</t>
  </si>
  <si>
    <t>(Relation) Wishlist/Notes</t>
  </si>
  <si>
    <t>(Relation) Wishlist/Products</t>
  </si>
  <si>
    <t>(Relation) Wishlist/Share</t>
  </si>
  <si>
    <t>(Data) WishlistDetails</t>
  </si>
  <si>
    <t>(Forms) Wishlist/UpdateWishlistForm</t>
  </si>
  <si>
    <t>(Forms) GroupDetail/ChangeItemGroupWebListForm</t>
  </si>
  <si>
    <t>(Forms) ProductImage/AddProductImageForm</t>
  </si>
  <si>
    <t>(Lists) ProductImagesList</t>
  </si>
  <si>
    <t>(Data) ProductImageStatus</t>
  </si>
  <si>
    <t>(Lists) WishlistItemsList</t>
  </si>
  <si>
    <t>(Lists) WishlistNotesList</t>
  </si>
  <si>
    <t>(Forms) Visitor/AddWishlistVisitorForm</t>
  </si>
  <si>
    <t>(Forms) WishlistNote/AddWishlistNote</t>
  </si>
  <si>
    <t>(Data) GetListDetail</t>
  </si>
  <si>
    <t>Product/AddProductImageAction</t>
  </si>
  <si>
    <t>Product/ProductImagesListAction</t>
  </si>
  <si>
    <t>ProductImage/ImageStatusChangeAction</t>
  </si>
  <si>
    <t>Visitor/VisitorWishlistListAction</t>
  </si>
  <si>
    <t>Visitor/VisitorSharedWishlistListAction</t>
  </si>
  <si>
    <t>Wishlist/WishlistSharesListAction</t>
  </si>
  <si>
    <t>Wishlist/WishlistProductsListAction</t>
  </si>
  <si>
    <t>Visitor/VisitorDetailsAction</t>
  </si>
  <si>
    <t>Wishlist/WishlistMessagesListAction</t>
  </si>
  <si>
    <t>Wishlist/ManageWishlistProductsAction</t>
  </si>
  <si>
    <t>Wishlist/ShareWishlistAction</t>
  </si>
  <si>
    <t>Wishlist/WishlistDetailsAction</t>
  </si>
  <si>
    <t>Wishlist/UpdateWishlistDetailsAction</t>
  </si>
  <si>
    <t>Wishlist/AddWishlistNoteAction</t>
  </si>
  <si>
    <t>GroupDetail/AlterWebListAction</t>
  </si>
  <si>
    <t>[[Primary]:[Colspan]]</t>
  </si>
  <si>
    <t>Group 01</t>
  </si>
  <si>
    <t>Group 02</t>
  </si>
  <si>
    <t>Group01ListAction</t>
  </si>
  <si>
    <t>Group04ListAction</t>
  </si>
  <si>
    <t>Group02ListAction</t>
  </si>
  <si>
    <t>Group03ListAction</t>
  </si>
  <si>
    <t>Action to call list of items in group 01</t>
  </si>
  <si>
    <t>Action to call list of items in group 04</t>
  </si>
  <si>
    <t>Action to call list of items in group 03</t>
  </si>
  <si>
    <t>Action to call list of items in group 02</t>
  </si>
  <si>
    <t>Group01ProductsListAction</t>
  </si>
  <si>
    <t>Group02ProductsListAction</t>
  </si>
  <si>
    <t>Group03ProductsListAction</t>
  </si>
  <si>
    <t>Group04ProductsListAction</t>
  </si>
  <si>
    <t>Action to list all products of group 01</t>
  </si>
  <si>
    <t>Action to list all products of group 04</t>
  </si>
  <si>
    <t>Action to list all products of group 03</t>
  </si>
  <si>
    <t>Action to list all products of group 02</t>
  </si>
  <si>
    <t>GroupDetail/Group01ProductsListAction</t>
  </si>
  <si>
    <t>GroupDetail/Group02ProductsListAction</t>
  </si>
  <si>
    <t>GroupDetail/Group03ProductsListAction</t>
  </si>
  <si>
    <t>GroupDetail/Group04ProductsListAction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</si>
</sst>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NumberFormat="1" applyFont="1" applyFill="1"/>
    <xf numFmtId="0" fontId="2" fillId="0" borderId="0" xfId="0" applyFont="1" applyFill="1"/>
    <xf numFmtId="0" fontId="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left"/>
    </xf>
    <xf numFmtId="0" fontId="14" fillId="3" borderId="0" xfId="0" applyFont="1" applyFill="1"/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56" totalsRowShown="0" dataDxfId="461">
  <autoFilter ref="A1:J56"/>
  <tableColumns count="10">
    <tableColumn id="2" name="Name" dataDxfId="460"/>
    <tableColumn id="10" name="Table" dataDxfId="459">
      <calculatedColumnFormula>"__"&amp;[Name]</calculatedColumnFormula>
    </tableColumn>
    <tableColumn id="5" name="Singular Name" dataDxfId="458">
      <calculatedColumnFormula>IF(RIGHT([Name],3)="ies",MID([Name],1,LEN([Name])-3)&amp;"y",IF(RIGHT([Name],1)="s",MID([Name],1,LEN([Name])-1),[Name]))</calculatedColumnFormula>
    </tableColumn>
    <tableColumn id="8" name="Model NS" dataDxfId="457">
      <calculatedColumnFormula>"Milestone\Appframe\Model"</calculatedColumnFormula>
    </tableColumn>
    <tableColumn id="4" name="Class Name" dataDxfId="456">
      <calculatedColumnFormula>SUBSTITUTE(PROPER([Singular Name]),"_","")</calculatedColumnFormula>
    </tableColumn>
    <tableColumn id="1" name="Migration Artisan" dataDxfId="455">
      <calculatedColumnFormula>"php artisan make:migration create_"&amp;[Table]&amp;"_table --create="&amp;[Table]</calculatedColumnFormula>
    </tableColumn>
    <tableColumn id="6" name="Model Artisan" dataDxfId="454">
      <calculatedColumnFormula>"php artisan make:model "&amp;[Class Name]</calculatedColumnFormula>
    </tableColumn>
    <tableColumn id="3" name="Model Statement" dataDxfId="453">
      <calculatedColumnFormula>"protected $table = '"&amp;[Table]&amp;"';"</calculatedColumnFormula>
    </tableColumn>
    <tableColumn id="7" name="Seeder Artisan" dataDxfId="452">
      <calculatedColumnFormula>"php artisan make:seed "&amp;[Class Name]&amp;"TableSeeder"</calculatedColumnFormula>
    </tableColumn>
    <tableColumn id="9" name="Seeder Class" dataDxfId="451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1" totalsRowShown="0" headerRowDxfId="345" dataDxfId="344">
  <autoFilter ref="A1:Y31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3">
      <calculatedColumnFormula>'Table Seed Map'!$A$33&amp;"-"&amp;(COUNTA($E$1:ResourceAction[[#This Row],[Resource]])-2)</calculatedColumnFormula>
    </tableColumn>
    <tableColumn id="13" name="Display" dataDxfId="342">
      <calculatedColumnFormula>ResourceAction[[#This Row],[Resource Name]]&amp;"/"&amp;ResourceAction[[#This Row],[Name]]</calculatedColumnFormula>
    </tableColumn>
    <tableColumn id="2" name="Resource Name" dataDxfId="341"/>
    <tableColumn id="11" name="No" dataDxfId="340">
      <calculatedColumnFormula>IF(ResourceAction[[#This Row],[Resource Name]]="","id",COUNTA($C$1:ResourceAction[[#This Row],[Resource Name]])-1+IF(VLOOKUP('Table Seed Map'!$A$33,SeedMap[],9,0),VLOOKUP('Table Seed Map'!$A$33,SeedMap[],9,0),0))</calculatedColumnFormula>
    </tableColumn>
    <tableColumn id="3" name="Resource" dataDxfId="339">
      <calculatedColumnFormula>IF(ResourceAction[[#This Row],[Resource Name]]="","resource",VLOOKUP(ResourceAction[[#This Row],[Resource Name]],ResourceTable[[RName]:[RID]],2,0))</calculatedColumnFormula>
    </tableColumn>
    <tableColumn id="4" name="Name" dataDxfId="338"/>
    <tableColumn id="6" name="Description" dataDxfId="337"/>
    <tableColumn id="7" name="Title" dataDxfId="336"/>
    <tableColumn id="8" name="Type" dataDxfId="335"/>
    <tableColumn id="9" name="Menu" dataDxfId="334"/>
    <tableColumn id="20" name="Primary Method" dataDxfId="333">
      <calculatedColumnFormula>'Table Seed Map'!$A$34&amp;"-"&amp;(COUNTA($E$1:ResourceAction[[#This Row],[Resource]])-2)</calculatedColumnFormula>
    </tableColumn>
    <tableColumn id="12" name="Method ID" dataDxfId="332">
      <calculatedColumnFormula>IF(ResourceAction[[#This Row],[Resource Name]]="","id",COUNTA($C$3:ResourceAction[[#This Row],[Resource Name]])+IF(VLOOKUP('Table Seed Map'!$A$34,SeedMap[],9,0),VLOOKUP('Table Seed Map'!$A$34,SeedMap[],9,0),0))</calculatedColumnFormula>
    </tableColumn>
    <tableColumn id="14" name="Method Action ID" dataDxfId="331">
      <calculatedColumnFormula>[No]</calculatedColumnFormula>
    </tableColumn>
    <tableColumn id="15" name="Method Type" dataDxfId="330"/>
    <tableColumn id="16" name="IDN 1" dataDxfId="329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28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27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6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5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4"/>
    <tableColumn id="22" name="IDN2" dataDxfId="323"/>
    <tableColumn id="24" name="IDN3" dataDxfId="322"/>
    <tableColumn id="25" name="IDN4" dataDxfId="321"/>
    <tableColumn id="23" name="IDN5" dataDxfId="320"/>
    <tableColumn id="1" name="AID" dataDxfId="319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24" totalsRowShown="0" headerRowDxfId="318" dataDxfId="317">
  <autoFilter ref="AA1:AL24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6"/>
    <tableColumn id="3" name="Action" dataDxfId="315">
      <calculatedColumnFormula>VLOOKUP(ActionListNData[[#This Row],[Action Name]],ResourceAction[[Display]:[No]],3,0)</calculatedColumnFormula>
    </tableColumn>
    <tableColumn id="5" name="Resource List" dataDxfId="314"/>
    <tableColumn id="6" name="Resource Data" dataDxfId="313"/>
    <tableColumn id="9" name="Primary List" dataDxfId="312">
      <calculatedColumnFormula>'Table Seed Map'!$A$36&amp;"-"&amp;COUNT($AH$2:ActionListNData[[#This Row],[List]])</calculatedColumnFormula>
    </tableColumn>
    <tableColumn id="10" name="List ID" dataDxfId="311">
      <calculatedColumnFormula>IF(ActionListNData[[#This Row],[Action Name]]="","id",COUNTA($AC$3:ActionListNData[[#This Row],[Resource List]])+IF(VLOOKUP('Table Seed Map'!$A$36,SeedMap[],9,0),VLOOKUP('Table Seed Map'!$A$36,SeedMap[],9,0),0))</calculatedColumnFormula>
    </tableColumn>
    <tableColumn id="11" name="Action 1" dataDxfId="310">
      <calculatedColumnFormula>ActionListNData[[#This Row],[Action]]</calculatedColumnFormula>
    </tableColumn>
    <tableColumn id="4" name="List" dataDxfId="309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8">
      <calculatedColumnFormula>'Table Seed Map'!$A$37&amp;"-"&amp;COUNT($AL$2:ActionListNData[[#This Row],[Data]])</calculatedColumnFormula>
    </tableColumn>
    <tableColumn id="12" name="Data ID" dataDxfId="307">
      <calculatedColumnFormula>IF(ActionListNData[[#This Row],[Action Name]]="","id",COUNTA($AD$3:ActionListNData[[#This Row],[Resource Data]])+IF(VLOOKUP('Table Seed Map'!$A$37,SeedMap[],9,0),VLOOKUP('Table Seed Map'!$A$37,SeedMap[],9,0),0))</calculatedColumnFormula>
    </tableColumn>
    <tableColumn id="7" name="Action 2" dataDxfId="306">
      <calculatedColumnFormula>ActionListNData[[#This Row],[Action]]</calculatedColumnFormula>
    </tableColumn>
    <tableColumn id="2" name="Data" dataDxfId="305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4" dataDxfId="303">
  <autoFilter ref="AN1:AS2"/>
  <tableColumns count="6">
    <tableColumn id="1" name="Action Name for Attr" dataDxfId="302"/>
    <tableColumn id="5" name="Primary" dataDxfId="301">
      <calculatedColumnFormula>'Table Seed Map'!$A$35&amp;"-"&amp;(COUNTA($AN$2:ActionAttr[[#This Row],[Action Name for Attr]]))</calculatedColumnFormula>
    </tableColumn>
    <tableColumn id="6" name="No" dataDxfId="300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299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98"/>
    <tableColumn id="3" name="Value" dataDxfId="297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10" totalsRowShown="0" headerRowDxfId="296" dataDxfId="295">
  <autoFilter ref="A1:K10">
    <filterColumn colId="1"/>
    <filterColumn colId="2"/>
    <filterColumn colId="4"/>
    <filterColumn colId="7"/>
    <filterColumn colId="10"/>
  </autoFilter>
  <tableColumns count="11">
    <tableColumn id="1" name="Primary" dataDxfId="294">
      <calculatedColumnFormula>'Table Seed Map'!$A$10&amp;"-"&amp;(COUNTA($F$1:ResourceForms[[#This Row],[Resource]])-2)</calculatedColumnFormula>
    </tableColumn>
    <tableColumn id="11" name="FormName" dataDxfId="293">
      <calculatedColumnFormula>ResourceForms[[#This Row],[Resource Name]]&amp;"/"&amp;ResourceForms[[#This Row],[Name]]</calculatedColumnFormula>
    </tableColumn>
    <tableColumn id="10" name="No" dataDxfId="292">
      <calculatedColumnFormula>IF(ResourceForms[[#This Row],[Resource Name]]="","",COUNTA($F$3:ResourceForms[[#This Row],[Resource]])+IF(VLOOKUP('Table Seed Map'!$A$10,SeedMap[],9,0),VLOOKUP('Table Seed Map'!$A$10,SeedMap[],9,0),0))</calculatedColumnFormula>
    </tableColumn>
    <tableColumn id="2" name="Resource Name" dataDxfId="291"/>
    <tableColumn id="12" name="ID" dataDxfId="290">
      <calculatedColumnFormula>ResourceForms[[#This Row],[No]]</calculatedColumnFormula>
    </tableColumn>
    <tableColumn id="3" name="Resource" dataDxfId="289">
      <calculatedColumnFormula>VLOOKUP(ResourceForms[[#This Row],[Resource Name]],ResourceTable[[RName]:[RID]],2,0)</calculatedColumnFormula>
    </tableColumn>
    <tableColumn id="4" name="Name" dataDxfId="288"/>
    <tableColumn id="5" name="Description" dataDxfId="287"/>
    <tableColumn id="6" name="Title" dataDxfId="286"/>
    <tableColumn id="7" name="Action Text" dataDxfId="285"/>
    <tableColumn id="8" name="Form ID" dataDxfId="284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AZ20" headerRowDxfId="283" dataDxfId="282">
  <autoFilter ref="M1:AZ20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281">
      <calculatedColumnFormula>'Table Seed Map'!$A$11&amp;"-"&amp;(COUNTA($Q$1:FormFields[[#This Row],[ID]])-2)</calculatedColumnFormula>
    </tableColumn>
    <tableColumn id="1" name="Form Name" totalsRowLabel="Total" dataDxfId="280"/>
    <tableColumn id="44" name="No" dataDxfId="279">
      <calculatedColumnFormula>IF(FormFields[[#This Row],[Form Name]]="","id",COUNTA($N$3:FormFields[[#This Row],[Form Name]])+IF(VLOOKUP('Table Seed Map'!$A$11,SeedMap[],9,0),VLOOKUP('Table Seed Map'!$A$11,SeedMap[],9,0),0))</calculatedColumnFormula>
    </tableColumn>
    <tableColumn id="24" name="Field Name" dataDxfId="278">
      <calculatedColumnFormula>FormFields[[#This Row],[Form Name]]&amp;"/"&amp;FormFields[[#This Row],[Name]]</calculatedColumnFormula>
    </tableColumn>
    <tableColumn id="11" name="ID" dataDxfId="277">
      <calculatedColumnFormula>FormFields[[#This Row],[No]]</calculatedColumnFormula>
    </tableColumn>
    <tableColumn id="2" name="Form" dataDxfId="276">
      <calculatedColumnFormula>VLOOKUP(FormFields[[#This Row],[Form Name]],ResourceForms[[FormName]:[No]],2,0)</calculatedColumnFormula>
    </tableColumn>
    <tableColumn id="3" name="Name" dataDxfId="275"/>
    <tableColumn id="4" name="Type" dataDxfId="274"/>
    <tableColumn id="5" name="Label" dataDxfId="273"/>
    <tableColumn id="6" name="Rel" dataDxfId="272"/>
    <tableColumn id="7" name="Rel1" dataDxfId="271"/>
    <tableColumn id="8" name="Rel2" dataDxfId="270"/>
    <tableColumn id="9" name="Rel3" dataDxfId="269"/>
    <tableColumn id="45" name="Primary FD" dataDxfId="268">
      <calculatedColumnFormula>'Table Seed Map'!$A$12&amp;"-"&amp;(COUNTIF($AB$2:FormFields[[#This Row],[Exists]],1)-1)</calculatedColumnFormula>
    </tableColumn>
    <tableColumn id="46" name="NO2" dataDxfId="267">
      <calculatedColumnFormula>COUNTIF($AB$2:FormFields[[#This Row],[Exists]],1)-1+VLOOKUP('Table Seed Map'!$A$11,SeedMap[],9,0)</calculatedColumnFormula>
    </tableColumn>
    <tableColumn id="49" name="Exists" dataDxfId="266">
      <calculatedColumnFormula>IF(AND(FormFields[[#This Row],[Attribute]]="",FormFields[[#This Row],[Relation]]=""),0,1)</calculatedColumnFormula>
    </tableColumn>
    <tableColumn id="47" name="NO3" dataDxfId="265">
      <calculatedColumnFormula>FormFields[[#This Row],[NO2]]</calculatedColumnFormula>
    </tableColumn>
    <tableColumn id="10" name="Data Field ID" dataDxfId="264">
      <calculatedColumnFormula>[ID]</calculatedColumnFormula>
    </tableColumn>
    <tableColumn id="40" name="Attribute" dataDxfId="263">
      <calculatedColumnFormula>[Name]</calculatedColumnFormula>
    </tableColumn>
    <tableColumn id="12" name="Relation" dataDxfId="262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61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60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59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58">
      <calculatedColumnFormula>IF(OR(FormFields[[#This Row],[Option Type]]="",FormFields[[#This Row],[Option Type]]="type"),0,1)</calculatedColumnFormula>
    </tableColumn>
    <tableColumn id="50" name="Primary FO" dataDxfId="257">
      <calculatedColumnFormula>'Table Seed Map'!$A$13&amp;"-"&amp;COUNTIF($AJ$2:FormFields[[#This Row],[Exists FO]],1)</calculatedColumnFormula>
    </tableColumn>
    <tableColumn id="51" name="NO4" dataDxfId="256">
      <calculatedColumnFormula>IF(FormFields[[#This Row],[Exists FO]]=0,$AL1,IF($AL1=0,IF(ISNUMBER(VLOOKUP('Table Seed Map'!$A$13,SeedMap[],9,0)),VLOOKUP('Table Seed Map'!$A$13,SeedMap[],9,0)+1,1),IFERROR($AL1+1,0)))</calculatedColumnFormula>
    </tableColumn>
    <tableColumn id="53" name="NO5" dataDxfId="255">
      <calculatedColumnFormula>FormFields[[#This Row],[NO4]]</calculatedColumnFormula>
    </tableColumn>
    <tableColumn id="17" name="Option Field ID" dataDxfId="254">
      <calculatedColumnFormula>[ID]</calculatedColumnFormula>
    </tableColumn>
    <tableColumn id="18" name="Option Type" dataDxfId="253"/>
    <tableColumn id="19" name="Detail" dataDxfId="252"/>
    <tableColumn id="20" name="Value Attr" dataDxfId="251"/>
    <tableColumn id="21" name="Label Attr" dataDxfId="250"/>
    <tableColumn id="22" name="Preload" dataDxfId="249"/>
    <tableColumn id="67" name="Exists FL" dataDxfId="248">
      <calculatedColumnFormula>IF(OR(FormFields[[#This Row],[Colspan]]="",FormFields[[#This Row],[Colspan]]="colspan"),0,1)</calculatedColumnFormula>
    </tableColumn>
    <tableColumn id="68" name="Primary FL" dataDxfId="247">
      <calculatedColumnFormula>'Table Seed Map'!$A$18&amp;"-"&amp;SUM($AT$2:FormFields[[#This Row],[Exists FL]])</calculatedColumnFormula>
    </tableColumn>
    <tableColumn id="69" name="NO8" dataDxfId="246">
      <calculatedColumnFormula>IF(FormFields[[#This Row],[Exists FL]]=0,IF(FormFields[[#This Row],[Form Name]]="","id",""),SUM($AT$3:FormFields[[#This Row],[Exists FL]],IF(VLOOKUP('Table Seed Map'!$A$18,SeedMap[],9,0),VLOOKUP('Table Seed Map'!$A$18,SeedMap[],9,0),0)))</calculatedColumnFormula>
    </tableColumn>
    <tableColumn id="70" name="FL ID" dataDxfId="245">
      <calculatedColumnFormula>FormFields[[#This Row],[NO8]]</calculatedColumnFormula>
    </tableColumn>
    <tableColumn id="41" name="Layout Form ID" dataDxfId="244">
      <calculatedColumnFormula>[Form]</calculatedColumnFormula>
    </tableColumn>
    <tableColumn id="42" name="Layout Field ID" dataDxfId="243">
      <calculatedColumnFormula>[ID]</calculatedColumnFormula>
    </tableColumn>
    <tableColumn id="43" name="Colspan" dataDxfId="242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B1:BG4" totalsRowShown="0" headerRowDxfId="241" dataDxfId="240">
  <autoFilter ref="BB1:BG4">
    <filterColumn colId="1"/>
    <filterColumn colId="2"/>
    <filterColumn colId="3"/>
  </autoFilter>
  <tableColumns count="6">
    <tableColumn id="1" name="ATTR Field" dataDxfId="239"/>
    <tableColumn id="5" name="Primary" dataDxfId="238">
      <calculatedColumnFormula>'Table Seed Map'!$A$14&amp;"-"&amp;(COUNTA($BB$2:FieldAttrs[[#This Row],[ATTR Field]]))</calculatedColumnFormula>
    </tableColumn>
    <tableColumn id="6" name="No" dataDxfId="237">
      <calculatedColumnFormula>IF($BD1="id",IF(ISNUMBER(VLOOKUP('Table Seed Map'!$A$14,SeedMap[],9,0)),VLOOKUP('Table Seed Map'!$A$14,SeedMap[],9,0)+1,1),IFERROR($BD1+1,"id"))</calculatedColumnFormula>
    </tableColumn>
    <tableColumn id="4" name="Field" dataDxfId="236">
      <calculatedColumnFormula>VLOOKUP([ATTR Field],FormFields[[Field Name]:[ID]],2,0)</calculatedColumnFormula>
    </tableColumn>
    <tableColumn id="2" name="Name" dataDxfId="235"/>
    <tableColumn id="3" name="Value" dataDxfId="234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I1:BQ2" totalsRowShown="0" headerRowDxfId="233" dataDxfId="232">
  <autoFilter ref="BI1:BQ2">
    <filterColumn colId="1"/>
    <filterColumn colId="2"/>
    <filterColumn colId="3"/>
  </autoFilter>
  <tableColumns count="9">
    <tableColumn id="1" name="Validation Field" dataDxfId="231"/>
    <tableColumn id="8" name="Primary" dataDxfId="230">
      <calculatedColumnFormula>'Table Seed Map'!$A$16&amp;"-"&amp;(COUNTA($BI$2:FieldValidations[[#This Row],[Validation Field]]))</calculatedColumnFormula>
    </tableColumn>
    <tableColumn id="9" name="No" dataDxfId="229">
      <calculatedColumnFormula>IF($BK1="id",IF(ISNUMBER(VLOOKUP('Table Seed Map'!$A$16,SeedMap[],9,0)),VLOOKUP('Table Seed Map'!$A$16,SeedMap[],9,0)+1,1),IFERROR($BK1+1,"id"))</calculatedColumnFormula>
    </tableColumn>
    <tableColumn id="7" name="Field" dataDxfId="228">
      <calculatedColumnFormula>VLOOKUP([Validation Field],FormFields[[Field Name]:[ID]],2,0)</calculatedColumnFormula>
    </tableColumn>
    <tableColumn id="2" name="Rule" dataDxfId="227"/>
    <tableColumn id="3" name="Message" dataDxfId="226"/>
    <tableColumn id="4" name="Arg 1" dataDxfId="225"/>
    <tableColumn id="5" name="Arg 2" dataDxfId="224"/>
    <tableColumn id="6" name="Arg 3" dataDxfId="223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E1:CX2" totalsRowShown="0" dataDxfId="222">
  <autoFilter ref="CE1:CX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21">
      <calculatedColumnFormula>'Table Seed Map'!$A$20&amp;"-"&amp;COUNTA($CF$1:FormDefault[[#This Row],[Form for Default]])-1</calculatedColumnFormula>
    </tableColumn>
    <tableColumn id="2" name="Form for Default" dataDxfId="220"/>
    <tableColumn id="3" name="No" dataDxfId="219">
      <calculatedColumnFormula>IF($CG1="id",IF(ISNUMBER(VLOOKUP('Table Seed Map'!$A$20,SeedMap[],9,0)),VLOOKUP('Table Seed Map'!$A$20,SeedMap[],9,0)+1,1),IFERROR($CG1+1,"id"))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S1:CB2" totalsRowShown="0" headerRowDxfId="201" dataDxfId="200">
  <autoFilter ref="BS1:CB2"/>
  <tableColumns count="10">
    <tableColumn id="1" name="Primary" dataDxfId="199">
      <calculatedColumnFormula>'Table Seed Map'!$A$21&amp;"-"&amp;COUNTA($BT$1:FormCollection[[#This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IF($BX1="id",IF(ISNUMBER(VLOOKUP('Table Seed Map'!$A$21,SeedMap[],9,0)),VLOOKUP('Table Seed Map'!$A$21,SeedMap[],9,0)+1,1),IFERROR($BX1+1,"id"))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CZ1:DJ2" totalsRowShown="0" headerRowDxfId="189" dataDxfId="188">
  <autoFilter ref="CZ1:DJ2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Map'!$A$17&amp;"-"&amp;COUNTA($CZ$2:FieldDepends[[#This Row],[Field for Depend]])</calculatedColumnFormula>
    </tableColumn>
    <tableColumn id="10" name="ID" dataDxfId="185">
      <calculatedColumnFormula>IF(FieldDepends[[#This Row],[Field for Depend]]="","id",COUNTA(#REF!:FieldDepends[[#This Row],[Field for Depend]])+IF(VLOOKUP('Table Seed Map'!$A$17,SeedMap[],9,0),VLOOKUP('Table Seed Map'!$A$17,SeedMap[],9,0),0))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84" totalsRowShown="0" dataDxfId="449">
  <autoFilter ref="A1:I84"/>
  <tableColumns count="9">
    <tableColumn id="1" name="Column" dataDxfId="448"/>
    <tableColumn id="2" name="Type" dataDxfId="447"/>
    <tableColumn id="3" name="Name" dataDxfId="446"/>
    <tableColumn id="4" name="Length/Enum" dataDxfId="445"/>
    <tableColumn id="5" name="Method1" dataDxfId="444"/>
    <tableColumn id="6" name="Method2" dataDxfId="443"/>
    <tableColumn id="7" name="Method3" dataDxfId="442"/>
    <tableColumn id="8" name="Method4" dataDxfId="441"/>
    <tableColumn id="9" name="Method5" dataDxfId="440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L1:DU2" totalsRowShown="0" headerRowDxfId="176" dataDxfId="175">
  <autoFilter ref="DL1:DU2"/>
  <tableColumns count="10">
    <tableColumn id="1" name="Field for Dynamic" dataDxfId="174"/>
    <tableColumn id="9" name="Primary" dataDxfId="173">
      <calculatedColumnFormula>'Table Seed Map'!$A$15&amp;"-"&amp;COUNTA($DL$2:FieldDynamic[[#This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Map'!$A$15,SeedMap[],9,0),VLOOKUP('Table Seed Map'!$A$15,SeedMap[],9,0),0))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W1:EQ2" totalsRowShown="0" headerRowDxfId="164" dataDxfId="163">
  <autoFilter ref="DW1:EQ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Map'!$A$19&amp;"-"&amp;COUNTA($DW$2:FormDataMapping[[#This Row],[Form for Data Mapping]])</calculatedColumnFormula>
    </tableColumn>
    <tableColumn id="5" name="ID" dataDxfId="158">
      <calculatedColumnFormula>IF(FormDataMapping[[#This Row],[Form for Data Mapping]]="","id",COUNTA(#REF!:FormDataMapping[[#This Row],[Form for Data Mapping]])+IF(VLOOKUP('Table Seed Map'!$A$19,SeedMap[],9,0),VLOOKUP('Table Seed Map'!$A$19,SeedMap[],9,0),0))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13" totalsRowShown="0" dataDxfId="141">
  <autoFilter ref="A1:H13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"2019_02_11_"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3" totalsRowShown="0" dataDxfId="132">
  <autoFilter ref="A1:K13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Map'!$A$23&amp;"-"&amp;COUNTA($B$1:ResourceList[[#This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27">
      <calculatedColumnFormula>IFERROR(VLOOKUP(ResourceList[[#This Row],[Resource Name]],ResourceTable[[RName]:[RID]],2,0),"resource")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16" totalsRowShown="0" headerRowDxfId="120" dataDxfId="119">
  <autoFilter ref="M1:AD16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Map'!$A$24&amp;"-"&amp;COUNT($W$1:ListExtras[[#This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Map'!$A$25&amp;"-"&amp;COUNT($AA$1:ListExtras[[#This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5" totalsRowShown="0" headerRowDxfId="100" dataDxfId="99">
  <autoFilter ref="AF1:AR15">
    <filterColumn colId="0"/>
  </autoFilter>
  <tableColumns count="13">
    <tableColumn id="13" name="Primary" dataDxfId="98">
      <calculatedColumnFormula>'Table Seed Map'!$A$27&amp;"-"&amp;COUNTA($AH$1:ListSearch[[#This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Search]]="","id",IFERROR($AH1+1,IF(ISNUMBER(VLOOKUP('Table Seed Map'!$A$27,SeedMap[],9,0)),VLOOKUP('Table Seed Map'!$A$27,SeedMap[],9,0)+1,1)))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40" totalsRowShown="0" headerRowDxfId="85" dataDxfId="84">
  <autoFilter ref="AT1:BE40">
    <filterColumn colId="4"/>
  </autoFilter>
  <tableColumns count="12">
    <tableColumn id="13" name="Primary" dataDxfId="83">
      <calculatedColumnFormula>'Table Seed Map'!$A$26&amp;"-"&amp;COUNTA($AV$1:ListLayout[[#This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6" totalsRowShown="0" dataDxfId="71">
  <autoFilter ref="A1:J6">
    <filterColumn colId="2"/>
    <filterColumn colId="4"/>
    <filterColumn colId="8"/>
    <filterColumn colId="9"/>
  </autoFilter>
  <tableColumns count="10">
    <tableColumn id="1" name="Primary" dataDxfId="70">
      <calculatedColumnFormula>'Table Seed Map'!$A$28&amp;"-"&amp;COUNTA($B$1:ResourceData[[#This Row],[Resource Name]])-1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IF($D1="id",IF(ISNUMBER(VLOOKUP('Table Seed Map'!$A$28,SeedMap[],9,0)),VLOOKUP('Table Seed Map'!$A$28,SeedMap[],9,0)+1,1),IFERROR($D1+1,"id"))</calculatedColumnFormula>
    </tableColumn>
    <tableColumn id="7" name="Resource" dataDxfId="66">
      <calculatedColumnFormula>IFERROR(VLOOKUP(ResourceData[[#This Row],[Resource Name]],ResourceTable[[RName]:[RID]],2,0),"resource")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12" totalsRowShown="0" headerRowDxfId="60" dataDxfId="59">
  <autoFilter ref="L1:AC12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Map'!$A$29&amp;"-"&amp;COUNT($V$1:DataExtra[[#This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Map'!$A$30&amp;"-"&amp;COUNT($Z$1:DataExtra[[#This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9" totalsRowShown="0" headerRowDxfId="40" dataDxfId="39">
  <autoFilter ref="AE1:AN9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Map'!$A$31&amp;"-"&amp;COUNTA($AH$1:DataViewSection[[#This Row],[No]])-2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Layout]]&amp;"/"&amp;COUNTA($AH$1:DataViewSection[[#This Row],[No]])-2</calculatedColumnFormula>
    </tableColumn>
    <tableColumn id="2" name="No" dataDxfId="35">
      <calculatedColumnFormula>IF(DataViewSection[[#This Row],[Data Name for Layout]]="","id",IFERROR($AH1+1,IF(ISNUMBER(VLOOKUP('Table Seed Map'!$A$31,SeedMap[],9,0)),VLOOKUP('Table Seed Map'!$A$31,SeedMap[],9,0)+1,1)))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21" totalsRowShown="0" dataDxfId="439">
  <autoFilter ref="A1:K121">
    <filterColumn colId="0"/>
  </autoFilter>
  <tableColumns count="11">
    <tableColumn id="2" name="Table" dataDxfId="438"/>
    <tableColumn id="3" name="Field" dataDxfId="437"/>
    <tableColumn id="5" name="Type" dataDxfId="436">
      <calculatedColumnFormula>VLOOKUP([Field],Columns[],2,0)&amp;"("</calculatedColumnFormula>
    </tableColumn>
    <tableColumn id="4" name="Name" dataDxfId="435">
      <calculatedColumnFormula>IF(VLOOKUP([Field],Columns[],3,0)&lt;&gt;"","'"&amp;VLOOKUP([Field],Columns[],3,0)&amp;"'","")</calculatedColumnFormula>
    </tableColumn>
    <tableColumn id="6" name="Arg2" dataDxfId="434">
      <calculatedColumnFormula>IF(VLOOKUP([Field],Columns[],4,0)&lt;&gt;0,", "&amp;VLOOKUP([Field],Columns[],4,0)&amp;")",")")</calculatedColumnFormula>
    </tableColumn>
    <tableColumn id="7" name="Method1" dataDxfId="433">
      <calculatedColumnFormula>IF(VLOOKUP([Field],Columns[],5,0)=0,"","-&gt;"&amp;VLOOKUP([Field],Columns[],5,0))</calculatedColumnFormula>
    </tableColumn>
    <tableColumn id="8" name="Method2" dataDxfId="432">
      <calculatedColumnFormula>IF(VLOOKUP([Field],Columns[],6,0)=0,"","-&gt;"&amp;VLOOKUP([Field],Columns[],6,0))</calculatedColumnFormula>
    </tableColumn>
    <tableColumn id="9" name="Method3" dataDxfId="431">
      <calculatedColumnFormula>IF(VLOOKUP([Field],Columns[],7,0)=0,"","-&gt;"&amp;VLOOKUP([Field],Columns[],7,0))</calculatedColumnFormula>
    </tableColumn>
    <tableColumn id="10" name="Method4" dataDxfId="430">
      <calculatedColumnFormula>IF(VLOOKUP([Field],Columns[],8,0)=0,"","-&gt;"&amp;VLOOKUP([Field],Columns[],8,0))</calculatedColumnFormula>
    </tableColumn>
    <tableColumn id="11" name="Method5" dataDxfId="429">
      <calculatedColumnFormula>IF(VLOOKUP([Field],Columns[],9,0)=0,"","-&gt;"&amp;VLOOKUP([Field],Columns[],9,0))</calculatedColumnFormula>
    </tableColumn>
    <tableColumn id="12" name="Statement" dataDxfId="428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1" totalsRowShown="0" headerRowDxfId="28" dataDxfId="27">
  <autoFilter ref="AP1:AW21">
    <filterColumn colId="4"/>
  </autoFilter>
  <tableColumns count="8">
    <tableColumn id="13" name="Primary" dataDxfId="26">
      <calculatedColumnFormula>'Table Seed Map'!$A$32&amp;"-"&amp;COUNTA($AQ$2:DataViewSectionItem[[#This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Items]]="","id",IFERROR($AR1+1,IF(ISNUMBER(VLOOKUP('Table Seed Map'!$A$32,SeedMap[],9,0)),VLOOKUP('Table Seed Map'!$A$32,SeedMap[],9,0)+1,1)))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5" totalsRowShown="0" headerRowDxfId="18" dataDxfId="17">
  <autoFilter ref="A1:H5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" totalsRowShown="0" headerRowDxfId="427" dataDxfId="426">
  <autoFilter ref="A1:R6">
    <filterColumn colId="1"/>
    <filterColumn colId="4"/>
  </autoFilter>
  <tableColumns count="18">
    <tableColumn id="19" name="TRCode" dataDxfId="425">
      <calculatedColumnFormula>[Table Name]&amp;"-"&amp;(COUNTIF($B$1:TableData[[#This Row],[Table Name]],TableData[[#This Row],[Table Name]])-1)</calculatedColumnFormula>
    </tableColumn>
    <tableColumn id="1" name="Table Name" dataDxfId="424"/>
    <tableColumn id="2" name="Record No" dataDxfId="423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2"/>
    <tableColumn id="4" name="2" dataDxfId="421"/>
    <tableColumn id="5" name="3" dataDxfId="420"/>
    <tableColumn id="6" name="4" dataDxfId="419"/>
    <tableColumn id="7" name="5" dataDxfId="418"/>
    <tableColumn id="8" name="6" dataDxfId="417"/>
    <tableColumn id="9" name="7" dataDxfId="416"/>
    <tableColumn id="10" name="8" dataDxfId="415"/>
    <tableColumn id="11" name="9" dataDxfId="414"/>
    <tableColumn id="12" name="10" dataDxfId="413"/>
    <tableColumn id="13" name="11" dataDxfId="412"/>
    <tableColumn id="14" name="12" dataDxfId="411"/>
    <tableColumn id="15" name="13" dataDxfId="410"/>
    <tableColumn id="16" name="14" dataDxfId="409"/>
    <tableColumn id="17" name="15" dataDxfId="40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2" totalsRowShown="0" dataDxfId="407">
  <autoFilter ref="A1:J42">
    <filterColumn colId="4"/>
    <filterColumn colId="5"/>
    <filterColumn colId="6"/>
    <filterColumn colId="8"/>
    <filterColumn colId="9"/>
  </autoFilter>
  <tableColumns count="10">
    <tableColumn id="1" name="Name" dataDxfId="406"/>
    <tableColumn id="3" name="Table Name" dataDxfId="405"/>
    <tableColumn id="20" name="NS" dataDxfId="404">
      <calculatedColumnFormula>VLOOKUP([Table Name],Tables[],4,0)</calculatedColumnFormula>
    </tableColumn>
    <tableColumn id="21" name="Model" dataDxfId="403">
      <calculatedColumnFormula>VLOOKUP([Table Name],Tables[],5,0)</calculatedColumnFormula>
    </tableColumn>
    <tableColumn id="6" name="Data Table" dataDxfId="402"/>
    <tableColumn id="7" name="Data Range" dataDxfId="401"/>
    <tableColumn id="8" name="Skip Columns" dataDxfId="400"/>
    <tableColumn id="4" name="Query Method" dataDxfId="399">
      <calculatedColumnFormula>"query"</calculatedColumnFormula>
    </tableColumn>
    <tableColumn id="2" name="Last ID" dataDxfId="398"/>
    <tableColumn id="5" name="AI Change Query" dataDxfId="397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13" totalsRowShown="0" dataDxfId="396">
  <autoFilter ref="A1:M13">
    <filterColumn colId="0"/>
    <filterColumn colId="1"/>
    <filterColumn colId="2"/>
    <filterColumn colId="11"/>
    <filterColumn colId="12"/>
  </autoFilter>
  <tableColumns count="13">
    <tableColumn id="11" name="Primary" dataDxfId="395">
      <calculatedColumnFormula>Page&amp;"-"&amp;(COUNTA($E$1:ResourceTable[[#This Row],[Name]])-2)</calculatedColumnFormula>
    </tableColumn>
    <tableColumn id="12" name="RName" dataDxfId="394">
      <calculatedColumnFormula>ResourceTable[[#This Row],[Name]]</calculatedColumnFormula>
    </tableColumn>
    <tableColumn id="13" name="RID" dataDxfId="393">
      <calculatedColumnFormula>IF($C1=0,IF(ISNUMBER(VLOOKUP(Page,SeedMap[],9,0)),VLOOKUP(Page,SeedMap[],9,0)+1,1),IFERROR($C1+1,0))</calculatedColumnFormula>
    </tableColumn>
    <tableColumn id="1" name="No" dataDxfId="392">
      <calculatedColumnFormula>ResourceTable[[#This Row],[RID]]</calculatedColumnFormula>
    </tableColumn>
    <tableColumn id="2" name="Name" dataDxfId="391"/>
    <tableColumn id="3" name="Description" dataDxfId="390"/>
    <tableColumn id="4" name="Title" dataDxfId="389"/>
    <tableColumn id="5" name="NS" dataDxfId="388"/>
    <tableColumn id="6" name="Table" dataDxfId="387"/>
    <tableColumn id="8" name="Controller" dataDxfId="386"/>
    <tableColumn id="9" name="Controller NS" dataDxfId="385"/>
    <tableColumn id="7" name="Development" dataDxfId="384"/>
    <tableColumn id="10" name="RID2" dataDxfId="383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2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1"/>
    <tableColumn id="2" name="List" dataDxfId="380"/>
    <tableColumn id="3" name="Form" dataDxfId="379"/>
    <tableColumn id="4" name="Data" dataDxfId="378"/>
    <tableColumn id="5" name="FormWithData" dataDxfId="377"/>
    <tableColumn id="6" name="Primary" dataDxfId="376">
      <calculatedColumnFormula>'Table Seed Map'!$A$38&amp;"-"&amp;COUNTA($O$2:ResourceDefaultsTable[[#This Row],[Select Resource for Default]])</calculatedColumnFormula>
    </tableColumn>
    <tableColumn id="12" name="ID" dataDxfId="375">
      <calculatedColumnFormula>IF(ResourceDefaultsTable[[#This Row],[Select Resource for Default]]="","id",COUNTA($O$2:ResourceDefaultsTable[[#This Row],[Select Resource for Default]])+VLOOKUP('Table Seed Map'!$A$38,SeedMap[],9,0))</calculatedColumnFormula>
    </tableColumn>
    <tableColumn id="7" name="Resource" dataDxfId="374">
      <calculatedColumnFormula>IF(ResourceDefaultsTable[[#This Row],[Select Resource for Default]]="","resource",VLOOKUP(ResourceDefaultsTable[[#This Row],[Select Resource for Default]],ResourceTable[[RName]:[RID]],2,0))</calculatedColumnFormula>
    </tableColumn>
    <tableColumn id="8" name="List2" dataDxfId="373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2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1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0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30" totalsRowShown="0" dataDxfId="369">
  <autoFilter ref="A1:N30">
    <filterColumn colId="0"/>
    <filterColumn colId="2"/>
    <filterColumn colId="3"/>
    <filterColumn colId="6"/>
    <filterColumn colId="13"/>
  </autoFilter>
  <tableColumns count="14">
    <tableColumn id="11" name="Primary" dataDxfId="368">
      <calculatedColumnFormula>Page&amp;"-"&amp;(COUNTA($E$1:RelationTable[[#This Row],[Resource]])-1)</calculatedColumnFormula>
    </tableColumn>
    <tableColumn id="1" name="No" dataDxfId="367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66">
      <calculatedColumnFormula>RelationTable[[#This Row],[Resource]]&amp;"/"&amp;RelationTable[[#This Row],[Method]]</calculatedColumnFormula>
    </tableColumn>
    <tableColumn id="14" name="RELID" dataDxfId="365">
      <calculatedColumnFormula>RelationTable[[#This Row],[No]]</calculatedColumnFormula>
    </tableColumn>
    <tableColumn id="3" name="Resource" dataDxfId="364"/>
    <tableColumn id="4" name="Relate Resource" dataDxfId="363"/>
    <tableColumn id="12" name="ID" dataDxfId="362">
      <calculatedColumnFormula>RelationTable[[#This Row],[No]]</calculatedColumnFormula>
    </tableColumn>
    <tableColumn id="2" name="Resource Id" dataDxfId="361">
      <calculatedColumnFormula>IF(RelationTable[[#This Row],[No]]="id","resource",VLOOKUP([Resource],CHOOSE({1,2},ResourceTable[Name],ResourceTable[No]),2,0))</calculatedColumnFormula>
    </tableColumn>
    <tableColumn id="5" name="Name" dataDxfId="360"/>
    <tableColumn id="6" name="Description" dataDxfId="359"/>
    <tableColumn id="7" name="Method" dataDxfId="358"/>
    <tableColumn id="8" name="Type" dataDxfId="357"/>
    <tableColumn id="10" name="Relate Id" dataDxfId="356">
      <calculatedColumnFormula>VLOOKUP([Relate Resource],CHOOSE({1,2},ResourceTable[Name],ResourceTable[No]),2,0)</calculatedColumnFormula>
    </tableColumn>
    <tableColumn id="9" name="RID" dataDxfId="355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0" totalsRowShown="0" dataDxfId="354">
  <autoFilter ref="P1:W10">
    <filterColumn colId="2"/>
    <filterColumn colId="4"/>
  </autoFilter>
  <tableColumns count="8">
    <tableColumn id="1" name="Primary" dataDxfId="353">
      <calculatedColumnFormula>'Table Seed Map'!$A$8&amp;"-"&amp;COUNTA($Q$1:ResourceScopes[[#This Row],[Resource for Scope]])-1</calculatedColumnFormula>
    </tableColumn>
    <tableColumn id="2" name="Resource for Scope" dataDxfId="352"/>
    <tableColumn id="8" name="ScopesDisplayNames" dataDxfId="351">
      <calculatedColumnFormula>ResourceScopes[[#This Row],[Resource for Scope]]&amp;"/"&amp;ResourceScopes[[#This Row],[Name]]</calculatedColumnFormula>
    </tableColumn>
    <tableColumn id="3" name="No" dataDxfId="350">
      <calculatedColumnFormula>IF($S1="id",IF(ISNUMBER(VLOOKUP('Table Seed Map'!$A$8,SeedMap[],9,0)),VLOOKUP('Table Seed Map'!$A$8,SeedMap[],9,0)+1,1),IFERROR($S1+1,"id"))</calculatedColumnFormula>
    </tableColumn>
    <tableColumn id="7" name="Resource ID" dataDxfId="349">
      <calculatedColumnFormula>VLOOKUP(ResourceScopes[[#This Row],[Resource for Scope]],ResourceTable[[RName]:[RID]],2,0)</calculatedColumnFormula>
    </tableColumn>
    <tableColumn id="4" name="Name" dataDxfId="348"/>
    <tableColumn id="5" name="Description" dataDxfId="347"/>
    <tableColumn id="6" name="Method" dataDxfId="34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6"/>
  <sheetViews>
    <sheetView topLeftCell="G22" workbookViewId="0">
      <selection activeCell="H45" sqref="H4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79</v>
      </c>
      <c r="D1" s="17" t="s">
        <v>112</v>
      </c>
      <c r="E1" t="s">
        <v>78</v>
      </c>
      <c r="F1" s="12" t="s">
        <v>93</v>
      </c>
      <c r="G1" t="s">
        <v>80</v>
      </c>
      <c r="H1" s="12" t="s">
        <v>95</v>
      </c>
      <c r="I1" t="s">
        <v>81</v>
      </c>
      <c r="J1" s="12" t="s">
        <v>96</v>
      </c>
    </row>
    <row r="2" spans="1:10">
      <c r="A2" s="5" t="s">
        <v>85</v>
      </c>
      <c r="B2" s="6" t="s">
        <v>85</v>
      </c>
      <c r="C2" s="8" t="str">
        <f>IF(RIGHT([Name],3)="ies",MID([Name],1,LEN([Name])-3)&amp;"y",IF(RIGHT([Name],1)="s",MID([Name],1,LEN([Name])-1),[Name]))</f>
        <v>user</v>
      </c>
      <c r="D2" s="8" t="str">
        <f t="shared" ref="D2:D4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--create="&amp;[Table]</f>
        <v>php artisan make:migration create_users_table --create=users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71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--create="&amp;[Table]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72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--create="&amp;[Table]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73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--create="&amp;[Table]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74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--create="&amp;[Table]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--create="&amp;[Table]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5" t="s">
        <v>94</v>
      </c>
      <c r="B8" s="8" t="str">
        <f>"__"&amp;[Name]</f>
        <v>__resource_roles</v>
      </c>
      <c r="C8" s="8" t="str">
        <f>IF(RIGHT([Name],3)="ies",MID([Name],1,LEN([Name])-3)&amp;"y",IF(RIGHT([Name],1)="s",MID([Name],1,LEN([Name])-1),[Name]))</f>
        <v>resource_role</v>
      </c>
      <c r="D8" s="8" t="str">
        <f t="shared" ref="D8:D21" si="1">"Milestone\Appframe\Model"</f>
        <v>Milestone\Appframe\Model</v>
      </c>
      <c r="E8" s="8" t="str">
        <f>SUBSTITUTE(PROPER([Singular Name]),"_","")</f>
        <v>ResourceRole</v>
      </c>
      <c r="F8" s="8" t="str">
        <f>"php artisan make:migration create_"&amp;[Table]&amp;"_table --create="&amp;[Table]</f>
        <v>php artisan make:migration create___resource_roles_table --create=__resource_roles</v>
      </c>
      <c r="G8" s="8" t="str">
        <f>"php artisan make:model "&amp;[Class Name]</f>
        <v>php artisan make:model ResourceRole</v>
      </c>
      <c r="H8" s="8" t="str">
        <f>"protected $table = '"&amp;[Table]&amp;"';"</f>
        <v>protected $table = '__resource_roles';</v>
      </c>
      <c r="I8" s="8" t="str">
        <f>"php artisan make:seed "&amp;[Class Name]&amp;"TableSeeder"</f>
        <v>php artisan make:seed ResourceRoleTableSeeder</v>
      </c>
      <c r="J8" s="8" t="str">
        <f>[Class Name]&amp;"TableSeeder"&amp;"::class,"</f>
        <v>ResourceRoleTableSeeder::class,</v>
      </c>
    </row>
    <row r="9" spans="1:10">
      <c r="A9" s="2" t="s">
        <v>3</v>
      </c>
      <c r="B9" s="8" t="str">
        <f>"__"&amp;[Name]</f>
        <v>__resource_relations</v>
      </c>
      <c r="C9" s="8" t="str">
        <f>IF(RIGHT([Name],3)="ies",MID([Name],1,LEN([Name])-3)&amp;"y",IF(RIGHT([Name],1)="s",MID([Name],1,LEN([Name])-1),[Name]))</f>
        <v>resource_relation</v>
      </c>
      <c r="D9" s="8" t="str">
        <f t="shared" si="1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--create="&amp;[Table]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0</v>
      </c>
      <c r="B10" s="8" t="str">
        <f>"__"&amp;[Name]</f>
        <v>__resource_scopes</v>
      </c>
      <c r="C10" s="8" t="str">
        <f>IF(RIGHT([Name],3)="ies",MID([Name],1,LEN([Name])-3)&amp;"y",IF(RIGHT([Name],1)="s",MID([Name],1,LEN([Name])-1),[Name]))</f>
        <v>resource_scope</v>
      </c>
      <c r="D10" s="8" t="str">
        <f t="shared" si="1"/>
        <v>Milestone\Appframe\Model</v>
      </c>
      <c r="E10" s="8" t="str">
        <f>SUBSTITUTE(PROPER([Singular Name]),"_","")</f>
        <v>ResourceScope</v>
      </c>
      <c r="F10" s="8" t="str">
        <f>"php artisan make:migration create_"&amp;[Table]&amp;"_table --create="&amp;[Table]</f>
        <v>php artisan make:migration create___resource_scopes_table --create=__resource_scopes</v>
      </c>
      <c r="G10" s="8" t="str">
        <f>"php artisan make:model "&amp;[Class Name]</f>
        <v>php artisan make:model ResourceScope</v>
      </c>
      <c r="H10" s="8" t="str">
        <f>"protected $table = '"&amp;[Table]&amp;"';"</f>
        <v>protected $table = '__resource_scopes';</v>
      </c>
      <c r="I10" s="8" t="str">
        <f>"php artisan make:seed "&amp;[Class Name]&amp;"TableSeeder"</f>
        <v>php artisan make:seed ResourceScopeTableSeeder</v>
      </c>
      <c r="J10" s="8" t="str">
        <f>[Class Name]&amp;"TableSeeder"&amp;"::class,"</f>
        <v>ResourceScopeTableSeeder::class,</v>
      </c>
    </row>
    <row r="11" spans="1:10">
      <c r="A11" s="2" t="s">
        <v>6</v>
      </c>
      <c r="B11" s="8" t="str">
        <f>"__"&amp;[Name]</f>
        <v>__resource_forms</v>
      </c>
      <c r="C11" s="8" t="str">
        <f>IF(RIGHT([Name],3)="ies",MID([Name],1,LEN([Name])-3)&amp;"y",IF(RIGHT([Name],1)="s",MID([Name],1,LEN([Name])-1),[Name]))</f>
        <v>resource_form</v>
      </c>
      <c r="D11" s="8" t="str">
        <f t="shared" si="1"/>
        <v>Milestone\Appframe\Model</v>
      </c>
      <c r="E11" s="8" t="str">
        <f>SUBSTITUTE(PROPER([Singular Name]),"_","")</f>
        <v>ResourceForm</v>
      </c>
      <c r="F11" s="8" t="str">
        <f>"php artisan make:migration create_"&amp;[Table]&amp;"_table --create="&amp;[Table]</f>
        <v>php artisan make:migration create___resource_forms_table --create=__resource_forms</v>
      </c>
      <c r="G11" s="8" t="str">
        <f>"php artisan make:model "&amp;[Class Name]</f>
        <v>php artisan make:model ResourceForm</v>
      </c>
      <c r="H11" s="8" t="str">
        <f>"protected $table = '"&amp;[Table]&amp;"';"</f>
        <v>protected $table = '__resource_forms';</v>
      </c>
      <c r="I11" s="8" t="str">
        <f>"php artisan make:seed "&amp;[Class Name]&amp;"TableSeeder"</f>
        <v>php artisan make:seed ResourceFormTableSeeder</v>
      </c>
      <c r="J11" s="8" t="str">
        <f>[Class Name]&amp;"TableSeeder"&amp;"::class,"</f>
        <v>ResourceFormTableSeeder::class,</v>
      </c>
    </row>
    <row r="12" spans="1:10">
      <c r="A12" s="2" t="s">
        <v>60</v>
      </c>
      <c r="B12" s="8" t="str">
        <f>"__"&amp;[Name]</f>
        <v>__resource_form_fields</v>
      </c>
      <c r="C12" s="8" t="str">
        <f>IF(RIGHT([Name],3)="ies",MID([Name],1,LEN([Name])-3)&amp;"y",IF(RIGHT([Name],1)="s",MID([Name],1,LEN([Name])-1),[Name]))</f>
        <v>resource_form_field</v>
      </c>
      <c r="D12" s="8" t="str">
        <f t="shared" si="1"/>
        <v>Milestone\Appframe\Model</v>
      </c>
      <c r="E12" s="8" t="str">
        <f>SUBSTITUTE(PROPER([Singular Name]),"_","")</f>
        <v>ResourceFormField</v>
      </c>
      <c r="F12" s="8" t="str">
        <f>"php artisan make:migration create_"&amp;[Table]&amp;"_table --create="&amp;[Table]</f>
        <v>php artisan make:migration create___resource_form_fields_table --create=__resource_form_fields</v>
      </c>
      <c r="G12" s="8" t="str">
        <f>"php artisan make:model "&amp;[Class Name]</f>
        <v>php artisan make:model ResourceFormField</v>
      </c>
      <c r="H12" s="8" t="str">
        <f>"protected $table = '"&amp;[Table]&amp;"';"</f>
        <v>protected $table = '__resource_form_fields';</v>
      </c>
      <c r="I12" s="8" t="str">
        <f>"php artisan make:seed "&amp;[Class Name]&amp;"TableSeeder"</f>
        <v>php artisan make:seed ResourceFormFieldTableSeeder</v>
      </c>
      <c r="J12" s="8" t="str">
        <f>[Class Name]&amp;"TableSeeder"&amp;"::class,"</f>
        <v>ResourceFormFieldTableSeeder::class,</v>
      </c>
    </row>
    <row r="13" spans="1:10">
      <c r="A13" s="2" t="s">
        <v>61</v>
      </c>
      <c r="B13" s="8" t="str">
        <f>"__"&amp;[Name]</f>
        <v>__resource_form_field_attrs</v>
      </c>
      <c r="C13" s="8" t="str">
        <f>IF(RIGHT([Name],3)="ies",MID([Name],1,LEN([Name])-3)&amp;"y",IF(RIGHT([Name],1)="s",MID([Name],1,LEN([Name])-1),[Name]))</f>
        <v>resource_form_field_attr</v>
      </c>
      <c r="D13" s="8" t="str">
        <f t="shared" si="1"/>
        <v>Milestone\Appframe\Model</v>
      </c>
      <c r="E13" s="8" t="str">
        <f>SUBSTITUTE(PROPER([Singular Name]),"_","")</f>
        <v>ResourceFormFieldAttr</v>
      </c>
      <c r="F13" s="8" t="str">
        <f>"php artisan make:migration create_"&amp;[Table]&amp;"_table --create="&amp;[Table]</f>
        <v>php artisan make:migration create___resource_form_field_attrs_table --create=__resource_form_field_attrs</v>
      </c>
      <c r="G13" s="8" t="str">
        <f>"php artisan make:model "&amp;[Class Name]</f>
        <v>php artisan make:model ResourceFormFieldAttr</v>
      </c>
      <c r="H13" s="8" t="str">
        <f>"protected $table = '"&amp;[Table]&amp;"';"</f>
        <v>protected $table = '__resource_form_field_attrs';</v>
      </c>
      <c r="I13" s="8" t="str">
        <f>"php artisan make:seed "&amp;[Class Name]&amp;"TableSeeder"</f>
        <v>php artisan make:seed ResourceFormFieldAttrTableSeeder</v>
      </c>
      <c r="J13" s="8" t="str">
        <f>[Class Name]&amp;"TableSeeder"&amp;"::class,"</f>
        <v>ResourceFormFieldAttrTableSeeder::class,</v>
      </c>
    </row>
    <row r="14" spans="1:10">
      <c r="A14" s="2" t="s">
        <v>62</v>
      </c>
      <c r="B14" s="8" t="str">
        <f>"__"&amp;[Name]</f>
        <v>__resource_form_field_data</v>
      </c>
      <c r="C14" s="8" t="str">
        <f>IF(RIGHT([Name],3)="ies",MID([Name],1,LEN([Name])-3)&amp;"y",IF(RIGHT([Name],1)="s",MID([Name],1,LEN([Name])-1),[Name]))</f>
        <v>resource_form_field_data</v>
      </c>
      <c r="D14" s="8" t="str">
        <f t="shared" si="1"/>
        <v>Milestone\Appframe\Model</v>
      </c>
      <c r="E14" s="8" t="str">
        <f>SUBSTITUTE(PROPER([Singular Name]),"_","")</f>
        <v>ResourceFormFieldData</v>
      </c>
      <c r="F14" s="8" t="str">
        <f>"php artisan make:migration create_"&amp;[Table]&amp;"_table --create="&amp;[Table]</f>
        <v>php artisan make:migration create___resource_form_field_data_table --create=__resource_form_field_data</v>
      </c>
      <c r="G14" s="8" t="str">
        <f>"php artisan make:model "&amp;[Class Name]</f>
        <v>php artisan make:model ResourceFormFieldData</v>
      </c>
      <c r="H14" s="8" t="str">
        <f>"protected $table = '"&amp;[Table]&amp;"';"</f>
        <v>protected $table = '__resource_form_field_data';</v>
      </c>
      <c r="I14" s="8" t="str">
        <f>"php artisan make:seed "&amp;[Class Name]&amp;"TableSeeder"</f>
        <v>php artisan make:seed ResourceFormFieldDataTableSeeder</v>
      </c>
      <c r="J14" s="8" t="str">
        <f>[Class Name]&amp;"TableSeeder"&amp;"::class,"</f>
        <v>ResourceFormFieldDataTableSeeder::class,</v>
      </c>
    </row>
    <row r="15" spans="1:10">
      <c r="A15" s="2" t="s">
        <v>63</v>
      </c>
      <c r="B15" s="8" t="str">
        <f>"__"&amp;[Name]</f>
        <v>__resource_form_field_validations</v>
      </c>
      <c r="C15" s="8" t="str">
        <f>IF(RIGHT([Name],3)="ies",MID([Name],1,LEN([Name])-3)&amp;"y",IF(RIGHT([Name],1)="s",MID([Name],1,LEN([Name])-1),[Name]))</f>
        <v>resource_form_field_validation</v>
      </c>
      <c r="D15" s="8" t="str">
        <f t="shared" si="1"/>
        <v>Milestone\Appframe\Model</v>
      </c>
      <c r="E15" s="8" t="str">
        <f>SUBSTITUTE(PROPER([Singular Name]),"_","")</f>
        <v>ResourceFormFieldValidation</v>
      </c>
      <c r="F15" s="8" t="str">
        <f>"php artisan make:migration create_"&amp;[Table]&amp;"_table --create="&amp;[Table]</f>
        <v>php artisan make:migration create___resource_form_field_validations_table --create=__resource_form_field_validations</v>
      </c>
      <c r="G15" s="8" t="str">
        <f>"php artisan make:model "&amp;[Class Name]</f>
        <v>php artisan make:model ResourceFormFieldValidation</v>
      </c>
      <c r="H15" s="8" t="str">
        <f>"protected $table = '"&amp;[Table]&amp;"';"</f>
        <v>protected $table = '__resource_form_field_validations';</v>
      </c>
      <c r="I15" s="8" t="str">
        <f>"php artisan make:seed "&amp;[Class Name]&amp;"TableSeeder"</f>
        <v>php artisan make:seed ResourceFormFieldValidationTableSeeder</v>
      </c>
      <c r="J15" s="8" t="str">
        <f>[Class Name]&amp;"TableSeeder"&amp;"::class,"</f>
        <v>ResourceFormFieldValidationTableSeeder::class,</v>
      </c>
    </row>
    <row r="16" spans="1:10">
      <c r="A16" s="2" t="s">
        <v>157</v>
      </c>
      <c r="B16" s="8" t="str">
        <f>"__"&amp;[Name]</f>
        <v>__resource_form_field_options</v>
      </c>
      <c r="C16" s="8" t="str">
        <f>IF(RIGHT([Name],3)="ies",MID([Name],1,LEN([Name])-3)&amp;"y",IF(RIGHT([Name],1)="s",MID([Name],1,LEN([Name])-1),[Name]))</f>
        <v>resource_form_field_option</v>
      </c>
      <c r="D16" s="8" t="str">
        <f t="shared" si="1"/>
        <v>Milestone\Appframe\Model</v>
      </c>
      <c r="E16" s="8" t="str">
        <f>SUBSTITUTE(PROPER([Singular Name]),"_","")</f>
        <v>ResourceFormFieldOption</v>
      </c>
      <c r="F16" s="8" t="str">
        <f>"php artisan make:migration create_"&amp;[Table]&amp;"_table --create="&amp;[Table]</f>
        <v>php artisan make:migration create___resource_form_field_options_table --create=__resource_form_field_options</v>
      </c>
      <c r="G16" s="8" t="str">
        <f>"php artisan make:model "&amp;[Class Name]</f>
        <v>php artisan make:model ResourceFormFieldOption</v>
      </c>
      <c r="H16" s="8" t="str">
        <f>"protected $table = '"&amp;[Table]&amp;"';"</f>
        <v>protected $table = '__resource_form_field_options';</v>
      </c>
      <c r="I16" s="8" t="str">
        <f>"php artisan make:seed "&amp;[Class Name]&amp;"TableSeeder"</f>
        <v>php artisan make:seed ResourceFormFieldOptionTableSeeder</v>
      </c>
      <c r="J16" s="8" t="str">
        <f>[Class Name]&amp;"TableSeeder"&amp;"::class,"</f>
        <v>ResourceFormFieldOptionTableSeeder::class,</v>
      </c>
    </row>
    <row r="17" spans="1:10">
      <c r="A17" s="2" t="s">
        <v>196</v>
      </c>
      <c r="B17" s="8" t="str">
        <f>"__"&amp;[Name]</f>
        <v>__resource_form_field_depends</v>
      </c>
      <c r="C17" s="8" t="str">
        <f>IF(RIGHT([Name],3)="ies",MID([Name],1,LEN([Name])-3)&amp;"y",IF(RIGHT([Name],1)="s",MID([Name],1,LEN([Name])-1),[Name]))</f>
        <v>resource_form_field_depend</v>
      </c>
      <c r="D17" s="8" t="str">
        <f t="shared" si="1"/>
        <v>Milestone\Appframe\Model</v>
      </c>
      <c r="E17" s="8" t="str">
        <f>SUBSTITUTE(PROPER([Singular Name]),"_","")</f>
        <v>ResourceFormFieldDepend</v>
      </c>
      <c r="F17" s="8" t="str">
        <f>"php artisan make:migration create_"&amp;[Table]&amp;"_table --create="&amp;[Table]</f>
        <v>php artisan make:migration create___resource_form_field_depends_table --create=__resource_form_field_depends</v>
      </c>
      <c r="G17" s="8" t="str">
        <f>"php artisan make:model "&amp;[Class Name]</f>
        <v>php artisan make:model ResourceFormFieldDepend</v>
      </c>
      <c r="H17" s="8" t="str">
        <f>"protected $table = '"&amp;[Table]&amp;"';"</f>
        <v>protected $table = '__resource_form_field_depends';</v>
      </c>
      <c r="I17" s="8" t="str">
        <f>"php artisan make:seed "&amp;[Class Name]&amp;"TableSeeder"</f>
        <v>php artisan make:seed ResourceFormFieldDependTableSeeder</v>
      </c>
      <c r="J17" s="8" t="str">
        <f>[Class Name]&amp;"TableSeeder"&amp;"::class,"</f>
        <v>ResourceFormFieldDependTableSeeder::class,</v>
      </c>
    </row>
    <row r="18" spans="1:10">
      <c r="A18" s="2" t="s">
        <v>212</v>
      </c>
      <c r="B18" s="8" t="str">
        <f>"__"&amp;[Name]</f>
        <v>__resource_form_field_dynamic</v>
      </c>
      <c r="C18" s="8" t="str">
        <f>IF(RIGHT([Name],3)="ies",MID([Name],1,LEN([Name])-3)&amp;"y",IF(RIGHT([Name],1)="s",MID([Name],1,LEN([Name])-1),[Name]))</f>
        <v>resource_form_field_dynamic</v>
      </c>
      <c r="D18" s="8" t="str">
        <f t="shared" si="1"/>
        <v>Milestone\Appframe\Model</v>
      </c>
      <c r="E18" s="8" t="str">
        <f>SUBSTITUTE(PROPER([Singular Name]),"_","")</f>
        <v>ResourceFormFieldDynamic</v>
      </c>
      <c r="F18" s="8" t="str">
        <f>"php artisan make:migration create_"&amp;[Table]&amp;"_table --create="&amp;[Table]</f>
        <v>php artisan make:migration create___resource_form_field_dynamic_table --create=__resource_form_field_dynamic</v>
      </c>
      <c r="G18" s="8" t="str">
        <f>"php artisan make:model "&amp;[Class Name]</f>
        <v>php artisan make:model ResourceFormFieldDynamic</v>
      </c>
      <c r="H18" s="8" t="str">
        <f>"protected $table = '"&amp;[Table]&amp;"';"</f>
        <v>protected $table = '__resource_form_field_dynamic';</v>
      </c>
      <c r="I18" s="8" t="str">
        <f>"php artisan make:seed "&amp;[Class Name]&amp;"TableSeeder"</f>
        <v>php artisan make:seed ResourceFormFieldDynamicTableSeeder</v>
      </c>
      <c r="J18" s="8" t="str">
        <f>[Class Name]&amp;"TableSeeder"&amp;"::class,"</f>
        <v>ResourceFormFieldDynamicTableSeeder::class,</v>
      </c>
    </row>
    <row r="19" spans="1:10">
      <c r="A19" s="2" t="s">
        <v>179</v>
      </c>
      <c r="B19" s="8" t="str">
        <f>"__"&amp;[Name]</f>
        <v>__resource_form_layout</v>
      </c>
      <c r="C19" s="8" t="str">
        <f>IF(RIGHT([Name],3)="ies",MID([Name],1,LEN([Name])-3)&amp;"y",IF(RIGHT([Name],1)="s",MID([Name],1,LEN([Name])-1),[Name]))</f>
        <v>resource_form_layout</v>
      </c>
      <c r="D19" s="8" t="str">
        <f t="shared" si="1"/>
        <v>Milestone\Appframe\Model</v>
      </c>
      <c r="E19" s="8" t="str">
        <f>SUBSTITUTE(PROPER([Singular Name]),"_","")</f>
        <v>ResourceFormLayout</v>
      </c>
      <c r="F19" s="8" t="str">
        <f>"php artisan make:migration create_"&amp;[Table]&amp;"_table --create="&amp;[Table]</f>
        <v>php artisan make:migration create___resource_form_layout_table --create=__resource_form_layout</v>
      </c>
      <c r="G19" s="8" t="str">
        <f>"php artisan make:model "&amp;[Class Name]</f>
        <v>php artisan make:model ResourceFormLayout</v>
      </c>
      <c r="H19" s="8" t="str">
        <f>"protected $table = '"&amp;[Table]&amp;"';"</f>
        <v>protected $table = '__resource_form_layout';</v>
      </c>
      <c r="I19" s="8" t="str">
        <f>"php artisan make:seed "&amp;[Class Name]&amp;"TableSeeder"</f>
        <v>php artisan make:seed ResourceFormLayoutTableSeeder</v>
      </c>
      <c r="J19" s="8" t="str">
        <f>[Class Name]&amp;"TableSeeder"&amp;"::class,"</f>
        <v>ResourceFormLayoutTableSeeder::class,</v>
      </c>
    </row>
    <row r="20" spans="1:10">
      <c r="A20" s="2" t="s">
        <v>188</v>
      </c>
      <c r="B20" s="8" t="str">
        <f>"__"&amp;[Name]</f>
        <v>__resource_form_collection</v>
      </c>
      <c r="C20" s="8" t="str">
        <f>IF(RIGHT([Name],3)="ies",MID([Name],1,LEN([Name])-3)&amp;"y",IF(RIGHT([Name],1)="s",MID([Name],1,LEN([Name])-1),[Name]))</f>
        <v>resource_form_collection</v>
      </c>
      <c r="D20" s="8" t="str">
        <f t="shared" si="1"/>
        <v>Milestone\Appframe\Model</v>
      </c>
      <c r="E20" s="8" t="str">
        <f>SUBSTITUTE(PROPER([Singular Name]),"_","")</f>
        <v>ResourceFormCollection</v>
      </c>
      <c r="F20" s="8" t="str">
        <f>"php artisan make:migration create_"&amp;[Table]&amp;"_table --create="&amp;[Table]</f>
        <v>php artisan make:migration create___resource_form_collection_table --create=__resource_form_collection</v>
      </c>
      <c r="G20" s="8" t="str">
        <f>"php artisan make:model "&amp;[Class Name]</f>
        <v>php artisan make:model ResourceFormCollection</v>
      </c>
      <c r="H20" s="8" t="str">
        <f>"protected $table = '"&amp;[Table]&amp;"';"</f>
        <v>protected $table = '__resource_form_collection';</v>
      </c>
      <c r="I20" s="8" t="str">
        <f>"php artisan make:seed "&amp;[Class Name]&amp;"TableSeeder"</f>
        <v>php artisan make:seed ResourceFormCollectionTableSeeder</v>
      </c>
      <c r="J20" s="8" t="str">
        <f>[Class Name]&amp;"TableSeeder"&amp;"::class,"</f>
        <v>ResourceFormCollectionTableSeeder::class,</v>
      </c>
    </row>
    <row r="21" spans="1:10">
      <c r="A21" s="2" t="s">
        <v>230</v>
      </c>
      <c r="B21" s="8" t="str">
        <f>"__"&amp;[Name]</f>
        <v>__resource_form_upload</v>
      </c>
      <c r="C21" s="8" t="str">
        <f>IF(RIGHT([Name],3)="ies",MID([Name],1,LEN([Name])-3)&amp;"y",IF(RIGHT([Name],1)="s",MID([Name],1,LEN([Name])-1),[Name]))</f>
        <v>resource_form_upload</v>
      </c>
      <c r="D21" s="8" t="str">
        <f t="shared" si="1"/>
        <v>Milestone\Appframe\Model</v>
      </c>
      <c r="E21" s="8" t="str">
        <f>SUBSTITUTE(PROPER([Singular Name]),"_","")</f>
        <v>ResourceFormUpload</v>
      </c>
      <c r="F21" s="8" t="str">
        <f>"php artisan make:migration create_"&amp;[Table]&amp;"_table --create="&amp;[Table]</f>
        <v>php artisan make:migration create___resource_form_upload_table --create=__resource_form_upload</v>
      </c>
      <c r="G21" s="8" t="str">
        <f>"php artisan make:model "&amp;[Class Name]</f>
        <v>php artisan make:model ResourceFormUpload</v>
      </c>
      <c r="H21" s="8" t="str">
        <f>"protected $table = '"&amp;[Table]&amp;"';"</f>
        <v>protected $table = '__resource_form_upload';</v>
      </c>
      <c r="I21" s="8" t="str">
        <f>"php artisan make:seed "&amp;[Class Name]&amp;"TableSeeder"</f>
        <v>php artisan make:seed ResourceFormUploadTableSeeder</v>
      </c>
      <c r="J21" s="8" t="str">
        <f>[Class Name]&amp;"TableSeeder"&amp;"::class,"</f>
        <v>ResourceFormUploadTableSeeder::class,</v>
      </c>
    </row>
    <row r="22" spans="1:10">
      <c r="A22" s="2" t="s">
        <v>77</v>
      </c>
      <c r="B22" s="9" t="str">
        <f>"__"&amp;[Name]</f>
        <v>__resource_form_defaults</v>
      </c>
      <c r="C22" s="9" t="str">
        <f>IF(RIGHT([Name],3)="ies",MID([Name],1,LEN([Name])-3)&amp;"y",IF(RIGHT([Name],1)="s",MID([Name],1,LEN([Name])-1),[Name]))</f>
        <v>resource_form_default</v>
      </c>
      <c r="D22" s="9" t="str">
        <f t="shared" si="0"/>
        <v>Milestone\Appframe\Model</v>
      </c>
      <c r="E22" s="8" t="str">
        <f>SUBSTITUTE(PROPER([Singular Name]),"_","")</f>
        <v>ResourceFormDefault</v>
      </c>
      <c r="F22" s="8" t="str">
        <f>"php artisan make:migration create_"&amp;[Table]&amp;"_table --create="&amp;[Table]</f>
        <v>php artisan make:migration create___resource_form_defaults_table --create=__resource_form_defaults</v>
      </c>
      <c r="G22" s="8" t="str">
        <f>"php artisan make:model "&amp;[Class Name]</f>
        <v>php artisan make:model ResourceFormDefault</v>
      </c>
      <c r="H22" s="8" t="str">
        <f>"protected $table = '"&amp;[Table]&amp;"';"</f>
        <v>protected $table = '__resource_form_defaults';</v>
      </c>
      <c r="I22" s="8" t="str">
        <f>"php artisan make:seed "&amp;[Class Name]&amp;"TableSeeder"</f>
        <v>php artisan make:seed ResourceFormDefaultTableSeeder</v>
      </c>
      <c r="J22" s="8" t="str">
        <f>[Class Name]&amp;"TableSeeder"&amp;"::class,"</f>
        <v>ResourceFormDefaultTableSeeder::class,</v>
      </c>
    </row>
    <row r="23" spans="1:10">
      <c r="A23" s="2" t="s">
        <v>5</v>
      </c>
      <c r="B23" s="9" t="str">
        <f>"__"&amp;[Name]</f>
        <v>__resource_lists</v>
      </c>
      <c r="C23" s="9" t="str">
        <f>IF(RIGHT([Name],3)="ies",MID([Name],1,LEN([Name])-3)&amp;"y",IF(RIGHT([Name],1)="s",MID([Name],1,LEN([Name])-1),[Name]))</f>
        <v>resource_list</v>
      </c>
      <c r="D23" s="9" t="str">
        <f t="shared" si="0"/>
        <v>Milestone\Appframe\Model</v>
      </c>
      <c r="E23" s="8" t="str">
        <f>SUBSTITUTE(PROPER([Singular Name]),"_","")</f>
        <v>ResourceList</v>
      </c>
      <c r="F23" s="8" t="str">
        <f>"php artisan make:migration create_"&amp;[Table]&amp;"_table --create="&amp;[Table]</f>
        <v>php artisan make:migration create___resource_lists_table --create=__resource_lists</v>
      </c>
      <c r="G23" s="8" t="str">
        <f>"php artisan make:model "&amp;[Class Name]</f>
        <v>php artisan make:model ResourceList</v>
      </c>
      <c r="H23" s="8" t="str">
        <f>"protected $table = '"&amp;[Table]&amp;"';"</f>
        <v>protected $table = '__resource_lists';</v>
      </c>
      <c r="I23" s="8" t="str">
        <f>"php artisan make:seed "&amp;[Class Name]&amp;"TableSeeder"</f>
        <v>php artisan make:seed ResourceListTableSeeder</v>
      </c>
      <c r="J23" s="8" t="str">
        <f>[Class Name]&amp;"TableSeeder"&amp;"::class,"</f>
        <v>ResourceListTableSeeder::class,</v>
      </c>
    </row>
    <row r="24" spans="1:10">
      <c r="A24" s="4" t="s">
        <v>10</v>
      </c>
      <c r="B24" s="7" t="str">
        <f>"__"&amp;[Name]</f>
        <v>__resource_list_relations</v>
      </c>
      <c r="C24" s="7" t="str">
        <f>IF(RIGHT([Name],3)="ies",MID([Name],1,LEN([Name])-3)&amp;"y",IF(RIGHT([Name],1)="s",MID([Name],1,LEN([Name])-1),[Name]))</f>
        <v>resource_list_relation</v>
      </c>
      <c r="D24" s="7" t="str">
        <f>"Milestone\Appframe\Model"</f>
        <v>Milestone\Appframe\Model</v>
      </c>
      <c r="E24" s="8" t="str">
        <f>SUBSTITUTE(PROPER([Singular Name]),"_","")</f>
        <v>ResourceListRelation</v>
      </c>
      <c r="F24" s="8" t="str">
        <f>"php artisan make:migration create_"&amp;[Table]&amp;"_table --create="&amp;[Table]</f>
        <v>php artisan make:migration create___resource_list_relations_table --create=__resource_list_relations</v>
      </c>
      <c r="G24" s="8" t="str">
        <f>"php artisan make:model "&amp;[Class Name]</f>
        <v>php artisan make:model ResourceListRelation</v>
      </c>
      <c r="H24" s="8" t="str">
        <f>"protected $table = '"&amp;[Table]&amp;"';"</f>
        <v>protected $table = '__resource_list_relations';</v>
      </c>
      <c r="I24" s="8" t="str">
        <f>"php artisan make:seed "&amp;[Class Name]&amp;"TableSeeder"</f>
        <v>php artisan make:seed ResourceListRelationTableSeeder</v>
      </c>
      <c r="J24" s="8" t="str">
        <f>[Class Name]&amp;"TableSeeder"&amp;"::class,"</f>
        <v>ResourceListRelationTableSeeder::class,</v>
      </c>
    </row>
    <row r="25" spans="1:10">
      <c r="A25" s="4" t="s">
        <v>11</v>
      </c>
      <c r="B25" s="7" t="str">
        <f>"__"&amp;[Name]</f>
        <v>__resource_list_scopes</v>
      </c>
      <c r="C25" s="7" t="str">
        <f>IF(RIGHT([Name],3)="ies",MID([Name],1,LEN([Name])-3)&amp;"y",IF(RIGHT([Name],1)="s",MID([Name],1,LEN([Name])-1),[Name]))</f>
        <v>resource_list_scope</v>
      </c>
      <c r="D25" s="7" t="str">
        <f>"Milestone\Appframe\Model"</f>
        <v>Milestone\Appframe\Model</v>
      </c>
      <c r="E25" s="8" t="str">
        <f>SUBSTITUTE(PROPER([Singular Name]),"_","")</f>
        <v>ResourceListScope</v>
      </c>
      <c r="F25" s="8" t="str">
        <f>"php artisan make:migration create_"&amp;[Table]&amp;"_table --create="&amp;[Table]</f>
        <v>php artisan make:migration create___resource_list_scopes_table --create=__resource_list_scopes</v>
      </c>
      <c r="G25" s="8" t="str">
        <f>"php artisan make:model "&amp;[Class Name]</f>
        <v>php artisan make:model ResourceListScope</v>
      </c>
      <c r="H25" s="8" t="str">
        <f>"protected $table = '"&amp;[Table]&amp;"';"</f>
        <v>protected $table = '__resource_list_scopes';</v>
      </c>
      <c r="I25" s="8" t="str">
        <f>"php artisan make:seed "&amp;[Class Name]&amp;"TableSeeder"</f>
        <v>php artisan make:seed ResourceListScopeTableSeeder</v>
      </c>
      <c r="J25" s="8" t="str">
        <f>[Class Name]&amp;"TableSeeder"&amp;"::class,"</f>
        <v>ResourceListScopeTableSeeder::class,</v>
      </c>
    </row>
    <row r="26" spans="1:10">
      <c r="A26" s="4" t="s">
        <v>172</v>
      </c>
      <c r="B26" s="7" t="str">
        <f>"__"&amp;[Name]</f>
        <v>__resource_list_layout</v>
      </c>
      <c r="C26" s="7" t="str">
        <f>IF(RIGHT([Name],3)="ies",MID([Name],1,LEN([Name])-3)&amp;"y",IF(RIGHT([Name],1)="s",MID([Name],1,LEN([Name])-1),[Name]))</f>
        <v>resource_list_layout</v>
      </c>
      <c r="D26" s="7" t="str">
        <f>"Milestone\Appframe\Model"</f>
        <v>Milestone\Appframe\Model</v>
      </c>
      <c r="E26" s="8" t="str">
        <f>SUBSTITUTE(PROPER([Singular Name]),"_","")</f>
        <v>ResourceListLayout</v>
      </c>
      <c r="F26" s="8" t="str">
        <f>"php artisan make:migration create_"&amp;[Table]&amp;"_table --create="&amp;[Table]</f>
        <v>php artisan make:migration create___resource_list_layout_table --create=__resource_list_layout</v>
      </c>
      <c r="G26" s="8" t="str">
        <f>"php artisan make:model "&amp;[Class Name]</f>
        <v>php artisan make:model ResourceListLayout</v>
      </c>
      <c r="H26" s="8" t="str">
        <f>"protected $table = '"&amp;[Table]&amp;"';"</f>
        <v>protected $table = '__resource_list_layout';</v>
      </c>
      <c r="I26" s="8" t="str">
        <f>"php artisan make:seed "&amp;[Class Name]&amp;"TableSeeder"</f>
        <v>php artisan make:seed ResourceListLayoutTableSeeder</v>
      </c>
      <c r="J26" s="8" t="str">
        <f>[Class Name]&amp;"TableSeeder"&amp;"::class,"</f>
        <v>ResourceListLayoutTableSeeder::class,</v>
      </c>
    </row>
    <row r="27" spans="1:10">
      <c r="A27" s="4" t="s">
        <v>194</v>
      </c>
      <c r="B27" s="7" t="str">
        <f>"__"&amp;[Name]</f>
        <v>__resource_list_search</v>
      </c>
      <c r="C27" s="7" t="str">
        <f>IF(RIGHT([Name],3)="ies",MID([Name],1,LEN([Name])-3)&amp;"y",IF(RIGHT([Name],1)="s",MID([Name],1,LEN([Name])-1),[Name]))</f>
        <v>resource_list_search</v>
      </c>
      <c r="D27" s="7" t="str">
        <f>"Milestone\Appframe\Model"</f>
        <v>Milestone\Appframe\Model</v>
      </c>
      <c r="E27" s="8" t="str">
        <f>SUBSTITUTE(PROPER([Singular Name]),"_","")</f>
        <v>ResourceListSearch</v>
      </c>
      <c r="F27" s="8" t="str">
        <f>"php artisan make:migration create_"&amp;[Table]&amp;"_table --create="&amp;[Table]</f>
        <v>php artisan make:migration create___resource_list_search_table --create=__resource_list_search</v>
      </c>
      <c r="G27" s="8" t="str">
        <f>"php artisan make:model "&amp;[Class Name]</f>
        <v>php artisan make:model ResourceListSearch</v>
      </c>
      <c r="H27" s="8" t="str">
        <f>"protected $table = '"&amp;[Table]&amp;"';"</f>
        <v>protected $table = '__resource_list_search';</v>
      </c>
      <c r="I27" s="8" t="str">
        <f>"php artisan make:seed "&amp;[Class Name]&amp;"TableSeeder"</f>
        <v>php artisan make:seed ResourceListSearchTableSeeder</v>
      </c>
      <c r="J27" s="8" t="str">
        <f>[Class Name]&amp;"TableSeeder"&amp;"::class,"</f>
        <v>ResourceListSearchTableSeeder::class,</v>
      </c>
    </row>
    <row r="28" spans="1:10">
      <c r="A28" s="2" t="s">
        <v>4</v>
      </c>
      <c r="B28" s="9" t="str">
        <f>"__"&amp;[Name]</f>
        <v>__resource_data</v>
      </c>
      <c r="C28" s="9" t="str">
        <f>IF(RIGHT([Name],3)="ies",MID([Name],1,LEN([Name])-3)&amp;"y",IF(RIGHT([Name],1)="s",MID([Name],1,LEN([Name])-1),[Name]))</f>
        <v>resource_data</v>
      </c>
      <c r="D28" s="9" t="str">
        <f t="shared" si="0"/>
        <v>Milestone\Appframe\Model</v>
      </c>
      <c r="E28" s="8" t="str">
        <f>SUBSTITUTE(PROPER([Singular Name]),"_","")</f>
        <v>ResourceData</v>
      </c>
      <c r="F28" s="8" t="str">
        <f>"php artisan make:migration create_"&amp;[Table]&amp;"_table --create="&amp;[Table]</f>
        <v>php artisan make:migration create___resource_data_table --create=__resource_data</v>
      </c>
      <c r="G28" s="8" t="str">
        <f>"php artisan make:model "&amp;[Class Name]</f>
        <v>php artisan make:model ResourceData</v>
      </c>
      <c r="H28" s="8" t="str">
        <f>"protected $table = '"&amp;[Table]&amp;"';"</f>
        <v>protected $table = '__resource_data';</v>
      </c>
      <c r="I28" s="8" t="str">
        <f>"php artisan make:seed "&amp;[Class Name]&amp;"TableSeeder"</f>
        <v>php artisan make:seed ResourceDataTableSeeder</v>
      </c>
      <c r="J28" s="8" t="str">
        <f>[Class Name]&amp;"TableSeeder"&amp;"::class,"</f>
        <v>ResourceDataTableSeeder::class,</v>
      </c>
    </row>
    <row r="29" spans="1:10">
      <c r="A29" s="4" t="s">
        <v>9</v>
      </c>
      <c r="B29" s="7" t="str">
        <f>"__"&amp;[Name]</f>
        <v>__resource_data_relations</v>
      </c>
      <c r="C29" s="7" t="str">
        <f>IF(RIGHT([Name],3)="ies",MID([Name],1,LEN([Name])-3)&amp;"y",IF(RIGHT([Name],1)="s",MID([Name],1,LEN([Name])-1),[Name]))</f>
        <v>resource_data_relation</v>
      </c>
      <c r="D29" s="7" t="str">
        <f t="shared" si="0"/>
        <v>Milestone\Appframe\Model</v>
      </c>
      <c r="E29" s="8" t="str">
        <f>SUBSTITUTE(PROPER([Singular Name]),"_","")</f>
        <v>ResourceDataRelation</v>
      </c>
      <c r="F29" s="8" t="str">
        <f>"php artisan make:migration create_"&amp;[Table]&amp;"_table --create="&amp;[Table]</f>
        <v>php artisan make:migration create___resource_data_relations_table --create=__resource_data_relations</v>
      </c>
      <c r="G29" s="8" t="str">
        <f>"php artisan make:model "&amp;[Class Name]</f>
        <v>php artisan make:model ResourceDataRelation</v>
      </c>
      <c r="H29" s="8" t="str">
        <f>"protected $table = '"&amp;[Table]&amp;"';"</f>
        <v>protected $table = '__resource_data_relations';</v>
      </c>
      <c r="I29" s="8" t="str">
        <f>"php artisan make:seed "&amp;[Class Name]&amp;"TableSeeder"</f>
        <v>php artisan make:seed ResourceDataRelationTableSeeder</v>
      </c>
      <c r="J29" s="8" t="str">
        <f>[Class Name]&amp;"TableSeeder"&amp;"::class,"</f>
        <v>ResourceDataRelationTableSeeder::class,</v>
      </c>
    </row>
    <row r="30" spans="1:10">
      <c r="A30" s="4" t="s">
        <v>175</v>
      </c>
      <c r="B30" s="7" t="str">
        <f>"__"&amp;[Name]</f>
        <v>__resource_data_scopes</v>
      </c>
      <c r="C30" s="7" t="str">
        <f>IF(RIGHT([Name],3)="ies",MID([Name],1,LEN([Name])-3)&amp;"y",IF(RIGHT([Name],1)="s",MID([Name],1,LEN([Name])-1),[Name]))</f>
        <v>resource_data_scope</v>
      </c>
      <c r="D30" s="7" t="str">
        <f>"Milestone\Appframe\Model"</f>
        <v>Milestone\Appframe\Model</v>
      </c>
      <c r="E30" s="8" t="str">
        <f>SUBSTITUTE(PROPER([Singular Name]),"_","")</f>
        <v>ResourceDataScope</v>
      </c>
      <c r="F30" s="8" t="str">
        <f>"php artisan make:migration create_"&amp;[Table]&amp;"_table --create="&amp;[Table]</f>
        <v>php artisan make:migration create___resource_data_scopes_table --create=__resource_data_scopes</v>
      </c>
      <c r="G30" s="8" t="str">
        <f>"php artisan make:model "&amp;[Class Name]</f>
        <v>php artisan make:model ResourceDataScope</v>
      </c>
      <c r="H30" s="8" t="str">
        <f>"protected $table = '"&amp;[Table]&amp;"';"</f>
        <v>protected $table = '__resource_data_scopes';</v>
      </c>
      <c r="I30" s="8" t="str">
        <f>"php artisan make:seed "&amp;[Class Name]&amp;"TableSeeder"</f>
        <v>php artisan make:seed ResourceDataScopeTableSeeder</v>
      </c>
      <c r="J30" s="8" t="str">
        <f>[Class Name]&amp;"TableSeeder"&amp;"::class,"</f>
        <v>ResourceDataScopeTableSeeder::class,</v>
      </c>
    </row>
    <row r="31" spans="1:10">
      <c r="A31" s="4" t="s">
        <v>182</v>
      </c>
      <c r="B31" s="7" t="str">
        <f>"__"&amp;[Name]</f>
        <v>__resource_data_view_sections</v>
      </c>
      <c r="C31" s="7" t="str">
        <f>IF(RIGHT([Name],3)="ies",MID([Name],1,LEN([Name])-3)&amp;"y",IF(RIGHT([Name],1)="s",MID([Name],1,LEN([Name])-1),[Name]))</f>
        <v>resource_data_view_section</v>
      </c>
      <c r="D31" s="7" t="str">
        <f>"Milestone\Appframe\Model"</f>
        <v>Milestone\Appframe\Model</v>
      </c>
      <c r="E31" s="8" t="str">
        <f>SUBSTITUTE(PROPER([Singular Name]),"_","")</f>
        <v>ResourceDataViewSection</v>
      </c>
      <c r="F31" s="8" t="str">
        <f>"php artisan make:migration create_"&amp;[Table]&amp;"_table --create="&amp;[Table]</f>
        <v>php artisan make:migration create___resource_data_view_sections_table --create=__resource_data_view_sections</v>
      </c>
      <c r="G31" s="8" t="str">
        <f>"php artisan make:model "&amp;[Class Name]</f>
        <v>php artisan make:model ResourceDataViewSection</v>
      </c>
      <c r="H31" s="8" t="str">
        <f>"protected $table = '"&amp;[Table]&amp;"';"</f>
        <v>protected $table = '__resource_data_view_sections';</v>
      </c>
      <c r="I31" s="8" t="str">
        <f>"php artisan make:seed "&amp;[Class Name]&amp;"TableSeeder"</f>
        <v>php artisan make:seed ResourceDataViewSectionTableSeeder</v>
      </c>
      <c r="J31" s="8" t="str">
        <f>[Class Name]&amp;"TableSeeder"&amp;"::class,"</f>
        <v>ResourceDataViewSectionTableSeeder::class,</v>
      </c>
    </row>
    <row r="32" spans="1:10">
      <c r="A32" s="4" t="s">
        <v>183</v>
      </c>
      <c r="B32" s="7" t="str">
        <f>"__"&amp;[Name]</f>
        <v>__resource_data_view_section_items</v>
      </c>
      <c r="C32" s="7" t="str">
        <f>IF(RIGHT([Name],3)="ies",MID([Name],1,LEN([Name])-3)&amp;"y",IF(RIGHT([Name],1)="s",MID([Name],1,LEN([Name])-1),[Name]))</f>
        <v>resource_data_view_section_item</v>
      </c>
      <c r="D32" s="7" t="str">
        <f>"Milestone\Appframe\Model"</f>
        <v>Milestone\Appframe\Model</v>
      </c>
      <c r="E32" s="8" t="str">
        <f>SUBSTITUTE(PROPER([Singular Name]),"_","")</f>
        <v>ResourceDataViewSectionItem</v>
      </c>
      <c r="F32" s="8" t="str">
        <f>"php artisan make:migration create_"&amp;[Table]&amp;"_table --create="&amp;[Table]</f>
        <v>php artisan make:migration create___resource_data_view_section_items_table --create=__resource_data_view_section_items</v>
      </c>
      <c r="G32" s="8" t="str">
        <f>"php artisan make:model "&amp;[Class Name]</f>
        <v>php artisan make:model ResourceDataViewSectionItem</v>
      </c>
      <c r="H32" s="8" t="str">
        <f>"protected $table = '"&amp;[Table]&amp;"';"</f>
        <v>protected $table = '__resource_data_view_section_items';</v>
      </c>
      <c r="I32" s="8" t="str">
        <f>"php artisan make:seed "&amp;[Class Name]&amp;"TableSeeder"</f>
        <v>php artisan make:seed ResourceDataViewSectionItemTableSeeder</v>
      </c>
      <c r="J32" s="8" t="str">
        <f>[Class Name]&amp;"TableSeeder"&amp;"::class,"</f>
        <v>ResourceDataViewSectionItemTableSeeder::class,</v>
      </c>
    </row>
    <row r="33" spans="1:10">
      <c r="A33" s="2" t="s">
        <v>422</v>
      </c>
      <c r="B33" s="8" t="str">
        <f>"__"&amp;[Name]</f>
        <v>__resource_form_data_map</v>
      </c>
      <c r="C33" s="8" t="str">
        <f>IF(RIGHT([Name],3)="ies",MID([Name],1,LEN([Name])-3)&amp;"y",IF(RIGHT([Name],1)="s",MID([Name],1,LEN([Name])-1),[Name]))</f>
        <v>resource_form_data_map</v>
      </c>
      <c r="D33" s="8" t="str">
        <f>"Milestone\Appframe\Model"</f>
        <v>Milestone\Appframe\Model</v>
      </c>
      <c r="E33" s="8" t="str">
        <f>SUBSTITUTE(PROPER([Singular Name]),"_","")</f>
        <v>ResourceFormDataMap</v>
      </c>
      <c r="F33" s="8" t="str">
        <f>"php artisan make:migration create_"&amp;[Table]&amp;"_table --create="&amp;[Table]</f>
        <v>php artisan make:migration create___resource_form_data_map_table --create=__resource_form_data_map</v>
      </c>
      <c r="G33" s="8" t="str">
        <f>"php artisan make:model "&amp;[Class Name]</f>
        <v>php artisan make:model ResourceFormDataMap</v>
      </c>
      <c r="H33" s="8" t="str">
        <f>"protected $table = '"&amp;[Table]&amp;"';"</f>
        <v>protected $table = '__resource_form_data_map';</v>
      </c>
      <c r="I33" s="8" t="str">
        <f>"php artisan make:seed "&amp;[Class Name]&amp;"TableSeeder"</f>
        <v>php artisan make:seed ResourceFormDataMapTableSeeder</v>
      </c>
      <c r="J33" s="8" t="str">
        <f>[Class Name]&amp;"TableSeeder"&amp;"::class,"</f>
        <v>ResourceFormDataMapTableSeeder::class,</v>
      </c>
    </row>
    <row r="34" spans="1:10">
      <c r="A34" s="2" t="s">
        <v>8</v>
      </c>
      <c r="B34" s="9" t="str">
        <f>"__"&amp;[Name]</f>
        <v>__resource_actions</v>
      </c>
      <c r="C34" s="9" t="str">
        <f>IF(RIGHT([Name],3)="ies",MID([Name],1,LEN([Name])-3)&amp;"y",IF(RIGHT([Name],1)="s",MID([Name],1,LEN([Name])-1),[Name]))</f>
        <v>resource_action</v>
      </c>
      <c r="D34" s="9" t="str">
        <f t="shared" si="0"/>
        <v>Milestone\Appframe\Model</v>
      </c>
      <c r="E34" s="8" t="str">
        <f>SUBSTITUTE(PROPER([Singular Name]),"_","")</f>
        <v>ResourceAction</v>
      </c>
      <c r="F34" s="8" t="str">
        <f>"php artisan make:migration create_"&amp;[Table]&amp;"_table --create="&amp;[Table]</f>
        <v>php artisan make:migration create___resource_actions_table --create=__resource_actions</v>
      </c>
      <c r="G34" s="8" t="str">
        <f>"php artisan make:model "&amp;[Class Name]</f>
        <v>php artisan make:model ResourceAction</v>
      </c>
      <c r="H34" s="8" t="str">
        <f>"protected $table = '"&amp;[Table]&amp;"';"</f>
        <v>protected $table = '__resource_actions';</v>
      </c>
      <c r="I34" s="8" t="str">
        <f>"php artisan make:seed "&amp;[Class Name]&amp;"TableSeeder"</f>
        <v>php artisan make:seed ResourceActionTableSeeder</v>
      </c>
      <c r="J34" s="8" t="str">
        <f>[Class Name]&amp;"TableSeeder"&amp;"::class,"</f>
        <v>ResourceActionTableSeeder::class,</v>
      </c>
    </row>
    <row r="35" spans="1:10">
      <c r="A35" s="2" t="s">
        <v>58</v>
      </c>
      <c r="B35" s="7" t="str">
        <f>"__"&amp;[Name]</f>
        <v>__resource_action_attrs</v>
      </c>
      <c r="C35" s="7" t="str">
        <f>IF(RIGHT([Name],3)="ies",MID([Name],1,LEN([Name])-3)&amp;"y",IF(RIGHT([Name],1)="s",MID([Name],1,LEN([Name])-1),[Name]))</f>
        <v>resource_action_attr</v>
      </c>
      <c r="D35" s="7" t="str">
        <f t="shared" si="0"/>
        <v>Milestone\Appframe\Model</v>
      </c>
      <c r="E35" s="8" t="str">
        <f>SUBSTITUTE(PROPER([Singular Name]),"_","")</f>
        <v>ResourceActionAttr</v>
      </c>
      <c r="F35" s="8" t="str">
        <f>"php artisan make:migration create_"&amp;[Table]&amp;"_table --create="&amp;[Table]</f>
        <v>php artisan make:migration create___resource_action_attrs_table --create=__resource_action_attrs</v>
      </c>
      <c r="G35" s="8" t="str">
        <f>"php artisan make:model "&amp;[Class Name]</f>
        <v>php artisan make:model ResourceActionAttr</v>
      </c>
      <c r="H35" s="8" t="str">
        <f>"protected $table = '"&amp;[Table]&amp;"';"</f>
        <v>protected $table = '__resource_action_attrs';</v>
      </c>
      <c r="I35" s="8" t="str">
        <f>"php artisan make:seed "&amp;[Class Name]&amp;"TableSeeder"</f>
        <v>php artisan make:seed ResourceActionAttrTableSeeder</v>
      </c>
      <c r="J35" s="8" t="str">
        <f>[Class Name]&amp;"TableSeeder"&amp;"::class,"</f>
        <v>ResourceActionAttrTableSeeder::class,</v>
      </c>
    </row>
    <row r="36" spans="1:10">
      <c r="A36" s="2" t="s">
        <v>59</v>
      </c>
      <c r="B36" s="7" t="str">
        <f>"__"&amp;[Name]</f>
        <v>__resource_action_methods</v>
      </c>
      <c r="C36" s="7" t="str">
        <f>IF(RIGHT([Name],3)="ies",MID([Name],1,LEN([Name])-3)&amp;"y",IF(RIGHT([Name],1)="s",MID([Name],1,LEN([Name])-1),[Name]))</f>
        <v>resource_action_method</v>
      </c>
      <c r="D36" s="7" t="str">
        <f t="shared" si="0"/>
        <v>Milestone\Appframe\Model</v>
      </c>
      <c r="E36" s="8" t="str">
        <f>SUBSTITUTE(PROPER([Singular Name]),"_","")</f>
        <v>ResourceActionMethod</v>
      </c>
      <c r="F36" s="8" t="str">
        <f>"php artisan make:migration create_"&amp;[Table]&amp;"_table --create="&amp;[Table]</f>
        <v>php artisan make:migration create___resource_action_methods_table --create=__resource_action_methods</v>
      </c>
      <c r="G36" s="8" t="str">
        <f>"php artisan make:model "&amp;[Class Name]</f>
        <v>php artisan make:model ResourceActionMethod</v>
      </c>
      <c r="H36" s="8" t="str">
        <f>"protected $table = '"&amp;[Table]&amp;"';"</f>
        <v>protected $table = '__resource_action_methods';</v>
      </c>
      <c r="I36" s="8" t="str">
        <f>"php artisan make:seed "&amp;[Class Name]&amp;"TableSeeder"</f>
        <v>php artisan make:seed ResourceActionMethodTableSeeder</v>
      </c>
      <c r="J36" s="8" t="str">
        <f>[Class Name]&amp;"TableSeeder"&amp;"::class,"</f>
        <v>ResourceActionMethodTableSeeder::class,</v>
      </c>
    </row>
    <row r="37" spans="1:10">
      <c r="A37" s="4" t="s">
        <v>69</v>
      </c>
      <c r="B37" s="7" t="str">
        <f>"__"&amp;[Name]</f>
        <v>__resource_action_lists</v>
      </c>
      <c r="C37" s="7" t="str">
        <f>IF(RIGHT([Name],3)="ies",MID([Name],1,LEN([Name])-3)&amp;"y",IF(RIGHT([Name],1)="s",MID([Name],1,LEN([Name])-1),[Name]))</f>
        <v>resource_action_list</v>
      </c>
      <c r="D37" s="7" t="str">
        <f>"Milestone\Appframe\Model"</f>
        <v>Milestone\Appframe\Model</v>
      </c>
      <c r="E37" s="8" t="str">
        <f>SUBSTITUTE(PROPER([Singular Name]),"_","")</f>
        <v>ResourceActionList</v>
      </c>
      <c r="F37" s="8" t="str">
        <f>"php artisan make:migration create_"&amp;[Table]&amp;"_table --create="&amp;[Table]</f>
        <v>php artisan make:migration create___resource_action_lists_table --create=__resource_action_lists</v>
      </c>
      <c r="G37" s="8" t="str">
        <f>"php artisan make:model "&amp;[Class Name]</f>
        <v>php artisan make:model ResourceActionList</v>
      </c>
      <c r="H37" s="8" t="str">
        <f>"protected $table = '"&amp;[Table]&amp;"';"</f>
        <v>protected $table = '__resource_action_lists';</v>
      </c>
      <c r="I37" s="8" t="str">
        <f>"php artisan make:seed "&amp;[Class Name]&amp;"TableSeeder"</f>
        <v>php artisan make:seed ResourceActionListTableSeeder</v>
      </c>
      <c r="J37" s="8" t="str">
        <f>[Class Name]&amp;"TableSeeder"&amp;"::class,"</f>
        <v>ResourceActionListTableSeeder::class,</v>
      </c>
    </row>
    <row r="38" spans="1:10">
      <c r="A38" s="4" t="s">
        <v>70</v>
      </c>
      <c r="B38" s="7" t="str">
        <f>"__"&amp;[Name]</f>
        <v>__resource_action_data</v>
      </c>
      <c r="C38" s="7" t="str">
        <f>IF(RIGHT([Name],3)="ies",MID([Name],1,LEN([Name])-3)&amp;"y",IF(RIGHT([Name],1)="s",MID([Name],1,LEN([Name])-1),[Name]))</f>
        <v>resource_action_data</v>
      </c>
      <c r="D38" s="7" t="str">
        <f>"Milestone\Appframe\Model"</f>
        <v>Milestone\Appframe\Model</v>
      </c>
      <c r="E38" s="8" t="str">
        <f>SUBSTITUTE(PROPER([Singular Name]),"_","")</f>
        <v>ResourceActionData</v>
      </c>
      <c r="F38" s="8" t="str">
        <f>"php artisan make:migration create_"&amp;[Table]&amp;"_table --create="&amp;[Table]</f>
        <v>php artisan make:migration create___resource_action_data_table --create=__resource_action_data</v>
      </c>
      <c r="G38" s="8" t="str">
        <f>"php artisan make:model "&amp;[Class Name]</f>
        <v>php artisan make:model ResourceActionData</v>
      </c>
      <c r="H38" s="8" t="str">
        <f>"protected $table = '"&amp;[Table]&amp;"';"</f>
        <v>protected $table = '__resource_action_data';</v>
      </c>
      <c r="I38" s="8" t="str">
        <f>"php artisan make:seed "&amp;[Class Name]&amp;"TableSeeder"</f>
        <v>php artisan make:seed ResourceActionDataTableSeeder</v>
      </c>
      <c r="J38" s="8" t="str">
        <f>[Class Name]&amp;"TableSeeder"&amp;"::class,"</f>
        <v>ResourceActionDataTableSeeder::class,</v>
      </c>
    </row>
    <row r="39" spans="1:10">
      <c r="A39" s="2" t="s">
        <v>7</v>
      </c>
      <c r="B39" s="9" t="str">
        <f>"__"&amp;[Name]</f>
        <v>__resource_defaults</v>
      </c>
      <c r="C39" s="9" t="str">
        <f>IF(RIGHT([Name],3)="ies",MID([Name],1,LEN([Name])-3)&amp;"y",IF(RIGHT([Name],1)="s",MID([Name],1,LEN([Name])-1),[Name]))</f>
        <v>resource_default</v>
      </c>
      <c r="D39" s="9" t="str">
        <f t="shared" si="0"/>
        <v>Milestone\Appframe\Model</v>
      </c>
      <c r="E39" s="8" t="str">
        <f>SUBSTITUTE(PROPER([Singular Name]),"_","")</f>
        <v>ResourceDefault</v>
      </c>
      <c r="F39" s="8" t="str">
        <f>"php artisan make:migration create_"&amp;[Table]&amp;"_table --create="&amp;[Table]</f>
        <v>php artisan make:migration create___resource_defaults_table --create=__resource_defaults</v>
      </c>
      <c r="G39" s="8" t="str">
        <f>"php artisan make:model "&amp;[Class Name]</f>
        <v>php artisan make:model ResourceDefault</v>
      </c>
      <c r="H39" s="8" t="str">
        <f>"protected $table = '"&amp;[Table]&amp;"';"</f>
        <v>protected $table = '__resource_defaults';</v>
      </c>
      <c r="I39" s="8" t="str">
        <f>"php artisan make:seed "&amp;[Class Name]&amp;"TableSeeder"</f>
        <v>php artisan make:seed ResourceDefaultTableSeeder</v>
      </c>
      <c r="J39" s="8" t="str">
        <f>[Class Name]&amp;"TableSeeder"&amp;"::class,"</f>
        <v>ResourceDefaultTableSeeder::class,</v>
      </c>
    </row>
    <row r="40" spans="1:10">
      <c r="A40" s="4" t="s">
        <v>204</v>
      </c>
      <c r="B40" s="9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 t="shared" si="0"/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--create="&amp;[Table]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4" t="s">
        <v>205</v>
      </c>
      <c r="B41" s="9" t="str">
        <f>"__"&amp;[Name]</f>
        <v>__resource_dashboard</v>
      </c>
      <c r="C41" s="9" t="str">
        <f>IF(RIGHT([Name],3)="ies",MID([Name],1,LEN([Name])-3)&amp;"y",IF(RIGHT([Name],1)="s",MID([Name],1,LEN([Name])-1),[Name]))</f>
        <v>resource_dashboard</v>
      </c>
      <c r="D41" s="9" t="str">
        <f t="shared" si="0"/>
        <v>Milestone\Appframe\Model</v>
      </c>
      <c r="E41" s="8" t="str">
        <f>SUBSTITUTE(PROPER([Singular Name]),"_","")</f>
        <v>ResourceDashboard</v>
      </c>
      <c r="F41" s="8" t="str">
        <f>"php artisan make:migration create_"&amp;[Table]&amp;"_table --create="&amp;[Table]</f>
        <v>php artisan make:migration create___resource_dashboard_table --create=__resource_dashboard</v>
      </c>
      <c r="G41" s="8" t="str">
        <f>"php artisan make:model "&amp;[Class Name]</f>
        <v>php artisan make:model ResourceDashboard</v>
      </c>
      <c r="H41" s="8" t="str">
        <f>"protected $table = '"&amp;[Table]&amp;"';"</f>
        <v>protected $table = '__resource_dashboard';</v>
      </c>
      <c r="I41" s="8" t="str">
        <f>"php artisan make:seed "&amp;[Class Name]&amp;"TableSeeder"</f>
        <v>php artisan make:seed ResourceDashboardTableSeeder</v>
      </c>
      <c r="J41" s="8" t="str">
        <f>[Class Name]&amp;"TableSeeder"&amp;"::class,"</f>
        <v>ResourceDashboardTableSeeder::class,</v>
      </c>
    </row>
    <row r="42" spans="1:10">
      <c r="A42" s="4" t="s">
        <v>206</v>
      </c>
      <c r="B42" s="9" t="str">
        <f>"__"&amp;[Name]</f>
        <v>__resource_dashboard_sections</v>
      </c>
      <c r="C42" s="9" t="str">
        <f>IF(RIGHT([Name],3)="ies",MID([Name],1,LEN([Name])-3)&amp;"y",IF(RIGHT([Name],1)="s",MID([Name],1,LEN([Name])-1),[Name]))</f>
        <v>resource_dashboard_section</v>
      </c>
      <c r="D42" s="9" t="str">
        <f t="shared" si="0"/>
        <v>Milestone\Appframe\Model</v>
      </c>
      <c r="E42" s="8" t="str">
        <f>SUBSTITUTE(PROPER([Singular Name]),"_","")</f>
        <v>ResourceDashboardSection</v>
      </c>
      <c r="F42" s="8" t="str">
        <f>"php artisan make:migration create_"&amp;[Table]&amp;"_table --create="&amp;[Table]</f>
        <v>php artisan make:migration create___resource_dashboard_sections_table --create=__resource_dashboard_sections</v>
      </c>
      <c r="G42" s="8" t="str">
        <f>"php artisan make:model "&amp;[Class Name]</f>
        <v>php artisan make:model ResourceDashboardSection</v>
      </c>
      <c r="H42" s="8" t="str">
        <f>"protected $table = '"&amp;[Table]&amp;"';"</f>
        <v>protected $table = '__resource_dashboard_sections';</v>
      </c>
      <c r="I42" s="8" t="str">
        <f>"php artisan make:seed "&amp;[Class Name]&amp;"TableSeeder"</f>
        <v>php artisan make:seed ResourceDashboardSectionTableSeeder</v>
      </c>
      <c r="J42" s="8" t="str">
        <f>[Class Name]&amp;"TableSeeder"&amp;"::class,"</f>
        <v>ResourceDashboardSectionTableSeeder::class,</v>
      </c>
    </row>
    <row r="43" spans="1:10">
      <c r="A43" s="4" t="s">
        <v>207</v>
      </c>
      <c r="B43" s="9" t="str">
        <f>"__"&amp;[Name]</f>
        <v>__resource_dashboard_section_items</v>
      </c>
      <c r="C43" s="9" t="str">
        <f>IF(RIGHT([Name],3)="ies",MID([Name],1,LEN([Name])-3)&amp;"y",IF(RIGHT([Name],1)="s",MID([Name],1,LEN([Name])-1),[Name]))</f>
        <v>resource_dashboard_section_item</v>
      </c>
      <c r="D43" s="9" t="str">
        <f t="shared" si="0"/>
        <v>Milestone\Appframe\Model</v>
      </c>
      <c r="E43" s="8" t="str">
        <f>SUBSTITUTE(PROPER([Singular Name]),"_","")</f>
        <v>ResourceDashboardSectionItem</v>
      </c>
      <c r="F43" s="8" t="str">
        <f>"php artisan make:migration create_"&amp;[Table]&amp;"_table --create="&amp;[Table]</f>
        <v>php artisan make:migration create___resource_dashboard_section_items_table --create=__resource_dashboard_section_items</v>
      </c>
      <c r="G43" s="8" t="str">
        <f>"php artisan make:model "&amp;[Class Name]</f>
        <v>php artisan make:model ResourceDashboardSectionItem</v>
      </c>
      <c r="H43" s="8" t="str">
        <f>"protected $table = '"&amp;[Table]&amp;"';"</f>
        <v>protected $table = '__resource_dashboard_section_items';</v>
      </c>
      <c r="I43" s="8" t="str">
        <f>"php artisan make:seed "&amp;[Class Name]&amp;"TableSeeder"</f>
        <v>php artisan make:seed ResourceDashboardSectionItemTableSeeder</v>
      </c>
      <c r="J43" s="8" t="str">
        <f>[Class Name]&amp;"TableSeeder"&amp;"::class,"</f>
        <v>ResourceDashboardSectionItemTableSeeder::class,</v>
      </c>
    </row>
    <row r="44" spans="1:10">
      <c r="A44" s="2" t="s">
        <v>89</v>
      </c>
      <c r="B44" s="9" t="str">
        <f>"__"&amp;[Name]</f>
        <v>__organisation</v>
      </c>
      <c r="C44" s="9" t="str">
        <f>IF(RIGHT([Name],3)="ies",MID([Name],1,LEN([Name])-3)&amp;"y",IF(RIGHT([Name],1)="s",MID([Name],1,LEN([Name])-1),[Name]))</f>
        <v>organisation</v>
      </c>
      <c r="D44" s="9" t="str">
        <f t="shared" si="0"/>
        <v>Milestone\Appframe\Model</v>
      </c>
      <c r="E44" s="9" t="str">
        <f>SUBSTITUTE(PROPER([Singular Name]),"_","")</f>
        <v>Organisation</v>
      </c>
      <c r="F44" s="9" t="str">
        <f>"php artisan make:migration create_"&amp;[Table]&amp;"_table --create="&amp;[Table]</f>
        <v>php artisan make:migration create___organisation_table --create=__organisation</v>
      </c>
      <c r="G44" s="9" t="str">
        <f>"php artisan make:model "&amp;[Class Name]</f>
        <v>php artisan make:model Organisation</v>
      </c>
      <c r="H44" s="9" t="str">
        <f>"protected $table = '"&amp;[Table]&amp;"';"</f>
        <v>protected $table = '__organisation';</v>
      </c>
      <c r="I44" s="9" t="str">
        <f>"php artisan make:seed "&amp;[Class Name]&amp;"TableSeeder"</f>
        <v>php artisan make:seed OrganisationTableSeeder</v>
      </c>
      <c r="J44" s="9" t="str">
        <f>[Class Name]&amp;"TableSeeder"&amp;"::class,"</f>
        <v>OrganisationTableSeeder::class,</v>
      </c>
    </row>
    <row r="45" spans="1:10">
      <c r="A45" s="2" t="s">
        <v>90</v>
      </c>
      <c r="B45" s="9" t="str">
        <f>"__"&amp;[Name]</f>
        <v>__organisation_contacts</v>
      </c>
      <c r="C45" s="9" t="str">
        <f>IF(RIGHT([Name],3)="ies",MID([Name],1,LEN([Name])-3)&amp;"y",IF(RIGHT([Name],1)="s",MID([Name],1,LEN([Name])-1),[Name]))</f>
        <v>organisation_contact</v>
      </c>
      <c r="D45" s="9" t="str">
        <f t="shared" si="0"/>
        <v>Milestone\Appframe\Model</v>
      </c>
      <c r="E45" s="9" t="str">
        <f>SUBSTITUTE(PROPER([Singular Name]),"_","")</f>
        <v>OrganisationContact</v>
      </c>
      <c r="F45" s="9" t="str">
        <f>"php artisan make:migration create_"&amp;[Table]&amp;"_table --create="&amp;[Table]</f>
        <v>php artisan make:migration create___organisation_contacts_table --create=__organisation_contacts</v>
      </c>
      <c r="G45" s="9" t="str">
        <f>"php artisan make:model "&amp;[Class Name]</f>
        <v>php artisan make:model OrganisationContact</v>
      </c>
      <c r="H45" s="9" t="str">
        <f>"protected $table = '"&amp;[Table]&amp;"';"</f>
        <v>protected $table = '__organisation_contacts';</v>
      </c>
      <c r="I45" s="9" t="str">
        <f>"php artisan make:seed "&amp;[Class Name]&amp;"TableSeeder"</f>
        <v>php artisan make:seed OrganisationContactTableSeeder</v>
      </c>
      <c r="J45" s="9" t="str">
        <f>[Class Name]&amp;"TableSeeder"&amp;"::class,"</f>
        <v>OrganisationContactTableSeeder::class,</v>
      </c>
    </row>
    <row r="46" spans="1:10">
      <c r="A46" s="4" t="s">
        <v>519</v>
      </c>
      <c r="B46" s="8" t="str">
        <f>[Name]</f>
        <v>group_master</v>
      </c>
      <c r="C46" s="7" t="str">
        <f>IF(RIGHT([Name],3)="ies",MID([Name],1,LEN([Name])-3)&amp;"y",IF(RIGHT([Name],1)="s",MID([Name],1,LEN([Name])-1),[Name]))</f>
        <v>group_master</v>
      </c>
      <c r="D46" s="8" t="str">
        <f t="shared" ref="D46:D48" si="2">"Milestone\PD\Model"</f>
        <v>Milestone\PD\Model</v>
      </c>
      <c r="E46" s="7" t="str">
        <f>SUBSTITUTE(PROPER([Singular Name]),"_","")</f>
        <v>GroupMaster</v>
      </c>
      <c r="F46" s="7" t="str">
        <f>"php artisan make:migration create_"&amp;[Table]&amp;"_table --create="&amp;[Table]</f>
        <v>php artisan make:migration create_group_master_table --create=group_master</v>
      </c>
      <c r="G46" s="7" t="str">
        <f>"php artisan make:model "&amp;[Class Name]</f>
        <v>php artisan make:model GroupMaster</v>
      </c>
      <c r="H46" s="7" t="str">
        <f>"protected $table = '"&amp;[Table]&amp;"';"</f>
        <v>protected $table = 'group_master';</v>
      </c>
      <c r="I46" s="7" t="str">
        <f>"php artisan make:seed "&amp;[Class Name]&amp;"TableSeeder"</f>
        <v>php artisan make:seed GroupMasterTableSeeder</v>
      </c>
      <c r="J46" s="7" t="str">
        <f>[Class Name]&amp;"TableSeeder"&amp;"::class,"</f>
        <v>GroupMasterTableSeeder::class,</v>
      </c>
    </row>
    <row r="47" spans="1:10">
      <c r="A47" s="5" t="s">
        <v>565</v>
      </c>
      <c r="B47" s="8" t="str">
        <f>[Name]</f>
        <v>group_details</v>
      </c>
      <c r="C47" s="8" t="str">
        <f>IF(RIGHT([Name],3)="ies",MID([Name],1,LEN([Name])-3)&amp;"y",IF(RIGHT([Name],1)="s",MID([Name],1,LEN([Name])-1),[Name]))</f>
        <v>group_detail</v>
      </c>
      <c r="D47" s="8" t="str">
        <f t="shared" si="2"/>
        <v>Milestone\PD\Model</v>
      </c>
      <c r="E47" s="8" t="str">
        <f>SUBSTITUTE(PROPER([Singular Name]),"_","")</f>
        <v>GroupDetail</v>
      </c>
      <c r="F47" s="8" t="str">
        <f>"php artisan make:migration create_"&amp;[Table]&amp;"_table --create="&amp;[Table]</f>
        <v>php artisan make:migration create_group_details_table --create=group_details</v>
      </c>
      <c r="G47" s="8" t="str">
        <f>"php artisan make:model "&amp;[Class Name]</f>
        <v>php artisan make:model GroupDetail</v>
      </c>
      <c r="H47" s="8" t="str">
        <f>"protected $table = '"&amp;[Table]&amp;"';"</f>
        <v>protected $table = 'group_details';</v>
      </c>
      <c r="I47" s="8" t="str">
        <f>"php artisan make:seed "&amp;[Class Name]&amp;"TableSeeder"</f>
        <v>php artisan make:seed GroupDetailTableSeeder</v>
      </c>
      <c r="J47" s="8" t="str">
        <f>[Class Name]&amp;"TableSeeder"&amp;"::class,"</f>
        <v>GroupDetailTableSeeder::class,</v>
      </c>
    </row>
    <row r="48" spans="1:10">
      <c r="A48" s="5" t="s">
        <v>442</v>
      </c>
      <c r="B48" s="8" t="str">
        <f>[Name]</f>
        <v>products</v>
      </c>
      <c r="C48" s="8" t="str">
        <f>IF(RIGHT([Name],3)="ies",MID([Name],1,LEN([Name])-3)&amp;"y",IF(RIGHT([Name],1)="s",MID([Name],1,LEN([Name])-1),[Name]))</f>
        <v>product</v>
      </c>
      <c r="D48" s="8" t="str">
        <f t="shared" si="2"/>
        <v>Milestone\PD\Model</v>
      </c>
      <c r="E48" s="8" t="str">
        <f>SUBSTITUTE(PROPER([Singular Name]),"_","")</f>
        <v>Product</v>
      </c>
      <c r="F48" s="8" t="str">
        <f>"php artisan make:migration create_"&amp;[Table]&amp;"_table --create="&amp;[Table]</f>
        <v>php artisan make:migration create_products_table --create=products</v>
      </c>
      <c r="G48" s="8" t="str">
        <f>"php artisan make:model "&amp;[Class Name]</f>
        <v>php artisan make:model Product</v>
      </c>
      <c r="H48" s="8" t="str">
        <f>"protected $table = '"&amp;[Table]&amp;"';"</f>
        <v>protected $table = 'products';</v>
      </c>
      <c r="I48" s="8" t="str">
        <f>"php artisan make:seed "&amp;[Class Name]&amp;"TableSeeder"</f>
        <v>php artisan make:seed ProductTableSeeder</v>
      </c>
      <c r="J48" s="8" t="str">
        <f>[Class Name]&amp;"TableSeeder"&amp;"::class,"</f>
        <v>ProductTableSeeder::class,</v>
      </c>
    </row>
    <row r="49" spans="1:10">
      <c r="A49" s="5" t="s">
        <v>443</v>
      </c>
      <c r="B49" s="8" t="str">
        <f>[Name]</f>
        <v>product_images</v>
      </c>
      <c r="C49" s="8" t="str">
        <f>IF(RIGHT([Name],3)="ies",MID([Name],1,LEN([Name])-3)&amp;"y",IF(RIGHT([Name],1)="s",MID([Name],1,LEN([Name])-1),[Name]))</f>
        <v>product_image</v>
      </c>
      <c r="D49" s="8" t="str">
        <f>"Milestone\PD\Model"</f>
        <v>Milestone\PD\Model</v>
      </c>
      <c r="E49" s="8" t="str">
        <f>SUBSTITUTE(PROPER([Singular Name]),"_","")</f>
        <v>ProductImage</v>
      </c>
      <c r="F49" s="8" t="str">
        <f>"php artisan make:migration create_"&amp;[Table]&amp;"_table --create="&amp;[Table]</f>
        <v>php artisan make:migration create_product_images_table --create=product_images</v>
      </c>
      <c r="G49" s="8" t="str">
        <f>"php artisan make:model "&amp;[Class Name]</f>
        <v>php artisan make:model ProductImage</v>
      </c>
      <c r="H49" s="8" t="str">
        <f>"protected $table = '"&amp;[Table]&amp;"';"</f>
        <v>protected $table = 'product_images';</v>
      </c>
      <c r="I49" s="8" t="str">
        <f>"php artisan make:seed "&amp;[Class Name]&amp;"TableSeeder"</f>
        <v>php artisan make:seed ProductImageTableSeeder</v>
      </c>
      <c r="J49" s="8" t="str">
        <f>[Class Name]&amp;"TableSeeder"&amp;"::class,"</f>
        <v>ProductImageTableSeeder::class,</v>
      </c>
    </row>
    <row r="50" spans="1:10">
      <c r="A50" s="5" t="s">
        <v>444</v>
      </c>
      <c r="B50" s="8" t="str">
        <f>[Name]</f>
        <v>visitors</v>
      </c>
      <c r="C50" s="8" t="str">
        <f>IF(RIGHT([Name],3)="ies",MID([Name],1,LEN([Name])-3)&amp;"y",IF(RIGHT([Name],1)="s",MID([Name],1,LEN([Name])-1),[Name]))</f>
        <v>visitor</v>
      </c>
      <c r="D50" s="8" t="str">
        <f t="shared" ref="D50:D56" si="3">"Milestone\PD\Model"</f>
        <v>Milestone\PD\Model</v>
      </c>
      <c r="E50" s="8" t="str">
        <f>SUBSTITUTE(PROPER([Singular Name]),"_","")</f>
        <v>Visitor</v>
      </c>
      <c r="F50" s="8" t="str">
        <f>"php artisan make:migration create_"&amp;[Table]&amp;"_table --create="&amp;[Table]</f>
        <v>php artisan make:migration create_visitors_table --create=visitors</v>
      </c>
      <c r="G50" s="8" t="str">
        <f>"php artisan make:model "&amp;[Class Name]</f>
        <v>php artisan make:model Visitor</v>
      </c>
      <c r="H50" s="8" t="str">
        <f>"protected $table = '"&amp;[Table]&amp;"';"</f>
        <v>protected $table = 'visitors';</v>
      </c>
      <c r="I50" s="8" t="str">
        <f>"php artisan make:seed "&amp;[Class Name]&amp;"TableSeeder"</f>
        <v>php artisan make:seed VisitorTableSeeder</v>
      </c>
      <c r="J50" s="8" t="str">
        <f>[Class Name]&amp;"TableSeeder"&amp;"::class,"</f>
        <v>VisitorTableSeeder::class,</v>
      </c>
    </row>
    <row r="51" spans="1:10">
      <c r="A51" s="5" t="s">
        <v>445</v>
      </c>
      <c r="B51" s="8" t="str">
        <f>[Name]</f>
        <v>wishlists</v>
      </c>
      <c r="C51" s="8" t="str">
        <f>IF(RIGHT([Name],3)="ies",MID([Name],1,LEN([Name])-3)&amp;"y",IF(RIGHT([Name],1)="s",MID([Name],1,LEN([Name])-1),[Name]))</f>
        <v>wishlist</v>
      </c>
      <c r="D51" s="8" t="str">
        <f t="shared" si="3"/>
        <v>Milestone\PD\Model</v>
      </c>
      <c r="E51" s="8" t="str">
        <f>SUBSTITUTE(PROPER([Singular Name]),"_","")</f>
        <v>Wishlist</v>
      </c>
      <c r="F51" s="8" t="str">
        <f>"php artisan make:migration create_"&amp;[Table]&amp;"_table --create="&amp;[Table]</f>
        <v>php artisan make:migration create_wishlists_table --create=wishlists</v>
      </c>
      <c r="G51" s="8" t="str">
        <f>"php artisan make:model "&amp;[Class Name]</f>
        <v>php artisan make:model Wishlist</v>
      </c>
      <c r="H51" s="8" t="str">
        <f>"protected $table = '"&amp;[Table]&amp;"';"</f>
        <v>protected $table = 'wishlists';</v>
      </c>
      <c r="I51" s="8" t="str">
        <f>"php artisan make:seed "&amp;[Class Name]&amp;"TableSeeder"</f>
        <v>php artisan make:seed WishlistTableSeeder</v>
      </c>
      <c r="J51" s="8" t="str">
        <f>[Class Name]&amp;"TableSeeder"&amp;"::class,"</f>
        <v>WishlistTableSeeder::class,</v>
      </c>
    </row>
    <row r="52" spans="1:10">
      <c r="A52" s="5" t="s">
        <v>446</v>
      </c>
      <c r="B52" s="8" t="str">
        <f>[Name]</f>
        <v>wishlist_products</v>
      </c>
      <c r="C52" s="8" t="str">
        <f>IF(RIGHT([Name],3)="ies",MID([Name],1,LEN([Name])-3)&amp;"y",IF(RIGHT([Name],1)="s",MID([Name],1,LEN([Name])-1),[Name]))</f>
        <v>wishlist_product</v>
      </c>
      <c r="D52" s="8" t="str">
        <f t="shared" si="3"/>
        <v>Milestone\PD\Model</v>
      </c>
      <c r="E52" s="8" t="str">
        <f>SUBSTITUTE(PROPER([Singular Name]),"_","")</f>
        <v>WishlistProduct</v>
      </c>
      <c r="F52" s="8" t="str">
        <f>"php artisan make:migration create_"&amp;[Table]&amp;"_table --create="&amp;[Table]</f>
        <v>php artisan make:migration create_wishlist_products_table --create=wishlist_products</v>
      </c>
      <c r="G52" s="8" t="str">
        <f>"php artisan make:model "&amp;[Class Name]</f>
        <v>php artisan make:model WishlistProduct</v>
      </c>
      <c r="H52" s="8" t="str">
        <f>"protected $table = '"&amp;[Table]&amp;"';"</f>
        <v>protected $table = 'wishlist_products';</v>
      </c>
      <c r="I52" s="8" t="str">
        <f>"php artisan make:seed "&amp;[Class Name]&amp;"TableSeeder"</f>
        <v>php artisan make:seed WishlistProductTableSeeder</v>
      </c>
      <c r="J52" s="8" t="str">
        <f>[Class Name]&amp;"TableSeeder"&amp;"::class,"</f>
        <v>WishlistProductTableSeeder::class,</v>
      </c>
    </row>
    <row r="53" spans="1:10">
      <c r="A53" s="5" t="s">
        <v>447</v>
      </c>
      <c r="B53" s="8" t="str">
        <f>[Name]</f>
        <v>visitor_wishlists</v>
      </c>
      <c r="C53" s="8" t="str">
        <f>IF(RIGHT([Name],3)="ies",MID([Name],1,LEN([Name])-3)&amp;"y",IF(RIGHT([Name],1)="s",MID([Name],1,LEN([Name])-1),[Name]))</f>
        <v>visitor_wishlist</v>
      </c>
      <c r="D53" s="8" t="str">
        <f t="shared" si="3"/>
        <v>Milestone\PD\Model</v>
      </c>
      <c r="E53" s="8" t="str">
        <f>SUBSTITUTE(PROPER([Singular Name]),"_","")</f>
        <v>VisitorWishlist</v>
      </c>
      <c r="F53" s="8" t="str">
        <f>"php artisan make:migration create_"&amp;[Table]&amp;"_table --create="&amp;[Table]</f>
        <v>php artisan make:migration create_visitor_wishlists_table --create=visitor_wishlists</v>
      </c>
      <c r="G53" s="8" t="str">
        <f>"php artisan make:model "&amp;[Class Name]</f>
        <v>php artisan make:model VisitorWishlist</v>
      </c>
      <c r="H53" s="8" t="str">
        <f>"protected $table = '"&amp;[Table]&amp;"';"</f>
        <v>protected $table = 'visitor_wishlists';</v>
      </c>
      <c r="I53" s="8" t="str">
        <f>"php artisan make:seed "&amp;[Class Name]&amp;"TableSeeder"</f>
        <v>php artisan make:seed VisitorWishlistTableSeeder</v>
      </c>
      <c r="J53" s="8" t="str">
        <f>[Class Name]&amp;"TableSeeder"&amp;"::class,"</f>
        <v>VisitorWishlistTableSeeder::class,</v>
      </c>
    </row>
    <row r="54" spans="1:10">
      <c r="A54" s="5" t="s">
        <v>448</v>
      </c>
      <c r="B54" s="8" t="str">
        <f>[Name]</f>
        <v>vendor_wishlists</v>
      </c>
      <c r="C54" s="8" t="str">
        <f>IF(RIGHT([Name],3)="ies",MID([Name],1,LEN([Name])-3)&amp;"y",IF(RIGHT([Name],1)="s",MID([Name],1,LEN([Name])-1),[Name]))</f>
        <v>vendor_wishlist</v>
      </c>
      <c r="D54" s="8" t="str">
        <f t="shared" si="3"/>
        <v>Milestone\PD\Model</v>
      </c>
      <c r="E54" s="8" t="str">
        <f>SUBSTITUTE(PROPER([Singular Name]),"_","")</f>
        <v>VendorWishlist</v>
      </c>
      <c r="F54" s="8" t="str">
        <f>"php artisan make:migration create_"&amp;[Table]&amp;"_table --create="&amp;[Table]</f>
        <v>php artisan make:migration create_vendor_wishlists_table --create=vendor_wishlists</v>
      </c>
      <c r="G54" s="8" t="str">
        <f>"php artisan make:model "&amp;[Class Name]</f>
        <v>php artisan make:model VendorWishlist</v>
      </c>
      <c r="H54" s="8" t="str">
        <f>"protected $table = '"&amp;[Table]&amp;"';"</f>
        <v>protected $table = 'vendor_wishlists';</v>
      </c>
      <c r="I54" s="8" t="str">
        <f>"php artisan make:seed "&amp;[Class Name]&amp;"TableSeeder"</f>
        <v>php artisan make:seed VendorWishlistTableSeeder</v>
      </c>
      <c r="J54" s="8" t="str">
        <f>[Class Name]&amp;"TableSeeder"&amp;"::class,"</f>
        <v>VendorWishlistTableSeeder::class,</v>
      </c>
    </row>
    <row r="55" spans="1:10">
      <c r="A55" s="5" t="s">
        <v>449</v>
      </c>
      <c r="B55" s="8" t="str">
        <f>[Name]</f>
        <v>wishlist_notes</v>
      </c>
      <c r="C55" s="8" t="str">
        <f>IF(RIGHT([Name],3)="ies",MID([Name],1,LEN([Name])-3)&amp;"y",IF(RIGHT([Name],1)="s",MID([Name],1,LEN([Name])-1),[Name]))</f>
        <v>wishlist_note</v>
      </c>
      <c r="D55" s="8" t="str">
        <f t="shared" si="3"/>
        <v>Milestone\PD\Model</v>
      </c>
      <c r="E55" s="8" t="str">
        <f>SUBSTITUTE(PROPER([Singular Name]),"_","")</f>
        <v>WishlistNote</v>
      </c>
      <c r="F55" s="8" t="str">
        <f>"php artisan make:migration create_"&amp;[Table]&amp;"_table --create="&amp;[Table]</f>
        <v>php artisan make:migration create_wishlist_notes_table --create=wishlist_notes</v>
      </c>
      <c r="G55" s="8" t="str">
        <f>"php artisan make:model "&amp;[Class Name]</f>
        <v>php artisan make:model WishlistNote</v>
      </c>
      <c r="H55" s="8" t="str">
        <f>"protected $table = '"&amp;[Table]&amp;"';"</f>
        <v>protected $table = 'wishlist_notes';</v>
      </c>
      <c r="I55" s="8" t="str">
        <f>"php artisan make:seed "&amp;[Class Name]&amp;"TableSeeder"</f>
        <v>php artisan make:seed WishlistNoteTableSeeder</v>
      </c>
      <c r="J55" s="8" t="str">
        <f>[Class Name]&amp;"TableSeeder"&amp;"::class,"</f>
        <v>WishlistNoteTableSeeder::class,</v>
      </c>
    </row>
    <row r="56" spans="1:10">
      <c r="A56" s="4" t="s">
        <v>450</v>
      </c>
      <c r="B56" s="8" t="str">
        <f>[Name]</f>
        <v>wishlist_product_notes</v>
      </c>
      <c r="C56" s="7" t="str">
        <f>IF(RIGHT([Name],3)="ies",MID([Name],1,LEN([Name])-3)&amp;"y",IF(RIGHT([Name],1)="s",MID([Name],1,LEN([Name])-1),[Name]))</f>
        <v>wishlist_product_note</v>
      </c>
      <c r="D56" s="8" t="str">
        <f t="shared" si="3"/>
        <v>Milestone\PD\Model</v>
      </c>
      <c r="E56" s="7" t="str">
        <f>SUBSTITUTE(PROPER([Singular Name]),"_","")</f>
        <v>WishlistProductNote</v>
      </c>
      <c r="F56" s="7" t="str">
        <f>"php artisan make:migration create_"&amp;[Table]&amp;"_table --create="&amp;[Table]</f>
        <v>php artisan make:migration create_wishlist_product_notes_table --create=wishlist_product_notes</v>
      </c>
      <c r="G56" s="7" t="str">
        <f>"php artisan make:model "&amp;[Class Name]</f>
        <v>php artisan make:model WishlistProductNote</v>
      </c>
      <c r="H56" s="7" t="str">
        <f>"protected $table = '"&amp;[Table]&amp;"';"</f>
        <v>protected $table = 'wishlist_product_notes';</v>
      </c>
      <c r="I56" s="7" t="str">
        <f>"php artisan make:seed "&amp;[Class Name]&amp;"TableSeeder"</f>
        <v>php artisan make:seed WishlistProductNoteTableSeeder</v>
      </c>
      <c r="J56" s="7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Q20"/>
  <sheetViews>
    <sheetView topLeftCell="D1" workbookViewId="0">
      <selection activeCell="AN1" sqref="AF1:AN1048576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8.42578125" style="20" bestFit="1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0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0" hidden="1" customWidth="1"/>
    <col min="63" max="63" width="9.28515625" style="20" hidden="1" customWidth="1"/>
    <col min="64" max="64" width="9.28515625" customWidth="1"/>
    <col min="65" max="65" width="13.7109375" customWidth="1"/>
    <col min="66" max="66" width="29" customWidth="1"/>
    <col min="67" max="69" width="9.5703125" customWidth="1"/>
    <col min="70" max="70" width="9.5703125" style="20" customWidth="1"/>
    <col min="71" max="71" width="22.7109375" style="20" hidden="1" customWidth="1"/>
    <col min="72" max="72" width="27.7109375" style="20" bestFit="1" customWidth="1"/>
    <col min="73" max="73" width="29" style="20" bestFit="1" customWidth="1"/>
    <col min="74" max="74" width="20" style="20" customWidth="1"/>
    <col min="75" max="75" width="39.85546875" style="20" bestFit="1" customWidth="1"/>
    <col min="76" max="76" width="5.140625" style="20" hidden="1" customWidth="1"/>
    <col min="77" max="77" width="13.140625" style="20" hidden="1" customWidth="1"/>
    <col min="78" max="78" width="14.7109375" style="20" hidden="1" customWidth="1"/>
    <col min="79" max="79" width="10.5703125" style="20" hidden="1" customWidth="1"/>
    <col min="80" max="80" width="15.28515625" style="20" hidden="1" customWidth="1"/>
    <col min="81" max="81" width="9.5703125" style="20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0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0" hidden="1" customWidth="1"/>
    <col min="94" max="98" width="11.7109375" style="20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7">
      <c r="A1" s="1" t="s">
        <v>283</v>
      </c>
      <c r="B1" s="1" t="s">
        <v>288</v>
      </c>
      <c r="C1" s="1" t="s">
        <v>104</v>
      </c>
      <c r="D1" s="1" t="s">
        <v>105</v>
      </c>
      <c r="E1" s="1" t="s">
        <v>246</v>
      </c>
      <c r="F1" s="1" t="s">
        <v>92</v>
      </c>
      <c r="G1" s="1" t="s">
        <v>1</v>
      </c>
      <c r="H1" s="1" t="s">
        <v>107</v>
      </c>
      <c r="I1" s="1" t="s">
        <v>102</v>
      </c>
      <c r="J1" s="1" t="s">
        <v>108</v>
      </c>
      <c r="K1" s="1" t="s">
        <v>392</v>
      </c>
      <c r="M1" s="1" t="s">
        <v>283</v>
      </c>
      <c r="N1" s="1" t="s">
        <v>106</v>
      </c>
      <c r="O1" s="1" t="s">
        <v>104</v>
      </c>
      <c r="P1" s="1" t="s">
        <v>291</v>
      </c>
      <c r="Q1" s="35" t="s">
        <v>246</v>
      </c>
      <c r="R1" s="1" t="s">
        <v>122</v>
      </c>
      <c r="S1" s="43" t="s">
        <v>1</v>
      </c>
      <c r="T1" s="43" t="s">
        <v>14</v>
      </c>
      <c r="U1" s="43" t="s">
        <v>109</v>
      </c>
      <c r="V1" s="45" t="s">
        <v>242</v>
      </c>
      <c r="W1" s="45" t="s">
        <v>243</v>
      </c>
      <c r="X1" s="45" t="s">
        <v>244</v>
      </c>
      <c r="Y1" s="45" t="s">
        <v>245</v>
      </c>
      <c r="Z1" s="45" t="s">
        <v>294</v>
      </c>
      <c r="AA1" s="45" t="s">
        <v>295</v>
      </c>
      <c r="AB1" s="45" t="s">
        <v>298</v>
      </c>
      <c r="AC1" s="45" t="s">
        <v>296</v>
      </c>
      <c r="AD1" s="45" t="s">
        <v>252</v>
      </c>
      <c r="AE1" s="45" t="s">
        <v>111</v>
      </c>
      <c r="AF1" s="1" t="s">
        <v>110</v>
      </c>
      <c r="AG1" s="1" t="s">
        <v>239</v>
      </c>
      <c r="AH1" s="1" t="s">
        <v>240</v>
      </c>
      <c r="AI1" s="1" t="s">
        <v>241</v>
      </c>
      <c r="AJ1" s="1" t="s">
        <v>301</v>
      </c>
      <c r="AK1" s="1" t="s">
        <v>300</v>
      </c>
      <c r="AL1" s="1" t="s">
        <v>297</v>
      </c>
      <c r="AM1" s="1" t="s">
        <v>302</v>
      </c>
      <c r="AN1" s="1" t="s">
        <v>251</v>
      </c>
      <c r="AO1" s="43" t="s">
        <v>248</v>
      </c>
      <c r="AP1" s="43" t="s">
        <v>103</v>
      </c>
      <c r="AQ1" s="43" t="s">
        <v>249</v>
      </c>
      <c r="AR1" s="43" t="s">
        <v>250</v>
      </c>
      <c r="AS1" s="43" t="s">
        <v>217</v>
      </c>
      <c r="AT1" s="1" t="s">
        <v>304</v>
      </c>
      <c r="AU1" s="1" t="s">
        <v>305</v>
      </c>
      <c r="AV1" s="1" t="s">
        <v>306</v>
      </c>
      <c r="AW1" s="1" t="s">
        <v>307</v>
      </c>
      <c r="AX1" s="1" t="s">
        <v>261</v>
      </c>
      <c r="AY1" s="1" t="s">
        <v>262</v>
      </c>
      <c r="AZ1" s="45" t="s">
        <v>263</v>
      </c>
      <c r="BB1" s="1" t="s">
        <v>275</v>
      </c>
      <c r="BC1" s="1" t="s">
        <v>283</v>
      </c>
      <c r="BD1" s="1" t="s">
        <v>104</v>
      </c>
      <c r="BE1" s="1" t="s">
        <v>13</v>
      </c>
      <c r="BF1" s="1" t="s">
        <v>1</v>
      </c>
      <c r="BG1" s="1" t="s">
        <v>221</v>
      </c>
      <c r="BI1" s="1" t="s">
        <v>277</v>
      </c>
      <c r="BJ1" s="1" t="s">
        <v>283</v>
      </c>
      <c r="BK1" s="1" t="s">
        <v>104</v>
      </c>
      <c r="BL1" s="1" t="s">
        <v>13</v>
      </c>
      <c r="BM1" s="1" t="s">
        <v>218</v>
      </c>
      <c r="BN1" s="1" t="s">
        <v>219</v>
      </c>
      <c r="BO1" s="1" t="s">
        <v>258</v>
      </c>
      <c r="BP1" s="1" t="s">
        <v>259</v>
      </c>
      <c r="BQ1" s="1" t="s">
        <v>260</v>
      </c>
      <c r="BR1" s="1"/>
      <c r="BS1" s="1" t="s">
        <v>283</v>
      </c>
      <c r="BT1" s="1" t="s">
        <v>339</v>
      </c>
      <c r="BU1" s="1" t="s">
        <v>189</v>
      </c>
      <c r="BV1" s="1" t="s">
        <v>110</v>
      </c>
      <c r="BW1" s="1" t="s">
        <v>340</v>
      </c>
      <c r="BX1" s="1" t="s">
        <v>104</v>
      </c>
      <c r="BY1" s="1" t="s">
        <v>341</v>
      </c>
      <c r="BZ1" s="1" t="s">
        <v>342</v>
      </c>
      <c r="CA1" s="1" t="s">
        <v>343</v>
      </c>
      <c r="CB1" s="1" t="s">
        <v>223</v>
      </c>
      <c r="CC1" s="1"/>
      <c r="CE1" s="20" t="s">
        <v>283</v>
      </c>
      <c r="CF1" s="20" t="s">
        <v>330</v>
      </c>
      <c r="CG1" s="20" t="s">
        <v>104</v>
      </c>
      <c r="CH1" s="20" t="s">
        <v>122</v>
      </c>
      <c r="CI1" s="20" t="s">
        <v>1</v>
      </c>
      <c r="CJ1" s="20" t="s">
        <v>221</v>
      </c>
      <c r="CK1" s="20" t="s">
        <v>110</v>
      </c>
      <c r="CL1" s="20" t="s">
        <v>111</v>
      </c>
      <c r="CM1" s="20" t="s">
        <v>336</v>
      </c>
      <c r="CN1" s="20" t="s">
        <v>337</v>
      </c>
      <c r="CO1" s="20" t="s">
        <v>338</v>
      </c>
      <c r="CP1" s="20" t="s">
        <v>121</v>
      </c>
      <c r="CQ1" s="20" t="s">
        <v>335</v>
      </c>
      <c r="CR1" s="20" t="s">
        <v>239</v>
      </c>
      <c r="CS1" s="20" t="s">
        <v>240</v>
      </c>
      <c r="CT1" s="20" t="s">
        <v>241</v>
      </c>
      <c r="CU1" s="20" t="s">
        <v>332</v>
      </c>
      <c r="CV1" s="20" t="s">
        <v>333</v>
      </c>
      <c r="CW1" s="20" t="s">
        <v>334</v>
      </c>
      <c r="CX1" s="20" t="s">
        <v>17</v>
      </c>
      <c r="CZ1" s="1" t="s">
        <v>417</v>
      </c>
      <c r="DA1" s="1" t="s">
        <v>283</v>
      </c>
      <c r="DB1" s="1" t="s">
        <v>246</v>
      </c>
      <c r="DC1" s="1" t="s">
        <v>414</v>
      </c>
      <c r="DD1" s="1" t="s">
        <v>412</v>
      </c>
      <c r="DE1" s="1" t="s">
        <v>413</v>
      </c>
      <c r="DF1" s="1" t="s">
        <v>254</v>
      </c>
      <c r="DG1" s="1" t="s">
        <v>220</v>
      </c>
      <c r="DH1" s="1" t="s">
        <v>121</v>
      </c>
      <c r="DI1" s="1" t="s">
        <v>255</v>
      </c>
      <c r="DJ1" s="1" t="s">
        <v>256</v>
      </c>
      <c r="DL1" s="1" t="s">
        <v>418</v>
      </c>
      <c r="DM1" s="1" t="s">
        <v>283</v>
      </c>
      <c r="DN1" s="1" t="s">
        <v>246</v>
      </c>
      <c r="DO1" s="1" t="s">
        <v>414</v>
      </c>
      <c r="DP1" s="1" t="s">
        <v>14</v>
      </c>
      <c r="DQ1" s="1" t="s">
        <v>253</v>
      </c>
      <c r="DR1" s="1" t="s">
        <v>257</v>
      </c>
      <c r="DS1" s="1" t="s">
        <v>221</v>
      </c>
      <c r="DT1" s="1" t="s">
        <v>222</v>
      </c>
      <c r="DU1" s="1" t="s">
        <v>254</v>
      </c>
      <c r="DW1" s="1" t="s">
        <v>424</v>
      </c>
      <c r="DX1" s="1" t="s">
        <v>171</v>
      </c>
      <c r="DY1" s="1" t="s">
        <v>425</v>
      </c>
      <c r="DZ1" s="1" t="s">
        <v>283</v>
      </c>
      <c r="EA1" s="1" t="s">
        <v>246</v>
      </c>
      <c r="EB1" s="1" t="s">
        <v>122</v>
      </c>
      <c r="EC1" s="1" t="s">
        <v>127</v>
      </c>
      <c r="ED1" s="1" t="s">
        <v>13</v>
      </c>
      <c r="EE1" s="1" t="s">
        <v>111</v>
      </c>
      <c r="EF1" s="1" t="s">
        <v>426</v>
      </c>
      <c r="EG1" s="1" t="s">
        <v>239</v>
      </c>
      <c r="EH1" s="1" t="s">
        <v>240</v>
      </c>
      <c r="EI1" s="1" t="s">
        <v>241</v>
      </c>
      <c r="EJ1" s="1" t="s">
        <v>427</v>
      </c>
      <c r="EK1" s="1" t="s">
        <v>428</v>
      </c>
      <c r="EL1" s="1" t="s">
        <v>110</v>
      </c>
      <c r="EM1" s="1" t="s">
        <v>243</v>
      </c>
      <c r="EN1" s="1" t="s">
        <v>244</v>
      </c>
      <c r="EO1" s="1" t="s">
        <v>245</v>
      </c>
      <c r="EP1" s="1" t="s">
        <v>429</v>
      </c>
      <c r="EQ1" s="1" t="s">
        <v>430</v>
      </c>
    </row>
    <row r="2" spans="1:147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 t="str">
        <f>IF(ResourceForms[[#This Row],[Resource Name]]="","",COUNTA($F$3:ResourceForms[[#This Row],[Resource]])+IF(VLOOKUP('Table Seed Map'!$A$10,SeedMap[],9,0),VLOOKUP('Table Seed Map'!$A$10,SeedMap[],9,0),0))</f>
        <v/>
      </c>
      <c r="D2" s="13"/>
      <c r="E2" s="15" t="s">
        <v>21</v>
      </c>
      <c r="F2" s="15" t="s">
        <v>23</v>
      </c>
      <c r="G2" s="6" t="s">
        <v>26</v>
      </c>
      <c r="H2" s="15" t="s">
        <v>28</v>
      </c>
      <c r="I2" s="6" t="s">
        <v>30</v>
      </c>
      <c r="J2" s="6" t="s">
        <v>51</v>
      </c>
      <c r="K2" s="3" t="str">
        <f>[ID]</f>
        <v>id</v>
      </c>
      <c r="M2" s="41" t="str">
        <f>'Table Seed Map'!$A$11&amp;"-"&amp;(COUNTA($Q$1:FormFields[[#This Row],[ID]])-2)</f>
        <v>Form Fields-0</v>
      </c>
      <c r="N2" s="36"/>
      <c r="O2" s="39" t="str">
        <f>IF(FormFields[[#This Row],[Form Name]]="","id",COUNTA($N$3:FormFields[[#This Row],[Form Name]])+IF(VLOOKUP('Table Seed Map'!$A$11,SeedMap[],9,0),VLOOKUP('Table Seed Map'!$A$11,SeedMap[],9,0),0))</f>
        <v>id</v>
      </c>
      <c r="P2" s="41" t="str">
        <f>FormFields[[#This Row],[Form Name]]&amp;"/"&amp;FormFields[[#This Row],[Name]]</f>
        <v>/name</v>
      </c>
      <c r="Q2" s="39" t="str">
        <f>FormFields[[#This Row],[No]]</f>
        <v>id</v>
      </c>
      <c r="R2" s="42" t="s">
        <v>64</v>
      </c>
      <c r="S2" s="44" t="s">
        <v>26</v>
      </c>
      <c r="T2" s="44" t="s">
        <v>45</v>
      </c>
      <c r="U2" s="44" t="s">
        <v>100</v>
      </c>
      <c r="V2" s="45"/>
      <c r="W2" s="45"/>
      <c r="X2" s="45"/>
      <c r="Y2" s="45"/>
      <c r="Z2" s="46" t="str">
        <f>'Table Seed Map'!$A$12&amp;"-"&amp;(COUNTIF($AB$2:FormFields[[#This Row],[Exists]],1)-1)</f>
        <v>Field Data-0</v>
      </c>
      <c r="AA2" s="47">
        <f>COUNTIF($AB$2:FormFields[[#This Row],[Exists]],1)-1+VLOOKUP('Table Seed Map'!$A$11,SeedMap[],9,0)</f>
        <v>50000</v>
      </c>
      <c r="AB2" s="47">
        <f>IF(AND(FormFields[[#This Row],[Attribute]]="",FormFields[[#This Row],[Relation]]=""),0,1)</f>
        <v>1</v>
      </c>
      <c r="AC2" s="47" t="s">
        <v>21</v>
      </c>
      <c r="AD2" s="48" t="s">
        <v>65</v>
      </c>
      <c r="AE2" s="47" t="s">
        <v>66</v>
      </c>
      <c r="AF2" s="39" t="str">
        <f>IF(FormFields[[#This Row],[Rel]]="",IF(EXACT($AF1,FormFields[[#Headers],[Relation]]),"relation",""),VLOOKUP(FormFields[[#This Row],[Rel]],RelationTable[[Display]:[RELID]],2,0))</f>
        <v>relation</v>
      </c>
      <c r="AG2" s="56" t="str">
        <f>IF(FormFields[[#This Row],[Rel1]]="",IF(EXACT($AG1,FormFields[[#Headers],[R1]]),"nest_relation1",""),VLOOKUP(FormFields[[#This Row],[Rel1]],RelationTable[[Display]:[RELID]],2,0))</f>
        <v>nest_relation1</v>
      </c>
      <c r="AH2" s="39" t="str">
        <f>IF(FormFields[[#This Row],[Rel2]]="",IF(EXACT($AH1,FormFields[[#Headers],[R2]]),"nest_relation2",""),VLOOKUP(FormFields[[#This Row],[Rel2]],RelationTable[[Display]:[RELID]],2,0))</f>
        <v>nest_relation2</v>
      </c>
      <c r="AI2" s="39" t="str">
        <f>IF(FormFields[[#This Row],[Rel3]]="",IF(EXACT($AI1,FormFields[[#Headers],[R3]]),"nest_relation3",""),VLOOKUP(FormFields[[#This Row],[Rel3]],RelationTable[[Display]:[RELID]],2,0))</f>
        <v>nest_relation3</v>
      </c>
      <c r="AJ2" s="39">
        <f>IF(OR(FormFields[[#This Row],[Option Type]]="",FormFields[[#This Row],[Option Type]]="type"),0,1)</f>
        <v>0</v>
      </c>
      <c r="AK2" s="39" t="str">
        <f>'Table Seed Map'!$A$13&amp;"-"&amp;COUNTIF($AJ$2:FormFields[[#This Row],[Exists FO]],1)</f>
        <v>Field Options-0</v>
      </c>
      <c r="AL2" s="39"/>
      <c r="AM2" s="39" t="s">
        <v>21</v>
      </c>
      <c r="AN2" s="37" t="s">
        <v>65</v>
      </c>
      <c r="AO2" s="49" t="s">
        <v>45</v>
      </c>
      <c r="AP2" s="49" t="s">
        <v>91</v>
      </c>
      <c r="AQ2" s="49" t="s">
        <v>158</v>
      </c>
      <c r="AR2" s="49" t="s">
        <v>159</v>
      </c>
      <c r="AS2" s="49" t="s">
        <v>160</v>
      </c>
      <c r="AT2" s="39">
        <f>IF(OR(FormFields[[#This Row],[Colspan]]="",FormFields[[#This Row],[Colspan]]="colspan"),0,1)</f>
        <v>0</v>
      </c>
      <c r="AU2" s="39" t="str">
        <f>'Table Seed Map'!$A$18&amp;"-"&amp;SUM($AT$2:FormFields[[#This Row],[Exists FL]])</f>
        <v>Form Layout-0</v>
      </c>
      <c r="AV2" s="39" t="str">
        <f>IF(FormFields[[#This Row],[Exists FL]]=0,IF(FormFields[[#This Row],[Form Name]]="","id",""),SUM($AT$3:FormFields[[#This Row],[Exists FL]],IF(VLOOKUP('Table Seed Map'!$A$18,SeedMap[],9,0),VLOOKUP('Table Seed Map'!$A$18,SeedMap[],9,0),0)))</f>
        <v>id</v>
      </c>
      <c r="AW2" s="39" t="str">
        <f>FormFields[[#This Row],[NO8]]</f>
        <v>id</v>
      </c>
      <c r="AX2" s="39" t="s">
        <v>64</v>
      </c>
      <c r="AY2" s="39" t="s">
        <v>65</v>
      </c>
      <c r="AZ2" s="48" t="s">
        <v>180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7" t="s">
        <v>65</v>
      </c>
      <c r="BF2" s="37" t="s">
        <v>26</v>
      </c>
      <c r="BG2" s="37" t="s">
        <v>56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65</v>
      </c>
      <c r="BM2" s="13" t="s">
        <v>67</v>
      </c>
      <c r="BN2" s="13" t="s">
        <v>68</v>
      </c>
      <c r="BO2" s="13" t="s">
        <v>36</v>
      </c>
      <c r="BP2" s="13" t="s">
        <v>37</v>
      </c>
      <c r="BQ2" s="13" t="s">
        <v>38</v>
      </c>
      <c r="BR2" s="13"/>
      <c r="BS2" s="15" t="str">
        <f>'Table Seed Map'!$A$21&amp;"-"&amp;COUNTA($BT$1:FormCollection[[#This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Map'!$A$21,SeedMap[],9,0)),VLOOKUP('Table Seed Map'!$A$21,SeedMap[],9,0)+1,1),IFERROR($BX1+1,"id"))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49</v>
      </c>
      <c r="CB2" s="15" t="s">
        <v>191</v>
      </c>
      <c r="CC2" s="13"/>
      <c r="CE2" s="6" t="str">
        <f>'Table Seed Map'!$A$20&amp;"-"&amp;COUNTA($CF$1:FormDefault[[#This Row],[Form for Default]])-1</f>
        <v>Form Defaults-0</v>
      </c>
      <c r="CF2" s="1"/>
      <c r="CG2" s="13" t="str">
        <f>IF($CG1="id",IF(ISNUMBER(VLOOKUP('Table Seed Map'!$A$20,SeedMap[],9,0)),VLOOKUP('Table Seed Map'!$A$20,SeedMap[],9,0)+1,1),IFERROR($CG1+1,"id"))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26</v>
      </c>
      <c r="CJ2" s="13" t="s">
        <v>56</v>
      </c>
      <c r="CK2" s="16" t="s">
        <v>49</v>
      </c>
      <c r="CL2" s="13" t="s">
        <v>66</v>
      </c>
      <c r="CM2" s="15" t="s">
        <v>176</v>
      </c>
      <c r="CN2" s="15" t="s">
        <v>177</v>
      </c>
      <c r="CO2" s="15" t="s">
        <v>178</v>
      </c>
      <c r="CP2" s="13" t="s">
        <v>35</v>
      </c>
      <c r="CQ2" s="13"/>
      <c r="CR2" s="13"/>
      <c r="CS2" s="13"/>
      <c r="CT2" s="13"/>
      <c r="CU2" s="13" t="s">
        <v>176</v>
      </c>
      <c r="CV2" s="13" t="s">
        <v>177</v>
      </c>
      <c r="CW2" s="13" t="s">
        <v>178</v>
      </c>
      <c r="CX2" s="13" t="s">
        <v>35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Depend]]="","id",COUNTA(#REF!:FieldDepends[[#This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197</v>
      </c>
      <c r="DE2" s="2" t="s">
        <v>198</v>
      </c>
      <c r="DF2" s="2" t="s">
        <v>199</v>
      </c>
      <c r="DG2" s="2" t="s">
        <v>200</v>
      </c>
      <c r="DH2" s="2" t="s">
        <v>35</v>
      </c>
      <c r="DI2" s="2" t="s">
        <v>203</v>
      </c>
      <c r="DJ2" s="2" t="s">
        <v>202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Dynamic]]="","id",COUNTA(#REF!:FieldDynamic[[#This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45</v>
      </c>
      <c r="DQ2" s="2" t="s">
        <v>197</v>
      </c>
      <c r="DR2" s="2" t="s">
        <v>213</v>
      </c>
      <c r="DS2" s="2" t="s">
        <v>56</v>
      </c>
      <c r="DT2" s="2" t="s">
        <v>215</v>
      </c>
      <c r="DU2" s="2" t="s">
        <v>199</v>
      </c>
      <c r="DW2" s="1"/>
      <c r="DX2" s="1"/>
      <c r="DY2" s="1"/>
      <c r="DZ2" s="1" t="str">
        <f>'Table Seed Map'!$A$19&amp;"-"&amp;COUNTA($DW$2:FormDataMapping[[#This Row],[Form for Data Mapping]])</f>
        <v>Form Data Map-0</v>
      </c>
      <c r="EA2" s="6" t="str">
        <f>IF(FormDataMapping[[#This Row],[Form for Data Mapping]]="","id",COUNTA(#REF!:FormDataMapping[[#This Row],[Form for Data Mapping]])+IF(VLOOKUP('Table Seed Map'!$A$19,SeedMap[],9,0),VLOOKUP('Table Seed Map'!$A$19,SeedMap[],9,0),0))</f>
        <v>id</v>
      </c>
      <c r="EB2" s="1" t="str">
        <f>IF(FormDataMapping[[#This Row],[Form for Data Mapping]]="","resource_form",VLOOKUP([Form for Data Mapping],ResourceForms[[FormName]:[ID]],4,0))</f>
        <v>resource_form</v>
      </c>
      <c r="EC2" s="6" t="str">
        <f>IF(FormDataMapping[[#This Row],[Form for Data Mapping]]="","resource_data",VLOOKUP([Resource Data],ResourceData[[DataDisplayName]:[ID]],8,0))</f>
        <v>resource_data</v>
      </c>
      <c r="ED2" s="6" t="str">
        <f>IF(FormDataMapping[[#This Row],[Form for Data Mapping]]="","form_field",VLOOKUP([Form Field],FormFields[[Field Name]:[ID]],2,0))</f>
        <v>form_field</v>
      </c>
      <c r="EE2" s="1" t="s">
        <v>66</v>
      </c>
      <c r="EF2" s="6" t="str">
        <f>IF(FormDataMapping[[#This Row],[Form for Data Mapping]]="","relation",IFERROR(VLOOKUP([Relation],RelationTable[[Display]:[RELID]],2,0),""))</f>
        <v>relation</v>
      </c>
      <c r="EG2" s="6" t="str">
        <f>IF(FormDataMapping[[#This Row],[Form for Data Mapping]]="","nest_relation1",IFERROR(VLOOKUP([Rel1],RelationTable[[Display]:[RELID]],2,0),""))</f>
        <v>nest_relation1</v>
      </c>
      <c r="EH2" s="6" t="str">
        <f>IF(FormDataMapping[[#This Row],[Form for Data Mapping]]="","nest_relation2",IFERROR(VLOOKUP([Rel2],RelationTable[[Display]:[RELID]],2,0),""))</f>
        <v>nest_relation2</v>
      </c>
      <c r="EI2" s="6" t="str">
        <f>IF(FormDataMapping[[#This Row],[Form for Data Mapping]]="","nest_relation3",IFERROR(VLOOKUP([Rel3],RelationTable[[Display]:[RELID]],2,0),""))</f>
        <v>nest_relation3</v>
      </c>
      <c r="EJ2" s="6" t="str">
        <f>IF(FormDataMapping[[#This Row],[Form for Data Mapping]]="","nest_relation4",IFERROR(VLOOKUP([Rel4],RelationTable[[Display]:[RELID]],2,0),""))</f>
        <v>nest_relation4</v>
      </c>
      <c r="EK2" s="6" t="str">
        <f>IF(FormDataMapping[[#This Row],[Form for Data Mapping]]="","nest_relation5",IFERROR(VLOOKUP([Rel5],RelationTable[[Display]:[RELID]],2,0),""))</f>
        <v>nest_relation5</v>
      </c>
      <c r="EL2" s="6"/>
      <c r="EM2" s="6"/>
      <c r="EN2" s="6"/>
      <c r="EO2" s="6"/>
      <c r="EP2" s="6"/>
      <c r="EQ2" s="6"/>
    </row>
    <row r="3" spans="1:147">
      <c r="A3" s="31" t="str">
        <f>'Table Seed Map'!$A$10&amp;"-"&amp;(COUNTA($F$1:ResourceForms[[#This Row],[Resource]])-2)</f>
        <v>Resource Forms-1</v>
      </c>
      <c r="B3" s="31" t="str">
        <f>ResourceForms[[#This Row],[Resource Name]]&amp;"/"&amp;ResourceForms[[#This Row],[Name]]</f>
        <v>ProductImage/AddProductImageForm</v>
      </c>
      <c r="C3" s="31">
        <f>IF(ResourceForms[[#This Row],[Resource Name]]="","",COUNTA($F$3:ResourceForms[[#This Row],[Resource]])+IF(VLOOKUP('Table Seed Map'!$A$10,SeedMap[],9,0),VLOOKUP('Table Seed Map'!$A$10,SeedMap[],9,0),0))</f>
        <v>50001</v>
      </c>
      <c r="D3" s="32" t="s">
        <v>572</v>
      </c>
      <c r="E3" s="31">
        <f>ResourceForms[[#This Row],[No]]</f>
        <v>50001</v>
      </c>
      <c r="F3" s="31">
        <f>VLOOKUP(ResourceForms[[#This Row],[Resource Name]],ResourceTable[[RName]:[RID]],2,0)</f>
        <v>50004</v>
      </c>
      <c r="G3" s="8" t="s">
        <v>673</v>
      </c>
      <c r="H3" s="31" t="s">
        <v>674</v>
      </c>
      <c r="I3" s="8" t="s">
        <v>675</v>
      </c>
      <c r="J3" s="8" t="s">
        <v>676</v>
      </c>
      <c r="K3" s="34">
        <f>[ID]</f>
        <v>50001</v>
      </c>
      <c r="M3" s="68" t="str">
        <f>'Table Seed Map'!$A$11&amp;"-"&amp;(COUNTA($Q$1:FormFields[[#This Row],[ID]])-2)</f>
        <v>Form Fields-1</v>
      </c>
      <c r="N3" s="69" t="s">
        <v>717</v>
      </c>
      <c r="O3" s="70">
        <f>IF(FormFields[[#This Row],[Form Name]]="","id",COUNTA($N$3:FormFields[[#This Row],[Form Name]])+IF(VLOOKUP('Table Seed Map'!$A$11,SeedMap[],9,0),VLOOKUP('Table Seed Map'!$A$11,SeedMap[],9,0),0))</f>
        <v>50001</v>
      </c>
      <c r="P3" s="68" t="str">
        <f>FormFields[[#This Row],[Form Name]]&amp;"/"&amp;FormFields[[#This Row],[Name]]</f>
        <v>ProductImage/AddProductImageForm/product</v>
      </c>
      <c r="Q3" s="70">
        <f>FormFields[[#This Row],[No]]</f>
        <v>50001</v>
      </c>
      <c r="R3" s="71">
        <f>VLOOKUP(FormFields[[#This Row],[Form Name]],ResourceForms[[FormName]:[No]],2,0)</f>
        <v>50001</v>
      </c>
      <c r="S3" s="72" t="s">
        <v>467</v>
      </c>
      <c r="T3" s="72" t="s">
        <v>699</v>
      </c>
      <c r="U3" s="72" t="s">
        <v>700</v>
      </c>
      <c r="V3" s="73"/>
      <c r="W3" s="73"/>
      <c r="X3" s="73"/>
      <c r="Y3" s="73"/>
      <c r="Z3" s="74" t="str">
        <f>'Table Seed Map'!$A$12&amp;"-"&amp;(COUNTIF($AB$2:FormFields[[#This Row],[Exists]],1)-1)</f>
        <v>Field Data-1</v>
      </c>
      <c r="AA3" s="75">
        <f>COUNTIF($AB$2:FormFields[[#This Row],[Exists]],1)-1+VLOOKUP('Table Seed Map'!$A$11,SeedMap[],9,0)</f>
        <v>50001</v>
      </c>
      <c r="AB3" s="75">
        <f>IF(AND(FormFields[[#This Row],[Attribute]]="",FormFields[[#This Row],[Relation]]=""),0,1)</f>
        <v>1</v>
      </c>
      <c r="AC3" s="75">
        <f>FormFields[[#This Row],[NO2]]</f>
        <v>50001</v>
      </c>
      <c r="AD3" s="76">
        <f>[ID]</f>
        <v>50001</v>
      </c>
      <c r="AE3" s="75" t="str">
        <f>[Name]</f>
        <v>product</v>
      </c>
      <c r="AF3" s="77" t="str">
        <f>IF(FormFields[[#This Row],[Rel]]="",IF(EXACT($AF2,FormFields[[#Headers],[Relation]]),"relation",""),VLOOKUP(FormFields[[#This Row],[Rel]],RelationTable[[Display]:[RELID]],2,0))</f>
        <v/>
      </c>
      <c r="AG3" s="77" t="str">
        <f>IF(FormFields[[#This Row],[Rel1]]="",IF(EXACT($AG2,FormFields[[#Headers],[R1]]),"nest_relation1",""),VLOOKUP(FormFields[[#This Row],[Rel1]],RelationTable[[Display]:[RELID]],2,0))</f>
        <v/>
      </c>
      <c r="AH3" s="77" t="str">
        <f>IF(FormFields[[#This Row],[Rel2]]="",IF(EXACT($AH2,FormFields[[#Headers],[R2]]),"nest_relation2",""),VLOOKUP(FormFields[[#This Row],[Rel2]],RelationTable[[Display]:[RELID]],2,0))</f>
        <v/>
      </c>
      <c r="AI3" s="77" t="str">
        <f>IF(FormFields[[#This Row],[Rel3]]="",IF(EXACT($AI2,FormFields[[#Headers],[R3]]),"nest_relation3",""),VLOOKUP(FormFields[[#This Row],[Rel3]],RelationTable[[Display]:[RELID]],2,0))</f>
        <v/>
      </c>
      <c r="AJ3" s="70">
        <f>IF(OR(FormFields[[#This Row],[Option Type]]="",FormFields[[#This Row],[Option Type]]="type"),0,1)</f>
        <v>0</v>
      </c>
      <c r="AK3" s="70" t="str">
        <f>'Table Seed Map'!$A$13&amp;"-"&amp;COUNTIF($AJ$2:FormFields[[#This Row],[Exists FO]],1)</f>
        <v>Field Options-0</v>
      </c>
      <c r="AL3" s="70">
        <f>IF(FormFields[[#This Row],[Exists FO]]=0,$AL2,IF($AL2=0,IF(ISNUMBER(VLOOKUP('Table Seed Map'!$A$13,SeedMap[],9,0)),VLOOKUP('Table Seed Map'!$A$13,SeedMap[],9,0)+1,1),IFERROR($AL2+1,0)))</f>
        <v>0</v>
      </c>
      <c r="AM3" s="70">
        <f>FormFields[[#This Row],[NO4]]</f>
        <v>0</v>
      </c>
      <c r="AN3" s="78">
        <f>[ID]</f>
        <v>50001</v>
      </c>
      <c r="AO3" s="79"/>
      <c r="AP3" s="79"/>
      <c r="AQ3" s="79"/>
      <c r="AR3" s="79"/>
      <c r="AS3" s="79"/>
      <c r="AT3" s="70">
        <f>IF(OR(FormFields[[#This Row],[Colspan]]="",FormFields[[#This Row],[Colspan]]="colspan"),0,1)</f>
        <v>0</v>
      </c>
      <c r="AU3" s="70" t="str">
        <f>'Table Seed Map'!$A$18&amp;"-"&amp;SUM($AT$2:FormFields[[#This Row],[Exists FL]])</f>
        <v>Form Layout-0</v>
      </c>
      <c r="AV3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" s="70" t="str">
        <f>FormFields[[#This Row],[NO8]]</f>
        <v/>
      </c>
      <c r="AX3" s="70">
        <f>[Form]</f>
        <v>50001</v>
      </c>
      <c r="AY3" s="70">
        <f>[ID]</f>
        <v>50001</v>
      </c>
      <c r="AZ3" s="80"/>
      <c r="BB3" s="4" t="s">
        <v>731</v>
      </c>
      <c r="BC3" s="7" t="str">
        <f>'Table Seed Map'!$A$14&amp;"-"&amp;(COUNTA($BB$2:FieldAttrs[[#This Row],[ATTR Field]]))</f>
        <v>Field Attrs-1</v>
      </c>
      <c r="BD3" s="61">
        <f>IF($BD2="id",IF(ISNUMBER(VLOOKUP('Table Seed Map'!$A$14,SeedMap[],9,0)),VLOOKUP('Table Seed Map'!$A$14,SeedMap[],9,0)+1,1),IFERROR($BD2+1,"id"))</f>
        <v>50001</v>
      </c>
      <c r="BE3" s="91">
        <f>VLOOKUP([ATTR Field],FormFields[[Field Name]:[ID]],2,0)</f>
        <v>50005</v>
      </c>
      <c r="BF3" s="91" t="s">
        <v>733</v>
      </c>
      <c r="BG3" s="91">
        <v>4</v>
      </c>
    </row>
    <row r="4" spans="1:147">
      <c r="A4" s="31" t="str">
        <f>'Table Seed Map'!$A$10&amp;"-"&amp;(COUNTA($F$1:ResourceForms[[#This Row],[Resource]])-2)</f>
        <v>Resource Forms-2</v>
      </c>
      <c r="B4" s="31" t="str">
        <f>ResourceForms[[#This Row],[Resource Name]]&amp;"/"&amp;ResourceForms[[#This Row],[Name]]</f>
        <v>ProductImage/ChangeImageStatus</v>
      </c>
      <c r="C4" s="31">
        <f>IF(ResourceForms[[#This Row],[Resource Name]]="","",COUNTA($F$3:ResourceForms[[#This Row],[Resource]])+IF(VLOOKUP('Table Seed Map'!$A$10,SeedMap[],9,0),VLOOKUP('Table Seed Map'!$A$10,SeedMap[],9,0),0))</f>
        <v>50002</v>
      </c>
      <c r="D4" s="32" t="s">
        <v>572</v>
      </c>
      <c r="E4" s="31">
        <f>ResourceForms[[#This Row],[No]]</f>
        <v>50002</v>
      </c>
      <c r="F4" s="31">
        <f>VLOOKUP(ResourceForms[[#This Row],[Resource Name]],ResourceTable[[RName]:[RID]],2,0)</f>
        <v>50004</v>
      </c>
      <c r="G4" s="8" t="s">
        <v>677</v>
      </c>
      <c r="H4" s="31" t="s">
        <v>678</v>
      </c>
      <c r="I4" s="8" t="s">
        <v>679</v>
      </c>
      <c r="J4" s="8" t="s">
        <v>680</v>
      </c>
      <c r="K4" s="34">
        <f>[ID]</f>
        <v>50002</v>
      </c>
      <c r="M4" s="68" t="str">
        <f>'Table Seed Map'!$A$11&amp;"-"&amp;(COUNTA($Q$1:FormFields[[#This Row],[ID]])-2)</f>
        <v>Form Fields-2</v>
      </c>
      <c r="N4" s="69" t="s">
        <v>717</v>
      </c>
      <c r="O4" s="70">
        <f>IF(FormFields[[#This Row],[Form Name]]="","id",COUNTA($N$3:FormFields[[#This Row],[Form Name]])+IF(VLOOKUP('Table Seed Map'!$A$11,SeedMap[],9,0),VLOOKUP('Table Seed Map'!$A$11,SeedMap[],9,0),0))</f>
        <v>50002</v>
      </c>
      <c r="P4" s="68" t="str">
        <f>FormFields[[#This Row],[Form Name]]&amp;"/"&amp;FormFields[[#This Row],[Name]]</f>
        <v>ProductImage/AddProductImageForm/name</v>
      </c>
      <c r="Q4" s="70">
        <f>FormFields[[#This Row],[No]]</f>
        <v>50002</v>
      </c>
      <c r="R4" s="71">
        <f>VLOOKUP(FormFields[[#This Row],[Form Name]],ResourceForms[[FormName]:[No]],2,0)</f>
        <v>50001</v>
      </c>
      <c r="S4" s="72" t="s">
        <v>26</v>
      </c>
      <c r="T4" s="72" t="s">
        <v>699</v>
      </c>
      <c r="U4" s="72" t="s">
        <v>701</v>
      </c>
      <c r="V4" s="73"/>
      <c r="W4" s="73"/>
      <c r="X4" s="73"/>
      <c r="Y4" s="73"/>
      <c r="Z4" s="74" t="str">
        <f>'Table Seed Map'!$A$12&amp;"-"&amp;(COUNTIF($AB$2:FormFields[[#This Row],[Exists]],1)-1)</f>
        <v>Field Data-2</v>
      </c>
      <c r="AA4" s="75">
        <f>COUNTIF($AB$2:FormFields[[#This Row],[Exists]],1)-1+VLOOKUP('Table Seed Map'!$A$11,SeedMap[],9,0)</f>
        <v>50002</v>
      </c>
      <c r="AB4" s="75">
        <f>IF(AND(FormFields[[#This Row],[Attribute]]="",FormFields[[#This Row],[Relation]]=""),0,1)</f>
        <v>1</v>
      </c>
      <c r="AC4" s="75">
        <f>FormFields[[#This Row],[NO2]]</f>
        <v>50002</v>
      </c>
      <c r="AD4" s="76">
        <f>[ID]</f>
        <v>50002</v>
      </c>
      <c r="AE4" s="75" t="str">
        <f>[Name]</f>
        <v>name</v>
      </c>
      <c r="AF4" s="77" t="str">
        <f>IF(FormFields[[#This Row],[Rel]]="",IF(EXACT($AF3,FormFields[[#Headers],[Relation]]),"relation",""),VLOOKUP(FormFields[[#This Row],[Rel]],RelationTable[[Display]:[RELID]],2,0))</f>
        <v/>
      </c>
      <c r="AG4" s="77" t="str">
        <f>IF(FormFields[[#This Row],[Rel1]]="",IF(EXACT($AG3,FormFields[[#Headers],[R1]]),"nest_relation1",""),VLOOKUP(FormFields[[#This Row],[Rel1]],RelationTable[[Display]:[RELID]],2,0))</f>
        <v/>
      </c>
      <c r="AH4" s="77" t="str">
        <f>IF(FormFields[[#This Row],[Rel2]]="",IF(EXACT($AH3,FormFields[[#Headers],[R2]]),"nest_relation2",""),VLOOKUP(FormFields[[#This Row],[Rel2]],RelationTable[[Display]:[RELID]],2,0))</f>
        <v/>
      </c>
      <c r="AI4" s="77" t="str">
        <f>IF(FormFields[[#This Row],[Rel3]]="",IF(EXACT($AI3,FormFields[[#Headers],[R3]]),"nest_relation3",""),VLOOKUP(FormFields[[#This Row],[Rel3]],RelationTable[[Display]:[RELID]],2,0))</f>
        <v/>
      </c>
      <c r="AJ4" s="70">
        <f>IF(OR(FormFields[[#This Row],[Option Type]]="",FormFields[[#This Row],[Option Type]]="type"),0,1)</f>
        <v>0</v>
      </c>
      <c r="AK4" s="70" t="str">
        <f>'Table Seed Map'!$A$13&amp;"-"&amp;COUNTIF($AJ$2:FormFields[[#This Row],[Exists FO]],1)</f>
        <v>Field Options-0</v>
      </c>
      <c r="AL4" s="70">
        <f>IF(FormFields[[#This Row],[Exists FO]]=0,$AL3,IF($AL3=0,IF(ISNUMBER(VLOOKUP('Table Seed Map'!$A$13,SeedMap[],9,0)),VLOOKUP('Table Seed Map'!$A$13,SeedMap[],9,0)+1,1),IFERROR($AL3+1,0)))</f>
        <v>0</v>
      </c>
      <c r="AM4" s="70">
        <f>FormFields[[#This Row],[NO4]]</f>
        <v>0</v>
      </c>
      <c r="AN4" s="78">
        <f>[ID]</f>
        <v>50002</v>
      </c>
      <c r="AO4" s="79"/>
      <c r="AP4" s="79"/>
      <c r="AQ4" s="79"/>
      <c r="AR4" s="79"/>
      <c r="AS4" s="79"/>
      <c r="AT4" s="70">
        <f>IF(OR(FormFields[[#This Row],[Colspan]]="",FormFields[[#This Row],[Colspan]]="colspan"),0,1)</f>
        <v>0</v>
      </c>
      <c r="AU4" s="70" t="str">
        <f>'Table Seed Map'!$A$18&amp;"-"&amp;SUM($AT$2:FormFields[[#This Row],[Exists FL]])</f>
        <v>Form Layout-0</v>
      </c>
      <c r="AV4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" s="70" t="str">
        <f>FormFields[[#This Row],[NO8]]</f>
        <v/>
      </c>
      <c r="AX4" s="70">
        <f>[Form]</f>
        <v>50001</v>
      </c>
      <c r="AY4" s="70">
        <f>[ID]</f>
        <v>50002</v>
      </c>
      <c r="AZ4" s="80"/>
      <c r="BB4" s="4" t="s">
        <v>732</v>
      </c>
      <c r="BC4" s="7" t="str">
        <f>'Table Seed Map'!$A$14&amp;"-"&amp;(COUNTA($BB$2:FieldAttrs[[#This Row],[ATTR Field]]))</f>
        <v>Field Attrs-2</v>
      </c>
      <c r="BD4" s="61">
        <f>IF($BD3="id",IF(ISNUMBER(VLOOKUP('Table Seed Map'!$A$14,SeedMap[],9,0)),VLOOKUP('Table Seed Map'!$A$14,SeedMap[],9,0)+1,1),IFERROR($BD3+1,"id"))</f>
        <v>50002</v>
      </c>
      <c r="BE4" s="91">
        <f>VLOOKUP([ATTR Field],FormFields[[Field Name]:[ID]],2,0)</f>
        <v>50018</v>
      </c>
      <c r="BF4" s="91" t="s">
        <v>733</v>
      </c>
      <c r="BG4" s="91">
        <v>4</v>
      </c>
    </row>
    <row r="5" spans="1:147">
      <c r="A5" s="31" t="str">
        <f>'Table Seed Map'!$A$10&amp;"-"&amp;(COUNTA($F$1:ResourceForms[[#This Row],[Resource]])-2)</f>
        <v>Resource Forms-3</v>
      </c>
      <c r="B5" s="31" t="str">
        <f>ResourceForms[[#This Row],[Resource Name]]&amp;"/"&amp;ResourceForms[[#This Row],[Name]]</f>
        <v>Visitor/Add New Visitor</v>
      </c>
      <c r="C5" s="31">
        <f>IF(ResourceForms[[#This Row],[Resource Name]]="","",COUNTA($F$3:ResourceForms[[#This Row],[Resource]])+IF(VLOOKUP('Table Seed Map'!$A$10,SeedMap[],9,0),VLOOKUP('Table Seed Map'!$A$10,SeedMap[],9,0),0))</f>
        <v>50003</v>
      </c>
      <c r="D5" s="32" t="s">
        <v>575</v>
      </c>
      <c r="E5" s="31">
        <f>ResourceForms[[#This Row],[No]]</f>
        <v>50003</v>
      </c>
      <c r="F5" s="31">
        <f>VLOOKUP(ResourceForms[[#This Row],[Resource Name]],ResourceTable[[RName]:[RID]],2,0)</f>
        <v>50005</v>
      </c>
      <c r="G5" s="8" t="s">
        <v>681</v>
      </c>
      <c r="H5" s="31" t="s">
        <v>682</v>
      </c>
      <c r="I5" s="8" t="s">
        <v>683</v>
      </c>
      <c r="J5" s="8" t="s">
        <v>683</v>
      </c>
      <c r="K5" s="34">
        <f>[ID]</f>
        <v>50003</v>
      </c>
      <c r="M5" s="68" t="str">
        <f>'Table Seed Map'!$A$11&amp;"-"&amp;(COUNTA($Q$1:FormFields[[#This Row],[ID]])-2)</f>
        <v>Form Fields-3</v>
      </c>
      <c r="N5" s="69" t="s">
        <v>717</v>
      </c>
      <c r="O5" s="70">
        <f>IF(FormFields[[#This Row],[Form Name]]="","id",COUNTA($N$3:FormFields[[#This Row],[Form Name]])+IF(VLOOKUP('Table Seed Map'!$A$11,SeedMap[],9,0),VLOOKUP('Table Seed Map'!$A$11,SeedMap[],9,0),0))</f>
        <v>50003</v>
      </c>
      <c r="P5" s="68" t="str">
        <f>FormFields[[#This Row],[Form Name]]&amp;"/"&amp;FormFields[[#This Row],[Name]]</f>
        <v>ProductImage/AddProductImageForm/image</v>
      </c>
      <c r="Q5" s="70">
        <f>FormFields[[#This Row],[No]]</f>
        <v>50003</v>
      </c>
      <c r="R5" s="71">
        <f>VLOOKUP(FormFields[[#This Row],[Form Name]],ResourceForms[[FormName]:[No]],2,0)</f>
        <v>50001</v>
      </c>
      <c r="S5" s="72" t="s">
        <v>468</v>
      </c>
      <c r="T5" s="72" t="s">
        <v>702</v>
      </c>
      <c r="U5" s="72" t="s">
        <v>703</v>
      </c>
      <c r="V5" s="73"/>
      <c r="W5" s="73"/>
      <c r="X5" s="73"/>
      <c r="Y5" s="73"/>
      <c r="Z5" s="74" t="str">
        <f>'Table Seed Map'!$A$12&amp;"-"&amp;(COUNTIF($AB$2:FormFields[[#This Row],[Exists]],1)-1)</f>
        <v>Field Data-3</v>
      </c>
      <c r="AA5" s="75">
        <f>COUNTIF($AB$2:FormFields[[#This Row],[Exists]],1)-1+VLOOKUP('Table Seed Map'!$A$11,SeedMap[],9,0)</f>
        <v>50003</v>
      </c>
      <c r="AB5" s="75">
        <f>IF(AND(FormFields[[#This Row],[Attribute]]="",FormFields[[#This Row],[Relation]]=""),0,1)</f>
        <v>1</v>
      </c>
      <c r="AC5" s="75">
        <f>FormFields[[#This Row],[NO2]]</f>
        <v>50003</v>
      </c>
      <c r="AD5" s="76">
        <f>[ID]</f>
        <v>50003</v>
      </c>
      <c r="AE5" s="75" t="str">
        <f>[Name]</f>
        <v>image</v>
      </c>
      <c r="AF5" s="77" t="str">
        <f>IF(FormFields[[#This Row],[Rel]]="",IF(EXACT($AF4,FormFields[[#Headers],[Relation]]),"relation",""),VLOOKUP(FormFields[[#This Row],[Rel]],RelationTable[[Display]:[RELID]],2,0))</f>
        <v/>
      </c>
      <c r="AG5" s="77" t="str">
        <f>IF(FormFields[[#This Row],[Rel1]]="",IF(EXACT($AG4,FormFields[[#Headers],[R1]]),"nest_relation1",""),VLOOKUP(FormFields[[#This Row],[Rel1]],RelationTable[[Display]:[RELID]],2,0))</f>
        <v/>
      </c>
      <c r="AH5" s="77" t="str">
        <f>IF(FormFields[[#This Row],[Rel2]]="",IF(EXACT($AH4,FormFields[[#Headers],[R2]]),"nest_relation2",""),VLOOKUP(FormFields[[#This Row],[Rel2]],RelationTable[[Display]:[RELID]],2,0))</f>
        <v/>
      </c>
      <c r="AI5" s="77" t="str">
        <f>IF(FormFields[[#This Row],[Rel3]]="",IF(EXACT($AI4,FormFields[[#Headers],[R3]]),"nest_relation3",""),VLOOKUP(FormFields[[#This Row],[Rel3]],RelationTable[[Display]:[RELID]],2,0))</f>
        <v/>
      </c>
      <c r="AJ5" s="70">
        <f>IF(OR(FormFields[[#This Row],[Option Type]]="",FormFields[[#This Row],[Option Type]]="type"),0,1)</f>
        <v>0</v>
      </c>
      <c r="AK5" s="70" t="str">
        <f>'Table Seed Map'!$A$13&amp;"-"&amp;COUNTIF($AJ$2:FormFields[[#This Row],[Exists FO]],1)</f>
        <v>Field Options-0</v>
      </c>
      <c r="AL5" s="70">
        <f>IF(FormFields[[#This Row],[Exists FO]]=0,$AL4,IF($AL4=0,IF(ISNUMBER(VLOOKUP('Table Seed Map'!$A$13,SeedMap[],9,0)),VLOOKUP('Table Seed Map'!$A$13,SeedMap[],9,0)+1,1),IFERROR($AL4+1,0)))</f>
        <v>0</v>
      </c>
      <c r="AM5" s="70">
        <f>FormFields[[#This Row],[NO4]]</f>
        <v>0</v>
      </c>
      <c r="AN5" s="78">
        <f>[ID]</f>
        <v>50003</v>
      </c>
      <c r="AO5" s="79"/>
      <c r="AP5" s="79"/>
      <c r="AQ5" s="79"/>
      <c r="AR5" s="79"/>
      <c r="AS5" s="79"/>
      <c r="AT5" s="70">
        <f>IF(OR(FormFields[[#This Row],[Colspan]]="",FormFields[[#This Row],[Colspan]]="colspan"),0,1)</f>
        <v>0</v>
      </c>
      <c r="AU5" s="70" t="str">
        <f>'Table Seed Map'!$A$18&amp;"-"&amp;SUM($AT$2:FormFields[[#This Row],[Exists FL]])</f>
        <v>Form Layout-0</v>
      </c>
      <c r="AV5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" s="70" t="str">
        <f>FormFields[[#This Row],[NO8]]</f>
        <v/>
      </c>
      <c r="AX5" s="70">
        <f>[Form]</f>
        <v>50001</v>
      </c>
      <c r="AY5" s="70">
        <f>[ID]</f>
        <v>50003</v>
      </c>
      <c r="AZ5" s="80"/>
    </row>
    <row r="6" spans="1:147">
      <c r="A6" s="31" t="str">
        <f>'Table Seed Map'!$A$10&amp;"-"&amp;(COUNTA($F$1:ResourceForms[[#This Row],[Resource]])-2)</f>
        <v>Resource Forms-4</v>
      </c>
      <c r="B6" s="31" t="str">
        <f>ResourceForms[[#This Row],[Resource Name]]&amp;"/"&amp;ResourceForms[[#This Row],[Name]]</f>
        <v>Wishlist/CreateNewWishlistForm</v>
      </c>
      <c r="C6" s="31">
        <f>IF(ResourceForms[[#This Row],[Resource Name]]="","",COUNTA($F$3:ResourceForms[[#This Row],[Resource]])+IF(VLOOKUP('Table Seed Map'!$A$10,SeedMap[],9,0),VLOOKUP('Table Seed Map'!$A$10,SeedMap[],9,0),0))</f>
        <v>50004</v>
      </c>
      <c r="D6" s="32" t="s">
        <v>578</v>
      </c>
      <c r="E6" s="31">
        <f>ResourceForms[[#This Row],[No]]</f>
        <v>50004</v>
      </c>
      <c r="F6" s="31">
        <f>VLOOKUP(ResourceForms[[#This Row],[Resource Name]],ResourceTable[[RName]:[RID]],2,0)</f>
        <v>50006</v>
      </c>
      <c r="G6" s="8" t="s">
        <v>684</v>
      </c>
      <c r="H6" s="31" t="s">
        <v>685</v>
      </c>
      <c r="I6" s="8" t="s">
        <v>686</v>
      </c>
      <c r="J6" s="8" t="s">
        <v>686</v>
      </c>
      <c r="K6" s="34">
        <f>[ID]</f>
        <v>50004</v>
      </c>
      <c r="M6" s="68" t="str">
        <f>'Table Seed Map'!$A$11&amp;"-"&amp;(COUNTA($Q$1:FormFields[[#This Row],[ID]])-2)</f>
        <v>Form Fields-4</v>
      </c>
      <c r="N6" s="69" t="s">
        <v>717</v>
      </c>
      <c r="O6" s="70">
        <f>IF(FormFields[[#This Row],[Form Name]]="","id",COUNTA($N$3:FormFields[[#This Row],[Form Name]])+IF(VLOOKUP('Table Seed Map'!$A$11,SeedMap[],9,0),VLOOKUP('Table Seed Map'!$A$11,SeedMap[],9,0),0))</f>
        <v>50004</v>
      </c>
      <c r="P6" s="68" t="str">
        <f>FormFields[[#This Row],[Form Name]]&amp;"/"&amp;FormFields[[#This Row],[Name]]</f>
        <v>ProductImage/AddProductImageForm/default</v>
      </c>
      <c r="Q6" s="70">
        <f>FormFields[[#This Row],[No]]</f>
        <v>50004</v>
      </c>
      <c r="R6" s="71">
        <f>VLOOKUP(FormFields[[#This Row],[Form Name]],ResourceForms[[FormName]:[No]],2,0)</f>
        <v>50001</v>
      </c>
      <c r="S6" s="72" t="s">
        <v>506</v>
      </c>
      <c r="T6" s="72" t="s">
        <v>704</v>
      </c>
      <c r="U6" s="72" t="s">
        <v>506</v>
      </c>
      <c r="V6" s="73"/>
      <c r="W6" s="73"/>
      <c r="X6" s="73"/>
      <c r="Y6" s="73"/>
      <c r="Z6" s="74" t="str">
        <f>'Table Seed Map'!$A$12&amp;"-"&amp;(COUNTIF($AB$2:FormFields[[#This Row],[Exists]],1)-1)</f>
        <v>Field Data-4</v>
      </c>
      <c r="AA6" s="75">
        <f>COUNTIF($AB$2:FormFields[[#This Row],[Exists]],1)-1+VLOOKUP('Table Seed Map'!$A$11,SeedMap[],9,0)</f>
        <v>50004</v>
      </c>
      <c r="AB6" s="75">
        <f>IF(AND(FormFields[[#This Row],[Attribute]]="",FormFields[[#This Row],[Relation]]=""),0,1)</f>
        <v>1</v>
      </c>
      <c r="AC6" s="75">
        <f>FormFields[[#This Row],[NO2]]</f>
        <v>50004</v>
      </c>
      <c r="AD6" s="76">
        <f>[ID]</f>
        <v>50004</v>
      </c>
      <c r="AE6" s="75" t="str">
        <f>[Name]</f>
        <v>default</v>
      </c>
      <c r="AF6" s="77" t="str">
        <f>IF(FormFields[[#This Row],[Rel]]="",IF(EXACT($AF5,FormFields[[#Headers],[Relation]]),"relation",""),VLOOKUP(FormFields[[#This Row],[Rel]],RelationTable[[Display]:[RELID]],2,0))</f>
        <v/>
      </c>
      <c r="AG6" s="77" t="str">
        <f>IF(FormFields[[#This Row],[Rel1]]="",IF(EXACT($AG5,FormFields[[#Headers],[R1]]),"nest_relation1",""),VLOOKUP(FormFields[[#This Row],[Rel1]],RelationTable[[Display]:[RELID]],2,0))</f>
        <v/>
      </c>
      <c r="AH6" s="77" t="str">
        <f>IF(FormFields[[#This Row],[Rel2]]="",IF(EXACT($AH5,FormFields[[#Headers],[R2]]),"nest_relation2",""),VLOOKUP(FormFields[[#This Row],[Rel2]],RelationTable[[Display]:[RELID]],2,0))</f>
        <v/>
      </c>
      <c r="AI6" s="77" t="str">
        <f>IF(FormFields[[#This Row],[Rel3]]="",IF(EXACT($AI5,FormFields[[#Headers],[R3]]),"nest_relation3",""),VLOOKUP(FormFields[[#This Row],[Rel3]],RelationTable[[Display]:[RELID]],2,0))</f>
        <v/>
      </c>
      <c r="AJ6" s="70">
        <f>IF(OR(FormFields[[#This Row],[Option Type]]="",FormFields[[#This Row],[Option Type]]="type"),0,1)</f>
        <v>1</v>
      </c>
      <c r="AK6" s="70" t="str">
        <f>'Table Seed Map'!$A$13&amp;"-"&amp;COUNTIF($AJ$2:FormFields[[#This Row],[Exists FO]],1)</f>
        <v>Field Options-1</v>
      </c>
      <c r="AL6" s="70">
        <f>IF(FormFields[[#This Row],[Exists FO]]=0,$AL5,IF($AL5=0,IF(ISNUMBER(VLOOKUP('Table Seed Map'!$A$13,SeedMap[],9,0)),VLOOKUP('Table Seed Map'!$A$13,SeedMap[],9,0)+1,1),IFERROR($AL5+1,0)))</f>
        <v>50001</v>
      </c>
      <c r="AM6" s="70">
        <f>FormFields[[#This Row],[NO4]]</f>
        <v>50001</v>
      </c>
      <c r="AN6" s="78">
        <f>[ID]</f>
        <v>50004</v>
      </c>
      <c r="AO6" s="79" t="s">
        <v>730</v>
      </c>
      <c r="AP6" s="79"/>
      <c r="AQ6" s="79"/>
      <c r="AR6" s="79"/>
      <c r="AS6" s="79"/>
      <c r="AT6" s="70">
        <f>IF(OR(FormFields[[#This Row],[Colspan]]="",FormFields[[#This Row],[Colspan]]="colspan"),0,1)</f>
        <v>0</v>
      </c>
      <c r="AU6" s="70" t="str">
        <f>'Table Seed Map'!$A$18&amp;"-"&amp;SUM($AT$2:FormFields[[#This Row],[Exists FL]])</f>
        <v>Form Layout-0</v>
      </c>
      <c r="AV6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" s="70" t="str">
        <f>FormFields[[#This Row],[NO8]]</f>
        <v/>
      </c>
      <c r="AX6" s="70">
        <f>[Form]</f>
        <v>50001</v>
      </c>
      <c r="AY6" s="70">
        <f>[ID]</f>
        <v>50004</v>
      </c>
      <c r="AZ6" s="80"/>
    </row>
    <row r="7" spans="1:147">
      <c r="A7" s="31" t="str">
        <f>'Table Seed Map'!$A$10&amp;"-"&amp;(COUNTA($F$1:ResourceForms[[#This Row],[Resource]])-2)</f>
        <v>Resource Forms-5</v>
      </c>
      <c r="B7" s="31" t="str">
        <f>ResourceForms[[#This Row],[Resource Name]]&amp;"/"&amp;ResourceForms[[#This Row],[Name]]</f>
        <v>Wishlist/UpdateWishlistForm</v>
      </c>
      <c r="C7" s="31">
        <f>IF(ResourceForms[[#This Row],[Resource Name]]="","",COUNTA($F$3:ResourceForms[[#This Row],[Resource]])+IF(VLOOKUP('Table Seed Map'!$A$10,SeedMap[],9,0),VLOOKUP('Table Seed Map'!$A$10,SeedMap[],9,0),0))</f>
        <v>50005</v>
      </c>
      <c r="D7" s="32" t="s">
        <v>578</v>
      </c>
      <c r="E7" s="31">
        <f>ResourceForms[[#This Row],[No]]</f>
        <v>50005</v>
      </c>
      <c r="F7" s="31">
        <f>VLOOKUP(ResourceForms[[#This Row],[Resource Name]],ResourceTable[[RName]:[RID]],2,0)</f>
        <v>50006</v>
      </c>
      <c r="G7" s="8" t="s">
        <v>687</v>
      </c>
      <c r="H7" s="31" t="s">
        <v>688</v>
      </c>
      <c r="I7" s="8" t="s">
        <v>689</v>
      </c>
      <c r="J7" s="8" t="s">
        <v>274</v>
      </c>
      <c r="K7" s="34">
        <f>[ID]</f>
        <v>50005</v>
      </c>
      <c r="M7" s="68" t="str">
        <f>'Table Seed Map'!$A$11&amp;"-"&amp;(COUNTA($Q$1:FormFields[[#This Row],[ID]])-2)</f>
        <v>Form Fields-5</v>
      </c>
      <c r="N7" s="69" t="s">
        <v>718</v>
      </c>
      <c r="O7" s="70">
        <f>IF(FormFields[[#This Row],[Form Name]]="","id",COUNTA($N$3:FormFields[[#This Row],[Form Name]])+IF(VLOOKUP('Table Seed Map'!$A$11,SeedMap[],9,0),VLOOKUP('Table Seed Map'!$A$11,SeedMap[],9,0),0))</f>
        <v>50005</v>
      </c>
      <c r="P7" s="68" t="str">
        <f>FormFields[[#This Row],[Form Name]]&amp;"/"&amp;FormFields[[#This Row],[Name]]</f>
        <v>ProductImage/ChangeImageStatus/status</v>
      </c>
      <c r="Q7" s="70">
        <f>FormFields[[#This Row],[No]]</f>
        <v>50005</v>
      </c>
      <c r="R7" s="71">
        <f>VLOOKUP(FormFields[[#This Row],[Form Name]],ResourceForms[[FormName]:[No]],2,0)</f>
        <v>50002</v>
      </c>
      <c r="S7" s="72" t="s">
        <v>453</v>
      </c>
      <c r="T7" s="72" t="s">
        <v>704</v>
      </c>
      <c r="U7" s="72" t="s">
        <v>705</v>
      </c>
      <c r="V7" s="73"/>
      <c r="W7" s="73"/>
      <c r="X7" s="73"/>
      <c r="Y7" s="73"/>
      <c r="Z7" s="74" t="str">
        <f>'Table Seed Map'!$A$12&amp;"-"&amp;(COUNTIF($AB$2:FormFields[[#This Row],[Exists]],1)-1)</f>
        <v>Field Data-5</v>
      </c>
      <c r="AA7" s="75">
        <f>COUNTIF($AB$2:FormFields[[#This Row],[Exists]],1)-1+VLOOKUP('Table Seed Map'!$A$11,SeedMap[],9,0)</f>
        <v>50005</v>
      </c>
      <c r="AB7" s="75">
        <f>IF(AND(FormFields[[#This Row],[Attribute]]="",FormFields[[#This Row],[Relation]]=""),0,1)</f>
        <v>1</v>
      </c>
      <c r="AC7" s="75">
        <f>FormFields[[#This Row],[NO2]]</f>
        <v>50005</v>
      </c>
      <c r="AD7" s="76">
        <f>[ID]</f>
        <v>50005</v>
      </c>
      <c r="AE7" s="75" t="str">
        <f>[Name]</f>
        <v>status</v>
      </c>
      <c r="AF7" s="77" t="str">
        <f>IF(FormFields[[#This Row],[Rel]]="",IF(EXACT($AF6,FormFields[[#Headers],[Relation]]),"relation",""),VLOOKUP(FormFields[[#This Row],[Rel]],RelationTable[[Display]:[RELID]],2,0))</f>
        <v/>
      </c>
      <c r="AG7" s="77" t="str">
        <f>IF(FormFields[[#This Row],[Rel1]]="",IF(EXACT($AG6,FormFields[[#Headers],[R1]]),"nest_relation1",""),VLOOKUP(FormFields[[#This Row],[Rel1]],RelationTable[[Display]:[RELID]],2,0))</f>
        <v/>
      </c>
      <c r="AH7" s="77" t="str">
        <f>IF(FormFields[[#This Row],[Rel2]]="",IF(EXACT($AH6,FormFields[[#Headers],[R2]]),"nest_relation2",""),VLOOKUP(FormFields[[#This Row],[Rel2]],RelationTable[[Display]:[RELID]],2,0))</f>
        <v/>
      </c>
      <c r="AI7" s="77" t="str">
        <f>IF(FormFields[[#This Row],[Rel3]]="",IF(EXACT($AI6,FormFields[[#Headers],[R3]]),"nest_relation3",""),VLOOKUP(FormFields[[#This Row],[Rel3]],RelationTable[[Display]:[RELID]],2,0))</f>
        <v/>
      </c>
      <c r="AJ7" s="70">
        <f>IF(OR(FormFields[[#This Row],[Option Type]]="",FormFields[[#This Row],[Option Type]]="type"),0,1)</f>
        <v>1</v>
      </c>
      <c r="AK7" s="70" t="str">
        <f>'Table Seed Map'!$A$13&amp;"-"&amp;COUNTIF($AJ$2:FormFields[[#This Row],[Exists FO]],1)</f>
        <v>Field Options-2</v>
      </c>
      <c r="AL7" s="70">
        <f>IF(FormFields[[#This Row],[Exists FO]]=0,$AL6,IF($AL6=0,IF(ISNUMBER(VLOOKUP('Table Seed Map'!$A$13,SeedMap[],9,0)),VLOOKUP('Table Seed Map'!$A$13,SeedMap[],9,0)+1,1),IFERROR($AL6+1,0)))</f>
        <v>50002</v>
      </c>
      <c r="AM7" s="70">
        <f>FormFields[[#This Row],[NO4]]</f>
        <v>50002</v>
      </c>
      <c r="AN7" s="78">
        <f>[ID]</f>
        <v>50005</v>
      </c>
      <c r="AO7" s="79" t="s">
        <v>730</v>
      </c>
      <c r="AP7" s="79"/>
      <c r="AQ7" s="79"/>
      <c r="AR7" s="79"/>
      <c r="AS7" s="79"/>
      <c r="AT7" s="70">
        <f>IF(OR(FormFields[[#This Row],[Colspan]]="",FormFields[[#This Row],[Colspan]]="colspan"),0,1)</f>
        <v>0</v>
      </c>
      <c r="AU7" s="70" t="str">
        <f>'Table Seed Map'!$A$18&amp;"-"&amp;SUM($AT$2:FormFields[[#This Row],[Exists FL]])</f>
        <v>Form Layout-0</v>
      </c>
      <c r="AV7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7" s="70" t="str">
        <f>FormFields[[#This Row],[NO8]]</f>
        <v/>
      </c>
      <c r="AX7" s="70">
        <f>[Form]</f>
        <v>50002</v>
      </c>
      <c r="AY7" s="70">
        <f>[ID]</f>
        <v>50005</v>
      </c>
      <c r="AZ7" s="80"/>
    </row>
    <row r="8" spans="1:147">
      <c r="A8" s="31" t="str">
        <f>'Table Seed Map'!$A$10&amp;"-"&amp;(COUNTA($F$1:ResourceForms[[#This Row],[Resource]])-2)</f>
        <v>Resource Forms-6</v>
      </c>
      <c r="B8" s="31" t="str">
        <f>ResourceForms[[#This Row],[Resource Name]]&amp;"/"&amp;ResourceForms[[#This Row],[Name]]</f>
        <v>Visitor/AddWishlistVisitorForm</v>
      </c>
      <c r="C8" s="31">
        <f>IF(ResourceForms[[#This Row],[Resource Name]]="","",COUNTA($F$3:ResourceForms[[#This Row],[Resource]])+IF(VLOOKUP('Table Seed Map'!$A$10,SeedMap[],9,0),VLOOKUP('Table Seed Map'!$A$10,SeedMap[],9,0),0))</f>
        <v>50006</v>
      </c>
      <c r="D8" s="32" t="s">
        <v>575</v>
      </c>
      <c r="E8" s="31">
        <f>ResourceForms[[#This Row],[No]]</f>
        <v>50006</v>
      </c>
      <c r="F8" s="31">
        <f>VLOOKUP(ResourceForms[[#This Row],[Resource Name]],ResourceTable[[RName]:[RID]],2,0)</f>
        <v>50005</v>
      </c>
      <c r="G8" s="8" t="s">
        <v>690</v>
      </c>
      <c r="H8" s="31" t="s">
        <v>691</v>
      </c>
      <c r="I8" s="8" t="s">
        <v>683</v>
      </c>
      <c r="J8" s="8" t="s">
        <v>683</v>
      </c>
      <c r="K8" s="34">
        <f>[ID]</f>
        <v>50006</v>
      </c>
      <c r="M8" s="68" t="str">
        <f>'Table Seed Map'!$A$11&amp;"-"&amp;(COUNTA($Q$1:FormFields[[#This Row],[ID]])-2)</f>
        <v>Form Fields-6</v>
      </c>
      <c r="N8" s="69" t="s">
        <v>719</v>
      </c>
      <c r="O8" s="70">
        <f>IF(FormFields[[#This Row],[Form Name]]="","id",COUNTA($N$3:FormFields[[#This Row],[Form Name]])+IF(VLOOKUP('Table Seed Map'!$A$11,SeedMap[],9,0),VLOOKUP('Table Seed Map'!$A$11,SeedMap[],9,0),0))</f>
        <v>50006</v>
      </c>
      <c r="P8" s="68" t="str">
        <f>FormFields[[#This Row],[Form Name]]&amp;"/"&amp;FormFields[[#This Row],[Name]]</f>
        <v>Visitor/Add New Visitor/name</v>
      </c>
      <c r="Q8" s="70">
        <f>FormFields[[#This Row],[No]]</f>
        <v>50006</v>
      </c>
      <c r="R8" s="71">
        <f>VLOOKUP(FormFields[[#This Row],[Form Name]],ResourceForms[[FormName]:[No]],2,0)</f>
        <v>50003</v>
      </c>
      <c r="S8" s="72" t="s">
        <v>26</v>
      </c>
      <c r="T8" s="72" t="s">
        <v>699</v>
      </c>
      <c r="U8" s="72" t="s">
        <v>706</v>
      </c>
      <c r="V8" s="73"/>
      <c r="W8" s="73"/>
      <c r="X8" s="73"/>
      <c r="Y8" s="73"/>
      <c r="Z8" s="74" t="str">
        <f>'Table Seed Map'!$A$12&amp;"-"&amp;(COUNTIF($AB$2:FormFields[[#This Row],[Exists]],1)-1)</f>
        <v>Field Data-6</v>
      </c>
      <c r="AA8" s="75">
        <f>COUNTIF($AB$2:FormFields[[#This Row],[Exists]],1)-1+VLOOKUP('Table Seed Map'!$A$11,SeedMap[],9,0)</f>
        <v>50006</v>
      </c>
      <c r="AB8" s="75">
        <f>IF(AND(FormFields[[#This Row],[Attribute]]="",FormFields[[#This Row],[Relation]]=""),0,1)</f>
        <v>1</v>
      </c>
      <c r="AC8" s="75">
        <f>FormFields[[#This Row],[NO2]]</f>
        <v>50006</v>
      </c>
      <c r="AD8" s="76">
        <f>[ID]</f>
        <v>50006</v>
      </c>
      <c r="AE8" s="75" t="str">
        <f>[Name]</f>
        <v>name</v>
      </c>
      <c r="AF8" s="77" t="str">
        <f>IF(FormFields[[#This Row],[Rel]]="",IF(EXACT($AF7,FormFields[[#Headers],[Relation]]),"relation",""),VLOOKUP(FormFields[[#This Row],[Rel]],RelationTable[[Display]:[RELID]],2,0))</f>
        <v/>
      </c>
      <c r="AG8" s="77" t="str">
        <f>IF(FormFields[[#This Row],[Rel1]]="",IF(EXACT($AG7,FormFields[[#Headers],[R1]]),"nest_relation1",""),VLOOKUP(FormFields[[#This Row],[Rel1]],RelationTable[[Display]:[RELID]],2,0))</f>
        <v/>
      </c>
      <c r="AH8" s="77" t="str">
        <f>IF(FormFields[[#This Row],[Rel2]]="",IF(EXACT($AH7,FormFields[[#Headers],[R2]]),"nest_relation2",""),VLOOKUP(FormFields[[#This Row],[Rel2]],RelationTable[[Display]:[RELID]],2,0))</f>
        <v/>
      </c>
      <c r="AI8" s="77" t="str">
        <f>IF(FormFields[[#This Row],[Rel3]]="",IF(EXACT($AI7,FormFields[[#Headers],[R3]]),"nest_relation3",""),VLOOKUP(FormFields[[#This Row],[Rel3]],RelationTable[[Display]:[RELID]],2,0))</f>
        <v/>
      </c>
      <c r="AJ8" s="70">
        <f>IF(OR(FormFields[[#This Row],[Option Type]]="",FormFields[[#This Row],[Option Type]]="type"),0,1)</f>
        <v>0</v>
      </c>
      <c r="AK8" s="70" t="str">
        <f>'Table Seed Map'!$A$13&amp;"-"&amp;COUNTIF($AJ$2:FormFields[[#This Row],[Exists FO]],1)</f>
        <v>Field Options-2</v>
      </c>
      <c r="AL8" s="70">
        <f>IF(FormFields[[#This Row],[Exists FO]]=0,$AL7,IF($AL7=0,IF(ISNUMBER(VLOOKUP('Table Seed Map'!$A$13,SeedMap[],9,0)),VLOOKUP('Table Seed Map'!$A$13,SeedMap[],9,0)+1,1),IFERROR($AL7+1,0)))</f>
        <v>50002</v>
      </c>
      <c r="AM8" s="70">
        <f>FormFields[[#This Row],[NO4]]</f>
        <v>50002</v>
      </c>
      <c r="AN8" s="78">
        <f>[ID]</f>
        <v>50006</v>
      </c>
      <c r="AO8" s="79"/>
      <c r="AP8" s="79"/>
      <c r="AQ8" s="79"/>
      <c r="AR8" s="79"/>
      <c r="AS8" s="79"/>
      <c r="AT8" s="70">
        <f>IF(OR(FormFields[[#This Row],[Colspan]]="",FormFields[[#This Row],[Colspan]]="colspan"),0,1)</f>
        <v>1</v>
      </c>
      <c r="AU8" s="70" t="str">
        <f>'Table Seed Map'!$A$18&amp;"-"&amp;SUM($AT$2:FormFields[[#This Row],[Exists FL]])</f>
        <v>Form Layout-1</v>
      </c>
      <c r="AV8" s="70">
        <f>IF(FormFields[[#This Row],[Exists FL]]=0,IF(FormFields[[#This Row],[Form Name]]="","id",""),SUM($AT$3:FormFields[[#This Row],[Exists FL]],IF(VLOOKUP('Table Seed Map'!$A$18,SeedMap[],9,0),VLOOKUP('Table Seed Map'!$A$18,SeedMap[],9,0),0)))</f>
        <v>50001</v>
      </c>
      <c r="AW8" s="70">
        <f>FormFields[[#This Row],[NO8]]</f>
        <v>50001</v>
      </c>
      <c r="AX8" s="70">
        <f>[Form]</f>
        <v>50003</v>
      </c>
      <c r="AY8" s="70">
        <f>[ID]</f>
        <v>50006</v>
      </c>
      <c r="AZ8" s="80">
        <v>12</v>
      </c>
    </row>
    <row r="9" spans="1:147">
      <c r="A9" s="31" t="str">
        <f>'Table Seed Map'!$A$10&amp;"-"&amp;(COUNTA($F$1:ResourceForms[[#This Row],[Resource]])-2)</f>
        <v>Resource Forms-7</v>
      </c>
      <c r="B9" s="31" t="str">
        <f>ResourceForms[[#This Row],[Resource Name]]&amp;"/"&amp;ResourceForms[[#This Row],[Name]]</f>
        <v>WishlistNote/AddWishlistNote</v>
      </c>
      <c r="C9" s="31">
        <f>IF(ResourceForms[[#This Row],[Resource Name]]="","",COUNTA($F$3:ResourceForms[[#This Row],[Resource]])+IF(VLOOKUP('Table Seed Map'!$A$10,SeedMap[],9,0),VLOOKUP('Table Seed Map'!$A$10,SeedMap[],9,0),0))</f>
        <v>50007</v>
      </c>
      <c r="D9" s="32" t="s">
        <v>585</v>
      </c>
      <c r="E9" s="31">
        <f>ResourceForms[[#This Row],[No]]</f>
        <v>50007</v>
      </c>
      <c r="F9" s="31">
        <f>VLOOKUP(ResourceForms[[#This Row],[Resource Name]],ResourceTable[[RName]:[RID]],2,0)</f>
        <v>50009</v>
      </c>
      <c r="G9" s="8" t="s">
        <v>692</v>
      </c>
      <c r="H9" s="31" t="s">
        <v>693</v>
      </c>
      <c r="I9" s="8" t="s">
        <v>694</v>
      </c>
      <c r="J9" s="8" t="s">
        <v>695</v>
      </c>
      <c r="K9" s="34">
        <f>[ID]</f>
        <v>50007</v>
      </c>
      <c r="M9" s="68" t="str">
        <f>'Table Seed Map'!$A$11&amp;"-"&amp;(COUNTA($Q$1:FormFields[[#This Row],[ID]])-2)</f>
        <v>Form Fields-7</v>
      </c>
      <c r="N9" s="69" t="s">
        <v>719</v>
      </c>
      <c r="O9" s="70">
        <f>IF(FormFields[[#This Row],[Form Name]]="","id",COUNTA($N$3:FormFields[[#This Row],[Form Name]])+IF(VLOOKUP('Table Seed Map'!$A$11,SeedMap[],9,0),VLOOKUP('Table Seed Map'!$A$11,SeedMap[],9,0),0))</f>
        <v>50007</v>
      </c>
      <c r="P9" s="68" t="str">
        <f>FormFields[[#This Row],[Form Name]]&amp;"/"&amp;FormFields[[#This Row],[Name]]</f>
        <v>Visitor/Add New Visitor/email</v>
      </c>
      <c r="Q9" s="70">
        <f>FormFields[[#This Row],[No]]</f>
        <v>50007</v>
      </c>
      <c r="R9" s="71">
        <f>VLOOKUP(FormFields[[#This Row],[Form Name]],ResourceForms[[FormName]:[No]],2,0)</f>
        <v>50003</v>
      </c>
      <c r="S9" s="72" t="s">
        <v>101</v>
      </c>
      <c r="T9" s="72" t="s">
        <v>699</v>
      </c>
      <c r="U9" s="72" t="s">
        <v>707</v>
      </c>
      <c r="V9" s="73"/>
      <c r="W9" s="73"/>
      <c r="X9" s="73"/>
      <c r="Y9" s="73"/>
      <c r="Z9" s="74" t="str">
        <f>'Table Seed Map'!$A$12&amp;"-"&amp;(COUNTIF($AB$2:FormFields[[#This Row],[Exists]],1)-1)</f>
        <v>Field Data-7</v>
      </c>
      <c r="AA9" s="75">
        <f>COUNTIF($AB$2:FormFields[[#This Row],[Exists]],1)-1+VLOOKUP('Table Seed Map'!$A$11,SeedMap[],9,0)</f>
        <v>50007</v>
      </c>
      <c r="AB9" s="75">
        <f>IF(AND(FormFields[[#This Row],[Attribute]]="",FormFields[[#This Row],[Relation]]=""),0,1)</f>
        <v>1</v>
      </c>
      <c r="AC9" s="75">
        <f>FormFields[[#This Row],[NO2]]</f>
        <v>50007</v>
      </c>
      <c r="AD9" s="76">
        <f>[ID]</f>
        <v>50007</v>
      </c>
      <c r="AE9" s="75" t="str">
        <f>[Name]</f>
        <v>email</v>
      </c>
      <c r="AF9" s="77" t="str">
        <f>IF(FormFields[[#This Row],[Rel]]="",IF(EXACT($AF8,FormFields[[#Headers],[Relation]]),"relation",""),VLOOKUP(FormFields[[#This Row],[Rel]],RelationTable[[Display]:[RELID]],2,0))</f>
        <v/>
      </c>
      <c r="AG9" s="77" t="str">
        <f>IF(FormFields[[#This Row],[Rel1]]="",IF(EXACT($AG8,FormFields[[#Headers],[R1]]),"nest_relation1",""),VLOOKUP(FormFields[[#This Row],[Rel1]],RelationTable[[Display]:[RELID]],2,0))</f>
        <v/>
      </c>
      <c r="AH9" s="77" t="str">
        <f>IF(FormFields[[#This Row],[Rel2]]="",IF(EXACT($AH8,FormFields[[#Headers],[R2]]),"nest_relation2",""),VLOOKUP(FormFields[[#This Row],[Rel2]],RelationTable[[Display]:[RELID]],2,0))</f>
        <v/>
      </c>
      <c r="AI9" s="77" t="str">
        <f>IF(FormFields[[#This Row],[Rel3]]="",IF(EXACT($AI8,FormFields[[#Headers],[R3]]),"nest_relation3",""),VLOOKUP(FormFields[[#This Row],[Rel3]],RelationTable[[Display]:[RELID]],2,0))</f>
        <v/>
      </c>
      <c r="AJ9" s="70">
        <f>IF(OR(FormFields[[#This Row],[Option Type]]="",FormFields[[#This Row],[Option Type]]="type"),0,1)</f>
        <v>0</v>
      </c>
      <c r="AK9" s="70" t="str">
        <f>'Table Seed Map'!$A$13&amp;"-"&amp;COUNTIF($AJ$2:FormFields[[#This Row],[Exists FO]],1)</f>
        <v>Field Options-2</v>
      </c>
      <c r="AL9" s="70">
        <f>IF(FormFields[[#This Row],[Exists FO]]=0,$AL8,IF($AL8=0,IF(ISNUMBER(VLOOKUP('Table Seed Map'!$A$13,SeedMap[],9,0)),VLOOKUP('Table Seed Map'!$A$13,SeedMap[],9,0)+1,1),IFERROR($AL8+1,0)))</f>
        <v>50002</v>
      </c>
      <c r="AM9" s="70">
        <f>FormFields[[#This Row],[NO4]]</f>
        <v>50002</v>
      </c>
      <c r="AN9" s="78">
        <f>[ID]</f>
        <v>50007</v>
      </c>
      <c r="AO9" s="79"/>
      <c r="AP9" s="79"/>
      <c r="AQ9" s="79"/>
      <c r="AR9" s="79"/>
      <c r="AS9" s="79"/>
      <c r="AT9" s="70">
        <f>IF(OR(FormFields[[#This Row],[Colspan]]="",FormFields[[#This Row],[Colspan]]="colspan"),0,1)</f>
        <v>1</v>
      </c>
      <c r="AU9" s="70" t="str">
        <f>'Table Seed Map'!$A$18&amp;"-"&amp;SUM($AT$2:FormFields[[#This Row],[Exists FL]])</f>
        <v>Form Layout-2</v>
      </c>
      <c r="AV9" s="70">
        <f>IF(FormFields[[#This Row],[Exists FL]]=0,IF(FormFields[[#This Row],[Form Name]]="","id",""),SUM($AT$3:FormFields[[#This Row],[Exists FL]],IF(VLOOKUP('Table Seed Map'!$A$18,SeedMap[],9,0),VLOOKUP('Table Seed Map'!$A$18,SeedMap[],9,0),0)))</f>
        <v>50002</v>
      </c>
      <c r="AW9" s="70">
        <f>FormFields[[#This Row],[NO8]]</f>
        <v>50002</v>
      </c>
      <c r="AX9" s="70">
        <f>[Form]</f>
        <v>50003</v>
      </c>
      <c r="AY9" s="70">
        <f>[ID]</f>
        <v>50007</v>
      </c>
      <c r="AZ9" s="80">
        <v>6</v>
      </c>
    </row>
    <row r="10" spans="1:147">
      <c r="A10" s="61" t="str">
        <f>'Table Seed Map'!$A$10&amp;"-"&amp;(COUNTA($F$1:ResourceForms[[#This Row],[Resource]])-2)</f>
        <v>Resource Forms-8</v>
      </c>
      <c r="B10" s="61" t="str">
        <f>ResourceForms[[#This Row],[Resource Name]]&amp;"/"&amp;ResourceForms[[#This Row],[Name]]</f>
        <v>GroupDetail/ChangeItemGroupWebListForm</v>
      </c>
      <c r="C10" s="61">
        <f>IF(ResourceForms[[#This Row],[Resource Name]]="","",COUNTA($F$3:ResourceForms[[#This Row],[Resource]])+IF(VLOOKUP('Table Seed Map'!$A$10,SeedMap[],9,0),VLOOKUP('Table Seed Map'!$A$10,SeedMap[],9,0),0))</f>
        <v>50008</v>
      </c>
      <c r="D10" s="30" t="s">
        <v>659</v>
      </c>
      <c r="E10" s="61">
        <f>ResourceForms[[#This Row],[No]]</f>
        <v>50008</v>
      </c>
      <c r="F10" s="61">
        <f>VLOOKUP(ResourceForms[[#This Row],[Resource Name]],ResourceTable[[RName]:[RID]],2,0)</f>
        <v>50002</v>
      </c>
      <c r="G10" s="7" t="s">
        <v>696</v>
      </c>
      <c r="H10" s="61" t="s">
        <v>697</v>
      </c>
      <c r="I10" s="7" t="s">
        <v>698</v>
      </c>
      <c r="J10" s="7" t="s">
        <v>274</v>
      </c>
      <c r="K10" s="60">
        <f>[ID]</f>
        <v>50008</v>
      </c>
      <c r="M10" s="68" t="str">
        <f>'Table Seed Map'!$A$11&amp;"-"&amp;(COUNTA($Q$1:FormFields[[#This Row],[ID]])-2)</f>
        <v>Form Fields-8</v>
      </c>
      <c r="N10" s="69" t="s">
        <v>719</v>
      </c>
      <c r="O10" s="70">
        <f>IF(FormFields[[#This Row],[Form Name]]="","id",COUNTA($N$3:FormFields[[#This Row],[Form Name]])+IF(VLOOKUP('Table Seed Map'!$A$11,SeedMap[],9,0),VLOOKUP('Table Seed Map'!$A$11,SeedMap[],9,0),0))</f>
        <v>50008</v>
      </c>
      <c r="P10" s="68" t="str">
        <f>FormFields[[#This Row],[Form Name]]&amp;"/"&amp;FormFields[[#This Row],[Name]]</f>
        <v>Visitor/Add New Visitor/number</v>
      </c>
      <c r="Q10" s="70">
        <f>FormFields[[#This Row],[No]]</f>
        <v>50008</v>
      </c>
      <c r="R10" s="71">
        <f>VLOOKUP(FormFields[[#This Row],[Form Name]],ResourceForms[[FormName]:[No]],2,0)</f>
        <v>50003</v>
      </c>
      <c r="S10" s="72" t="s">
        <v>471</v>
      </c>
      <c r="T10" s="72" t="s">
        <v>699</v>
      </c>
      <c r="U10" s="72" t="s">
        <v>708</v>
      </c>
      <c r="V10" s="73"/>
      <c r="W10" s="73"/>
      <c r="X10" s="73"/>
      <c r="Y10" s="73"/>
      <c r="Z10" s="74" t="str">
        <f>'Table Seed Map'!$A$12&amp;"-"&amp;(COUNTIF($AB$2:FormFields[[#This Row],[Exists]],1)-1)</f>
        <v>Field Data-8</v>
      </c>
      <c r="AA10" s="75">
        <f>COUNTIF($AB$2:FormFields[[#This Row],[Exists]],1)-1+VLOOKUP('Table Seed Map'!$A$11,SeedMap[],9,0)</f>
        <v>50008</v>
      </c>
      <c r="AB10" s="75">
        <f>IF(AND(FormFields[[#This Row],[Attribute]]="",FormFields[[#This Row],[Relation]]=""),0,1)</f>
        <v>1</v>
      </c>
      <c r="AC10" s="75">
        <f>FormFields[[#This Row],[NO2]]</f>
        <v>50008</v>
      </c>
      <c r="AD10" s="76">
        <f>[ID]</f>
        <v>50008</v>
      </c>
      <c r="AE10" s="75" t="str">
        <f>[Name]</f>
        <v>number</v>
      </c>
      <c r="AF10" s="77" t="str">
        <f>IF(FormFields[[#This Row],[Rel]]="",IF(EXACT($AF9,FormFields[[#Headers],[Relation]]),"relation",""),VLOOKUP(FormFields[[#This Row],[Rel]],RelationTable[[Display]:[RELID]],2,0))</f>
        <v/>
      </c>
      <c r="AG10" s="77" t="str">
        <f>IF(FormFields[[#This Row],[Rel1]]="",IF(EXACT($AG9,FormFields[[#Headers],[R1]]),"nest_relation1",""),VLOOKUP(FormFields[[#This Row],[Rel1]],RelationTable[[Display]:[RELID]],2,0))</f>
        <v/>
      </c>
      <c r="AH10" s="77" t="str">
        <f>IF(FormFields[[#This Row],[Rel2]]="",IF(EXACT($AH9,FormFields[[#Headers],[R2]]),"nest_relation2",""),VLOOKUP(FormFields[[#This Row],[Rel2]],RelationTable[[Display]:[RELID]],2,0))</f>
        <v/>
      </c>
      <c r="AI10" s="77" t="str">
        <f>IF(FormFields[[#This Row],[Rel3]]="",IF(EXACT($AI9,FormFields[[#Headers],[R3]]),"nest_relation3",""),VLOOKUP(FormFields[[#This Row],[Rel3]],RelationTable[[Display]:[RELID]],2,0))</f>
        <v/>
      </c>
      <c r="AJ10" s="70">
        <f>IF(OR(FormFields[[#This Row],[Option Type]]="",FormFields[[#This Row],[Option Type]]="type"),0,1)</f>
        <v>0</v>
      </c>
      <c r="AK10" s="70" t="str">
        <f>'Table Seed Map'!$A$13&amp;"-"&amp;COUNTIF($AJ$2:FormFields[[#This Row],[Exists FO]],1)</f>
        <v>Field Options-2</v>
      </c>
      <c r="AL10" s="70">
        <f>IF(FormFields[[#This Row],[Exists FO]]=0,$AL9,IF($AL9=0,IF(ISNUMBER(VLOOKUP('Table Seed Map'!$A$13,SeedMap[],9,0)),VLOOKUP('Table Seed Map'!$A$13,SeedMap[],9,0)+1,1),IFERROR($AL9+1,0)))</f>
        <v>50002</v>
      </c>
      <c r="AM10" s="70">
        <f>FormFields[[#This Row],[NO4]]</f>
        <v>50002</v>
      </c>
      <c r="AN10" s="78">
        <f>[ID]</f>
        <v>50008</v>
      </c>
      <c r="AO10" s="79"/>
      <c r="AP10" s="79"/>
      <c r="AQ10" s="79"/>
      <c r="AR10" s="79"/>
      <c r="AS10" s="79"/>
      <c r="AT10" s="70">
        <f>IF(OR(FormFields[[#This Row],[Colspan]]="",FormFields[[#This Row],[Colspan]]="colspan"),0,1)</f>
        <v>1</v>
      </c>
      <c r="AU10" s="70" t="str">
        <f>'Table Seed Map'!$A$18&amp;"-"&amp;SUM($AT$2:FormFields[[#This Row],[Exists FL]])</f>
        <v>Form Layout-3</v>
      </c>
      <c r="AV10" s="70">
        <f>IF(FormFields[[#This Row],[Exists FL]]=0,IF(FormFields[[#This Row],[Form Name]]="","id",""),SUM($AT$3:FormFields[[#This Row],[Exists FL]],IF(VLOOKUP('Table Seed Map'!$A$18,SeedMap[],9,0),VLOOKUP('Table Seed Map'!$A$18,SeedMap[],9,0),0)))</f>
        <v>50003</v>
      </c>
      <c r="AW10" s="70">
        <f>FormFields[[#This Row],[NO8]]</f>
        <v>50003</v>
      </c>
      <c r="AX10" s="70">
        <f>[Form]</f>
        <v>50003</v>
      </c>
      <c r="AY10" s="70">
        <f>[ID]</f>
        <v>50008</v>
      </c>
      <c r="AZ10" s="80">
        <v>6</v>
      </c>
    </row>
    <row r="11" spans="1:147">
      <c r="M11" s="68" t="str">
        <f>'Table Seed Map'!$A$11&amp;"-"&amp;(COUNTA($Q$1:FormFields[[#This Row],[ID]])-2)</f>
        <v>Form Fields-9</v>
      </c>
      <c r="N11" s="69" t="s">
        <v>720</v>
      </c>
      <c r="O11" s="70">
        <f>IF(FormFields[[#This Row],[Form Name]]="","id",COUNTA($N$3:FormFields[[#This Row],[Form Name]])+IF(VLOOKUP('Table Seed Map'!$A$11,SeedMap[],9,0),VLOOKUP('Table Seed Map'!$A$11,SeedMap[],9,0),0))</f>
        <v>50009</v>
      </c>
      <c r="P11" s="68" t="str">
        <f>FormFields[[#This Row],[Form Name]]&amp;"/"&amp;FormFields[[#This Row],[Name]]</f>
        <v>Wishlist/CreateNewWishlistForm/name</v>
      </c>
      <c r="Q11" s="70">
        <f>FormFields[[#This Row],[No]]</f>
        <v>50009</v>
      </c>
      <c r="R11" s="71">
        <f>VLOOKUP(FormFields[[#This Row],[Form Name]],ResourceForms[[FormName]:[No]],2,0)</f>
        <v>50004</v>
      </c>
      <c r="S11" s="72" t="s">
        <v>26</v>
      </c>
      <c r="T11" s="72" t="s">
        <v>699</v>
      </c>
      <c r="U11" s="72" t="s">
        <v>709</v>
      </c>
      <c r="V11" s="73"/>
      <c r="W11" s="73"/>
      <c r="X11" s="73"/>
      <c r="Y11" s="73"/>
      <c r="Z11" s="74" t="str">
        <f>'Table Seed Map'!$A$12&amp;"-"&amp;(COUNTIF($AB$2:FormFields[[#This Row],[Exists]],1)-1)</f>
        <v>Field Data-9</v>
      </c>
      <c r="AA11" s="75">
        <f>COUNTIF($AB$2:FormFields[[#This Row],[Exists]],1)-1+VLOOKUP('Table Seed Map'!$A$11,SeedMap[],9,0)</f>
        <v>50009</v>
      </c>
      <c r="AB11" s="75">
        <f>IF(AND(FormFields[[#This Row],[Attribute]]="",FormFields[[#This Row],[Relation]]=""),0,1)</f>
        <v>1</v>
      </c>
      <c r="AC11" s="75">
        <f>FormFields[[#This Row],[NO2]]</f>
        <v>50009</v>
      </c>
      <c r="AD11" s="76">
        <f>[ID]</f>
        <v>50009</v>
      </c>
      <c r="AE11" s="75" t="str">
        <f>[Name]</f>
        <v>name</v>
      </c>
      <c r="AF11" s="77" t="str">
        <f>IF(FormFields[[#This Row],[Rel]]="",IF(EXACT($AF10,FormFields[[#Headers],[Relation]]),"relation",""),VLOOKUP(FormFields[[#This Row],[Rel]],RelationTable[[Display]:[RELID]],2,0))</f>
        <v/>
      </c>
      <c r="AG11" s="77" t="str">
        <f>IF(FormFields[[#This Row],[Rel1]]="",IF(EXACT($AG10,FormFields[[#Headers],[R1]]),"nest_relation1",""),VLOOKUP(FormFields[[#This Row],[Rel1]],RelationTable[[Display]:[RELID]],2,0))</f>
        <v/>
      </c>
      <c r="AH11" s="77" t="str">
        <f>IF(FormFields[[#This Row],[Rel2]]="",IF(EXACT($AH10,FormFields[[#Headers],[R2]]),"nest_relation2",""),VLOOKUP(FormFields[[#This Row],[Rel2]],RelationTable[[Display]:[RELID]],2,0))</f>
        <v/>
      </c>
      <c r="AI11" s="77" t="str">
        <f>IF(FormFields[[#This Row],[Rel3]]="",IF(EXACT($AI10,FormFields[[#Headers],[R3]]),"nest_relation3",""),VLOOKUP(FormFields[[#This Row],[Rel3]],RelationTable[[Display]:[RELID]],2,0))</f>
        <v/>
      </c>
      <c r="AJ11" s="70">
        <f>IF(OR(FormFields[[#This Row],[Option Type]]="",FormFields[[#This Row],[Option Type]]="type"),0,1)</f>
        <v>0</v>
      </c>
      <c r="AK11" s="70" t="str">
        <f>'Table Seed Map'!$A$13&amp;"-"&amp;COUNTIF($AJ$2:FormFields[[#This Row],[Exists FO]],1)</f>
        <v>Field Options-2</v>
      </c>
      <c r="AL11" s="70">
        <f>IF(FormFields[[#This Row],[Exists FO]]=0,$AL10,IF($AL10=0,IF(ISNUMBER(VLOOKUP('Table Seed Map'!$A$13,SeedMap[],9,0)),VLOOKUP('Table Seed Map'!$A$13,SeedMap[],9,0)+1,1),IFERROR($AL10+1,0)))</f>
        <v>50002</v>
      </c>
      <c r="AM11" s="70">
        <f>FormFields[[#This Row],[NO4]]</f>
        <v>50002</v>
      </c>
      <c r="AN11" s="78">
        <f>[ID]</f>
        <v>50009</v>
      </c>
      <c r="AO11" s="79"/>
      <c r="AP11" s="79"/>
      <c r="AQ11" s="79"/>
      <c r="AR11" s="79"/>
      <c r="AS11" s="79"/>
      <c r="AT11" s="70">
        <f>IF(OR(FormFields[[#This Row],[Colspan]]="",FormFields[[#This Row],[Colspan]]="colspan"),0,1)</f>
        <v>0</v>
      </c>
      <c r="AU11" s="70" t="str">
        <f>'Table Seed Map'!$A$18&amp;"-"&amp;SUM($AT$2:FormFields[[#This Row],[Exists FL]])</f>
        <v>Form Layout-3</v>
      </c>
      <c r="AV11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1" s="70" t="str">
        <f>FormFields[[#This Row],[NO8]]</f>
        <v/>
      </c>
      <c r="AX11" s="70">
        <f>[Form]</f>
        <v>50004</v>
      </c>
      <c r="AY11" s="70">
        <f>[ID]</f>
        <v>50009</v>
      </c>
      <c r="AZ11" s="80"/>
    </row>
    <row r="12" spans="1:147">
      <c r="M12" s="68" t="str">
        <f>'Table Seed Map'!$A$11&amp;"-"&amp;(COUNTA($Q$1:FormFields[[#This Row],[ID]])-2)</f>
        <v>Form Fields-10</v>
      </c>
      <c r="N12" s="69" t="s">
        <v>720</v>
      </c>
      <c r="O12" s="70">
        <f>IF(FormFields[[#This Row],[Form Name]]="","id",COUNTA($N$3:FormFields[[#This Row],[Form Name]])+IF(VLOOKUP('Table Seed Map'!$A$11,SeedMap[],9,0),VLOOKUP('Table Seed Map'!$A$11,SeedMap[],9,0),0))</f>
        <v>50010</v>
      </c>
      <c r="P12" s="68" t="str">
        <f>FormFields[[#This Row],[Form Name]]&amp;"/"&amp;FormFields[[#This Row],[Name]]</f>
        <v>Wishlist/CreateNewWishlistForm/description</v>
      </c>
      <c r="Q12" s="70">
        <f>FormFields[[#This Row],[No]]</f>
        <v>50010</v>
      </c>
      <c r="R12" s="71">
        <f>VLOOKUP(FormFields[[#This Row],[Form Name]],ResourceForms[[FormName]:[No]],2,0)</f>
        <v>50004</v>
      </c>
      <c r="S12" s="72" t="s">
        <v>28</v>
      </c>
      <c r="T12" s="72" t="s">
        <v>710</v>
      </c>
      <c r="U12" s="72" t="s">
        <v>711</v>
      </c>
      <c r="V12" s="73"/>
      <c r="W12" s="73"/>
      <c r="X12" s="73"/>
      <c r="Y12" s="73"/>
      <c r="Z12" s="74" t="str">
        <f>'Table Seed Map'!$A$12&amp;"-"&amp;(COUNTIF($AB$2:FormFields[[#This Row],[Exists]],1)-1)</f>
        <v>Field Data-10</v>
      </c>
      <c r="AA12" s="75">
        <f>COUNTIF($AB$2:FormFields[[#This Row],[Exists]],1)-1+VLOOKUP('Table Seed Map'!$A$11,SeedMap[],9,0)</f>
        <v>50010</v>
      </c>
      <c r="AB12" s="75">
        <f>IF(AND(FormFields[[#This Row],[Attribute]]="",FormFields[[#This Row],[Relation]]=""),0,1)</f>
        <v>1</v>
      </c>
      <c r="AC12" s="75">
        <f>FormFields[[#This Row],[NO2]]</f>
        <v>50010</v>
      </c>
      <c r="AD12" s="76">
        <f>[ID]</f>
        <v>50010</v>
      </c>
      <c r="AE12" s="75" t="str">
        <f>[Name]</f>
        <v>description</v>
      </c>
      <c r="AF12" s="77" t="str">
        <f>IF(FormFields[[#This Row],[Rel]]="",IF(EXACT($AF11,FormFields[[#Headers],[Relation]]),"relation",""),VLOOKUP(FormFields[[#This Row],[Rel]],RelationTable[[Display]:[RELID]],2,0))</f>
        <v/>
      </c>
      <c r="AG12" s="77" t="str">
        <f>IF(FormFields[[#This Row],[Rel1]]="",IF(EXACT($AG11,FormFields[[#Headers],[R1]]),"nest_relation1",""),VLOOKUP(FormFields[[#This Row],[Rel1]],RelationTable[[Display]:[RELID]],2,0))</f>
        <v/>
      </c>
      <c r="AH12" s="77" t="str">
        <f>IF(FormFields[[#This Row],[Rel2]]="",IF(EXACT($AH11,FormFields[[#Headers],[R2]]),"nest_relation2",""),VLOOKUP(FormFields[[#This Row],[Rel2]],RelationTable[[Display]:[RELID]],2,0))</f>
        <v/>
      </c>
      <c r="AI12" s="77" t="str">
        <f>IF(FormFields[[#This Row],[Rel3]]="",IF(EXACT($AI11,FormFields[[#Headers],[R3]]),"nest_relation3",""),VLOOKUP(FormFields[[#This Row],[Rel3]],RelationTable[[Display]:[RELID]],2,0))</f>
        <v/>
      </c>
      <c r="AJ12" s="70">
        <f>IF(OR(FormFields[[#This Row],[Option Type]]="",FormFields[[#This Row],[Option Type]]="type"),0,1)</f>
        <v>0</v>
      </c>
      <c r="AK12" s="70" t="str">
        <f>'Table Seed Map'!$A$13&amp;"-"&amp;COUNTIF($AJ$2:FormFields[[#This Row],[Exists FO]],1)</f>
        <v>Field Options-2</v>
      </c>
      <c r="AL12" s="70">
        <f>IF(FormFields[[#This Row],[Exists FO]]=0,$AL11,IF($AL11=0,IF(ISNUMBER(VLOOKUP('Table Seed Map'!$A$13,SeedMap[],9,0)),VLOOKUP('Table Seed Map'!$A$13,SeedMap[],9,0)+1,1),IFERROR($AL11+1,0)))</f>
        <v>50002</v>
      </c>
      <c r="AM12" s="70">
        <f>FormFields[[#This Row],[NO4]]</f>
        <v>50002</v>
      </c>
      <c r="AN12" s="78">
        <f>[ID]</f>
        <v>50010</v>
      </c>
      <c r="AO12" s="79"/>
      <c r="AP12" s="79"/>
      <c r="AQ12" s="79"/>
      <c r="AR12" s="79"/>
      <c r="AS12" s="79"/>
      <c r="AT12" s="70">
        <f>IF(OR(FormFields[[#This Row],[Colspan]]="",FormFields[[#This Row],[Colspan]]="colspan"),0,1)</f>
        <v>0</v>
      </c>
      <c r="AU12" s="70" t="str">
        <f>'Table Seed Map'!$A$18&amp;"-"&amp;SUM($AT$2:FormFields[[#This Row],[Exists FL]])</f>
        <v>Form Layout-3</v>
      </c>
      <c r="AV12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2" s="70" t="str">
        <f>FormFields[[#This Row],[NO8]]</f>
        <v/>
      </c>
      <c r="AX12" s="70">
        <f>[Form]</f>
        <v>50004</v>
      </c>
      <c r="AY12" s="70">
        <f>[ID]</f>
        <v>50010</v>
      </c>
      <c r="AZ12" s="80"/>
    </row>
    <row r="13" spans="1:147">
      <c r="M13" s="68" t="str">
        <f>'Table Seed Map'!$A$11&amp;"-"&amp;(COUNTA($Q$1:FormFields[[#This Row],[ID]])-2)</f>
        <v>Form Fields-11</v>
      </c>
      <c r="N13" s="69" t="s">
        <v>720</v>
      </c>
      <c r="O13" s="70">
        <f>IF(FormFields[[#This Row],[Form Name]]="","id",COUNTA($N$3:FormFields[[#This Row],[Form Name]])+IF(VLOOKUP('Table Seed Map'!$A$11,SeedMap[],9,0),VLOOKUP('Table Seed Map'!$A$11,SeedMap[],9,0),0))</f>
        <v>50011</v>
      </c>
      <c r="P13" s="68" t="str">
        <f>FormFields[[#This Row],[Form Name]]&amp;"/"&amp;FormFields[[#This Row],[Name]]</f>
        <v>Wishlist/CreateNewWishlistForm/products</v>
      </c>
      <c r="Q13" s="70">
        <f>FormFields[[#This Row],[No]]</f>
        <v>50011</v>
      </c>
      <c r="R13" s="71">
        <f>VLOOKUP(FormFields[[#This Row],[Form Name]],ResourceForms[[FormName]:[No]],2,0)</f>
        <v>50004</v>
      </c>
      <c r="S13" s="72" t="s">
        <v>442</v>
      </c>
      <c r="T13" s="72" t="s">
        <v>712</v>
      </c>
      <c r="U13" s="72" t="s">
        <v>713</v>
      </c>
      <c r="V13" s="73" t="s">
        <v>725</v>
      </c>
      <c r="W13" s="73"/>
      <c r="X13" s="73"/>
      <c r="Y13" s="73"/>
      <c r="Z13" s="74" t="str">
        <f>'Table Seed Map'!$A$12&amp;"-"&amp;(COUNTIF($AB$2:FormFields[[#This Row],[Exists]],1)-1)</f>
        <v>Field Data-11</v>
      </c>
      <c r="AA13" s="75">
        <f>COUNTIF($AB$2:FormFields[[#This Row],[Exists]],1)-1+VLOOKUP('Table Seed Map'!$A$11,SeedMap[],9,0)</f>
        <v>50011</v>
      </c>
      <c r="AB13" s="75">
        <f>IF(AND(FormFields[[#This Row],[Attribute]]="",FormFields[[#This Row],[Relation]]=""),0,1)</f>
        <v>1</v>
      </c>
      <c r="AC13" s="75">
        <f>FormFields[[#This Row],[NO2]]</f>
        <v>50011</v>
      </c>
      <c r="AD13" s="76">
        <f>[ID]</f>
        <v>50011</v>
      </c>
      <c r="AE13" s="75" t="str">
        <f>[Name]</f>
        <v>products</v>
      </c>
      <c r="AF13" s="77">
        <f>IF(FormFields[[#This Row],[Rel]]="",IF(EXACT($AF12,FormFields[[#Headers],[Relation]]),"relation",""),VLOOKUP(FormFields[[#This Row],[Rel]],RelationTable[[Display]:[RELID]],2,0))</f>
        <v>50018</v>
      </c>
      <c r="AG13" s="77" t="str">
        <f>IF(FormFields[[#This Row],[Rel1]]="",IF(EXACT($AG12,FormFields[[#Headers],[R1]]),"nest_relation1",""),VLOOKUP(FormFields[[#This Row],[Rel1]],RelationTable[[Display]:[RELID]],2,0))</f>
        <v/>
      </c>
      <c r="AH13" s="77" t="str">
        <f>IF(FormFields[[#This Row],[Rel2]]="",IF(EXACT($AH12,FormFields[[#Headers],[R2]]),"nest_relation2",""),VLOOKUP(FormFields[[#This Row],[Rel2]],RelationTable[[Display]:[RELID]],2,0))</f>
        <v/>
      </c>
      <c r="AI13" s="77" t="str">
        <f>IF(FormFields[[#This Row],[Rel3]]="",IF(EXACT($AI12,FormFields[[#Headers],[R3]]),"nest_relation3",""),VLOOKUP(FormFields[[#This Row],[Rel3]],RelationTable[[Display]:[RELID]],2,0))</f>
        <v/>
      </c>
      <c r="AJ13" s="70">
        <f>IF(OR(FormFields[[#This Row],[Option Type]]="",FormFields[[#This Row],[Option Type]]="type"),0,1)</f>
        <v>1</v>
      </c>
      <c r="AK13" s="70" t="str">
        <f>'Table Seed Map'!$A$13&amp;"-"&amp;COUNTIF($AJ$2:FormFields[[#This Row],[Exists FO]],1)</f>
        <v>Field Options-3</v>
      </c>
      <c r="AL13" s="70">
        <f>IF(FormFields[[#This Row],[Exists FO]]=0,$AL12,IF($AL12=0,IF(ISNUMBER(VLOOKUP('Table Seed Map'!$A$13,SeedMap[],9,0)),VLOOKUP('Table Seed Map'!$A$13,SeedMap[],9,0)+1,1),IFERROR($AL12+1,0)))</f>
        <v>50003</v>
      </c>
      <c r="AM13" s="70">
        <f>FormFields[[#This Row],[NO4]]</f>
        <v>50003</v>
      </c>
      <c r="AN13" s="78">
        <f>[ID]</f>
        <v>50011</v>
      </c>
      <c r="AO13" s="79" t="s">
        <v>223</v>
      </c>
      <c r="AP13" s="79"/>
      <c r="AQ13" s="79" t="s">
        <v>21</v>
      </c>
      <c r="AR13" s="79" t="s">
        <v>26</v>
      </c>
      <c r="AS13" s="79"/>
      <c r="AT13" s="70">
        <f>IF(OR(FormFields[[#This Row],[Colspan]]="",FormFields[[#This Row],[Colspan]]="colspan"),0,1)</f>
        <v>0</v>
      </c>
      <c r="AU13" s="70" t="str">
        <f>'Table Seed Map'!$A$18&amp;"-"&amp;SUM($AT$2:FormFields[[#This Row],[Exists FL]])</f>
        <v>Form Layout-3</v>
      </c>
      <c r="AV13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3" s="70" t="str">
        <f>FormFields[[#This Row],[NO8]]</f>
        <v/>
      </c>
      <c r="AX13" s="70">
        <f>[Form]</f>
        <v>50004</v>
      </c>
      <c r="AY13" s="70">
        <f>[ID]</f>
        <v>50011</v>
      </c>
      <c r="AZ13" s="80"/>
    </row>
    <row r="14" spans="1:147">
      <c r="M14" s="68" t="str">
        <f>'Table Seed Map'!$A$11&amp;"-"&amp;(COUNTA($Q$1:FormFields[[#This Row],[ID]])-2)</f>
        <v>Form Fields-12</v>
      </c>
      <c r="N14" s="69" t="s">
        <v>721</v>
      </c>
      <c r="O14" s="70">
        <f>IF(FormFields[[#This Row],[Form Name]]="","id",COUNTA($N$3:FormFields[[#This Row],[Form Name]])+IF(VLOOKUP('Table Seed Map'!$A$11,SeedMap[],9,0),VLOOKUP('Table Seed Map'!$A$11,SeedMap[],9,0),0))</f>
        <v>50012</v>
      </c>
      <c r="P14" s="68" t="str">
        <f>FormFields[[#This Row],[Form Name]]&amp;"/"&amp;FormFields[[#This Row],[Name]]</f>
        <v>Wishlist/UpdateWishlistForm/name</v>
      </c>
      <c r="Q14" s="70">
        <f>FormFields[[#This Row],[No]]</f>
        <v>50012</v>
      </c>
      <c r="R14" s="71">
        <f>VLOOKUP(FormFields[[#This Row],[Form Name]],ResourceForms[[FormName]:[No]],2,0)</f>
        <v>50005</v>
      </c>
      <c r="S14" s="72" t="s">
        <v>26</v>
      </c>
      <c r="T14" s="72" t="s">
        <v>699</v>
      </c>
      <c r="U14" s="72" t="s">
        <v>709</v>
      </c>
      <c r="V14" s="73"/>
      <c r="W14" s="73"/>
      <c r="X14" s="73"/>
      <c r="Y14" s="73"/>
      <c r="Z14" s="74" t="str">
        <f>'Table Seed Map'!$A$12&amp;"-"&amp;(COUNTIF($AB$2:FormFields[[#This Row],[Exists]],1)-1)</f>
        <v>Field Data-12</v>
      </c>
      <c r="AA14" s="75">
        <f>COUNTIF($AB$2:FormFields[[#This Row],[Exists]],1)-1+VLOOKUP('Table Seed Map'!$A$11,SeedMap[],9,0)</f>
        <v>50012</v>
      </c>
      <c r="AB14" s="75">
        <f>IF(AND(FormFields[[#This Row],[Attribute]]="",FormFields[[#This Row],[Relation]]=""),0,1)</f>
        <v>1</v>
      </c>
      <c r="AC14" s="75">
        <f>FormFields[[#This Row],[NO2]]</f>
        <v>50012</v>
      </c>
      <c r="AD14" s="76">
        <f>[ID]</f>
        <v>50012</v>
      </c>
      <c r="AE14" s="75" t="str">
        <f>[Name]</f>
        <v>name</v>
      </c>
      <c r="AF14" s="77" t="str">
        <f>IF(FormFields[[#This Row],[Rel]]="",IF(EXACT($AF13,FormFields[[#Headers],[Relation]]),"relation",""),VLOOKUP(FormFields[[#This Row],[Rel]],RelationTable[[Display]:[RELID]],2,0))</f>
        <v/>
      </c>
      <c r="AG14" s="77" t="str">
        <f>IF(FormFields[[#This Row],[Rel1]]="",IF(EXACT($AG13,FormFields[[#Headers],[R1]]),"nest_relation1",""),VLOOKUP(FormFields[[#This Row],[Rel1]],RelationTable[[Display]:[RELID]],2,0))</f>
        <v/>
      </c>
      <c r="AH14" s="77" t="str">
        <f>IF(FormFields[[#This Row],[Rel2]]="",IF(EXACT($AH13,FormFields[[#Headers],[R2]]),"nest_relation2",""),VLOOKUP(FormFields[[#This Row],[Rel2]],RelationTable[[Display]:[RELID]],2,0))</f>
        <v/>
      </c>
      <c r="AI14" s="77" t="str">
        <f>IF(FormFields[[#This Row],[Rel3]]="",IF(EXACT($AI13,FormFields[[#Headers],[R3]]),"nest_relation3",""),VLOOKUP(FormFields[[#This Row],[Rel3]],RelationTable[[Display]:[RELID]],2,0))</f>
        <v/>
      </c>
      <c r="AJ14" s="70">
        <f>IF(OR(FormFields[[#This Row],[Option Type]]="",FormFields[[#This Row],[Option Type]]="type"),0,1)</f>
        <v>0</v>
      </c>
      <c r="AK14" s="70" t="str">
        <f>'Table Seed Map'!$A$13&amp;"-"&amp;COUNTIF($AJ$2:FormFields[[#This Row],[Exists FO]],1)</f>
        <v>Field Options-3</v>
      </c>
      <c r="AL14" s="70">
        <f>IF(FormFields[[#This Row],[Exists FO]]=0,$AL13,IF($AL13=0,IF(ISNUMBER(VLOOKUP('Table Seed Map'!$A$13,SeedMap[],9,0)),VLOOKUP('Table Seed Map'!$A$13,SeedMap[],9,0)+1,1),IFERROR($AL13+1,0)))</f>
        <v>50003</v>
      </c>
      <c r="AM14" s="70">
        <f>FormFields[[#This Row],[NO4]]</f>
        <v>50003</v>
      </c>
      <c r="AN14" s="78">
        <f>[ID]</f>
        <v>50012</v>
      </c>
      <c r="AO14" s="79"/>
      <c r="AP14" s="79"/>
      <c r="AQ14" s="79"/>
      <c r="AR14" s="79"/>
      <c r="AS14" s="79"/>
      <c r="AT14" s="70">
        <f>IF(OR(FormFields[[#This Row],[Colspan]]="",FormFields[[#This Row],[Colspan]]="colspan"),0,1)</f>
        <v>0</v>
      </c>
      <c r="AU14" s="70" t="str">
        <f>'Table Seed Map'!$A$18&amp;"-"&amp;SUM($AT$2:FormFields[[#This Row],[Exists FL]])</f>
        <v>Form Layout-3</v>
      </c>
      <c r="AV14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4" s="70" t="str">
        <f>FormFields[[#This Row],[NO8]]</f>
        <v/>
      </c>
      <c r="AX14" s="70">
        <f>[Form]</f>
        <v>50005</v>
      </c>
      <c r="AY14" s="70">
        <f>[ID]</f>
        <v>50012</v>
      </c>
      <c r="AZ14" s="80"/>
    </row>
    <row r="15" spans="1:147">
      <c r="M15" s="68" t="str">
        <f>'Table Seed Map'!$A$11&amp;"-"&amp;(COUNTA($Q$1:FormFields[[#This Row],[ID]])-2)</f>
        <v>Form Fields-13</v>
      </c>
      <c r="N15" s="69" t="s">
        <v>721</v>
      </c>
      <c r="O15" s="70">
        <f>IF(FormFields[[#This Row],[Form Name]]="","id",COUNTA($N$3:FormFields[[#This Row],[Form Name]])+IF(VLOOKUP('Table Seed Map'!$A$11,SeedMap[],9,0),VLOOKUP('Table Seed Map'!$A$11,SeedMap[],9,0),0))</f>
        <v>50013</v>
      </c>
      <c r="P15" s="68" t="str">
        <f>FormFields[[#This Row],[Form Name]]&amp;"/"&amp;FormFields[[#This Row],[Name]]</f>
        <v>Wishlist/UpdateWishlistForm/description</v>
      </c>
      <c r="Q15" s="70">
        <f>FormFields[[#This Row],[No]]</f>
        <v>50013</v>
      </c>
      <c r="R15" s="71">
        <f>VLOOKUP(FormFields[[#This Row],[Form Name]],ResourceForms[[FormName]:[No]],2,0)</f>
        <v>50005</v>
      </c>
      <c r="S15" s="72" t="s">
        <v>28</v>
      </c>
      <c r="T15" s="72" t="s">
        <v>710</v>
      </c>
      <c r="U15" s="72" t="s">
        <v>711</v>
      </c>
      <c r="V15" s="73"/>
      <c r="W15" s="73"/>
      <c r="X15" s="73"/>
      <c r="Y15" s="73"/>
      <c r="Z15" s="74" t="str">
        <f>'Table Seed Map'!$A$12&amp;"-"&amp;(COUNTIF($AB$2:FormFields[[#This Row],[Exists]],1)-1)</f>
        <v>Field Data-13</v>
      </c>
      <c r="AA15" s="75">
        <f>COUNTIF($AB$2:FormFields[[#This Row],[Exists]],1)-1+VLOOKUP('Table Seed Map'!$A$11,SeedMap[],9,0)</f>
        <v>50013</v>
      </c>
      <c r="AB15" s="75">
        <f>IF(AND(FormFields[[#This Row],[Attribute]]="",FormFields[[#This Row],[Relation]]=""),0,1)</f>
        <v>1</v>
      </c>
      <c r="AC15" s="75">
        <f>FormFields[[#This Row],[NO2]]</f>
        <v>50013</v>
      </c>
      <c r="AD15" s="76">
        <f>[ID]</f>
        <v>50013</v>
      </c>
      <c r="AE15" s="75" t="str">
        <f>[Name]</f>
        <v>description</v>
      </c>
      <c r="AF15" s="77" t="str">
        <f>IF(FormFields[[#This Row],[Rel]]="",IF(EXACT($AF14,FormFields[[#Headers],[Relation]]),"relation",""),VLOOKUP(FormFields[[#This Row],[Rel]],RelationTable[[Display]:[RELID]],2,0))</f>
        <v/>
      </c>
      <c r="AG15" s="77" t="str">
        <f>IF(FormFields[[#This Row],[Rel1]]="",IF(EXACT($AG14,FormFields[[#Headers],[R1]]),"nest_relation1",""),VLOOKUP(FormFields[[#This Row],[Rel1]],RelationTable[[Display]:[RELID]],2,0))</f>
        <v/>
      </c>
      <c r="AH15" s="77" t="str">
        <f>IF(FormFields[[#This Row],[Rel2]]="",IF(EXACT($AH14,FormFields[[#Headers],[R2]]),"nest_relation2",""),VLOOKUP(FormFields[[#This Row],[Rel2]],RelationTable[[Display]:[RELID]],2,0))</f>
        <v/>
      </c>
      <c r="AI15" s="77" t="str">
        <f>IF(FormFields[[#This Row],[Rel3]]="",IF(EXACT($AI14,FormFields[[#Headers],[R3]]),"nest_relation3",""),VLOOKUP(FormFields[[#This Row],[Rel3]],RelationTable[[Display]:[RELID]],2,0))</f>
        <v/>
      </c>
      <c r="AJ15" s="70">
        <f>IF(OR(FormFields[[#This Row],[Option Type]]="",FormFields[[#This Row],[Option Type]]="type"),0,1)</f>
        <v>0</v>
      </c>
      <c r="AK15" s="70" t="str">
        <f>'Table Seed Map'!$A$13&amp;"-"&amp;COUNTIF($AJ$2:FormFields[[#This Row],[Exists FO]],1)</f>
        <v>Field Options-3</v>
      </c>
      <c r="AL15" s="70">
        <f>IF(FormFields[[#This Row],[Exists FO]]=0,$AL14,IF($AL14=0,IF(ISNUMBER(VLOOKUP('Table Seed Map'!$A$13,SeedMap[],9,0)),VLOOKUP('Table Seed Map'!$A$13,SeedMap[],9,0)+1,1),IFERROR($AL14+1,0)))</f>
        <v>50003</v>
      </c>
      <c r="AM15" s="70">
        <f>FormFields[[#This Row],[NO4]]</f>
        <v>50003</v>
      </c>
      <c r="AN15" s="78">
        <f>[ID]</f>
        <v>50013</v>
      </c>
      <c r="AO15" s="79"/>
      <c r="AP15" s="79"/>
      <c r="AQ15" s="79"/>
      <c r="AR15" s="79"/>
      <c r="AS15" s="79"/>
      <c r="AT15" s="70">
        <f>IF(OR(FormFields[[#This Row],[Colspan]]="",FormFields[[#This Row],[Colspan]]="colspan"),0,1)</f>
        <v>0</v>
      </c>
      <c r="AU15" s="70" t="str">
        <f>'Table Seed Map'!$A$18&amp;"-"&amp;SUM($AT$2:FormFields[[#This Row],[Exists FL]])</f>
        <v>Form Layout-3</v>
      </c>
      <c r="AV15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5" s="70" t="str">
        <f>FormFields[[#This Row],[NO8]]</f>
        <v/>
      </c>
      <c r="AX15" s="70">
        <f>[Form]</f>
        <v>50005</v>
      </c>
      <c r="AY15" s="70">
        <f>[ID]</f>
        <v>50013</v>
      </c>
      <c r="AZ15" s="80"/>
    </row>
    <row r="16" spans="1:147">
      <c r="M16" s="68" t="str">
        <f>'Table Seed Map'!$A$11&amp;"-"&amp;(COUNTA($Q$1:FormFields[[#This Row],[ID]])-2)</f>
        <v>Form Fields-14</v>
      </c>
      <c r="N16" s="69" t="s">
        <v>722</v>
      </c>
      <c r="O16" s="70">
        <f>IF(FormFields[[#This Row],[Form Name]]="","id",COUNTA($N$3:FormFields[[#This Row],[Form Name]])+IF(VLOOKUP('Table Seed Map'!$A$11,SeedMap[],9,0),VLOOKUP('Table Seed Map'!$A$11,SeedMap[],9,0),0))</f>
        <v>50014</v>
      </c>
      <c r="P16" s="68" t="str">
        <f>FormFields[[#This Row],[Form Name]]&amp;"/"&amp;FormFields[[#This Row],[Name]]</f>
        <v>Visitor/AddWishlistVisitorForm/wishlist</v>
      </c>
      <c r="Q16" s="70">
        <f>FormFields[[#This Row],[No]]</f>
        <v>50014</v>
      </c>
      <c r="R16" s="71">
        <f>VLOOKUP(FormFields[[#This Row],[Form Name]],ResourceForms[[FormName]:[No]],2,0)</f>
        <v>50006</v>
      </c>
      <c r="S16" s="72" t="s">
        <v>475</v>
      </c>
      <c r="T16" s="72" t="s">
        <v>699</v>
      </c>
      <c r="U16" s="72" t="s">
        <v>578</v>
      </c>
      <c r="V16" s="73"/>
      <c r="W16" s="73"/>
      <c r="X16" s="73"/>
      <c r="Y16" s="73"/>
      <c r="Z16" s="74" t="str">
        <f>'Table Seed Map'!$A$12&amp;"-"&amp;(COUNTIF($AB$2:FormFields[[#This Row],[Exists]],1)-1)</f>
        <v>Field Data-14</v>
      </c>
      <c r="AA16" s="75">
        <f>COUNTIF($AB$2:FormFields[[#This Row],[Exists]],1)-1+VLOOKUP('Table Seed Map'!$A$11,SeedMap[],9,0)</f>
        <v>50014</v>
      </c>
      <c r="AB16" s="75">
        <f>IF(AND(FormFields[[#This Row],[Attribute]]="",FormFields[[#This Row],[Relation]]=""),0,1)</f>
        <v>1</v>
      </c>
      <c r="AC16" s="75">
        <f>FormFields[[#This Row],[NO2]]</f>
        <v>50014</v>
      </c>
      <c r="AD16" s="76">
        <f>[ID]</f>
        <v>50014</v>
      </c>
      <c r="AE16" s="75" t="str">
        <f>[Name]</f>
        <v>wishlist</v>
      </c>
      <c r="AF16" s="77" t="str">
        <f>IF(FormFields[[#This Row],[Rel]]="",IF(EXACT($AF15,FormFields[[#Headers],[Relation]]),"relation",""),VLOOKUP(FormFields[[#This Row],[Rel]],RelationTable[[Display]:[RELID]],2,0))</f>
        <v/>
      </c>
      <c r="AG16" s="77" t="str">
        <f>IF(FormFields[[#This Row],[Rel1]]="",IF(EXACT($AG15,FormFields[[#Headers],[R1]]),"nest_relation1",""),VLOOKUP(FormFields[[#This Row],[Rel1]],RelationTable[[Display]:[RELID]],2,0))</f>
        <v/>
      </c>
      <c r="AH16" s="77" t="str">
        <f>IF(FormFields[[#This Row],[Rel2]]="",IF(EXACT($AH15,FormFields[[#Headers],[R2]]),"nest_relation2",""),VLOOKUP(FormFields[[#This Row],[Rel2]],RelationTable[[Display]:[RELID]],2,0))</f>
        <v/>
      </c>
      <c r="AI16" s="77" t="str">
        <f>IF(FormFields[[#This Row],[Rel3]]="",IF(EXACT($AI15,FormFields[[#Headers],[R3]]),"nest_relation3",""),VLOOKUP(FormFields[[#This Row],[Rel3]],RelationTable[[Display]:[RELID]],2,0))</f>
        <v/>
      </c>
      <c r="AJ16" s="70">
        <f>IF(OR(FormFields[[#This Row],[Option Type]]="",FormFields[[#This Row],[Option Type]]="type"),0,1)</f>
        <v>0</v>
      </c>
      <c r="AK16" s="70" t="str">
        <f>'Table Seed Map'!$A$13&amp;"-"&amp;COUNTIF($AJ$2:FormFields[[#This Row],[Exists FO]],1)</f>
        <v>Field Options-3</v>
      </c>
      <c r="AL16" s="70">
        <f>IF(FormFields[[#This Row],[Exists FO]]=0,$AL15,IF($AL15=0,IF(ISNUMBER(VLOOKUP('Table Seed Map'!$A$13,SeedMap[],9,0)),VLOOKUP('Table Seed Map'!$A$13,SeedMap[],9,0)+1,1),IFERROR($AL15+1,0)))</f>
        <v>50003</v>
      </c>
      <c r="AM16" s="70">
        <f>FormFields[[#This Row],[NO4]]</f>
        <v>50003</v>
      </c>
      <c r="AN16" s="78">
        <f>[ID]</f>
        <v>50014</v>
      </c>
      <c r="AO16" s="79"/>
      <c r="AP16" s="79"/>
      <c r="AQ16" s="79"/>
      <c r="AR16" s="79"/>
      <c r="AS16" s="79"/>
      <c r="AT16" s="70">
        <f>IF(OR(FormFields[[#This Row],[Colspan]]="",FormFields[[#This Row],[Colspan]]="colspan"),0,1)</f>
        <v>0</v>
      </c>
      <c r="AU16" s="70" t="str">
        <f>'Table Seed Map'!$A$18&amp;"-"&amp;SUM($AT$2:FormFields[[#This Row],[Exists FL]])</f>
        <v>Form Layout-3</v>
      </c>
      <c r="AV16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6" s="70" t="str">
        <f>FormFields[[#This Row],[NO8]]</f>
        <v/>
      </c>
      <c r="AX16" s="70">
        <f>[Form]</f>
        <v>50006</v>
      </c>
      <c r="AY16" s="70">
        <f>[ID]</f>
        <v>50014</v>
      </c>
      <c r="AZ16" s="80"/>
    </row>
    <row r="17" spans="13:52">
      <c r="M17" s="68" t="str">
        <f>'Table Seed Map'!$A$11&amp;"-"&amp;(COUNTA($Q$1:FormFields[[#This Row],[ID]])-2)</f>
        <v>Form Fields-15</v>
      </c>
      <c r="N17" s="69" t="s">
        <v>722</v>
      </c>
      <c r="O17" s="70">
        <f>IF(FormFields[[#This Row],[Form Name]]="","id",COUNTA($N$3:FormFields[[#This Row],[Form Name]])+IF(VLOOKUP('Table Seed Map'!$A$11,SeedMap[],9,0),VLOOKUP('Table Seed Map'!$A$11,SeedMap[],9,0),0))</f>
        <v>50015</v>
      </c>
      <c r="P17" s="68" t="str">
        <f>FormFields[[#This Row],[Form Name]]&amp;"/"&amp;FormFields[[#This Row],[Name]]</f>
        <v>Visitor/AddWishlistVisitorForm/visitor</v>
      </c>
      <c r="Q17" s="70">
        <f>FormFields[[#This Row],[No]]</f>
        <v>50015</v>
      </c>
      <c r="R17" s="71">
        <f>VLOOKUP(FormFields[[#This Row],[Form Name]],ResourceForms[[FormName]:[No]],2,0)</f>
        <v>50006</v>
      </c>
      <c r="S17" s="72" t="s">
        <v>474</v>
      </c>
      <c r="T17" s="72" t="s">
        <v>704</v>
      </c>
      <c r="U17" s="72" t="s">
        <v>714</v>
      </c>
      <c r="V17" s="73"/>
      <c r="W17" s="73"/>
      <c r="X17" s="73"/>
      <c r="Y17" s="73"/>
      <c r="Z17" s="74" t="str">
        <f>'Table Seed Map'!$A$12&amp;"-"&amp;(COUNTIF($AB$2:FormFields[[#This Row],[Exists]],1)-1)</f>
        <v>Field Data-15</v>
      </c>
      <c r="AA17" s="75">
        <f>COUNTIF($AB$2:FormFields[[#This Row],[Exists]],1)-1+VLOOKUP('Table Seed Map'!$A$11,SeedMap[],9,0)</f>
        <v>50015</v>
      </c>
      <c r="AB17" s="75">
        <f>IF(AND(FormFields[[#This Row],[Attribute]]="",FormFields[[#This Row],[Relation]]=""),0,1)</f>
        <v>1</v>
      </c>
      <c r="AC17" s="75">
        <f>FormFields[[#This Row],[NO2]]</f>
        <v>50015</v>
      </c>
      <c r="AD17" s="76">
        <f>[ID]</f>
        <v>50015</v>
      </c>
      <c r="AE17" s="75" t="str">
        <f>[Name]</f>
        <v>visitor</v>
      </c>
      <c r="AF17" s="77" t="str">
        <f>IF(FormFields[[#This Row],[Rel]]="",IF(EXACT($AF16,FormFields[[#Headers],[Relation]]),"relation",""),VLOOKUP(FormFields[[#This Row],[Rel]],RelationTable[[Display]:[RELID]],2,0))</f>
        <v/>
      </c>
      <c r="AG17" s="77" t="str">
        <f>IF(FormFields[[#This Row],[Rel1]]="",IF(EXACT($AG16,FormFields[[#Headers],[R1]]),"nest_relation1",""),VLOOKUP(FormFields[[#This Row],[Rel1]],RelationTable[[Display]:[RELID]],2,0))</f>
        <v/>
      </c>
      <c r="AH17" s="77" t="str">
        <f>IF(FormFields[[#This Row],[Rel2]]="",IF(EXACT($AH16,FormFields[[#Headers],[R2]]),"nest_relation2",""),VLOOKUP(FormFields[[#This Row],[Rel2]],RelationTable[[Display]:[RELID]],2,0))</f>
        <v/>
      </c>
      <c r="AI17" s="77" t="str">
        <f>IF(FormFields[[#This Row],[Rel3]]="",IF(EXACT($AI16,FormFields[[#Headers],[R3]]),"nest_relation3",""),VLOOKUP(FormFields[[#This Row],[Rel3]],RelationTable[[Display]:[RELID]],2,0))</f>
        <v/>
      </c>
      <c r="AJ17" s="70">
        <f>IF(OR(FormFields[[#This Row],[Option Type]]="",FormFields[[#This Row],[Option Type]]="type"),0,1)</f>
        <v>1</v>
      </c>
      <c r="AK17" s="70" t="str">
        <f>'Table Seed Map'!$A$13&amp;"-"&amp;COUNTIF($AJ$2:FormFields[[#This Row],[Exists FO]],1)</f>
        <v>Field Options-4</v>
      </c>
      <c r="AL17" s="70">
        <f>IF(FormFields[[#This Row],[Exists FO]]=0,$AL16,IF($AL16=0,IF(ISNUMBER(VLOOKUP('Table Seed Map'!$A$13,SeedMap[],9,0)),VLOOKUP('Table Seed Map'!$A$13,SeedMap[],9,0)+1,1),IFERROR($AL16+1,0)))</f>
        <v>50004</v>
      </c>
      <c r="AM17" s="70">
        <f>FormFields[[#This Row],[NO4]]</f>
        <v>50004</v>
      </c>
      <c r="AN17" s="78">
        <f>[ID]</f>
        <v>50015</v>
      </c>
      <c r="AO17" s="79" t="s">
        <v>223</v>
      </c>
      <c r="AP17" s="79"/>
      <c r="AQ17" s="79" t="s">
        <v>21</v>
      </c>
      <c r="AR17" s="79" t="s">
        <v>26</v>
      </c>
      <c r="AS17" s="79"/>
      <c r="AT17" s="70">
        <f>IF(OR(FormFields[[#This Row],[Colspan]]="",FormFields[[#This Row],[Colspan]]="colspan"),0,1)</f>
        <v>0</v>
      </c>
      <c r="AU17" s="70" t="str">
        <f>'Table Seed Map'!$A$18&amp;"-"&amp;SUM($AT$2:FormFields[[#This Row],[Exists FL]])</f>
        <v>Form Layout-3</v>
      </c>
      <c r="AV17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7" s="70" t="str">
        <f>FormFields[[#This Row],[NO8]]</f>
        <v/>
      </c>
      <c r="AX17" s="70">
        <f>[Form]</f>
        <v>50006</v>
      </c>
      <c r="AY17" s="70">
        <f>[ID]</f>
        <v>50015</v>
      </c>
      <c r="AZ17" s="80"/>
    </row>
    <row r="18" spans="13:52">
      <c r="M18" s="68" t="str">
        <f>'Table Seed Map'!$A$11&amp;"-"&amp;(COUNTA($Q$1:FormFields[[#This Row],[ID]])-2)</f>
        <v>Form Fields-16</v>
      </c>
      <c r="N18" s="69" t="s">
        <v>723</v>
      </c>
      <c r="O18" s="70">
        <f>IF(FormFields[[#This Row],[Form Name]]="","id",COUNTA($N$3:FormFields[[#This Row],[Form Name]])+IF(VLOOKUP('Table Seed Map'!$A$11,SeedMap[],9,0),VLOOKUP('Table Seed Map'!$A$11,SeedMap[],9,0),0))</f>
        <v>50016</v>
      </c>
      <c r="P18" s="68" t="str">
        <f>FormFields[[#This Row],[Form Name]]&amp;"/"&amp;FormFields[[#This Row],[Name]]</f>
        <v>WishlistNote/AddWishlistNote/wishlist</v>
      </c>
      <c r="Q18" s="70">
        <f>FormFields[[#This Row],[No]]</f>
        <v>50016</v>
      </c>
      <c r="R18" s="71">
        <f>VLOOKUP(FormFields[[#This Row],[Form Name]],ResourceForms[[FormName]:[No]],2,0)</f>
        <v>50007</v>
      </c>
      <c r="S18" s="72" t="s">
        <v>475</v>
      </c>
      <c r="T18" s="72" t="s">
        <v>699</v>
      </c>
      <c r="U18" s="72" t="s">
        <v>578</v>
      </c>
      <c r="V18" s="73"/>
      <c r="W18" s="73"/>
      <c r="X18" s="73"/>
      <c r="Y18" s="73"/>
      <c r="Z18" s="74" t="str">
        <f>'Table Seed Map'!$A$12&amp;"-"&amp;(COUNTIF($AB$2:FormFields[[#This Row],[Exists]],1)-1)</f>
        <v>Field Data-16</v>
      </c>
      <c r="AA18" s="75">
        <f>COUNTIF($AB$2:FormFields[[#This Row],[Exists]],1)-1+VLOOKUP('Table Seed Map'!$A$11,SeedMap[],9,0)</f>
        <v>50016</v>
      </c>
      <c r="AB18" s="75">
        <f>IF(AND(FormFields[[#This Row],[Attribute]]="",FormFields[[#This Row],[Relation]]=""),0,1)</f>
        <v>1</v>
      </c>
      <c r="AC18" s="75">
        <f>FormFields[[#This Row],[NO2]]</f>
        <v>50016</v>
      </c>
      <c r="AD18" s="76">
        <f>[ID]</f>
        <v>50016</v>
      </c>
      <c r="AE18" s="75" t="str">
        <f>[Name]</f>
        <v>wishlist</v>
      </c>
      <c r="AF18" s="77" t="str">
        <f>IF(FormFields[[#This Row],[Rel]]="",IF(EXACT($AF17,FormFields[[#Headers],[Relation]]),"relation",""),VLOOKUP(FormFields[[#This Row],[Rel]],RelationTable[[Display]:[RELID]],2,0))</f>
        <v/>
      </c>
      <c r="AG18" s="77" t="str">
        <f>IF(FormFields[[#This Row],[Rel1]]="",IF(EXACT($AG17,FormFields[[#Headers],[R1]]),"nest_relation1",""),VLOOKUP(FormFields[[#This Row],[Rel1]],RelationTable[[Display]:[RELID]],2,0))</f>
        <v/>
      </c>
      <c r="AH18" s="77" t="str">
        <f>IF(FormFields[[#This Row],[Rel2]]="",IF(EXACT($AH17,FormFields[[#Headers],[R2]]),"nest_relation2",""),VLOOKUP(FormFields[[#This Row],[Rel2]],RelationTable[[Display]:[RELID]],2,0))</f>
        <v/>
      </c>
      <c r="AI18" s="77" t="str">
        <f>IF(FormFields[[#This Row],[Rel3]]="",IF(EXACT($AI17,FormFields[[#Headers],[R3]]),"nest_relation3",""),VLOOKUP(FormFields[[#This Row],[Rel3]],RelationTable[[Display]:[RELID]],2,0))</f>
        <v/>
      </c>
      <c r="AJ18" s="70">
        <f>IF(OR(FormFields[[#This Row],[Option Type]]="",FormFields[[#This Row],[Option Type]]="type"),0,1)</f>
        <v>0</v>
      </c>
      <c r="AK18" s="70" t="str">
        <f>'Table Seed Map'!$A$13&amp;"-"&amp;COUNTIF($AJ$2:FormFields[[#This Row],[Exists FO]],1)</f>
        <v>Field Options-4</v>
      </c>
      <c r="AL18" s="70">
        <f>IF(FormFields[[#This Row],[Exists FO]]=0,$AL17,IF($AL17=0,IF(ISNUMBER(VLOOKUP('Table Seed Map'!$A$13,SeedMap[],9,0)),VLOOKUP('Table Seed Map'!$A$13,SeedMap[],9,0)+1,1),IFERROR($AL17+1,0)))</f>
        <v>50004</v>
      </c>
      <c r="AM18" s="70">
        <f>FormFields[[#This Row],[NO4]]</f>
        <v>50004</v>
      </c>
      <c r="AN18" s="78">
        <f>[ID]</f>
        <v>50016</v>
      </c>
      <c r="AO18" s="79"/>
      <c r="AP18" s="79"/>
      <c r="AQ18" s="79"/>
      <c r="AR18" s="79"/>
      <c r="AS18" s="79"/>
      <c r="AT18" s="70">
        <f>IF(OR(FormFields[[#This Row],[Colspan]]="",FormFields[[#This Row],[Colspan]]="colspan"),0,1)</f>
        <v>0</v>
      </c>
      <c r="AU18" s="70" t="str">
        <f>'Table Seed Map'!$A$18&amp;"-"&amp;SUM($AT$2:FormFields[[#This Row],[Exists FL]])</f>
        <v>Form Layout-3</v>
      </c>
      <c r="AV18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8" s="70" t="str">
        <f>FormFields[[#This Row],[NO8]]</f>
        <v/>
      </c>
      <c r="AX18" s="70">
        <f>[Form]</f>
        <v>50007</v>
      </c>
      <c r="AY18" s="70">
        <f>[ID]</f>
        <v>50016</v>
      </c>
      <c r="AZ18" s="80"/>
    </row>
    <row r="19" spans="13:52">
      <c r="M19" s="68" t="str">
        <f>'Table Seed Map'!$A$11&amp;"-"&amp;(COUNTA($Q$1:FormFields[[#This Row],[ID]])-2)</f>
        <v>Form Fields-17</v>
      </c>
      <c r="N19" s="69" t="s">
        <v>723</v>
      </c>
      <c r="O19" s="70">
        <f>IF(FormFields[[#This Row],[Form Name]]="","id",COUNTA($N$3:FormFields[[#This Row],[Form Name]])+IF(VLOOKUP('Table Seed Map'!$A$11,SeedMap[],9,0),VLOOKUP('Table Seed Map'!$A$11,SeedMap[],9,0),0))</f>
        <v>50017</v>
      </c>
      <c r="P19" s="68" t="str">
        <f>FormFields[[#This Row],[Form Name]]&amp;"/"&amp;FormFields[[#This Row],[Name]]</f>
        <v>WishlistNote/AddWishlistNote/note</v>
      </c>
      <c r="Q19" s="70">
        <f>FormFields[[#This Row],[No]]</f>
        <v>50017</v>
      </c>
      <c r="R19" s="71">
        <f>VLOOKUP(FormFields[[#This Row],[Form Name]],ResourceForms[[FormName]:[No]],2,0)</f>
        <v>50007</v>
      </c>
      <c r="S19" s="72" t="s">
        <v>479</v>
      </c>
      <c r="T19" s="72" t="s">
        <v>710</v>
      </c>
      <c r="U19" s="72" t="s">
        <v>715</v>
      </c>
      <c r="V19" s="73"/>
      <c r="W19" s="73"/>
      <c r="X19" s="73"/>
      <c r="Y19" s="73"/>
      <c r="Z19" s="74" t="str">
        <f>'Table Seed Map'!$A$12&amp;"-"&amp;(COUNTIF($AB$2:FormFields[[#This Row],[Exists]],1)-1)</f>
        <v>Field Data-17</v>
      </c>
      <c r="AA19" s="75">
        <f>COUNTIF($AB$2:FormFields[[#This Row],[Exists]],1)-1+VLOOKUP('Table Seed Map'!$A$11,SeedMap[],9,0)</f>
        <v>50017</v>
      </c>
      <c r="AB19" s="75">
        <f>IF(AND(FormFields[[#This Row],[Attribute]]="",FormFields[[#This Row],[Relation]]=""),0,1)</f>
        <v>1</v>
      </c>
      <c r="AC19" s="75">
        <f>FormFields[[#This Row],[NO2]]</f>
        <v>50017</v>
      </c>
      <c r="AD19" s="76">
        <f>[ID]</f>
        <v>50017</v>
      </c>
      <c r="AE19" s="75" t="str">
        <f>[Name]</f>
        <v>note</v>
      </c>
      <c r="AF19" s="77" t="str">
        <f>IF(FormFields[[#This Row],[Rel]]="",IF(EXACT($AF18,FormFields[[#Headers],[Relation]]),"relation",""),VLOOKUP(FormFields[[#This Row],[Rel]],RelationTable[[Display]:[RELID]],2,0))</f>
        <v/>
      </c>
      <c r="AG19" s="77" t="str">
        <f>IF(FormFields[[#This Row],[Rel1]]="",IF(EXACT($AG18,FormFields[[#Headers],[R1]]),"nest_relation1",""),VLOOKUP(FormFields[[#This Row],[Rel1]],RelationTable[[Display]:[RELID]],2,0))</f>
        <v/>
      </c>
      <c r="AH19" s="77" t="str">
        <f>IF(FormFields[[#This Row],[Rel2]]="",IF(EXACT($AH18,FormFields[[#Headers],[R2]]),"nest_relation2",""),VLOOKUP(FormFields[[#This Row],[Rel2]],RelationTable[[Display]:[RELID]],2,0))</f>
        <v/>
      </c>
      <c r="AI19" s="77" t="str">
        <f>IF(FormFields[[#This Row],[Rel3]]="",IF(EXACT($AI18,FormFields[[#Headers],[R3]]),"nest_relation3",""),VLOOKUP(FormFields[[#This Row],[Rel3]],RelationTable[[Display]:[RELID]],2,0))</f>
        <v/>
      </c>
      <c r="AJ19" s="70">
        <f>IF(OR(FormFields[[#This Row],[Option Type]]="",FormFields[[#This Row],[Option Type]]="type"),0,1)</f>
        <v>0</v>
      </c>
      <c r="AK19" s="70" t="str">
        <f>'Table Seed Map'!$A$13&amp;"-"&amp;COUNTIF($AJ$2:FormFields[[#This Row],[Exists FO]],1)</f>
        <v>Field Options-4</v>
      </c>
      <c r="AL19" s="70">
        <f>IF(FormFields[[#This Row],[Exists FO]]=0,$AL18,IF($AL18=0,IF(ISNUMBER(VLOOKUP('Table Seed Map'!$A$13,SeedMap[],9,0)),VLOOKUP('Table Seed Map'!$A$13,SeedMap[],9,0)+1,1),IFERROR($AL18+1,0)))</f>
        <v>50004</v>
      </c>
      <c r="AM19" s="70">
        <f>FormFields[[#This Row],[NO4]]</f>
        <v>50004</v>
      </c>
      <c r="AN19" s="78">
        <f>[ID]</f>
        <v>50017</v>
      </c>
      <c r="AO19" s="79"/>
      <c r="AP19" s="79"/>
      <c r="AQ19" s="79"/>
      <c r="AR19" s="79"/>
      <c r="AS19" s="79"/>
      <c r="AT19" s="70">
        <f>IF(OR(FormFields[[#This Row],[Colspan]]="",FormFields[[#This Row],[Colspan]]="colspan"),0,1)</f>
        <v>0</v>
      </c>
      <c r="AU19" s="70" t="str">
        <f>'Table Seed Map'!$A$18&amp;"-"&amp;SUM($AT$2:FormFields[[#This Row],[Exists FL]])</f>
        <v>Form Layout-3</v>
      </c>
      <c r="AV19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9" s="70" t="str">
        <f>FormFields[[#This Row],[NO8]]</f>
        <v/>
      </c>
      <c r="AX19" s="70">
        <f>[Form]</f>
        <v>50007</v>
      </c>
      <c r="AY19" s="70">
        <f>[ID]</f>
        <v>50017</v>
      </c>
      <c r="AZ19" s="80"/>
    </row>
    <row r="20" spans="13:52">
      <c r="M20" s="81" t="str">
        <f>'Table Seed Map'!$A$11&amp;"-"&amp;(COUNTA($Q$1:FormFields[[#This Row],[ID]])-2)</f>
        <v>Form Fields-18</v>
      </c>
      <c r="N20" s="82" t="s">
        <v>724</v>
      </c>
      <c r="O20" s="83">
        <f>IF(FormFields[[#This Row],[Form Name]]="","id",COUNTA($N$3:FormFields[[#This Row],[Form Name]])+IF(VLOOKUP('Table Seed Map'!$A$11,SeedMap[],9,0),VLOOKUP('Table Seed Map'!$A$11,SeedMap[],9,0),0))</f>
        <v>50018</v>
      </c>
      <c r="P20" s="81" t="str">
        <f>FormFields[[#This Row],[Form Name]]&amp;"/"&amp;FormFields[[#This Row],[Name]]</f>
        <v>GroupDetail/ChangeItemGroupWebListForm/list</v>
      </c>
      <c r="Q20" s="83">
        <f>FormFields[[#This Row],[No]]</f>
        <v>50018</v>
      </c>
      <c r="R20" s="84">
        <f>VLOOKUP(FormFields[[#This Row],[Form Name]],ResourceForms[[FormName]:[No]],2,0)</f>
        <v>50008</v>
      </c>
      <c r="S20" s="85" t="s">
        <v>52</v>
      </c>
      <c r="T20" s="85" t="s">
        <v>704</v>
      </c>
      <c r="U20" s="85" t="s">
        <v>716</v>
      </c>
      <c r="V20" s="86"/>
      <c r="W20" s="86"/>
      <c r="X20" s="86"/>
      <c r="Y20" s="86"/>
      <c r="Z20" s="87" t="str">
        <f>'Table Seed Map'!$A$12&amp;"-"&amp;(COUNTIF($AB$2:FormFields[[#This Row],[Exists]],1)-1)</f>
        <v>Field Data-18</v>
      </c>
      <c r="AA20" s="88">
        <f>COUNTIF($AB$2:FormFields[[#This Row],[Exists]],1)-1+VLOOKUP('Table Seed Map'!$A$11,SeedMap[],9,0)</f>
        <v>50018</v>
      </c>
      <c r="AB20" s="88">
        <f>IF(AND(FormFields[[#This Row],[Attribute]]="",FormFields[[#This Row],[Relation]]=""),0,1)</f>
        <v>1</v>
      </c>
      <c r="AC20" s="88">
        <f>FormFields[[#This Row],[NO2]]</f>
        <v>50018</v>
      </c>
      <c r="AD20" s="89">
        <f>[ID]</f>
        <v>50018</v>
      </c>
      <c r="AE20" s="88" t="str">
        <f>[Name]</f>
        <v>list</v>
      </c>
      <c r="AF20" s="90" t="str">
        <f>IF(FormFields[[#This Row],[Rel]]="",IF(EXACT($AF19,FormFields[[#Headers],[Relation]]),"relation",""),VLOOKUP(FormFields[[#This Row],[Rel]],RelationTable[[Display]:[RELID]],2,0))</f>
        <v/>
      </c>
      <c r="AG20" s="90" t="str">
        <f>IF(FormFields[[#This Row],[Rel1]]="",IF(EXACT($AG19,FormFields[[#Headers],[R1]]),"nest_relation1",""),VLOOKUP(FormFields[[#This Row],[Rel1]],RelationTable[[Display]:[RELID]],2,0))</f>
        <v/>
      </c>
      <c r="AH20" s="90" t="str">
        <f>IF(FormFields[[#This Row],[Rel2]]="",IF(EXACT($AH19,FormFields[[#Headers],[R2]]),"nest_relation2",""),VLOOKUP(FormFields[[#This Row],[Rel2]],RelationTable[[Display]:[RELID]],2,0))</f>
        <v/>
      </c>
      <c r="AI20" s="90" t="str">
        <f>IF(FormFields[[#This Row],[Rel3]]="",IF(EXACT($AI19,FormFields[[#Headers],[R3]]),"nest_relation3",""),VLOOKUP(FormFields[[#This Row],[Rel3]],RelationTable[[Display]:[RELID]],2,0))</f>
        <v/>
      </c>
      <c r="AJ20" s="83">
        <f>IF(OR(FormFields[[#This Row],[Option Type]]="",FormFields[[#This Row],[Option Type]]="type"),0,1)</f>
        <v>1</v>
      </c>
      <c r="AK20" s="83" t="str">
        <f>'Table Seed Map'!$A$13&amp;"-"&amp;COUNTIF($AJ$2:FormFields[[#This Row],[Exists FO]],1)</f>
        <v>Field Options-5</v>
      </c>
      <c r="AL20" s="83">
        <f>IF(FormFields[[#This Row],[Exists FO]]=0,$AL19,IF($AL19=0,IF(ISNUMBER(VLOOKUP('Table Seed Map'!$A$13,SeedMap[],9,0)),VLOOKUP('Table Seed Map'!$A$13,SeedMap[],9,0)+1,1),IFERROR($AL19+1,0)))</f>
        <v>50005</v>
      </c>
      <c r="AM20" s="83">
        <f>FormFields[[#This Row],[NO4]]</f>
        <v>50005</v>
      </c>
      <c r="AN20" s="91">
        <f>[ID]</f>
        <v>50018</v>
      </c>
      <c r="AO20" s="92" t="s">
        <v>730</v>
      </c>
      <c r="AP20" s="92"/>
      <c r="AQ20" s="92"/>
      <c r="AR20" s="92"/>
      <c r="AS20" s="92"/>
      <c r="AT20" s="83">
        <f>IF(OR(FormFields[[#This Row],[Colspan]]="",FormFields[[#This Row],[Colspan]]="colspan"),0,1)</f>
        <v>0</v>
      </c>
      <c r="AU20" s="83" t="str">
        <f>'Table Seed Map'!$A$18&amp;"-"&amp;SUM($AT$2:FormFields[[#This Row],[Exists FL]])</f>
        <v>Form Layout-3</v>
      </c>
      <c r="AV20" s="83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0" s="83" t="str">
        <f>FormFields[[#This Row],[NO8]]</f>
        <v/>
      </c>
      <c r="AX20" s="83">
        <f>[Form]</f>
        <v>50008</v>
      </c>
      <c r="AY20" s="83">
        <f>[ID]</f>
        <v>50018</v>
      </c>
      <c r="AZ20" s="93"/>
    </row>
  </sheetData>
  <dataValidations count="9">
    <dataValidation type="list" allowBlank="1" showInputMessage="1" showErrorMessage="1" sqref="EL2:EQ2 CQ2:CW2 BV2 V2:Y20">
      <formula1>Relations</formula1>
    </dataValidation>
    <dataValidation type="list" allowBlank="1" showInputMessage="1" showErrorMessage="1" sqref="CF2 BT2:BU2 DW2 N2:N20">
      <formula1>FormNames</formula1>
    </dataValidation>
    <dataValidation type="list" allowBlank="1" showInputMessage="1" showErrorMessage="1" sqref="BB2:BB4 BW2 CZ2 BI2 DL2 DY2">
      <formula1>FieldDisplayNames</formula1>
    </dataValidation>
    <dataValidation type="list" allowBlank="1" showInputMessage="1" showErrorMessage="1" sqref="DU2 DF2">
      <formula1>"operator,=,&lt;,&gt;,&lt;=,&gt;=,&lt;&gt;,In,NotIn,like"</formula1>
    </dataValidation>
    <dataValidation type="list" allowBlank="1" showInputMessage="1" showErrorMessage="1" sqref="DP2">
      <formula1>"type,disabled-enabled,enabled-disabled,hidden-visible,visible-hidden,readonly-editable,editable-readonly"</formula1>
    </dataValidation>
    <dataValidation type="list" allowBlank="1" showInputMessage="1" showErrorMessage="1" sqref="DR2">
      <formula1>"alter_on,not null,value,null"</formula1>
    </dataValidation>
    <dataValidation type="list" allowBlank="1" showInputMessage="1" showErrorMessage="1" sqref="DJ2">
      <formula1>"ignore_null,Yes,No"</formula1>
    </dataValidation>
    <dataValidation type="list" allowBlank="1" showInputMessage="1" showErrorMessage="1" sqref="DX2">
      <formula1>DataNames</formula1>
    </dataValidation>
    <dataValidation type="list" allowBlank="1" showInputMessage="1" showErrorMessage="1" sqref="D2:D10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13"/>
  <sheetViews>
    <sheetView topLeftCell="D1" workbookViewId="0">
      <selection activeCell="H13" sqref="H13"/>
    </sheetView>
  </sheetViews>
  <sheetFormatPr defaultRowHeight="15"/>
  <cols>
    <col min="1" max="1" width="8.28515625" customWidth="1"/>
    <col min="2" max="2" width="70.5703125" bestFit="1" customWidth="1"/>
    <col min="3" max="3" width="32.42578125" style="20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0" bestFit="1" customWidth="1"/>
    <col min="9" max="9" width="113.42578125" bestFit="1" customWidth="1"/>
  </cols>
  <sheetData>
    <row r="1" spans="1:8">
      <c r="A1" s="20" t="s">
        <v>104</v>
      </c>
      <c r="B1" s="20" t="s">
        <v>224</v>
      </c>
      <c r="C1" s="20" t="s">
        <v>12</v>
      </c>
      <c r="D1" s="20" t="s">
        <v>225</v>
      </c>
      <c r="E1" s="20" t="s">
        <v>226</v>
      </c>
      <c r="F1" s="20" t="s">
        <v>227</v>
      </c>
      <c r="G1" s="20" t="s">
        <v>228</v>
      </c>
      <c r="H1" s="20" t="s">
        <v>229</v>
      </c>
    </row>
    <row r="2" spans="1:8">
      <c r="A2" s="3">
        <f>IFERROR($A1+1,1)</f>
        <v>1</v>
      </c>
      <c r="B2" s="1" t="s">
        <v>553</v>
      </c>
      <c r="C2" s="6" t="str">
        <f>MID([Filename],26,LEN([Filename])-35)</f>
        <v>item_group_master</v>
      </c>
      <c r="D2" s="6" t="str">
        <f t="shared" ref="D2:D11" si="0">"2019_02_11_"</f>
        <v>2019_02_11_</v>
      </c>
      <c r="E2" s="6" t="e">
        <f>TEXT(MATCH(MigrationRenamer[[#This Row],[Table]],Tables[Table],0),"000000")</f>
        <v>#N/A</v>
      </c>
      <c r="F2" s="6" t="e">
        <f>RIGHT([Filename],LEN([Filename])-LEN([Date Part])-LEN([Sequence]))</f>
        <v>#N/A</v>
      </c>
      <c r="G2" s="6" t="e">
        <f>[Date Part]&amp;[Sequence]&amp;[Name Part]</f>
        <v>#N/A</v>
      </c>
      <c r="H2" s="6" t="e">
        <f>"ren "&amp;[Filename]&amp;" "&amp;[New Name]</f>
        <v>#N/A</v>
      </c>
    </row>
    <row r="3" spans="1:8">
      <c r="A3" s="3">
        <f>IFERROR($A2+1,1)</f>
        <v>2</v>
      </c>
      <c r="B3" s="1" t="s">
        <v>554</v>
      </c>
      <c r="C3" s="6" t="str">
        <f>MID([Filename],26,LEN([Filename])-35)</f>
        <v>products</v>
      </c>
      <c r="D3" s="6" t="str">
        <f t="shared" si="0"/>
        <v>2019_02_11_</v>
      </c>
      <c r="E3" s="6" t="str">
        <f>TEXT(MATCH(MigrationRenamer[[#This Row],[Table]],Tables[Table],0),"000000")</f>
        <v>000047</v>
      </c>
      <c r="F3" s="6" t="str">
        <f>RIGHT([Filename],LEN([Filename])-LEN([Date Part])-LEN([Sequence]))</f>
        <v>_create_products_table.php</v>
      </c>
      <c r="G3" s="6" t="str">
        <f>[Date Part]&amp;[Sequence]&amp;[Name Part]</f>
        <v>2019_02_11_000047_create_products_table.php</v>
      </c>
      <c r="H3" s="6" t="str">
        <f>"ren "&amp;[Filename]&amp;" "&amp;[New Name]</f>
        <v>ren 2018_11_29_000002_create_products_table.php 2019_02_11_000047_create_products_table.php</v>
      </c>
    </row>
    <row r="4" spans="1:8">
      <c r="A4" s="3">
        <f t="shared" ref="A4:A11" si="1">IFERROR($A3+1,1)</f>
        <v>3</v>
      </c>
      <c r="B4" s="1" t="s">
        <v>555</v>
      </c>
      <c r="C4" s="6" t="str">
        <f>MID([Filename],26,LEN([Filename])-35)</f>
        <v>product_images</v>
      </c>
      <c r="D4" s="6" t="str">
        <f t="shared" si="0"/>
        <v>2019_02_11_</v>
      </c>
      <c r="E4" s="6" t="str">
        <f>TEXT(MATCH(MigrationRenamer[[#This Row],[Table]],Tables[Table],0),"000000")</f>
        <v>000048</v>
      </c>
      <c r="F4" s="6" t="str">
        <f>RIGHT([Filename],LEN([Filename])-LEN([Date Part])-LEN([Sequence]))</f>
        <v>_create_product_images_table.php</v>
      </c>
      <c r="G4" s="6" t="str">
        <f>[Date Part]&amp;[Sequence]&amp;[Name Part]</f>
        <v>2019_02_11_000048_create_product_images_table.php</v>
      </c>
      <c r="H4" s="6" t="str">
        <f>"ren "&amp;[Filename]&amp;" "&amp;[New Name]</f>
        <v>ren 2018_11_29_000003_create_product_images_table.php 2019_02_11_000048_create_product_images_table.php</v>
      </c>
    </row>
    <row r="5" spans="1:8">
      <c r="A5" s="3">
        <f t="shared" si="1"/>
        <v>4</v>
      </c>
      <c r="B5" s="1" t="s">
        <v>556</v>
      </c>
      <c r="C5" s="6" t="str">
        <f>MID([Filename],26,LEN([Filename])-35)</f>
        <v>visitors</v>
      </c>
      <c r="D5" s="6" t="str">
        <f t="shared" si="0"/>
        <v>2019_02_11_</v>
      </c>
      <c r="E5" s="6" t="str">
        <f>TEXT(MATCH(MigrationRenamer[[#This Row],[Table]],Tables[Table],0),"000000")</f>
        <v>000049</v>
      </c>
      <c r="F5" s="6" t="str">
        <f>RIGHT([Filename],LEN([Filename])-LEN([Date Part])-LEN([Sequence]))</f>
        <v>_create_visitors_table.php</v>
      </c>
      <c r="G5" s="6" t="str">
        <f>[Date Part]&amp;[Sequence]&amp;[Name Part]</f>
        <v>2019_02_11_000049_create_visitors_table.php</v>
      </c>
      <c r="H5" s="6" t="str">
        <f>"ren "&amp;[Filename]&amp;" "&amp;[New Name]</f>
        <v>ren 2018_11_29_000004_create_visitors_table.php 2019_02_11_000049_create_visitors_table.php</v>
      </c>
    </row>
    <row r="6" spans="1:8">
      <c r="A6" s="3">
        <f t="shared" si="1"/>
        <v>5</v>
      </c>
      <c r="B6" s="1" t="s">
        <v>557</v>
      </c>
      <c r="C6" s="6" t="str">
        <f>MID([Filename],26,LEN([Filename])-35)</f>
        <v>wishlists</v>
      </c>
      <c r="D6" s="6" t="str">
        <f t="shared" si="0"/>
        <v>2019_02_11_</v>
      </c>
      <c r="E6" s="6" t="str">
        <f>TEXT(MATCH(MigrationRenamer[[#This Row],[Table]],Tables[Table],0),"000000")</f>
        <v>000050</v>
      </c>
      <c r="F6" s="6" t="str">
        <f>RIGHT([Filename],LEN([Filename])-LEN([Date Part])-LEN([Sequence]))</f>
        <v>_create_wishlists_table.php</v>
      </c>
      <c r="G6" s="6" t="str">
        <f>[Date Part]&amp;[Sequence]&amp;[Name Part]</f>
        <v>2019_02_11_000050_create_wishlists_table.php</v>
      </c>
      <c r="H6" s="6" t="str">
        <f>"ren "&amp;[Filename]&amp;" "&amp;[New Name]</f>
        <v>ren 2018_11_29_000005_create_wishlists_table.php 2019_02_11_000050_create_wishlists_table.php</v>
      </c>
    </row>
    <row r="7" spans="1:8">
      <c r="A7" s="3">
        <f t="shared" si="1"/>
        <v>6</v>
      </c>
      <c r="B7" s="1" t="s">
        <v>558</v>
      </c>
      <c r="C7" s="6" t="str">
        <f>MID([Filename],26,LEN([Filename])-35)</f>
        <v>wishlist_products</v>
      </c>
      <c r="D7" s="6" t="str">
        <f t="shared" si="0"/>
        <v>2019_02_11_</v>
      </c>
      <c r="E7" s="6" t="str">
        <f>TEXT(MATCH(MigrationRenamer[[#This Row],[Table]],Tables[Table],0),"000000")</f>
        <v>000051</v>
      </c>
      <c r="F7" s="6" t="str">
        <f>RIGHT([Filename],LEN([Filename])-LEN([Date Part])-LEN([Sequence]))</f>
        <v>_create_wishlist_products_table.php</v>
      </c>
      <c r="G7" s="6" t="str">
        <f>[Date Part]&amp;[Sequence]&amp;[Name Part]</f>
        <v>2019_02_11_000051_create_wishlist_products_table.php</v>
      </c>
      <c r="H7" s="6" t="str">
        <f>"ren "&amp;[Filename]&amp;" "&amp;[New Name]</f>
        <v>ren 2018_11_29_000006_create_wishlist_products_table.php 2019_02_11_000051_create_wishlist_products_table.php</v>
      </c>
    </row>
    <row r="8" spans="1:8">
      <c r="A8" s="3">
        <f t="shared" si="1"/>
        <v>7</v>
      </c>
      <c r="B8" s="1" t="s">
        <v>559</v>
      </c>
      <c r="C8" s="6" t="str">
        <f>MID([Filename],26,LEN([Filename])-35)</f>
        <v>visitor_wishlists</v>
      </c>
      <c r="D8" s="6" t="str">
        <f t="shared" si="0"/>
        <v>2019_02_11_</v>
      </c>
      <c r="E8" s="6" t="str">
        <f>TEXT(MATCH(MigrationRenamer[[#This Row],[Table]],Tables[Table],0),"000000")</f>
        <v>000052</v>
      </c>
      <c r="F8" s="6" t="str">
        <f>RIGHT([Filename],LEN([Filename])-LEN([Date Part])-LEN([Sequence]))</f>
        <v>_create_visitor_wishlists_table.php</v>
      </c>
      <c r="G8" s="6" t="str">
        <f>[Date Part]&amp;[Sequence]&amp;[Name Part]</f>
        <v>2019_02_11_000052_create_visitor_wishlists_table.php</v>
      </c>
      <c r="H8" s="6" t="str">
        <f>"ren "&amp;[Filename]&amp;" "&amp;[New Name]</f>
        <v>ren 2018_11_29_000007_create_visitor_wishlists_table.php 2019_02_11_000052_create_visitor_wishlists_table.php</v>
      </c>
    </row>
    <row r="9" spans="1:8">
      <c r="A9" s="3">
        <f t="shared" si="1"/>
        <v>8</v>
      </c>
      <c r="B9" s="1" t="s">
        <v>560</v>
      </c>
      <c r="C9" s="6" t="str">
        <f>MID([Filename],26,LEN([Filename])-35)</f>
        <v>vendor_wishlists</v>
      </c>
      <c r="D9" s="6" t="str">
        <f t="shared" si="0"/>
        <v>2019_02_11_</v>
      </c>
      <c r="E9" s="6" t="str">
        <f>TEXT(MATCH(MigrationRenamer[[#This Row],[Table]],Tables[Table],0),"000000")</f>
        <v>000053</v>
      </c>
      <c r="F9" s="6" t="str">
        <f>RIGHT([Filename],LEN([Filename])-LEN([Date Part])-LEN([Sequence]))</f>
        <v>_create_vendor_wishlists_table.php</v>
      </c>
      <c r="G9" s="6" t="str">
        <f>[Date Part]&amp;[Sequence]&amp;[Name Part]</f>
        <v>2019_02_11_000053_create_vendor_wishlists_table.php</v>
      </c>
      <c r="H9" s="6" t="str">
        <f>"ren "&amp;[Filename]&amp;" "&amp;[New Name]</f>
        <v>ren 2018_11_29_000008_create_vendor_wishlists_table.php 2019_02_11_000053_create_vendor_wishlists_table.php</v>
      </c>
    </row>
    <row r="10" spans="1:8">
      <c r="A10" s="3">
        <f t="shared" si="1"/>
        <v>9</v>
      </c>
      <c r="B10" s="1" t="s">
        <v>561</v>
      </c>
      <c r="C10" s="6" t="str">
        <f>MID([Filename],26,LEN([Filename])-35)</f>
        <v>wishlist_notes</v>
      </c>
      <c r="D10" s="6" t="str">
        <f t="shared" si="0"/>
        <v>2019_02_11_</v>
      </c>
      <c r="E10" s="6" t="str">
        <f>TEXT(MATCH(MigrationRenamer[[#This Row],[Table]],Tables[Table],0),"000000")</f>
        <v>000054</v>
      </c>
      <c r="F10" s="6" t="str">
        <f>RIGHT([Filename],LEN([Filename])-LEN([Date Part])-LEN([Sequence]))</f>
        <v>_create_wishlist_notes_table.php</v>
      </c>
      <c r="G10" s="6" t="str">
        <f>[Date Part]&amp;[Sequence]&amp;[Name Part]</f>
        <v>2019_02_11_000054_create_wishlist_notes_table.php</v>
      </c>
      <c r="H10" s="6" t="str">
        <f>"ren "&amp;[Filename]&amp;" "&amp;[New Name]</f>
        <v>ren 2018_11_29_000009_create_wishlist_notes_table.php 2019_02_11_000054_create_wishlist_notes_table.php</v>
      </c>
    </row>
    <row r="11" spans="1:8">
      <c r="A11" s="3">
        <f t="shared" si="1"/>
        <v>10</v>
      </c>
      <c r="B11" s="1" t="s">
        <v>562</v>
      </c>
      <c r="C11" s="6" t="str">
        <f>MID([Filename],26,LEN([Filename])-35)</f>
        <v>wishlist_product_notes</v>
      </c>
      <c r="D11" s="6" t="str">
        <f t="shared" si="0"/>
        <v>2019_02_11_</v>
      </c>
      <c r="E11" s="6" t="str">
        <f>TEXT(MATCH(MigrationRenamer[[#This Row],[Table]],Tables[Table],0),"000000")</f>
        <v>000055</v>
      </c>
      <c r="F11" s="6" t="str">
        <f>RIGHT([Filename],LEN([Filename])-LEN([Date Part])-LEN([Sequence]))</f>
        <v>_create_wishlist_product_notes_table.php</v>
      </c>
      <c r="G11" s="6" t="str">
        <f>[Date Part]&amp;[Sequence]&amp;[Name Part]</f>
        <v>2019_02_11_000055_create_wishlist_product_notes_table.php</v>
      </c>
      <c r="H11" s="6" t="str">
        <f>"ren "&amp;[Filename]&amp;" "&amp;[New Name]</f>
        <v>ren 2018_11_29_000010_create_wishlist_product_notes_table.php 2019_02_11_000055_create_wishlist_product_notes_table.php</v>
      </c>
    </row>
    <row r="12" spans="1:8">
      <c r="A12" s="60">
        <f>IFERROR($A11+1,1)</f>
        <v>11</v>
      </c>
      <c r="B12" s="4" t="s">
        <v>563</v>
      </c>
      <c r="C12" s="7" t="str">
        <f>MID([Filename],26,LEN([Filename])-35)</f>
        <v>group_master</v>
      </c>
      <c r="D12" s="7" t="str">
        <f>"2019_02_11_"</f>
        <v>2019_02_11_</v>
      </c>
      <c r="E12" s="7" t="str">
        <f>TEXT(MATCH(MigrationRenamer[[#This Row],[Table]],Tables[Table],0),"000000")</f>
        <v>000045</v>
      </c>
      <c r="F12" s="7" t="str">
        <f>RIGHT([Filename],LEN([Filename])-LEN([Date Part])-LEN([Sequence]))</f>
        <v>_create_group_master_table.php</v>
      </c>
      <c r="G12" s="7" t="str">
        <f>[Date Part]&amp;[Sequence]&amp;[Name Part]</f>
        <v>2019_02_11_000045_create_group_master_table.php</v>
      </c>
      <c r="H12" s="7" t="str">
        <f>"ren "&amp;[Filename]&amp;" "&amp;[New Name]</f>
        <v>ren 2019_02_11_092945_create_group_master_table.php 2019_02_11_000045_create_group_master_table.php</v>
      </c>
    </row>
    <row r="13" spans="1:8">
      <c r="A13" s="60">
        <f>IFERROR($A12+1,1)</f>
        <v>12</v>
      </c>
      <c r="B13" s="4" t="s">
        <v>567</v>
      </c>
      <c r="C13" s="7" t="str">
        <f>MID([Filename],26,LEN([Filename])-35)</f>
        <v>group_details</v>
      </c>
      <c r="D13" s="7" t="str">
        <f>"2019_02_11_"</f>
        <v>2019_02_11_</v>
      </c>
      <c r="E13" s="7" t="str">
        <f>TEXT(MATCH(MigrationRenamer[[#This Row],[Table]],Tables[Table],0),"000000")</f>
        <v>000046</v>
      </c>
      <c r="F13" s="7" t="str">
        <f>RIGHT([Filename],LEN([Filename])-LEN([Date Part])-LEN([Sequence]))</f>
        <v>_create_group_details_table.php</v>
      </c>
      <c r="G13" s="7" t="str">
        <f>[Date Part]&amp;[Sequence]&amp;[Name Part]</f>
        <v>2019_02_11_000046_create_group_details_table.php</v>
      </c>
      <c r="H13" s="7" t="str">
        <f>"ren "&amp;[Filename]&amp;" "&amp;[New Name]</f>
        <v>ren 2019_02_11_095126_create_group_details_table.php 2019_02_11_000046_create_group_details_table.php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40"/>
  <sheetViews>
    <sheetView topLeftCell="AP1" workbookViewId="0">
      <selection activeCell="AX3" sqref="AX3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5.140625" style="20" bestFit="1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283</v>
      </c>
      <c r="B1" s="20" t="s">
        <v>105</v>
      </c>
      <c r="C1" s="20" t="s">
        <v>346</v>
      </c>
      <c r="D1" s="20" t="s">
        <v>104</v>
      </c>
      <c r="E1" s="20" t="s">
        <v>92</v>
      </c>
      <c r="F1" s="20" t="s">
        <v>1</v>
      </c>
      <c r="G1" s="20" t="s">
        <v>107</v>
      </c>
      <c r="H1" s="20" t="s">
        <v>102</v>
      </c>
      <c r="I1" s="20" t="s">
        <v>434</v>
      </c>
      <c r="J1" s="20" t="s">
        <v>393</v>
      </c>
      <c r="K1" s="54" t="s">
        <v>246</v>
      </c>
      <c r="M1" s="1" t="s">
        <v>349</v>
      </c>
      <c r="N1" s="1" t="s">
        <v>355</v>
      </c>
      <c r="O1" s="1" t="s">
        <v>351</v>
      </c>
      <c r="P1" s="1" t="s">
        <v>350</v>
      </c>
      <c r="Q1" s="1" t="s">
        <v>352</v>
      </c>
      <c r="R1" s="1" t="s">
        <v>353</v>
      </c>
      <c r="S1" s="1" t="s">
        <v>354</v>
      </c>
      <c r="T1" s="1" t="s">
        <v>361</v>
      </c>
      <c r="U1" s="1" t="s">
        <v>356</v>
      </c>
      <c r="V1" s="1" t="s">
        <v>359</v>
      </c>
      <c r="W1" s="1" t="s">
        <v>357</v>
      </c>
      <c r="X1" s="1" t="s">
        <v>362</v>
      </c>
      <c r="Y1" s="1" t="s">
        <v>358</v>
      </c>
      <c r="Z1" s="1" t="s">
        <v>360</v>
      </c>
      <c r="AA1" s="1" t="s">
        <v>110</v>
      </c>
      <c r="AB1" s="1" t="s">
        <v>239</v>
      </c>
      <c r="AC1" s="1" t="s">
        <v>240</v>
      </c>
      <c r="AD1" s="1" t="s">
        <v>241</v>
      </c>
      <c r="AF1" s="1" t="s">
        <v>283</v>
      </c>
      <c r="AG1" s="1" t="s">
        <v>366</v>
      </c>
      <c r="AH1" s="1" t="s">
        <v>104</v>
      </c>
      <c r="AI1" s="1" t="s">
        <v>320</v>
      </c>
      <c r="AJ1" s="1" t="s">
        <v>13</v>
      </c>
      <c r="AK1" s="1" t="s">
        <v>367</v>
      </c>
      <c r="AL1" s="1" t="s">
        <v>239</v>
      </c>
      <c r="AM1" s="1" t="s">
        <v>240</v>
      </c>
      <c r="AN1" s="1" t="s">
        <v>241</v>
      </c>
      <c r="AO1" s="1" t="s">
        <v>110</v>
      </c>
      <c r="AP1" s="1" t="s">
        <v>368</v>
      </c>
      <c r="AQ1" s="1" t="s">
        <v>369</v>
      </c>
      <c r="AR1" s="1" t="s">
        <v>370</v>
      </c>
      <c r="AT1" s="1" t="s">
        <v>283</v>
      </c>
      <c r="AU1" s="1" t="s">
        <v>373</v>
      </c>
      <c r="AV1" s="1" t="s">
        <v>104</v>
      </c>
      <c r="AW1" s="1" t="s">
        <v>320</v>
      </c>
      <c r="AX1" s="1" t="s">
        <v>109</v>
      </c>
      <c r="AY1" s="1" t="s">
        <v>13</v>
      </c>
      <c r="AZ1" s="1" t="s">
        <v>367</v>
      </c>
      <c r="BA1" s="1" t="s">
        <v>239</v>
      </c>
      <c r="BB1" s="1" t="s">
        <v>240</v>
      </c>
      <c r="BC1" s="1" t="s">
        <v>110</v>
      </c>
      <c r="BD1" s="1" t="s">
        <v>368</v>
      </c>
      <c r="BE1" s="1" t="s">
        <v>369</v>
      </c>
    </row>
    <row r="2" spans="1:57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Name]],ResourceTable[[RName]:[RID]],2,0),"resource")</f>
        <v>resource</v>
      </c>
      <c r="F2" s="13" t="s">
        <v>26</v>
      </c>
      <c r="G2" s="13" t="s">
        <v>28</v>
      </c>
      <c r="H2" s="13" t="s">
        <v>30</v>
      </c>
      <c r="I2" s="13" t="s">
        <v>433</v>
      </c>
      <c r="J2" s="13" t="s">
        <v>50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Search]]="","id",IFERROR($AH1+1,IF(ISNUMBER(VLOOKUP('Table Seed Map'!$A$27,SeedMap[],9,0)),VLOOKUP('Table Seed Map'!$A$27,SeedMap[],9,0)+1,1)))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173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100</v>
      </c>
      <c r="AY2" s="14" t="s">
        <v>173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8" t="str">
        <f>'Table Seed Map'!$A$23&amp;"-"&amp;COUNTA($B$1:ResourceList[[#This Row],[Resource Name]])-1</f>
        <v>Resource Lists-1</v>
      </c>
      <c r="B3" s="5" t="s">
        <v>659</v>
      </c>
      <c r="C3" s="8" t="str">
        <f>ResourceList[[#This Row],[Resource Name]]&amp;"/"&amp;ResourceList[[#This Row],[Name]]</f>
        <v>GroupDetail/Group01List</v>
      </c>
      <c r="D3" s="31">
        <f>IF(ResourceList[[#This Row],[Resource Name]]="","id",COUNTA($B$2:ResourceList[[#This Row],[Resource Name]])+IF(ISNUMBER(VLOOKUP('Table Seed Map'!$A$23,SeedMap[],9,0)),VLOOKUP('Table Seed Map'!$A$23,SeedMap[],9,0),0))</f>
        <v>50001</v>
      </c>
      <c r="E3" s="31">
        <f>IFERROR(VLOOKUP(ResourceList[[#This Row],[Resource Name]],ResourceTable[[RName]:[RID]],2,0),"resource")</f>
        <v>50002</v>
      </c>
      <c r="F3" s="32" t="s">
        <v>750</v>
      </c>
      <c r="G3" s="32" t="s">
        <v>755</v>
      </c>
      <c r="H3" s="32" t="s">
        <v>734</v>
      </c>
      <c r="I3" s="32">
        <v>70</v>
      </c>
      <c r="J3" s="32"/>
      <c r="K3" s="34">
        <f>[No]</f>
        <v>50001</v>
      </c>
      <c r="M3" s="4" t="s">
        <v>773</v>
      </c>
      <c r="N3" s="7">
        <f>VLOOKUP(ListExtras[[#This Row],[List Name]],ResourceList[[ListDisplayName]:[No]],2,0)</f>
        <v>50001</v>
      </c>
      <c r="O3" s="4" t="s">
        <v>777</v>
      </c>
      <c r="P3" s="4"/>
      <c r="Q3" s="4"/>
      <c r="R3" s="4"/>
      <c r="S3" s="4"/>
      <c r="T3" s="7" t="str">
        <f>'Table Seed Map'!$A$24&amp;"-"&amp;COUNT($W$1:ListExtras[[#This Row],[Scope ID]])</f>
        <v>List Scopes-1</v>
      </c>
      <c r="U3" s="61">
        <f>IF(ListExtras[[#This Row],[LID]]=0,"id",IF(ListExtras[[#This Row],[Scope ID]]="","",COUNT($W$2:ListExtras[[#This Row],[Scope ID]])+IF(ISNUMBER(VLOOKUP('Table Seed Map'!$A$24,SeedMap[],9,0)),VLOOKUP('Table Seed Map'!$A$24,SeedMap[],9,0),0)))</f>
        <v>50001</v>
      </c>
      <c r="V3" s="61">
        <f>IF(ListExtras[[#This Row],[LID]]=0,"resource_list",ListExtras[[#This Row],[LID]])</f>
        <v>50001</v>
      </c>
      <c r="W3" s="61">
        <f>IFERROR(VLOOKUP(ListExtras[[#This Row],[Scope Name]],ResourceScopes[[ScopesDisplayNames]:[No]],2,0),IF(ListExtras[[#This Row],[LID]]=0,"scope",""))</f>
        <v>50001</v>
      </c>
      <c r="X3" s="7" t="str">
        <f>'Table Seed Map'!$A$25&amp;"-"&amp;COUNT($AA$1:ListExtras[[#This Row],[Relation]])</f>
        <v>List Relation-0</v>
      </c>
      <c r="Y3" s="61" t="str">
        <f>IF(ListExtras[[#This Row],[LID]]=0,"id",IF(ListExtras[[#This Row],[Relation]]="","",COUNT($AA$2:ListExtras[[#This Row],[Relation]])+IF(ISNUMBER(VLOOKUP('Table Seed Map'!$A$25,SeedMap[],9,0)),VLOOKUP('Table Seed Map'!$A$25,SeedMap[],9,0),0)))</f>
        <v/>
      </c>
      <c r="Z3" s="61">
        <f>IF(ListExtras[[#This Row],[LID]]=0,"resource_list",ListExtras[[#This Row],[LID]])</f>
        <v>50001</v>
      </c>
      <c r="AA3" s="61" t="str">
        <f>IFERROR(VLOOKUP(ListExtras[[#This Row],[Relation Name]],RelationTable[[Display]:[RELID]],2,0),IF(ListExtras[[#This Row],[LID]]=0,"relation",""))</f>
        <v/>
      </c>
      <c r="AB3" s="61" t="str">
        <f>IFERROR(VLOOKUP(ListExtras[[#This Row],[R1 Name]],RelationTable[[Display]:[RELID]],2,0),IF(ListExtras[[#This Row],[LID]]=0,"nest_relation1",""))</f>
        <v/>
      </c>
      <c r="AC3" s="61" t="str">
        <f>IFERROR(VLOOKUP(ListExtras[[#This Row],[R2 Name]],RelationTable[[Display]:[RELID]],2,0),IF(ListExtras[[#This Row],[LID]]=0,"nest_relation2",""))</f>
        <v/>
      </c>
      <c r="AD3" s="61" t="str">
        <f>IFERROR(VLOOKUP(ListExtras[[#This Row],[R3 Name]],RelationTable[[Display]:[RELID]],2,0),IF(ListExtras[[#This Row],[LID]]=0,"nest_relation3",""))</f>
        <v/>
      </c>
      <c r="AF3" s="61" t="str">
        <f>'Table Seed Map'!$A$27&amp;"-"&amp;COUNTA($AH$1:ListSearch[[#This Row],[No]])-2</f>
        <v>List Search-1</v>
      </c>
      <c r="AG3" s="4" t="s">
        <v>773</v>
      </c>
      <c r="AH3" s="61">
        <f>IF(ListSearch[[#This Row],[List Name for Search]]="","id",IFERROR($AH2+1,IF(ISNUMBER(VLOOKUP('Table Seed Map'!$A$27,SeedMap[],9,0)),VLOOKUP('Table Seed Map'!$A$27,SeedMap[],9,0)+1,1)))</f>
        <v>50001</v>
      </c>
      <c r="AI3" s="61">
        <f>IFERROR(VLOOKUP(ListSearch[[#This Row],[List Name for Search]],ResourceList[[ListDisplayName]:[No]],2,0),"resource_list")</f>
        <v>50001</v>
      </c>
      <c r="AJ3" s="30" t="s">
        <v>26</v>
      </c>
      <c r="AK3" s="61" t="str">
        <f>IF(ListSearch[[#This Row],[List Name for Search]]="","relation",IFERROR(VLOOKUP(ListSearch[[#This Row],[Relation]],RelationTable[[Display]:[RELID]],2,0),""))</f>
        <v/>
      </c>
      <c r="AL3" s="61" t="str">
        <f>IF(ListSearch[[#This Row],[List Name for Search]]="","nest_relation1",IFERROR(VLOOKUP(ListSearch[[#This Row],[Relation 1]],RelationTable[[Display]:[RELID]],2,0),""))</f>
        <v/>
      </c>
      <c r="AM3" s="61" t="str">
        <f>IF(ListSearch[[#This Row],[List Name for Search]]="","nest_relation2",IFERROR(VLOOKUP(ListSearch[[#This Row],[Relation 2]],RelationTable[[Display]:[RELID]],2,0),""))</f>
        <v/>
      </c>
      <c r="AN3" s="61" t="str">
        <f>IF(ListSearch[[#This Row],[List Name for Search]]="","nest_relation3",IFERROR(VLOOKUP(ListSearch[[#This Row],[Relation 3]],RelationTable[[Display]:[RELID]],2,0),""))</f>
        <v/>
      </c>
      <c r="AO3" s="30"/>
      <c r="AP3" s="30"/>
      <c r="AQ3" s="30"/>
      <c r="AR3" s="30"/>
      <c r="AT3" s="61" t="str">
        <f>'Table Seed Map'!$A$26&amp;"-"&amp;COUNTA($AV$1:ListLayout[[#This Row],[No]])-2</f>
        <v>List Layout-1</v>
      </c>
      <c r="AU3" s="4" t="s">
        <v>773</v>
      </c>
      <c r="AV3" s="61">
        <f>IF(ListLayout[[#This Row],[List Name for Layout]]="","id",COUNTA($AU$2:ListLayout[[#This Row],[List Name for Layout]])+IF(ISNUMBER(VLOOKUP('Table Seed Map'!$A$26,SeedMap[],9,0)),VLOOKUP('Table Seed Map'!$A$26,SeedMap[],9,0),0))</f>
        <v>50001</v>
      </c>
      <c r="AW3" s="61">
        <f>IFERROR(VLOOKUP(ListLayout[[#This Row],[List Name for Layout]],ResourceList[[ListDisplayName]:[No]],2,0),"resource_list")</f>
        <v>50001</v>
      </c>
      <c r="AX3" s="61" t="s">
        <v>1</v>
      </c>
      <c r="AY3" s="30" t="s">
        <v>26</v>
      </c>
      <c r="AZ3" s="61" t="str">
        <f>IF(ListLayout[[#This Row],[List Name for Layout]]="","relation",IFERROR(VLOOKUP(ListLayout[[#This Row],[Relation]],RelationTable[[Display]:[RELID]],2,0),""))</f>
        <v/>
      </c>
      <c r="BA3" s="61" t="str">
        <f>IF(ListLayout[[#This Row],[List Name for Layout]]="","nest_relation1",IFERROR(VLOOKUP(ListLayout[[#This Row],[Relation 1]],RelationTable[[Display]:[RELID]],2,0),""))</f>
        <v/>
      </c>
      <c r="BB3" s="61" t="str">
        <f>IF(ListLayout[[#This Row],[List Name for Layout]]="","nest_relation2",IFERROR(VLOOKUP(ListLayout[[#This Row],[Relation 2]],RelationTable[[Display]:[RELID]],2,0),""))</f>
        <v/>
      </c>
      <c r="BC3" s="30"/>
      <c r="BD3" s="30"/>
      <c r="BE3" s="30"/>
    </row>
    <row r="4" spans="1:57">
      <c r="A4" s="8" t="str">
        <f>'Table Seed Map'!$A$23&amp;"-"&amp;COUNTA($B$1:ResourceList[[#This Row],[Resource Name]])-1</f>
        <v>Resource Lists-2</v>
      </c>
      <c r="B4" s="5" t="s">
        <v>659</v>
      </c>
      <c r="C4" s="8" t="str">
        <f>ResourceList[[#This Row],[Resource Name]]&amp;"/"&amp;ResourceList[[#This Row],[Name]]</f>
        <v>GroupDetail/Group02List</v>
      </c>
      <c r="D4" s="31">
        <f>IF(ResourceList[[#This Row],[Resource Name]]="","id",COUNTA($B$2:ResourceList[[#This Row],[Resource Name]])+IF(ISNUMBER(VLOOKUP('Table Seed Map'!$A$23,SeedMap[],9,0)),VLOOKUP('Table Seed Map'!$A$23,SeedMap[],9,0),0))</f>
        <v>50002</v>
      </c>
      <c r="E4" s="31">
        <f>IFERROR(VLOOKUP(ResourceList[[#This Row],[Resource Name]],ResourceTable[[RName]:[RID]],2,0),"resource")</f>
        <v>50002</v>
      </c>
      <c r="F4" s="32" t="s">
        <v>751</v>
      </c>
      <c r="G4" s="32" t="s">
        <v>756</v>
      </c>
      <c r="H4" s="32" t="s">
        <v>735</v>
      </c>
      <c r="I4" s="32">
        <v>70</v>
      </c>
      <c r="J4" s="32"/>
      <c r="K4" s="34">
        <f>[No]</f>
        <v>50002</v>
      </c>
      <c r="M4" s="4" t="s">
        <v>774</v>
      </c>
      <c r="N4" s="7">
        <f>VLOOKUP(ListExtras[[#This Row],[List Name]],ResourceList[[ListDisplayName]:[No]],2,0)</f>
        <v>50002</v>
      </c>
      <c r="O4" s="4" t="s">
        <v>779</v>
      </c>
      <c r="P4" s="4"/>
      <c r="Q4" s="4"/>
      <c r="R4" s="4"/>
      <c r="S4" s="4"/>
      <c r="T4" s="7" t="str">
        <f>'Table Seed Map'!$A$24&amp;"-"&amp;COUNT($W$1:ListExtras[[#This Row],[Scope ID]])</f>
        <v>List Scopes-2</v>
      </c>
      <c r="U4" s="61">
        <f>IF(ListExtras[[#This Row],[LID]]=0,"id",IF(ListExtras[[#This Row],[Scope ID]]="","",COUNT($W$2:ListExtras[[#This Row],[Scope ID]])+IF(ISNUMBER(VLOOKUP('Table Seed Map'!$A$24,SeedMap[],9,0)),VLOOKUP('Table Seed Map'!$A$24,SeedMap[],9,0),0)))</f>
        <v>50002</v>
      </c>
      <c r="V4" s="61">
        <f>IF(ListExtras[[#This Row],[LID]]=0,"resource_list",ListExtras[[#This Row],[LID]])</f>
        <v>50002</v>
      </c>
      <c r="W4" s="61">
        <f>IFERROR(VLOOKUP(ListExtras[[#This Row],[Scope Name]],ResourceScopes[[ScopesDisplayNames]:[No]],2,0),IF(ListExtras[[#This Row],[LID]]=0,"scope",""))</f>
        <v>50002</v>
      </c>
      <c r="X4" s="7" t="str">
        <f>'Table Seed Map'!$A$25&amp;"-"&amp;COUNT($AA$1:ListExtras[[#This Row],[Relation]])</f>
        <v>List Relation-0</v>
      </c>
      <c r="Y4" s="61" t="str">
        <f>IF(ListExtras[[#This Row],[LID]]=0,"id",IF(ListExtras[[#This Row],[Relation]]="","",COUNT($AA$2:ListExtras[[#This Row],[Relation]])+IF(ISNUMBER(VLOOKUP('Table Seed Map'!$A$25,SeedMap[],9,0)),VLOOKUP('Table Seed Map'!$A$25,SeedMap[],9,0),0)))</f>
        <v/>
      </c>
      <c r="Z4" s="61">
        <f>IF(ListExtras[[#This Row],[LID]]=0,"resource_list",ListExtras[[#This Row],[LID]])</f>
        <v>50002</v>
      </c>
      <c r="AA4" s="61" t="str">
        <f>IFERROR(VLOOKUP(ListExtras[[#This Row],[Relation Name]],RelationTable[[Display]:[RELID]],2,0),IF(ListExtras[[#This Row],[LID]]=0,"relation",""))</f>
        <v/>
      </c>
      <c r="AB4" s="61" t="str">
        <f>IFERROR(VLOOKUP(ListExtras[[#This Row],[R1 Name]],RelationTable[[Display]:[RELID]],2,0),IF(ListExtras[[#This Row],[LID]]=0,"nest_relation1",""))</f>
        <v/>
      </c>
      <c r="AC4" s="61" t="str">
        <f>IFERROR(VLOOKUP(ListExtras[[#This Row],[R2 Name]],RelationTable[[Display]:[RELID]],2,0),IF(ListExtras[[#This Row],[LID]]=0,"nest_relation2",""))</f>
        <v/>
      </c>
      <c r="AD4" s="61" t="str">
        <f>IFERROR(VLOOKUP(ListExtras[[#This Row],[R3 Name]],RelationTable[[Display]:[RELID]],2,0),IF(ListExtras[[#This Row],[LID]]=0,"nest_relation3",""))</f>
        <v/>
      </c>
      <c r="AF4" s="61" t="str">
        <f>'Table Seed Map'!$A$27&amp;"-"&amp;COUNTA($AH$1:ListSearch[[#This Row],[No]])-2</f>
        <v>List Search-2</v>
      </c>
      <c r="AG4" s="4" t="s">
        <v>774</v>
      </c>
      <c r="AH4" s="61">
        <f>IF(ListSearch[[#This Row],[List Name for Search]]="","id",IFERROR($AH3+1,IF(ISNUMBER(VLOOKUP('Table Seed Map'!$A$27,SeedMap[],9,0)),VLOOKUP('Table Seed Map'!$A$27,SeedMap[],9,0)+1,1)))</f>
        <v>50002</v>
      </c>
      <c r="AI4" s="61">
        <f>IFERROR(VLOOKUP(ListSearch[[#This Row],[List Name for Search]],ResourceList[[ListDisplayName]:[No]],2,0),"resource_list")</f>
        <v>50002</v>
      </c>
      <c r="AJ4" s="30" t="s">
        <v>26</v>
      </c>
      <c r="AK4" s="61" t="str">
        <f>IF(ListSearch[[#This Row],[List Name for Search]]="","relation",IFERROR(VLOOKUP(ListSearch[[#This Row],[Relation]],RelationTable[[Display]:[RELID]],2,0),""))</f>
        <v/>
      </c>
      <c r="AL4" s="61" t="str">
        <f>IF(ListSearch[[#This Row],[List Name for Search]]="","nest_relation1",IFERROR(VLOOKUP(ListSearch[[#This Row],[Relation 1]],RelationTable[[Display]:[RELID]],2,0),""))</f>
        <v/>
      </c>
      <c r="AM4" s="61" t="str">
        <f>IF(ListSearch[[#This Row],[List Name for Search]]="","nest_relation2",IFERROR(VLOOKUP(ListSearch[[#This Row],[Relation 2]],RelationTable[[Display]:[RELID]],2,0),""))</f>
        <v/>
      </c>
      <c r="AN4" s="61" t="str">
        <f>IF(ListSearch[[#This Row],[List Name for Search]]="","nest_relation3",IFERROR(VLOOKUP(ListSearch[[#This Row],[Relation 3]],RelationTable[[Display]:[RELID]],2,0),""))</f>
        <v/>
      </c>
      <c r="AO4" s="30"/>
      <c r="AP4" s="30"/>
      <c r="AQ4" s="30"/>
      <c r="AR4" s="30"/>
      <c r="AT4" s="61" t="str">
        <f>'Table Seed Map'!$A$26&amp;"-"&amp;COUNTA($AV$1:ListLayout[[#This Row],[No]])-2</f>
        <v>List Layout-2</v>
      </c>
      <c r="AU4" s="4" t="s">
        <v>773</v>
      </c>
      <c r="AV4" s="61">
        <f>IF(ListLayout[[#This Row],[List Name for Layout]]="","id",COUNTA($AU$2:ListLayout[[#This Row],[List Name for Layout]])+IF(ISNUMBER(VLOOKUP('Table Seed Map'!$A$26,SeedMap[],9,0)),VLOOKUP('Table Seed Map'!$A$26,SeedMap[],9,0),0))</f>
        <v>50002</v>
      </c>
      <c r="AW4" s="61">
        <f>IFERROR(VLOOKUP(ListLayout[[#This Row],[List Name for Layout]],ResourceList[[ListDisplayName]:[No]],2,0),"resource_list")</f>
        <v>50001</v>
      </c>
      <c r="AX4" s="61" t="s">
        <v>798</v>
      </c>
      <c r="AY4" s="30" t="s">
        <v>52</v>
      </c>
      <c r="AZ4" s="61" t="str">
        <f>IF(ListLayout[[#This Row],[List Name for Layout]]="","relation",IFERROR(VLOOKUP(ListLayout[[#This Row],[Relation]],RelationTable[[Display]:[RELID]],2,0),""))</f>
        <v/>
      </c>
      <c r="BA4" s="61" t="str">
        <f>IF(ListLayout[[#This Row],[List Name for Layout]]="","nest_relation1",IFERROR(VLOOKUP(ListLayout[[#This Row],[Relation 1]],RelationTable[[Display]:[RELID]],2,0),""))</f>
        <v/>
      </c>
      <c r="BB4" s="61" t="str">
        <f>IF(ListLayout[[#This Row],[List Name for Layout]]="","nest_relation2",IFERROR(VLOOKUP(ListLayout[[#This Row],[Relation 2]],RelationTable[[Display]:[RELID]],2,0),""))</f>
        <v/>
      </c>
      <c r="BC4" s="30"/>
      <c r="BD4" s="30"/>
      <c r="BE4" s="30"/>
    </row>
    <row r="5" spans="1:57">
      <c r="A5" s="8" t="str">
        <f>'Table Seed Map'!$A$23&amp;"-"&amp;COUNTA($B$1:ResourceList[[#This Row],[Resource Name]])-1</f>
        <v>Resource Lists-3</v>
      </c>
      <c r="B5" s="5" t="s">
        <v>659</v>
      </c>
      <c r="C5" s="8" t="str">
        <f>ResourceList[[#This Row],[Resource Name]]&amp;"/"&amp;ResourceList[[#This Row],[Name]]</f>
        <v>GroupDetail/Group03List</v>
      </c>
      <c r="D5" s="31">
        <f>IF(ResourceList[[#This Row],[Resource Name]]="","id",COUNTA($B$2:ResourceList[[#This Row],[Resource Name]])+IF(ISNUMBER(VLOOKUP('Table Seed Map'!$A$23,SeedMap[],9,0)),VLOOKUP('Table Seed Map'!$A$23,SeedMap[],9,0),0))</f>
        <v>50003</v>
      </c>
      <c r="E5" s="31">
        <f>IFERROR(VLOOKUP(ResourceList[[#This Row],[Resource Name]],ResourceTable[[RName]:[RID]],2,0),"resource")</f>
        <v>50002</v>
      </c>
      <c r="F5" s="32" t="s">
        <v>752</v>
      </c>
      <c r="G5" s="32" t="s">
        <v>757</v>
      </c>
      <c r="H5" s="32" t="s">
        <v>599</v>
      </c>
      <c r="I5" s="32">
        <v>70</v>
      </c>
      <c r="J5" s="32"/>
      <c r="K5" s="34">
        <f>[No]</f>
        <v>50003</v>
      </c>
      <c r="M5" s="4" t="s">
        <v>775</v>
      </c>
      <c r="N5" s="7">
        <f>VLOOKUP(ListExtras[[#This Row],[List Name]],ResourceList[[ListDisplayName]:[No]],2,0)</f>
        <v>50003</v>
      </c>
      <c r="O5" s="4" t="s">
        <v>778</v>
      </c>
      <c r="P5" s="4"/>
      <c r="Q5" s="4"/>
      <c r="R5" s="4"/>
      <c r="S5" s="4"/>
      <c r="T5" s="7" t="str">
        <f>'Table Seed Map'!$A$24&amp;"-"&amp;COUNT($W$1:ListExtras[[#This Row],[Scope ID]])</f>
        <v>List Scopes-3</v>
      </c>
      <c r="U5" s="61">
        <f>IF(ListExtras[[#This Row],[LID]]=0,"id",IF(ListExtras[[#This Row],[Scope ID]]="","",COUNT($W$2:ListExtras[[#This Row],[Scope ID]])+IF(ISNUMBER(VLOOKUP('Table Seed Map'!$A$24,SeedMap[],9,0)),VLOOKUP('Table Seed Map'!$A$24,SeedMap[],9,0),0)))</f>
        <v>50003</v>
      </c>
      <c r="V5" s="61">
        <f>IF(ListExtras[[#This Row],[LID]]=0,"resource_list",ListExtras[[#This Row],[LID]])</f>
        <v>50003</v>
      </c>
      <c r="W5" s="61">
        <f>IFERROR(VLOOKUP(ListExtras[[#This Row],[Scope Name]],ResourceScopes[[ScopesDisplayNames]:[No]],2,0),IF(ListExtras[[#This Row],[LID]]=0,"scope",""))</f>
        <v>50003</v>
      </c>
      <c r="X5" s="7" t="str">
        <f>'Table Seed Map'!$A$25&amp;"-"&amp;COUNT($AA$1:ListExtras[[#This Row],[Relation]])</f>
        <v>List Relation-0</v>
      </c>
      <c r="Y5" s="61" t="str">
        <f>IF(ListExtras[[#This Row],[LID]]=0,"id",IF(ListExtras[[#This Row],[Relation]]="","",COUNT($AA$2:ListExtras[[#This Row],[Relation]])+IF(ISNUMBER(VLOOKUP('Table Seed Map'!$A$25,SeedMap[],9,0)),VLOOKUP('Table Seed Map'!$A$25,SeedMap[],9,0),0)))</f>
        <v/>
      </c>
      <c r="Z5" s="61">
        <f>IF(ListExtras[[#This Row],[LID]]=0,"resource_list",ListExtras[[#This Row],[LID]])</f>
        <v>50003</v>
      </c>
      <c r="AA5" s="61" t="str">
        <f>IFERROR(VLOOKUP(ListExtras[[#This Row],[Relation Name]],RelationTable[[Display]:[RELID]],2,0),IF(ListExtras[[#This Row],[LID]]=0,"relation",""))</f>
        <v/>
      </c>
      <c r="AB5" s="61" t="str">
        <f>IFERROR(VLOOKUP(ListExtras[[#This Row],[R1 Name]],RelationTable[[Display]:[RELID]],2,0),IF(ListExtras[[#This Row],[LID]]=0,"nest_relation1",""))</f>
        <v/>
      </c>
      <c r="AC5" s="61" t="str">
        <f>IFERROR(VLOOKUP(ListExtras[[#This Row],[R2 Name]],RelationTable[[Display]:[RELID]],2,0),IF(ListExtras[[#This Row],[LID]]=0,"nest_relation2",""))</f>
        <v/>
      </c>
      <c r="AD5" s="61" t="str">
        <f>IFERROR(VLOOKUP(ListExtras[[#This Row],[R3 Name]],RelationTable[[Display]:[RELID]],2,0),IF(ListExtras[[#This Row],[LID]]=0,"nest_relation3",""))</f>
        <v/>
      </c>
      <c r="AF5" s="61" t="str">
        <f>'Table Seed Map'!$A$27&amp;"-"&amp;COUNTA($AH$1:ListSearch[[#This Row],[No]])-2</f>
        <v>List Search-3</v>
      </c>
      <c r="AG5" s="4" t="s">
        <v>775</v>
      </c>
      <c r="AH5" s="61">
        <f>IF(ListSearch[[#This Row],[List Name for Search]]="","id",IFERROR($AH4+1,IF(ISNUMBER(VLOOKUP('Table Seed Map'!$A$27,SeedMap[],9,0)),VLOOKUP('Table Seed Map'!$A$27,SeedMap[],9,0)+1,1)))</f>
        <v>50003</v>
      </c>
      <c r="AI5" s="61">
        <f>IFERROR(VLOOKUP(ListSearch[[#This Row],[List Name for Search]],ResourceList[[ListDisplayName]:[No]],2,0),"resource_list")</f>
        <v>50003</v>
      </c>
      <c r="AJ5" s="30" t="s">
        <v>26</v>
      </c>
      <c r="AK5" s="61" t="str">
        <f>IF(ListSearch[[#This Row],[List Name for Search]]="","relation",IFERROR(VLOOKUP(ListSearch[[#This Row],[Relation]],RelationTable[[Display]:[RELID]],2,0),""))</f>
        <v/>
      </c>
      <c r="AL5" s="61" t="str">
        <f>IF(ListSearch[[#This Row],[List Name for Search]]="","nest_relation1",IFERROR(VLOOKUP(ListSearch[[#This Row],[Relation 1]],RelationTable[[Display]:[RELID]],2,0),""))</f>
        <v/>
      </c>
      <c r="AM5" s="61" t="str">
        <f>IF(ListSearch[[#This Row],[List Name for Search]]="","nest_relation2",IFERROR(VLOOKUP(ListSearch[[#This Row],[Relation 2]],RelationTable[[Display]:[RELID]],2,0),""))</f>
        <v/>
      </c>
      <c r="AN5" s="61" t="str">
        <f>IF(ListSearch[[#This Row],[List Name for Search]]="","nest_relation3",IFERROR(VLOOKUP(ListSearch[[#This Row],[Relation 3]],RelationTable[[Display]:[RELID]],2,0),""))</f>
        <v/>
      </c>
      <c r="AO5" s="30"/>
      <c r="AP5" s="30"/>
      <c r="AQ5" s="30"/>
      <c r="AR5" s="30"/>
      <c r="AT5" s="61" t="str">
        <f>'Table Seed Map'!$A$26&amp;"-"&amp;COUNTA($AV$1:ListLayout[[#This Row],[No]])-2</f>
        <v>List Layout-3</v>
      </c>
      <c r="AU5" s="4" t="s">
        <v>773</v>
      </c>
      <c r="AV5" s="61">
        <f>IF(ListLayout[[#This Row],[List Name for Layout]]="","id",COUNTA($AU$2:ListLayout[[#This Row],[List Name for Layout]])+IF(ISNUMBER(VLOOKUP('Table Seed Map'!$A$26,SeedMap[],9,0)),VLOOKUP('Table Seed Map'!$A$26,SeedMap[],9,0),0))</f>
        <v>50003</v>
      </c>
      <c r="AW5" s="61">
        <f>IFERROR(VLOOKUP(ListLayout[[#This Row],[List Name for Layout]],ResourceList[[ListDisplayName]:[No]],2,0),"resource_list")</f>
        <v>50001</v>
      </c>
      <c r="AX5" s="61" t="s">
        <v>14</v>
      </c>
      <c r="AY5" s="30" t="s">
        <v>45</v>
      </c>
      <c r="AZ5" s="61" t="str">
        <f>IF(ListLayout[[#This Row],[List Name for Layout]]="","relation",IFERROR(VLOOKUP(ListLayout[[#This Row],[Relation]],RelationTable[[Display]:[RELID]],2,0),""))</f>
        <v/>
      </c>
      <c r="BA5" s="61" t="str">
        <f>IF(ListLayout[[#This Row],[List Name for Layout]]="","nest_relation1",IFERROR(VLOOKUP(ListLayout[[#This Row],[Relation 1]],RelationTable[[Display]:[RELID]],2,0),""))</f>
        <v/>
      </c>
      <c r="BB5" s="61" t="str">
        <f>IF(ListLayout[[#This Row],[List Name for Layout]]="","nest_relation2",IFERROR(VLOOKUP(ListLayout[[#This Row],[Relation 2]],RelationTable[[Display]:[RELID]],2,0),""))</f>
        <v/>
      </c>
      <c r="BC5" s="30"/>
      <c r="BD5" s="30"/>
      <c r="BE5" s="30"/>
    </row>
    <row r="6" spans="1:57">
      <c r="A6" s="8" t="str">
        <f>'Table Seed Map'!$A$23&amp;"-"&amp;COUNTA($B$1:ResourceList[[#This Row],[Resource Name]])-1</f>
        <v>Resource Lists-4</v>
      </c>
      <c r="B6" s="5" t="s">
        <v>659</v>
      </c>
      <c r="C6" s="8" t="str">
        <f>ResourceList[[#This Row],[Resource Name]]&amp;"/"&amp;ResourceList[[#This Row],[Name]]</f>
        <v>GroupDetail/Group04List</v>
      </c>
      <c r="D6" s="31">
        <f>IF(ResourceList[[#This Row],[Resource Name]]="","id",COUNTA($B$2:ResourceList[[#This Row],[Resource Name]])+IF(ISNUMBER(VLOOKUP('Table Seed Map'!$A$23,SeedMap[],9,0)),VLOOKUP('Table Seed Map'!$A$23,SeedMap[],9,0),0))</f>
        <v>50004</v>
      </c>
      <c r="E6" s="31">
        <f>IFERROR(VLOOKUP(ResourceList[[#This Row],[Resource Name]],ResourceTable[[RName]:[RID]],2,0),"resource")</f>
        <v>50002</v>
      </c>
      <c r="F6" s="32" t="s">
        <v>753</v>
      </c>
      <c r="G6" s="32" t="s">
        <v>754</v>
      </c>
      <c r="H6" s="32" t="s">
        <v>600</v>
      </c>
      <c r="I6" s="32">
        <v>70</v>
      </c>
      <c r="J6" s="32"/>
      <c r="K6" s="34">
        <f>[No]</f>
        <v>50004</v>
      </c>
      <c r="M6" s="4" t="s">
        <v>776</v>
      </c>
      <c r="N6" s="7">
        <f>VLOOKUP(ListExtras[[#This Row],[List Name]],ResourceList[[ListDisplayName]:[No]],2,0)</f>
        <v>50004</v>
      </c>
      <c r="O6" s="4" t="s">
        <v>780</v>
      </c>
      <c r="P6" s="4"/>
      <c r="Q6" s="4"/>
      <c r="R6" s="4"/>
      <c r="S6" s="4"/>
      <c r="T6" s="7" t="str">
        <f>'Table Seed Map'!$A$24&amp;"-"&amp;COUNT($W$1:ListExtras[[#This Row],[Scope ID]])</f>
        <v>List Scopes-4</v>
      </c>
      <c r="U6" s="61">
        <f>IF(ListExtras[[#This Row],[LID]]=0,"id",IF(ListExtras[[#This Row],[Scope ID]]="","",COUNT($W$2:ListExtras[[#This Row],[Scope ID]])+IF(ISNUMBER(VLOOKUP('Table Seed Map'!$A$24,SeedMap[],9,0)),VLOOKUP('Table Seed Map'!$A$24,SeedMap[],9,0),0)))</f>
        <v>50004</v>
      </c>
      <c r="V6" s="61">
        <f>IF(ListExtras[[#This Row],[LID]]=0,"resource_list",ListExtras[[#This Row],[LID]])</f>
        <v>50004</v>
      </c>
      <c r="W6" s="61">
        <f>IFERROR(VLOOKUP(ListExtras[[#This Row],[Scope Name]],ResourceScopes[[ScopesDisplayNames]:[No]],2,0),IF(ListExtras[[#This Row],[LID]]=0,"scope",""))</f>
        <v>50004</v>
      </c>
      <c r="X6" s="7" t="str">
        <f>'Table Seed Map'!$A$25&amp;"-"&amp;COUNT($AA$1:ListExtras[[#This Row],[Relation]])</f>
        <v>List Relation-0</v>
      </c>
      <c r="Y6" s="61" t="str">
        <f>IF(ListExtras[[#This Row],[LID]]=0,"id",IF(ListExtras[[#This Row],[Relation]]="","",COUNT($AA$2:ListExtras[[#This Row],[Relation]])+IF(ISNUMBER(VLOOKUP('Table Seed Map'!$A$25,SeedMap[],9,0)),VLOOKUP('Table Seed Map'!$A$25,SeedMap[],9,0),0)))</f>
        <v/>
      </c>
      <c r="Z6" s="61">
        <f>IF(ListExtras[[#This Row],[LID]]=0,"resource_list",ListExtras[[#This Row],[LID]])</f>
        <v>50004</v>
      </c>
      <c r="AA6" s="61" t="str">
        <f>IFERROR(VLOOKUP(ListExtras[[#This Row],[Relation Name]],RelationTable[[Display]:[RELID]],2,0),IF(ListExtras[[#This Row],[LID]]=0,"relation",""))</f>
        <v/>
      </c>
      <c r="AB6" s="61" t="str">
        <f>IFERROR(VLOOKUP(ListExtras[[#This Row],[R1 Name]],RelationTable[[Display]:[RELID]],2,0),IF(ListExtras[[#This Row],[LID]]=0,"nest_relation1",""))</f>
        <v/>
      </c>
      <c r="AC6" s="61" t="str">
        <f>IFERROR(VLOOKUP(ListExtras[[#This Row],[R2 Name]],RelationTable[[Display]:[RELID]],2,0),IF(ListExtras[[#This Row],[LID]]=0,"nest_relation2",""))</f>
        <v/>
      </c>
      <c r="AD6" s="61" t="str">
        <f>IFERROR(VLOOKUP(ListExtras[[#This Row],[R3 Name]],RelationTable[[Display]:[RELID]],2,0),IF(ListExtras[[#This Row],[LID]]=0,"nest_relation3",""))</f>
        <v/>
      </c>
      <c r="AF6" s="61" t="str">
        <f>'Table Seed Map'!$A$27&amp;"-"&amp;COUNTA($AH$1:ListSearch[[#This Row],[No]])-2</f>
        <v>List Search-4</v>
      </c>
      <c r="AG6" s="4" t="s">
        <v>776</v>
      </c>
      <c r="AH6" s="61">
        <f>IF(ListSearch[[#This Row],[List Name for Search]]="","id",IFERROR($AH5+1,IF(ISNUMBER(VLOOKUP('Table Seed Map'!$A$27,SeedMap[],9,0)),VLOOKUP('Table Seed Map'!$A$27,SeedMap[],9,0)+1,1)))</f>
        <v>50004</v>
      </c>
      <c r="AI6" s="61">
        <f>IFERROR(VLOOKUP(ListSearch[[#This Row],[List Name for Search]],ResourceList[[ListDisplayName]:[No]],2,0),"resource_list")</f>
        <v>50004</v>
      </c>
      <c r="AJ6" s="30" t="s">
        <v>26</v>
      </c>
      <c r="AK6" s="61" t="str">
        <f>IF(ListSearch[[#This Row],[List Name for Search]]="","relation",IFERROR(VLOOKUP(ListSearch[[#This Row],[Relation]],RelationTable[[Display]:[RELID]],2,0),""))</f>
        <v/>
      </c>
      <c r="AL6" s="61" t="str">
        <f>IF(ListSearch[[#This Row],[List Name for Search]]="","nest_relation1",IFERROR(VLOOKUP(ListSearch[[#This Row],[Relation 1]],RelationTable[[Display]:[RELID]],2,0),""))</f>
        <v/>
      </c>
      <c r="AM6" s="61" t="str">
        <f>IF(ListSearch[[#This Row],[List Name for Search]]="","nest_relation2",IFERROR(VLOOKUP(ListSearch[[#This Row],[Relation 2]],RelationTable[[Display]:[RELID]],2,0),""))</f>
        <v/>
      </c>
      <c r="AN6" s="61" t="str">
        <f>IF(ListSearch[[#This Row],[List Name for Search]]="","nest_relation3",IFERROR(VLOOKUP(ListSearch[[#This Row],[Relation 3]],RelationTable[[Display]:[RELID]],2,0),""))</f>
        <v/>
      </c>
      <c r="AO6" s="30"/>
      <c r="AP6" s="30"/>
      <c r="AQ6" s="30"/>
      <c r="AR6" s="30"/>
      <c r="AT6" s="61" t="str">
        <f>'Table Seed Map'!$A$26&amp;"-"&amp;COUNTA($AV$1:ListLayout[[#This Row],[No]])-2</f>
        <v>List Layout-4</v>
      </c>
      <c r="AU6" s="4" t="s">
        <v>773</v>
      </c>
      <c r="AV6" s="61">
        <f>IF(ListLayout[[#This Row],[List Name for Layout]]="","id",COUNTA($AU$2:ListLayout[[#This Row],[List Name for Layout]])+IF(ISNUMBER(VLOOKUP('Table Seed Map'!$A$26,SeedMap[],9,0)),VLOOKUP('Table Seed Map'!$A$26,SeedMap[],9,0),0))</f>
        <v>50004</v>
      </c>
      <c r="AW6" s="61">
        <f>IFERROR(VLOOKUP(ListLayout[[#This Row],[List Name for Layout]],ResourceList[[ListDisplayName]:[No]],2,0),"resource_list")</f>
        <v>50001</v>
      </c>
      <c r="AX6" s="61" t="s">
        <v>799</v>
      </c>
      <c r="AY6" s="30" t="s">
        <v>453</v>
      </c>
      <c r="AZ6" s="61" t="str">
        <f>IF(ListLayout[[#This Row],[List Name for Layout]]="","relation",IFERROR(VLOOKUP(ListLayout[[#This Row],[Relation]],RelationTable[[Display]:[RELID]],2,0),""))</f>
        <v/>
      </c>
      <c r="BA6" s="61" t="str">
        <f>IF(ListLayout[[#This Row],[List Name for Layout]]="","nest_relation1",IFERROR(VLOOKUP(ListLayout[[#This Row],[Relation 1]],RelationTable[[Display]:[RELID]],2,0),""))</f>
        <v/>
      </c>
      <c r="BB6" s="61" t="str">
        <f>IF(ListLayout[[#This Row],[List Name for Layout]]="","nest_relation2",IFERROR(VLOOKUP(ListLayout[[#This Row],[Relation 2]],RelationTable[[Display]:[RELID]],2,0),""))</f>
        <v/>
      </c>
      <c r="BC6" s="30"/>
      <c r="BD6" s="30"/>
      <c r="BE6" s="30"/>
    </row>
    <row r="7" spans="1:57">
      <c r="A7" s="8" t="str">
        <f>'Table Seed Map'!$A$23&amp;"-"&amp;COUNTA($B$1:ResourceList[[#This Row],[Resource Name]])-1</f>
        <v>Resource Lists-5</v>
      </c>
      <c r="B7" s="5" t="s">
        <v>569</v>
      </c>
      <c r="C7" s="8" t="str">
        <f>ResourceList[[#This Row],[Resource Name]]&amp;"/"&amp;ResourceList[[#This Row],[Name]]</f>
        <v>Product/ProductsList</v>
      </c>
      <c r="D7" s="31">
        <f>IF(ResourceList[[#This Row],[Resource Name]]="","id",COUNTA($B$2:ResourceList[[#This Row],[Resource Name]])+IF(ISNUMBER(VLOOKUP('Table Seed Map'!$A$23,SeedMap[],9,0)),VLOOKUP('Table Seed Map'!$A$23,SeedMap[],9,0),0))</f>
        <v>50005</v>
      </c>
      <c r="E7" s="31">
        <f>IFERROR(VLOOKUP(ResourceList[[#This Row],[Resource Name]],ResourceTable[[RName]:[RID]],2,0),"resource")</f>
        <v>50003</v>
      </c>
      <c r="F7" s="32" t="s">
        <v>736</v>
      </c>
      <c r="G7" s="32" t="s">
        <v>737</v>
      </c>
      <c r="H7" s="32" t="s">
        <v>571</v>
      </c>
      <c r="I7" s="32"/>
      <c r="J7" s="32"/>
      <c r="K7" s="34">
        <f>[No]</f>
        <v>50005</v>
      </c>
      <c r="M7" s="4" t="s">
        <v>782</v>
      </c>
      <c r="N7" s="7">
        <f>VLOOKUP(ListExtras[[#This Row],[List Name]],ResourceList[[ListDisplayName]:[No]],2,0)</f>
        <v>50008</v>
      </c>
      <c r="O7" s="4" t="s">
        <v>781</v>
      </c>
      <c r="P7" s="4" t="s">
        <v>790</v>
      </c>
      <c r="Q7" s="4"/>
      <c r="R7" s="4"/>
      <c r="S7" s="4"/>
      <c r="T7" s="7" t="str">
        <f>'Table Seed Map'!$A$24&amp;"-"&amp;COUNT($W$1:ListExtras[[#This Row],[Scope ID]])</f>
        <v>List Scopes-5</v>
      </c>
      <c r="U7" s="61">
        <f>IF(ListExtras[[#This Row],[LID]]=0,"id",IF(ListExtras[[#This Row],[Scope ID]]="","",COUNT($W$2:ListExtras[[#This Row],[Scope ID]])+IF(ISNUMBER(VLOOKUP('Table Seed Map'!$A$24,SeedMap[],9,0)),VLOOKUP('Table Seed Map'!$A$24,SeedMap[],9,0),0)))</f>
        <v>50005</v>
      </c>
      <c r="V7" s="61">
        <f>IF(ListExtras[[#This Row],[LID]]=0,"resource_list",ListExtras[[#This Row],[LID]])</f>
        <v>50008</v>
      </c>
      <c r="W7" s="61">
        <f>IFERROR(VLOOKUP(ListExtras[[#This Row],[Scope Name]],ResourceScopes[[ScopesDisplayNames]:[No]],2,0),IF(ListExtras[[#This Row],[LID]]=0,"scope",""))</f>
        <v>50005</v>
      </c>
      <c r="X7" s="7" t="str">
        <f>'Table Seed Map'!$A$25&amp;"-"&amp;COUNT($AA$1:ListExtras[[#This Row],[Relation]])</f>
        <v>List Relation-1</v>
      </c>
      <c r="Y7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50001</v>
      </c>
      <c r="Z7" s="61">
        <f>IF(ListExtras[[#This Row],[LID]]=0,"resource_list",ListExtras[[#This Row],[LID]])</f>
        <v>50008</v>
      </c>
      <c r="AA7" s="61">
        <f>IFERROR(VLOOKUP(ListExtras[[#This Row],[Relation Name]],RelationTable[[Display]:[RELID]],2,0),IF(ListExtras[[#This Row],[LID]]=0,"relation",""))</f>
        <v>50013</v>
      </c>
      <c r="AB7" s="61" t="str">
        <f>IFERROR(VLOOKUP(ListExtras[[#This Row],[R1 Name]],RelationTable[[Display]:[RELID]],2,0),IF(ListExtras[[#This Row],[LID]]=0,"nest_relation1",""))</f>
        <v/>
      </c>
      <c r="AC7" s="61" t="str">
        <f>IFERROR(VLOOKUP(ListExtras[[#This Row],[R2 Name]],RelationTable[[Display]:[RELID]],2,0),IF(ListExtras[[#This Row],[LID]]=0,"nest_relation2",""))</f>
        <v/>
      </c>
      <c r="AD7" s="61" t="str">
        <f>IFERROR(VLOOKUP(ListExtras[[#This Row],[R3 Name]],RelationTable[[Display]:[RELID]],2,0),IF(ListExtras[[#This Row],[LID]]=0,"nest_relation3",""))</f>
        <v/>
      </c>
      <c r="AF7" s="61" t="str">
        <f>'Table Seed Map'!$A$27&amp;"-"&amp;COUNTA($AH$1:ListSearch[[#This Row],[No]])-2</f>
        <v>List Search-5</v>
      </c>
      <c r="AG7" s="4" t="s">
        <v>783</v>
      </c>
      <c r="AH7" s="61">
        <f>IF(ListSearch[[#This Row],[List Name for Search]]="","id",IFERROR($AH6+1,IF(ISNUMBER(VLOOKUP('Table Seed Map'!$A$27,SeedMap[],9,0)),VLOOKUP('Table Seed Map'!$A$27,SeedMap[],9,0)+1,1)))</f>
        <v>50005</v>
      </c>
      <c r="AI7" s="61">
        <f>IFERROR(VLOOKUP(ListSearch[[#This Row],[List Name for Search]],ResourceList[[ListDisplayName]:[No]],2,0),"resource_list")</f>
        <v>50005</v>
      </c>
      <c r="AJ7" s="30" t="s">
        <v>28</v>
      </c>
      <c r="AK7" s="61" t="str">
        <f>IF(ListSearch[[#This Row],[List Name for Search]]="","relation",IFERROR(VLOOKUP(ListSearch[[#This Row],[Relation]],RelationTable[[Display]:[RELID]],2,0),""))</f>
        <v/>
      </c>
      <c r="AL7" s="61" t="str">
        <f>IF(ListSearch[[#This Row],[List Name for Search]]="","nest_relation1",IFERROR(VLOOKUP(ListSearch[[#This Row],[Relation 1]],RelationTable[[Display]:[RELID]],2,0),""))</f>
        <v/>
      </c>
      <c r="AM7" s="61" t="str">
        <f>IF(ListSearch[[#This Row],[List Name for Search]]="","nest_relation2",IFERROR(VLOOKUP(ListSearch[[#This Row],[Relation 2]],RelationTable[[Display]:[RELID]],2,0),""))</f>
        <v/>
      </c>
      <c r="AN7" s="61" t="str">
        <f>IF(ListSearch[[#This Row],[List Name for Search]]="","nest_relation3",IFERROR(VLOOKUP(ListSearch[[#This Row],[Relation 3]],RelationTable[[Display]:[RELID]],2,0),""))</f>
        <v/>
      </c>
      <c r="AO7" s="30"/>
      <c r="AP7" s="30"/>
      <c r="AQ7" s="30"/>
      <c r="AR7" s="30"/>
      <c r="AT7" s="61" t="str">
        <f>'Table Seed Map'!$A$26&amp;"-"&amp;COUNTA($AV$1:ListLayout[[#This Row],[No]])-2</f>
        <v>List Layout-5</v>
      </c>
      <c r="AU7" s="4" t="s">
        <v>774</v>
      </c>
      <c r="AV7" s="61">
        <f>IF(ListLayout[[#This Row],[List Name for Layout]]="","id",COUNTA($AU$2:ListLayout[[#This Row],[List Name for Layout]])+IF(ISNUMBER(VLOOKUP('Table Seed Map'!$A$26,SeedMap[],9,0)),VLOOKUP('Table Seed Map'!$A$26,SeedMap[],9,0),0))</f>
        <v>50005</v>
      </c>
      <c r="AW7" s="61">
        <f>IFERROR(VLOOKUP(ListLayout[[#This Row],[List Name for Layout]],ResourceList[[ListDisplayName]:[No]],2,0),"resource_list")</f>
        <v>50002</v>
      </c>
      <c r="AX7" s="61" t="s">
        <v>1</v>
      </c>
      <c r="AY7" s="30" t="s">
        <v>26</v>
      </c>
      <c r="AZ7" s="61" t="str">
        <f>IF(ListLayout[[#This Row],[List Name for Layout]]="","relation",IFERROR(VLOOKUP(ListLayout[[#This Row],[Relation]],RelationTable[[Display]:[RELID]],2,0),""))</f>
        <v/>
      </c>
      <c r="BA7" s="61" t="str">
        <f>IF(ListLayout[[#This Row],[List Name for Layout]]="","nest_relation1",IFERROR(VLOOKUP(ListLayout[[#This Row],[Relation 1]],RelationTable[[Display]:[RELID]],2,0),""))</f>
        <v/>
      </c>
      <c r="BB7" s="61" t="str">
        <f>IF(ListLayout[[#This Row],[List Name for Layout]]="","nest_relation2",IFERROR(VLOOKUP(ListLayout[[#This Row],[Relation 2]],RelationTable[[Display]:[RELID]],2,0),""))</f>
        <v/>
      </c>
      <c r="BC7" s="30"/>
      <c r="BD7" s="30"/>
      <c r="BE7" s="30"/>
    </row>
    <row r="8" spans="1:57">
      <c r="A8" s="8" t="str">
        <f>'Table Seed Map'!$A$23&amp;"-"&amp;COUNTA($B$1:ResourceList[[#This Row],[Resource Name]])-1</f>
        <v>Resource Lists-6</v>
      </c>
      <c r="B8" s="5" t="s">
        <v>575</v>
      </c>
      <c r="C8" s="8" t="str">
        <f>ResourceList[[#This Row],[Resource Name]]&amp;"/"&amp;ResourceList[[#This Row],[Name]]</f>
        <v>Visitor/VisitorsList</v>
      </c>
      <c r="D8" s="31">
        <f>IF(ResourceList[[#This Row],[Resource Name]]="","id",COUNTA($B$2:ResourceList[[#This Row],[Resource Name]])+IF(ISNUMBER(VLOOKUP('Table Seed Map'!$A$23,SeedMap[],9,0)),VLOOKUP('Table Seed Map'!$A$23,SeedMap[],9,0),0))</f>
        <v>50006</v>
      </c>
      <c r="E8" s="31">
        <f>IFERROR(VLOOKUP(ResourceList[[#This Row],[Resource Name]],ResourceTable[[RName]:[RID]],2,0),"resource")</f>
        <v>50005</v>
      </c>
      <c r="F8" s="32" t="s">
        <v>738</v>
      </c>
      <c r="G8" s="32" t="s">
        <v>739</v>
      </c>
      <c r="H8" s="32" t="s">
        <v>577</v>
      </c>
      <c r="I8" s="32"/>
      <c r="J8" s="32"/>
      <c r="K8" s="34">
        <f>[No]</f>
        <v>50006</v>
      </c>
      <c r="M8" s="4" t="s">
        <v>783</v>
      </c>
      <c r="N8" s="7">
        <f>VLOOKUP(ListExtras[[#This Row],[List Name]],ResourceList[[ListDisplayName]:[No]],2,0)</f>
        <v>50005</v>
      </c>
      <c r="O8" s="4"/>
      <c r="P8" s="4" t="s">
        <v>784</v>
      </c>
      <c r="Q8" s="4"/>
      <c r="R8" s="4"/>
      <c r="S8" s="4"/>
      <c r="T8" s="7" t="str">
        <f>'Table Seed Map'!$A$24&amp;"-"&amp;COUNT($W$1:ListExtras[[#This Row],[Scope ID]])</f>
        <v>List Scopes-5</v>
      </c>
      <c r="U8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8" s="61">
        <f>IF(ListExtras[[#This Row],[LID]]=0,"resource_list",ListExtras[[#This Row],[LID]])</f>
        <v>50005</v>
      </c>
      <c r="W8" s="61" t="str">
        <f>IFERROR(VLOOKUP(ListExtras[[#This Row],[Scope Name]],ResourceScopes[[ScopesDisplayNames]:[No]],2,0),IF(ListExtras[[#This Row],[LID]]=0,"scope",""))</f>
        <v/>
      </c>
      <c r="X8" s="7" t="str">
        <f>'Table Seed Map'!$A$25&amp;"-"&amp;COUNT($AA$1:ListExtras[[#This Row],[Relation]])</f>
        <v>List Relation-2</v>
      </c>
      <c r="Y8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50002</v>
      </c>
      <c r="Z8" s="61">
        <f>IF(ListExtras[[#This Row],[LID]]=0,"resource_list",ListExtras[[#This Row],[LID]])</f>
        <v>50005</v>
      </c>
      <c r="AA8" s="61">
        <f>IFERROR(VLOOKUP(ListExtras[[#This Row],[Relation Name]],RelationTable[[Display]:[RELID]],2,0),IF(ListExtras[[#This Row],[LID]]=0,"relation",""))</f>
        <v>50005</v>
      </c>
      <c r="AB8" s="61" t="str">
        <f>IFERROR(VLOOKUP(ListExtras[[#This Row],[R1 Name]],RelationTable[[Display]:[RELID]],2,0),IF(ListExtras[[#This Row],[LID]]=0,"nest_relation1",""))</f>
        <v/>
      </c>
      <c r="AC8" s="61" t="str">
        <f>IFERROR(VLOOKUP(ListExtras[[#This Row],[R2 Name]],RelationTable[[Display]:[RELID]],2,0),IF(ListExtras[[#This Row],[LID]]=0,"nest_relation2",""))</f>
        <v/>
      </c>
      <c r="AD8" s="61" t="str">
        <f>IFERROR(VLOOKUP(ListExtras[[#This Row],[R3 Name]],RelationTable[[Display]:[RELID]],2,0),IF(ListExtras[[#This Row],[LID]]=0,"nest_relation3",""))</f>
        <v/>
      </c>
      <c r="AF8" s="61" t="str">
        <f>'Table Seed Map'!$A$27&amp;"-"&amp;COUNTA($AH$1:ListSearch[[#This Row],[No]])-2</f>
        <v>List Search-6</v>
      </c>
      <c r="AG8" s="4" t="s">
        <v>796</v>
      </c>
      <c r="AH8" s="61">
        <f>IF(ListSearch[[#This Row],[List Name for Search]]="","id",IFERROR($AH7+1,IF(ISNUMBER(VLOOKUP('Table Seed Map'!$A$27,SeedMap[],9,0)),VLOOKUP('Table Seed Map'!$A$27,SeedMap[],9,0)+1,1)))</f>
        <v>50006</v>
      </c>
      <c r="AI8" s="61">
        <f>IFERROR(VLOOKUP(ListSearch[[#This Row],[List Name for Search]],ResourceList[[ListDisplayName]:[No]],2,0),"resource_list")</f>
        <v>50006</v>
      </c>
      <c r="AJ8" s="30" t="s">
        <v>26</v>
      </c>
      <c r="AK8" s="61" t="str">
        <f>IF(ListSearch[[#This Row],[List Name for Search]]="","relation",IFERROR(VLOOKUP(ListSearch[[#This Row],[Relation]],RelationTable[[Display]:[RELID]],2,0),""))</f>
        <v/>
      </c>
      <c r="AL8" s="61" t="str">
        <f>IF(ListSearch[[#This Row],[List Name for Search]]="","nest_relation1",IFERROR(VLOOKUP(ListSearch[[#This Row],[Relation 1]],RelationTable[[Display]:[RELID]],2,0),""))</f>
        <v/>
      </c>
      <c r="AM8" s="61" t="str">
        <f>IF(ListSearch[[#This Row],[List Name for Search]]="","nest_relation2",IFERROR(VLOOKUP(ListSearch[[#This Row],[Relation 2]],RelationTable[[Display]:[RELID]],2,0),""))</f>
        <v/>
      </c>
      <c r="AN8" s="61" t="str">
        <f>IF(ListSearch[[#This Row],[List Name for Search]]="","nest_relation3",IFERROR(VLOOKUP(ListSearch[[#This Row],[Relation 3]],RelationTable[[Display]:[RELID]],2,0),""))</f>
        <v/>
      </c>
      <c r="AO8" s="30"/>
      <c r="AP8" s="30"/>
      <c r="AQ8" s="30"/>
      <c r="AR8" s="30"/>
      <c r="AT8" s="61" t="str">
        <f>'Table Seed Map'!$A$26&amp;"-"&amp;COUNTA($AV$1:ListLayout[[#This Row],[No]])-2</f>
        <v>List Layout-6</v>
      </c>
      <c r="AU8" s="4" t="s">
        <v>774</v>
      </c>
      <c r="AV8" s="61">
        <f>IF(ListLayout[[#This Row],[List Name for Layout]]="","id",COUNTA($AU$2:ListLayout[[#This Row],[List Name for Layout]])+IF(ISNUMBER(VLOOKUP('Table Seed Map'!$A$26,SeedMap[],9,0)),VLOOKUP('Table Seed Map'!$A$26,SeedMap[],9,0),0))</f>
        <v>50006</v>
      </c>
      <c r="AW8" s="61">
        <f>IFERROR(VLOOKUP(ListLayout[[#This Row],[List Name for Layout]],ResourceList[[ListDisplayName]:[No]],2,0),"resource_list")</f>
        <v>50002</v>
      </c>
      <c r="AX8" s="61" t="s">
        <v>798</v>
      </c>
      <c r="AY8" s="30" t="s">
        <v>52</v>
      </c>
      <c r="AZ8" s="61" t="str">
        <f>IF(ListLayout[[#This Row],[List Name for Layout]]="","relation",IFERROR(VLOOKUP(ListLayout[[#This Row],[Relation]],RelationTable[[Display]:[RELID]],2,0),""))</f>
        <v/>
      </c>
      <c r="BA8" s="61" t="str">
        <f>IF(ListLayout[[#This Row],[List Name for Layout]]="","nest_relation1",IFERROR(VLOOKUP(ListLayout[[#This Row],[Relation 1]],RelationTable[[Display]:[RELID]],2,0),""))</f>
        <v/>
      </c>
      <c r="BB8" s="61" t="str">
        <f>IF(ListLayout[[#This Row],[List Name for Layout]]="","nest_relation2",IFERROR(VLOOKUP(ListLayout[[#This Row],[Relation 2]],RelationTable[[Display]:[RELID]],2,0),""))</f>
        <v/>
      </c>
      <c r="BC8" s="30"/>
      <c r="BD8" s="30"/>
      <c r="BE8" s="30"/>
    </row>
    <row r="9" spans="1:57">
      <c r="A9" s="8" t="str">
        <f>'Table Seed Map'!$A$23&amp;"-"&amp;COUNTA($B$1:ResourceList[[#This Row],[Resource Name]])-1</f>
        <v>Resource Lists-7</v>
      </c>
      <c r="B9" s="5" t="s">
        <v>578</v>
      </c>
      <c r="C9" s="8" t="str">
        <f>ResourceList[[#This Row],[Resource Name]]&amp;"/"&amp;ResourceList[[#This Row],[Name]]</f>
        <v>Wishlist/WishlistsList</v>
      </c>
      <c r="D9" s="31">
        <f>IF(ResourceList[[#This Row],[Resource Name]]="","id",COUNTA($B$2:ResourceList[[#This Row],[Resource Name]])+IF(ISNUMBER(VLOOKUP('Table Seed Map'!$A$23,SeedMap[],9,0)),VLOOKUP('Table Seed Map'!$A$23,SeedMap[],9,0),0))</f>
        <v>50007</v>
      </c>
      <c r="E9" s="31">
        <f>IFERROR(VLOOKUP(ResourceList[[#This Row],[Resource Name]],ResourceTable[[RName]:[RID]],2,0),"resource")</f>
        <v>50006</v>
      </c>
      <c r="F9" s="32" t="s">
        <v>740</v>
      </c>
      <c r="G9" s="32" t="s">
        <v>741</v>
      </c>
      <c r="H9" s="32" t="s">
        <v>580</v>
      </c>
      <c r="I9" s="32"/>
      <c r="J9" s="32"/>
      <c r="K9" s="34">
        <f>[No]</f>
        <v>50007</v>
      </c>
      <c r="M9" s="4" t="s">
        <v>783</v>
      </c>
      <c r="N9" s="7">
        <f>VLOOKUP(ListExtras[[#This Row],[List Name]],ResourceList[[ListDisplayName]:[No]],2,0)</f>
        <v>50005</v>
      </c>
      <c r="O9" s="4"/>
      <c r="P9" s="4" t="s">
        <v>785</v>
      </c>
      <c r="Q9" s="4"/>
      <c r="R9" s="4"/>
      <c r="S9" s="4"/>
      <c r="T9" s="7" t="str">
        <f>'Table Seed Map'!$A$24&amp;"-"&amp;COUNT($W$1:ListExtras[[#This Row],[Scope ID]])</f>
        <v>List Scopes-5</v>
      </c>
      <c r="U9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9" s="61">
        <f>IF(ListExtras[[#This Row],[LID]]=0,"resource_list",ListExtras[[#This Row],[LID]])</f>
        <v>50005</v>
      </c>
      <c r="W9" s="61" t="str">
        <f>IFERROR(VLOOKUP(ListExtras[[#This Row],[Scope Name]],ResourceScopes[[ScopesDisplayNames]:[No]],2,0),IF(ListExtras[[#This Row],[LID]]=0,"scope",""))</f>
        <v/>
      </c>
      <c r="X9" s="7" t="str">
        <f>'Table Seed Map'!$A$25&amp;"-"&amp;COUNT($AA$1:ListExtras[[#This Row],[Relation]])</f>
        <v>List Relation-3</v>
      </c>
      <c r="Y9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50003</v>
      </c>
      <c r="Z9" s="61">
        <f>IF(ListExtras[[#This Row],[LID]]=0,"resource_list",ListExtras[[#This Row],[LID]])</f>
        <v>50005</v>
      </c>
      <c r="AA9" s="61">
        <f>IFERROR(VLOOKUP(ListExtras[[#This Row],[Relation Name]],RelationTable[[Display]:[RELID]],2,0),IF(ListExtras[[#This Row],[LID]]=0,"relation",""))</f>
        <v>50006</v>
      </c>
      <c r="AB9" s="61" t="str">
        <f>IFERROR(VLOOKUP(ListExtras[[#This Row],[R1 Name]],RelationTable[[Display]:[RELID]],2,0),IF(ListExtras[[#This Row],[LID]]=0,"nest_relation1",""))</f>
        <v/>
      </c>
      <c r="AC9" s="61" t="str">
        <f>IFERROR(VLOOKUP(ListExtras[[#This Row],[R2 Name]],RelationTable[[Display]:[RELID]],2,0),IF(ListExtras[[#This Row],[LID]]=0,"nest_relation2",""))</f>
        <v/>
      </c>
      <c r="AD9" s="61" t="str">
        <f>IFERROR(VLOOKUP(ListExtras[[#This Row],[R3 Name]],RelationTable[[Display]:[RELID]],2,0),IF(ListExtras[[#This Row],[LID]]=0,"nest_relation3",""))</f>
        <v/>
      </c>
      <c r="AF9" s="61" t="str">
        <f>'Table Seed Map'!$A$27&amp;"-"&amp;COUNTA($AH$1:ListSearch[[#This Row],[No]])-2</f>
        <v>List Search-7</v>
      </c>
      <c r="AG9" s="4" t="s">
        <v>796</v>
      </c>
      <c r="AH9" s="61">
        <f>IF(ListSearch[[#This Row],[List Name for Search]]="","id",IFERROR($AH8+1,IF(ISNUMBER(VLOOKUP('Table Seed Map'!$A$27,SeedMap[],9,0)),VLOOKUP('Table Seed Map'!$A$27,SeedMap[],9,0)+1,1)))</f>
        <v>50007</v>
      </c>
      <c r="AI9" s="61">
        <f>IFERROR(VLOOKUP(ListSearch[[#This Row],[List Name for Search]],ResourceList[[ListDisplayName]:[No]],2,0),"resource_list")</f>
        <v>50006</v>
      </c>
      <c r="AJ9" s="30" t="s">
        <v>101</v>
      </c>
      <c r="AK9" s="61" t="str">
        <f>IF(ListSearch[[#This Row],[List Name for Search]]="","relation",IFERROR(VLOOKUP(ListSearch[[#This Row],[Relation]],RelationTable[[Display]:[RELID]],2,0),""))</f>
        <v/>
      </c>
      <c r="AL9" s="61" t="str">
        <f>IF(ListSearch[[#This Row],[List Name for Search]]="","nest_relation1",IFERROR(VLOOKUP(ListSearch[[#This Row],[Relation 1]],RelationTable[[Display]:[RELID]],2,0),""))</f>
        <v/>
      </c>
      <c r="AM9" s="61" t="str">
        <f>IF(ListSearch[[#This Row],[List Name for Search]]="","nest_relation2",IFERROR(VLOOKUP(ListSearch[[#This Row],[Relation 2]],RelationTable[[Display]:[RELID]],2,0),""))</f>
        <v/>
      </c>
      <c r="AN9" s="61" t="str">
        <f>IF(ListSearch[[#This Row],[List Name for Search]]="","nest_relation3",IFERROR(VLOOKUP(ListSearch[[#This Row],[Relation 3]],RelationTable[[Display]:[RELID]],2,0),""))</f>
        <v/>
      </c>
      <c r="AO9" s="30"/>
      <c r="AP9" s="30"/>
      <c r="AQ9" s="30"/>
      <c r="AR9" s="30"/>
      <c r="AT9" s="61" t="str">
        <f>'Table Seed Map'!$A$26&amp;"-"&amp;COUNTA($AV$1:ListLayout[[#This Row],[No]])-2</f>
        <v>List Layout-7</v>
      </c>
      <c r="AU9" s="4" t="s">
        <v>774</v>
      </c>
      <c r="AV9" s="61">
        <f>IF(ListLayout[[#This Row],[List Name for Layout]]="","id",COUNTA($AU$2:ListLayout[[#This Row],[List Name for Layout]])+IF(ISNUMBER(VLOOKUP('Table Seed Map'!$A$26,SeedMap[],9,0)),VLOOKUP('Table Seed Map'!$A$26,SeedMap[],9,0),0))</f>
        <v>50007</v>
      </c>
      <c r="AW9" s="61">
        <f>IFERROR(VLOOKUP(ListLayout[[#This Row],[List Name for Layout]],ResourceList[[ListDisplayName]:[No]],2,0),"resource_list")</f>
        <v>50002</v>
      </c>
      <c r="AX9" s="61" t="s">
        <v>14</v>
      </c>
      <c r="AY9" s="30" t="s">
        <v>45</v>
      </c>
      <c r="AZ9" s="61" t="str">
        <f>IF(ListLayout[[#This Row],[List Name for Layout]]="","relation",IFERROR(VLOOKUP(ListLayout[[#This Row],[Relation]],RelationTable[[Display]:[RELID]],2,0),""))</f>
        <v/>
      </c>
      <c r="BA9" s="61" t="str">
        <f>IF(ListLayout[[#This Row],[List Name for Layout]]="","nest_relation1",IFERROR(VLOOKUP(ListLayout[[#This Row],[Relation 1]],RelationTable[[Display]:[RELID]],2,0),""))</f>
        <v/>
      </c>
      <c r="BB9" s="61" t="str">
        <f>IF(ListLayout[[#This Row],[List Name for Layout]]="","nest_relation2",IFERROR(VLOOKUP(ListLayout[[#This Row],[Relation 2]],RelationTable[[Display]:[RELID]],2,0),""))</f>
        <v/>
      </c>
      <c r="BC9" s="30"/>
      <c r="BD9" s="30"/>
      <c r="BE9" s="30"/>
    </row>
    <row r="10" spans="1:57">
      <c r="A10" s="8" t="str">
        <f>'Table Seed Map'!$A$23&amp;"-"&amp;COUNTA($B$1:ResourceList[[#This Row],[Resource Name]])-1</f>
        <v>Resource Lists-8</v>
      </c>
      <c r="B10" s="5" t="s">
        <v>578</v>
      </c>
      <c r="C10" s="8" t="str">
        <f>ResourceList[[#This Row],[Resource Name]]&amp;"/"&amp;ResourceList[[#This Row],[Name]]</f>
        <v>Wishlist/VendorWishlist</v>
      </c>
      <c r="D10" s="31">
        <f>IF(ResourceList[[#This Row],[Resource Name]]="","id",COUNTA($B$2:ResourceList[[#This Row],[Resource Name]])+IF(ISNUMBER(VLOOKUP('Table Seed Map'!$A$23,SeedMap[],9,0)),VLOOKUP('Table Seed Map'!$A$23,SeedMap[],9,0),0))</f>
        <v>50008</v>
      </c>
      <c r="E10" s="31">
        <f>IFERROR(VLOOKUP(ResourceList[[#This Row],[Resource Name]],ResourceTable[[RName]:[RID]],2,0),"resource")</f>
        <v>50006</v>
      </c>
      <c r="F10" s="32" t="s">
        <v>581</v>
      </c>
      <c r="G10" s="32" t="s">
        <v>742</v>
      </c>
      <c r="H10" s="32" t="s">
        <v>580</v>
      </c>
      <c r="I10" s="32"/>
      <c r="J10" s="32"/>
      <c r="K10" s="34">
        <f>[No]</f>
        <v>50008</v>
      </c>
      <c r="M10" s="4" t="s">
        <v>783</v>
      </c>
      <c r="N10" s="7">
        <f>VLOOKUP(ListExtras[[#This Row],[List Name]],ResourceList[[ListDisplayName]:[No]],2,0)</f>
        <v>50005</v>
      </c>
      <c r="O10" s="4"/>
      <c r="P10" s="4" t="s">
        <v>786</v>
      </c>
      <c r="Q10" s="4"/>
      <c r="R10" s="4"/>
      <c r="S10" s="4"/>
      <c r="T10" s="7" t="str">
        <f>'Table Seed Map'!$A$24&amp;"-"&amp;COUNT($W$1:ListExtras[[#This Row],[Scope ID]])</f>
        <v>List Scopes-5</v>
      </c>
      <c r="U10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0" s="61">
        <f>IF(ListExtras[[#This Row],[LID]]=0,"resource_list",ListExtras[[#This Row],[LID]])</f>
        <v>50005</v>
      </c>
      <c r="W10" s="61" t="str">
        <f>IFERROR(VLOOKUP(ListExtras[[#This Row],[Scope Name]],ResourceScopes[[ScopesDisplayNames]:[No]],2,0),IF(ListExtras[[#This Row],[LID]]=0,"scope",""))</f>
        <v/>
      </c>
      <c r="X10" s="7" t="str">
        <f>'Table Seed Map'!$A$25&amp;"-"&amp;COUNT($AA$1:ListExtras[[#This Row],[Relation]])</f>
        <v>List Relation-4</v>
      </c>
      <c r="Y10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50004</v>
      </c>
      <c r="Z10" s="61">
        <f>IF(ListExtras[[#This Row],[LID]]=0,"resource_list",ListExtras[[#This Row],[LID]])</f>
        <v>50005</v>
      </c>
      <c r="AA10" s="61">
        <f>IFERROR(VLOOKUP(ListExtras[[#This Row],[Relation Name]],RelationTable[[Display]:[RELID]],2,0),IF(ListExtras[[#This Row],[LID]]=0,"relation",""))</f>
        <v>50007</v>
      </c>
      <c r="AB10" s="61" t="str">
        <f>IFERROR(VLOOKUP(ListExtras[[#This Row],[R1 Name]],RelationTable[[Display]:[RELID]],2,0),IF(ListExtras[[#This Row],[LID]]=0,"nest_relation1",""))</f>
        <v/>
      </c>
      <c r="AC10" s="61" t="str">
        <f>IFERROR(VLOOKUP(ListExtras[[#This Row],[R2 Name]],RelationTable[[Display]:[RELID]],2,0),IF(ListExtras[[#This Row],[LID]]=0,"nest_relation2",""))</f>
        <v/>
      </c>
      <c r="AD10" s="61" t="str">
        <f>IFERROR(VLOOKUP(ListExtras[[#This Row],[R3 Name]],RelationTable[[Display]:[RELID]],2,0),IF(ListExtras[[#This Row],[LID]]=0,"nest_relation3",""))</f>
        <v/>
      </c>
      <c r="AF10" s="61" t="str">
        <f>'Table Seed Map'!$A$27&amp;"-"&amp;COUNTA($AH$1:ListSearch[[#This Row],[No]])-2</f>
        <v>List Search-8</v>
      </c>
      <c r="AG10" s="4" t="s">
        <v>796</v>
      </c>
      <c r="AH10" s="61">
        <f>IF(ListSearch[[#This Row],[List Name for Search]]="","id",IFERROR($AH9+1,IF(ISNUMBER(VLOOKUP('Table Seed Map'!$A$27,SeedMap[],9,0)),VLOOKUP('Table Seed Map'!$A$27,SeedMap[],9,0)+1,1)))</f>
        <v>50008</v>
      </c>
      <c r="AI10" s="61">
        <f>IFERROR(VLOOKUP(ListSearch[[#This Row],[List Name for Search]],ResourceList[[ListDisplayName]:[No]],2,0),"resource_list")</f>
        <v>50006</v>
      </c>
      <c r="AJ10" s="30" t="s">
        <v>471</v>
      </c>
      <c r="AK10" s="61" t="str">
        <f>IF(ListSearch[[#This Row],[List Name for Search]]="","relation",IFERROR(VLOOKUP(ListSearch[[#This Row],[Relation]],RelationTable[[Display]:[RELID]],2,0),""))</f>
        <v/>
      </c>
      <c r="AL10" s="61" t="str">
        <f>IF(ListSearch[[#This Row],[List Name for Search]]="","nest_relation1",IFERROR(VLOOKUP(ListSearch[[#This Row],[Relation 1]],RelationTable[[Display]:[RELID]],2,0),""))</f>
        <v/>
      </c>
      <c r="AM10" s="61" t="str">
        <f>IF(ListSearch[[#This Row],[List Name for Search]]="","nest_relation2",IFERROR(VLOOKUP(ListSearch[[#This Row],[Relation 2]],RelationTable[[Display]:[RELID]],2,0),""))</f>
        <v/>
      </c>
      <c r="AN10" s="61" t="str">
        <f>IF(ListSearch[[#This Row],[List Name for Search]]="","nest_relation3",IFERROR(VLOOKUP(ListSearch[[#This Row],[Relation 3]],RelationTable[[Display]:[RELID]],2,0),""))</f>
        <v/>
      </c>
      <c r="AO10" s="30"/>
      <c r="AP10" s="30"/>
      <c r="AQ10" s="30"/>
      <c r="AR10" s="30"/>
      <c r="AT10" s="61" t="str">
        <f>'Table Seed Map'!$A$26&amp;"-"&amp;COUNTA($AV$1:ListLayout[[#This Row],[No]])-2</f>
        <v>List Layout-8</v>
      </c>
      <c r="AU10" s="4" t="s">
        <v>774</v>
      </c>
      <c r="AV10" s="61">
        <f>IF(ListLayout[[#This Row],[List Name for Layout]]="","id",COUNTA($AU$2:ListLayout[[#This Row],[List Name for Layout]])+IF(ISNUMBER(VLOOKUP('Table Seed Map'!$A$26,SeedMap[],9,0)),VLOOKUP('Table Seed Map'!$A$26,SeedMap[],9,0),0))</f>
        <v>50008</v>
      </c>
      <c r="AW10" s="61">
        <f>IFERROR(VLOOKUP(ListLayout[[#This Row],[List Name for Layout]],ResourceList[[ListDisplayName]:[No]],2,0),"resource_list")</f>
        <v>50002</v>
      </c>
      <c r="AX10" s="61" t="s">
        <v>799</v>
      </c>
      <c r="AY10" s="30" t="s">
        <v>453</v>
      </c>
      <c r="AZ10" s="61" t="str">
        <f>IF(ListLayout[[#This Row],[List Name for Layout]]="","relation",IFERROR(VLOOKUP(ListLayout[[#This Row],[Relation]],RelationTable[[Display]:[RELID]],2,0),""))</f>
        <v/>
      </c>
      <c r="BA10" s="61" t="str">
        <f>IF(ListLayout[[#This Row],[List Name for Layout]]="","nest_relation1",IFERROR(VLOOKUP(ListLayout[[#This Row],[Relation 1]],RelationTable[[Display]:[RELID]],2,0),""))</f>
        <v/>
      </c>
      <c r="BB10" s="61" t="str">
        <f>IF(ListLayout[[#This Row],[List Name for Layout]]="","nest_relation2",IFERROR(VLOOKUP(ListLayout[[#This Row],[Relation 2]],RelationTable[[Display]:[RELID]],2,0),""))</f>
        <v/>
      </c>
      <c r="BC10" s="30"/>
      <c r="BD10" s="30"/>
      <c r="BE10" s="30"/>
    </row>
    <row r="11" spans="1:57">
      <c r="A11" s="8" t="str">
        <f>'Table Seed Map'!$A$23&amp;"-"&amp;COUNTA($B$1:ResourceList[[#This Row],[Resource Name]])-1</f>
        <v>Resource Lists-9</v>
      </c>
      <c r="B11" s="5" t="s">
        <v>585</v>
      </c>
      <c r="C11" s="8" t="str">
        <f>ResourceList[[#This Row],[Resource Name]]&amp;"/"&amp;ResourceList[[#This Row],[Name]]</f>
        <v>WishlistNote/WishlistNotesList</v>
      </c>
      <c r="D11" s="31">
        <f>IF(ResourceList[[#This Row],[Resource Name]]="","id",COUNTA($B$2:ResourceList[[#This Row],[Resource Name]])+IF(ISNUMBER(VLOOKUP('Table Seed Map'!$A$23,SeedMap[],9,0)),VLOOKUP('Table Seed Map'!$A$23,SeedMap[],9,0),0))</f>
        <v>50009</v>
      </c>
      <c r="E11" s="31">
        <f>IFERROR(VLOOKUP(ResourceList[[#This Row],[Resource Name]],ResourceTable[[RName]:[RID]],2,0),"resource")</f>
        <v>50009</v>
      </c>
      <c r="F11" s="32" t="s">
        <v>743</v>
      </c>
      <c r="G11" s="32" t="s">
        <v>744</v>
      </c>
      <c r="H11" s="32" t="s">
        <v>745</v>
      </c>
      <c r="I11" s="32"/>
      <c r="J11" s="32"/>
      <c r="K11" s="34">
        <f>[No]</f>
        <v>50009</v>
      </c>
      <c r="M11" s="4" t="s">
        <v>783</v>
      </c>
      <c r="N11" s="7">
        <f>VLOOKUP(ListExtras[[#This Row],[List Name]],ResourceList[[ListDisplayName]:[No]],2,0)</f>
        <v>50005</v>
      </c>
      <c r="O11" s="4"/>
      <c r="P11" s="4" t="s">
        <v>787</v>
      </c>
      <c r="Q11" s="4"/>
      <c r="R11" s="4"/>
      <c r="S11" s="4"/>
      <c r="T11" s="7" t="str">
        <f>'Table Seed Map'!$A$24&amp;"-"&amp;COUNT($W$1:ListExtras[[#This Row],[Scope ID]])</f>
        <v>List Scopes-5</v>
      </c>
      <c r="U11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1" s="61">
        <f>IF(ListExtras[[#This Row],[LID]]=0,"resource_list",ListExtras[[#This Row],[LID]])</f>
        <v>50005</v>
      </c>
      <c r="W11" s="61" t="str">
        <f>IFERROR(VLOOKUP(ListExtras[[#This Row],[Scope Name]],ResourceScopes[[ScopesDisplayNames]:[No]],2,0),IF(ListExtras[[#This Row],[LID]]=0,"scope",""))</f>
        <v/>
      </c>
      <c r="X11" s="7" t="str">
        <f>'Table Seed Map'!$A$25&amp;"-"&amp;COUNT($AA$1:ListExtras[[#This Row],[Relation]])</f>
        <v>List Relation-5</v>
      </c>
      <c r="Y11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50005</v>
      </c>
      <c r="Z11" s="61">
        <f>IF(ListExtras[[#This Row],[LID]]=0,"resource_list",ListExtras[[#This Row],[LID]])</f>
        <v>50005</v>
      </c>
      <c r="AA11" s="61">
        <f>IFERROR(VLOOKUP(ListExtras[[#This Row],[Relation Name]],RelationTable[[Display]:[RELID]],2,0),IF(ListExtras[[#This Row],[LID]]=0,"relation",""))</f>
        <v>50008</v>
      </c>
      <c r="AB11" s="61" t="str">
        <f>IFERROR(VLOOKUP(ListExtras[[#This Row],[R1 Name]],RelationTable[[Display]:[RELID]],2,0),IF(ListExtras[[#This Row],[LID]]=0,"nest_relation1",""))</f>
        <v/>
      </c>
      <c r="AC11" s="61" t="str">
        <f>IFERROR(VLOOKUP(ListExtras[[#This Row],[R2 Name]],RelationTable[[Display]:[RELID]],2,0),IF(ListExtras[[#This Row],[LID]]=0,"nest_relation2",""))</f>
        <v/>
      </c>
      <c r="AD11" s="61" t="str">
        <f>IFERROR(VLOOKUP(ListExtras[[#This Row],[R3 Name]],RelationTable[[Display]:[RELID]],2,0),IF(ListExtras[[#This Row],[LID]]=0,"nest_relation3",""))</f>
        <v/>
      </c>
      <c r="AF11" s="61" t="str">
        <f>'Table Seed Map'!$A$27&amp;"-"&amp;COUNTA($AH$1:ListSearch[[#This Row],[No]])-2</f>
        <v>List Search-9</v>
      </c>
      <c r="AG11" s="4" t="s">
        <v>788</v>
      </c>
      <c r="AH11" s="61">
        <f>IF(ListSearch[[#This Row],[List Name for Search]]="","id",IFERROR($AH10+1,IF(ISNUMBER(VLOOKUP('Table Seed Map'!$A$27,SeedMap[],9,0)),VLOOKUP('Table Seed Map'!$A$27,SeedMap[],9,0)+1,1)))</f>
        <v>50009</v>
      </c>
      <c r="AI11" s="61">
        <f>IFERROR(VLOOKUP(ListSearch[[#This Row],[List Name for Search]],ResourceList[[ListDisplayName]:[No]],2,0),"resource_list")</f>
        <v>50007</v>
      </c>
      <c r="AJ11" s="30" t="s">
        <v>26</v>
      </c>
      <c r="AK11" s="61" t="str">
        <f>IF(ListSearch[[#This Row],[List Name for Search]]="","relation",IFERROR(VLOOKUP(ListSearch[[#This Row],[Relation]],RelationTable[[Display]:[RELID]],2,0),""))</f>
        <v/>
      </c>
      <c r="AL11" s="61" t="str">
        <f>IF(ListSearch[[#This Row],[List Name for Search]]="","nest_relation1",IFERROR(VLOOKUP(ListSearch[[#This Row],[Relation 1]],RelationTable[[Display]:[RELID]],2,0),""))</f>
        <v/>
      </c>
      <c r="AM11" s="61" t="str">
        <f>IF(ListSearch[[#This Row],[List Name for Search]]="","nest_relation2",IFERROR(VLOOKUP(ListSearch[[#This Row],[Relation 2]],RelationTable[[Display]:[RELID]],2,0),""))</f>
        <v/>
      </c>
      <c r="AN11" s="61" t="str">
        <f>IF(ListSearch[[#This Row],[List Name for Search]]="","nest_relation3",IFERROR(VLOOKUP(ListSearch[[#This Row],[Relation 3]],RelationTable[[Display]:[RELID]],2,0),""))</f>
        <v/>
      </c>
      <c r="AO11" s="30"/>
      <c r="AP11" s="30"/>
      <c r="AQ11" s="30"/>
      <c r="AR11" s="30"/>
      <c r="AT11" s="61" t="str">
        <f>'Table Seed Map'!$A$26&amp;"-"&amp;COUNTA($AV$1:ListLayout[[#This Row],[No]])-2</f>
        <v>List Layout-9</v>
      </c>
      <c r="AU11" s="4" t="s">
        <v>775</v>
      </c>
      <c r="AV11" s="61">
        <f>IF(ListLayout[[#This Row],[List Name for Layout]]="","id",COUNTA($AU$2:ListLayout[[#This Row],[List Name for Layout]])+IF(ISNUMBER(VLOOKUP('Table Seed Map'!$A$26,SeedMap[],9,0)),VLOOKUP('Table Seed Map'!$A$26,SeedMap[],9,0),0))</f>
        <v>50009</v>
      </c>
      <c r="AW11" s="61">
        <f>IFERROR(VLOOKUP(ListLayout[[#This Row],[List Name for Layout]],ResourceList[[ListDisplayName]:[No]],2,0),"resource_list")</f>
        <v>50003</v>
      </c>
      <c r="AX11" s="61" t="s">
        <v>1</v>
      </c>
      <c r="AY11" s="30" t="s">
        <v>26</v>
      </c>
      <c r="AZ11" s="61" t="str">
        <f>IF(ListLayout[[#This Row],[List Name for Layout]]="","relation",IFERROR(VLOOKUP(ListLayout[[#This Row],[Relation]],RelationTable[[Display]:[RELID]],2,0),""))</f>
        <v/>
      </c>
      <c r="BA11" s="61" t="str">
        <f>IF(ListLayout[[#This Row],[List Name for Layout]]="","nest_relation1",IFERROR(VLOOKUP(ListLayout[[#This Row],[Relation 1]],RelationTable[[Display]:[RELID]],2,0),""))</f>
        <v/>
      </c>
      <c r="BB11" s="61" t="str">
        <f>IF(ListLayout[[#This Row],[List Name for Layout]]="","nest_relation2",IFERROR(VLOOKUP(ListLayout[[#This Row],[Relation 2]],RelationTable[[Display]:[RELID]],2,0),""))</f>
        <v/>
      </c>
      <c r="BC11" s="30"/>
      <c r="BD11" s="30"/>
      <c r="BE11" s="30"/>
    </row>
    <row r="12" spans="1:57">
      <c r="A12" s="8" t="str">
        <f>'Table Seed Map'!$A$23&amp;"-"&amp;COUNTA($B$1:ResourceList[[#This Row],[Resource Name]])-1</f>
        <v>Resource Lists-10</v>
      </c>
      <c r="B12" s="5" t="s">
        <v>572</v>
      </c>
      <c r="C12" s="8" t="str">
        <f>ResourceList[[#This Row],[Resource Name]]&amp;"/"&amp;ResourceList[[#This Row],[Name]]</f>
        <v>ProductImage/ProductImagesList</v>
      </c>
      <c r="D12" s="31">
        <f>IF(ResourceList[[#This Row],[Resource Name]]="","id",COUNTA($B$2:ResourceList[[#This Row],[Resource Name]])+IF(ISNUMBER(VLOOKUP('Table Seed Map'!$A$23,SeedMap[],9,0)),VLOOKUP('Table Seed Map'!$A$23,SeedMap[],9,0),0))</f>
        <v>50010</v>
      </c>
      <c r="E12" s="31">
        <f>IFERROR(VLOOKUP(ResourceList[[#This Row],[Resource Name]],ResourceTable[[RName]:[RID]],2,0),"resource")</f>
        <v>50004</v>
      </c>
      <c r="F12" s="32" t="s">
        <v>746</v>
      </c>
      <c r="G12" s="32" t="s">
        <v>747</v>
      </c>
      <c r="H12" s="32" t="s">
        <v>603</v>
      </c>
      <c r="I12" s="32">
        <v>10</v>
      </c>
      <c r="J12" s="32"/>
      <c r="K12" s="34">
        <f>[No]</f>
        <v>50010</v>
      </c>
      <c r="M12" s="4" t="s">
        <v>788</v>
      </c>
      <c r="N12" s="7">
        <f>VLOOKUP(ListExtras[[#This Row],[List Name]],ResourceList[[ListDisplayName]:[No]],2,0)</f>
        <v>50007</v>
      </c>
      <c r="O12" s="4"/>
      <c r="P12" s="4" t="s">
        <v>790</v>
      </c>
      <c r="Q12" s="4"/>
      <c r="R12" s="4"/>
      <c r="S12" s="4"/>
      <c r="T12" s="7" t="str">
        <f>'Table Seed Map'!$A$24&amp;"-"&amp;COUNT($W$1:ListExtras[[#This Row],[Scope ID]])</f>
        <v>List Scopes-5</v>
      </c>
      <c r="U12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2" s="61">
        <f>IF(ListExtras[[#This Row],[LID]]=0,"resource_list",ListExtras[[#This Row],[LID]])</f>
        <v>50007</v>
      </c>
      <c r="W12" s="61" t="str">
        <f>IFERROR(VLOOKUP(ListExtras[[#This Row],[Scope Name]],ResourceScopes[[ScopesDisplayNames]:[No]],2,0),IF(ListExtras[[#This Row],[LID]]=0,"scope",""))</f>
        <v/>
      </c>
      <c r="X12" s="7" t="str">
        <f>'Table Seed Map'!$A$25&amp;"-"&amp;COUNT($AA$1:ListExtras[[#This Row],[Relation]])</f>
        <v>List Relation-6</v>
      </c>
      <c r="Y12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50006</v>
      </c>
      <c r="Z12" s="61">
        <f>IF(ListExtras[[#This Row],[LID]]=0,"resource_list",ListExtras[[#This Row],[LID]])</f>
        <v>50007</v>
      </c>
      <c r="AA12" s="61">
        <f>IFERROR(VLOOKUP(ListExtras[[#This Row],[Relation Name]],RelationTable[[Display]:[RELID]],2,0),IF(ListExtras[[#This Row],[LID]]=0,"relation",""))</f>
        <v>50013</v>
      </c>
      <c r="AB12" s="61" t="str">
        <f>IFERROR(VLOOKUP(ListExtras[[#This Row],[R1 Name]],RelationTable[[Display]:[RELID]],2,0),IF(ListExtras[[#This Row],[LID]]=0,"nest_relation1",""))</f>
        <v/>
      </c>
      <c r="AC12" s="61" t="str">
        <f>IFERROR(VLOOKUP(ListExtras[[#This Row],[R2 Name]],RelationTable[[Display]:[RELID]],2,0),IF(ListExtras[[#This Row],[LID]]=0,"nest_relation2",""))</f>
        <v/>
      </c>
      <c r="AD12" s="61" t="str">
        <f>IFERROR(VLOOKUP(ListExtras[[#This Row],[R3 Name]],RelationTable[[Display]:[RELID]],2,0),IF(ListExtras[[#This Row],[LID]]=0,"nest_relation3",""))</f>
        <v/>
      </c>
      <c r="AF12" s="61" t="str">
        <f>'Table Seed Map'!$A$27&amp;"-"&amp;COUNTA($AH$1:ListSearch[[#This Row],[No]])-2</f>
        <v>List Search-10</v>
      </c>
      <c r="AG12" s="4" t="s">
        <v>788</v>
      </c>
      <c r="AH12" s="61">
        <f>IF(ListSearch[[#This Row],[List Name for Search]]="","id",IFERROR($AH11+1,IF(ISNUMBER(VLOOKUP('Table Seed Map'!$A$27,SeedMap[],9,0)),VLOOKUP('Table Seed Map'!$A$27,SeedMap[],9,0)+1,1)))</f>
        <v>50010</v>
      </c>
      <c r="AI12" s="61">
        <f>IFERROR(VLOOKUP(ListSearch[[#This Row],[List Name for Search]],ResourceList[[ListDisplayName]:[No]],2,0),"resource_list")</f>
        <v>50007</v>
      </c>
      <c r="AJ12" s="30" t="s">
        <v>28</v>
      </c>
      <c r="AK12" s="61" t="str">
        <f>IF(ListSearch[[#This Row],[List Name for Search]]="","relation",IFERROR(VLOOKUP(ListSearch[[#This Row],[Relation]],RelationTable[[Display]:[RELID]],2,0),""))</f>
        <v/>
      </c>
      <c r="AL12" s="61" t="str">
        <f>IF(ListSearch[[#This Row],[List Name for Search]]="","nest_relation1",IFERROR(VLOOKUP(ListSearch[[#This Row],[Relation 1]],RelationTable[[Display]:[RELID]],2,0),""))</f>
        <v/>
      </c>
      <c r="AM12" s="61" t="str">
        <f>IF(ListSearch[[#This Row],[List Name for Search]]="","nest_relation2",IFERROR(VLOOKUP(ListSearch[[#This Row],[Relation 2]],RelationTable[[Display]:[RELID]],2,0),""))</f>
        <v/>
      </c>
      <c r="AN12" s="61" t="str">
        <f>IF(ListSearch[[#This Row],[List Name for Search]]="","nest_relation3",IFERROR(VLOOKUP(ListSearch[[#This Row],[Relation 3]],RelationTable[[Display]:[RELID]],2,0),""))</f>
        <v/>
      </c>
      <c r="AO12" s="30"/>
      <c r="AP12" s="30"/>
      <c r="AQ12" s="30"/>
      <c r="AR12" s="30"/>
      <c r="AT12" s="61" t="str">
        <f>'Table Seed Map'!$A$26&amp;"-"&amp;COUNTA($AV$1:ListLayout[[#This Row],[No]])-2</f>
        <v>List Layout-10</v>
      </c>
      <c r="AU12" s="4" t="s">
        <v>775</v>
      </c>
      <c r="AV12" s="61">
        <f>IF(ListLayout[[#This Row],[List Name for Layout]]="","id",COUNTA($AU$2:ListLayout[[#This Row],[List Name for Layout]])+IF(ISNUMBER(VLOOKUP('Table Seed Map'!$A$26,SeedMap[],9,0)),VLOOKUP('Table Seed Map'!$A$26,SeedMap[],9,0),0))</f>
        <v>50010</v>
      </c>
      <c r="AW12" s="61">
        <f>IFERROR(VLOOKUP(ListLayout[[#This Row],[List Name for Layout]],ResourceList[[ListDisplayName]:[No]],2,0),"resource_list")</f>
        <v>50003</v>
      </c>
      <c r="AX12" s="61" t="s">
        <v>798</v>
      </c>
      <c r="AY12" s="30" t="s">
        <v>52</v>
      </c>
      <c r="AZ12" s="61" t="str">
        <f>IF(ListLayout[[#This Row],[List Name for Layout]]="","relation",IFERROR(VLOOKUP(ListLayout[[#This Row],[Relation]],RelationTable[[Display]:[RELID]],2,0),""))</f>
        <v/>
      </c>
      <c r="BA12" s="61" t="str">
        <f>IF(ListLayout[[#This Row],[List Name for Layout]]="","nest_relation1",IFERROR(VLOOKUP(ListLayout[[#This Row],[Relation 1]],RelationTable[[Display]:[RELID]],2,0),""))</f>
        <v/>
      </c>
      <c r="BB12" s="61" t="str">
        <f>IF(ListLayout[[#This Row],[List Name for Layout]]="","nest_relation2",IFERROR(VLOOKUP(ListLayout[[#This Row],[Relation 2]],RelationTable[[Display]:[RELID]],2,0),""))</f>
        <v/>
      </c>
      <c r="BC12" s="30"/>
      <c r="BD12" s="30"/>
      <c r="BE12" s="30"/>
    </row>
    <row r="13" spans="1:57">
      <c r="A13" s="7" t="str">
        <f>'Table Seed Map'!$A$23&amp;"-"&amp;COUNTA($B$1:ResourceList[[#This Row],[Resource Name]])-1</f>
        <v>Resource Lists-11</v>
      </c>
      <c r="B13" s="4" t="s">
        <v>588</v>
      </c>
      <c r="C13" s="7" t="str">
        <f>ResourceList[[#This Row],[Resource Name]]&amp;"/"&amp;ResourceList[[#This Row],[Name]]</f>
        <v>WishlistProduct/WishlistItemsList</v>
      </c>
      <c r="D13" s="61">
        <f>IF(ResourceList[[#This Row],[Resource Name]]="","id",COUNTA($B$2:ResourceList[[#This Row],[Resource Name]])+IF(ISNUMBER(VLOOKUP('Table Seed Map'!$A$23,SeedMap[],9,0)),VLOOKUP('Table Seed Map'!$A$23,SeedMap[],9,0),0))</f>
        <v>50011</v>
      </c>
      <c r="E13" s="61">
        <f>IFERROR(VLOOKUP(ResourceList[[#This Row],[Resource Name]],ResourceTable[[RName]:[RID]],2,0),"resource")</f>
        <v>50010</v>
      </c>
      <c r="F13" s="30" t="s">
        <v>748</v>
      </c>
      <c r="G13" s="30" t="s">
        <v>749</v>
      </c>
      <c r="H13" s="30" t="s">
        <v>571</v>
      </c>
      <c r="I13" s="30"/>
      <c r="J13" s="30"/>
      <c r="K13" s="60">
        <f>[No]</f>
        <v>50011</v>
      </c>
      <c r="M13" s="4" t="s">
        <v>789</v>
      </c>
      <c r="N13" s="7">
        <f>VLOOKUP(ListExtras[[#This Row],[List Name]],ResourceList[[ListDisplayName]:[No]],2,0)</f>
        <v>50009</v>
      </c>
      <c r="O13" s="4"/>
      <c r="P13" s="4" t="s">
        <v>791</v>
      </c>
      <c r="Q13" s="4"/>
      <c r="R13" s="4"/>
      <c r="S13" s="4"/>
      <c r="T13" s="7" t="str">
        <f>'Table Seed Map'!$A$24&amp;"-"&amp;COUNT($W$1:ListExtras[[#This Row],[Scope ID]])</f>
        <v>List Scopes-5</v>
      </c>
      <c r="U13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3" s="61">
        <f>IF(ListExtras[[#This Row],[LID]]=0,"resource_list",ListExtras[[#This Row],[LID]])</f>
        <v>50009</v>
      </c>
      <c r="W13" s="61" t="str">
        <f>IFERROR(VLOOKUP(ListExtras[[#This Row],[Scope Name]],ResourceScopes[[ScopesDisplayNames]:[No]],2,0),IF(ListExtras[[#This Row],[LID]]=0,"scope",""))</f>
        <v/>
      </c>
      <c r="X13" s="7" t="str">
        <f>'Table Seed Map'!$A$25&amp;"-"&amp;COUNT($AA$1:ListExtras[[#This Row],[Relation]])</f>
        <v>List Relation-7</v>
      </c>
      <c r="Y13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50007</v>
      </c>
      <c r="Z13" s="61">
        <f>IF(ListExtras[[#This Row],[LID]]=0,"resource_list",ListExtras[[#This Row],[LID]])</f>
        <v>50009</v>
      </c>
      <c r="AA13" s="61">
        <f>IFERROR(VLOOKUP(ListExtras[[#This Row],[Relation Name]],RelationTable[[Display]:[RELID]],2,0),IF(ListExtras[[#This Row],[LID]]=0,"relation",""))</f>
        <v>50021</v>
      </c>
      <c r="AB13" s="61" t="str">
        <f>IFERROR(VLOOKUP(ListExtras[[#This Row],[R1 Name]],RelationTable[[Display]:[RELID]],2,0),IF(ListExtras[[#This Row],[LID]]=0,"nest_relation1",""))</f>
        <v/>
      </c>
      <c r="AC13" s="61" t="str">
        <f>IFERROR(VLOOKUP(ListExtras[[#This Row],[R2 Name]],RelationTable[[Display]:[RELID]],2,0),IF(ListExtras[[#This Row],[LID]]=0,"nest_relation2",""))</f>
        <v/>
      </c>
      <c r="AD13" s="61" t="str">
        <f>IFERROR(VLOOKUP(ListExtras[[#This Row],[R3 Name]],RelationTable[[Display]:[RELID]],2,0),IF(ListExtras[[#This Row],[LID]]=0,"nest_relation3",""))</f>
        <v/>
      </c>
      <c r="AF13" s="61" t="str">
        <f>'Table Seed Map'!$A$27&amp;"-"&amp;COUNTA($AH$1:ListSearch[[#This Row],[No]])-2</f>
        <v>List Search-11</v>
      </c>
      <c r="AG13" s="4" t="s">
        <v>782</v>
      </c>
      <c r="AH13" s="61">
        <f>IF(ListSearch[[#This Row],[List Name for Search]]="","id",IFERROR($AH12+1,IF(ISNUMBER(VLOOKUP('Table Seed Map'!$A$27,SeedMap[],9,0)),VLOOKUP('Table Seed Map'!$A$27,SeedMap[],9,0)+1,1)))</f>
        <v>50011</v>
      </c>
      <c r="AI13" s="61">
        <f>IFERROR(VLOOKUP(ListSearch[[#This Row],[List Name for Search]],ResourceList[[ListDisplayName]:[No]],2,0),"resource_list")</f>
        <v>50008</v>
      </c>
      <c r="AJ13" s="30" t="s">
        <v>26</v>
      </c>
      <c r="AK13" s="61" t="str">
        <f>IF(ListSearch[[#This Row],[List Name for Search]]="","relation",IFERROR(VLOOKUP(ListSearch[[#This Row],[Relation]],RelationTable[[Display]:[RELID]],2,0),""))</f>
        <v/>
      </c>
      <c r="AL13" s="61" t="str">
        <f>IF(ListSearch[[#This Row],[List Name for Search]]="","nest_relation1",IFERROR(VLOOKUP(ListSearch[[#This Row],[Relation 1]],RelationTable[[Display]:[RELID]],2,0),""))</f>
        <v/>
      </c>
      <c r="AM13" s="61" t="str">
        <f>IF(ListSearch[[#This Row],[List Name for Search]]="","nest_relation2",IFERROR(VLOOKUP(ListSearch[[#This Row],[Relation 2]],RelationTable[[Display]:[RELID]],2,0),""))</f>
        <v/>
      </c>
      <c r="AN13" s="61" t="str">
        <f>IF(ListSearch[[#This Row],[List Name for Search]]="","nest_relation3",IFERROR(VLOOKUP(ListSearch[[#This Row],[Relation 3]],RelationTable[[Display]:[RELID]],2,0),""))</f>
        <v/>
      </c>
      <c r="AO13" s="30"/>
      <c r="AP13" s="30"/>
      <c r="AQ13" s="30"/>
      <c r="AR13" s="30"/>
      <c r="AT13" s="61" t="str">
        <f>'Table Seed Map'!$A$26&amp;"-"&amp;COUNTA($AV$1:ListLayout[[#This Row],[No]])-2</f>
        <v>List Layout-11</v>
      </c>
      <c r="AU13" s="4" t="s">
        <v>775</v>
      </c>
      <c r="AV13" s="61">
        <f>IF(ListLayout[[#This Row],[List Name for Layout]]="","id",COUNTA($AU$2:ListLayout[[#This Row],[List Name for Layout]])+IF(ISNUMBER(VLOOKUP('Table Seed Map'!$A$26,SeedMap[],9,0)),VLOOKUP('Table Seed Map'!$A$26,SeedMap[],9,0),0))</f>
        <v>50011</v>
      </c>
      <c r="AW13" s="61">
        <f>IFERROR(VLOOKUP(ListLayout[[#This Row],[List Name for Layout]],ResourceList[[ListDisplayName]:[No]],2,0),"resource_list")</f>
        <v>50003</v>
      </c>
      <c r="AX13" s="61" t="s">
        <v>14</v>
      </c>
      <c r="AY13" s="30" t="s">
        <v>45</v>
      </c>
      <c r="AZ13" s="61" t="str">
        <f>IF(ListLayout[[#This Row],[List Name for Layout]]="","relation",IFERROR(VLOOKUP(ListLayout[[#This Row],[Relation]],RelationTable[[Display]:[RELID]],2,0),""))</f>
        <v/>
      </c>
      <c r="BA13" s="61" t="str">
        <f>IF(ListLayout[[#This Row],[List Name for Layout]]="","nest_relation1",IFERROR(VLOOKUP(ListLayout[[#This Row],[Relation 1]],RelationTable[[Display]:[RELID]],2,0),""))</f>
        <v/>
      </c>
      <c r="BB13" s="61" t="str">
        <f>IF(ListLayout[[#This Row],[List Name for Layout]]="","nest_relation2",IFERROR(VLOOKUP(ListLayout[[#This Row],[Relation 2]],RelationTable[[Display]:[RELID]],2,0),""))</f>
        <v/>
      </c>
      <c r="BC13" s="30"/>
      <c r="BD13" s="30"/>
      <c r="BE13" s="30"/>
    </row>
    <row r="14" spans="1:57">
      <c r="M14" s="4" t="s">
        <v>792</v>
      </c>
      <c r="N14" s="7">
        <f>VLOOKUP(ListExtras[[#This Row],[List Name]],ResourceList[[ListDisplayName]:[No]],2,0)</f>
        <v>50011</v>
      </c>
      <c r="O14" s="4"/>
      <c r="P14" s="4" t="s">
        <v>793</v>
      </c>
      <c r="Q14" s="4"/>
      <c r="R14" s="4"/>
      <c r="S14" s="4"/>
      <c r="T14" s="7" t="str">
        <f>'Table Seed Map'!$A$24&amp;"-"&amp;COUNT($W$1:ListExtras[[#This Row],[Scope ID]])</f>
        <v>List Scopes-5</v>
      </c>
      <c r="U14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4" s="61">
        <f>IF(ListExtras[[#This Row],[LID]]=0,"resource_list",ListExtras[[#This Row],[LID]])</f>
        <v>50011</v>
      </c>
      <c r="W14" s="61" t="str">
        <f>IFERROR(VLOOKUP(ListExtras[[#This Row],[Scope Name]],ResourceScopes[[ScopesDisplayNames]:[No]],2,0),IF(ListExtras[[#This Row],[LID]]=0,"scope",""))</f>
        <v/>
      </c>
      <c r="X14" s="7" t="str">
        <f>'Table Seed Map'!$A$25&amp;"-"&amp;COUNT($AA$1:ListExtras[[#This Row],[Relation]])</f>
        <v>List Relation-8</v>
      </c>
      <c r="Y14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50008</v>
      </c>
      <c r="Z14" s="61">
        <f>IF(ListExtras[[#This Row],[LID]]=0,"resource_list",ListExtras[[#This Row],[LID]])</f>
        <v>50011</v>
      </c>
      <c r="AA14" s="61">
        <f>IFERROR(VLOOKUP(ListExtras[[#This Row],[Relation Name]],RelationTable[[Display]:[RELID]],2,0),IF(ListExtras[[#This Row],[LID]]=0,"relation",""))</f>
        <v>50026</v>
      </c>
      <c r="AB14" s="61" t="str">
        <f>IFERROR(VLOOKUP(ListExtras[[#This Row],[R1 Name]],RelationTable[[Display]:[RELID]],2,0),IF(ListExtras[[#This Row],[LID]]=0,"nest_relation1",""))</f>
        <v/>
      </c>
      <c r="AC14" s="61" t="str">
        <f>IFERROR(VLOOKUP(ListExtras[[#This Row],[R2 Name]],RelationTable[[Display]:[RELID]],2,0),IF(ListExtras[[#This Row],[LID]]=0,"nest_relation2",""))</f>
        <v/>
      </c>
      <c r="AD14" s="61" t="str">
        <f>IFERROR(VLOOKUP(ListExtras[[#This Row],[R3 Name]],RelationTable[[Display]:[RELID]],2,0),IF(ListExtras[[#This Row],[LID]]=0,"nest_relation3",""))</f>
        <v/>
      </c>
      <c r="AF14" s="61" t="str">
        <f>'Table Seed Map'!$A$27&amp;"-"&amp;COUNTA($AH$1:ListSearch[[#This Row],[No]])-2</f>
        <v>List Search-12</v>
      </c>
      <c r="AG14" s="4" t="s">
        <v>782</v>
      </c>
      <c r="AH14" s="61">
        <f>IF(ListSearch[[#This Row],[List Name for Search]]="","id",IFERROR($AH13+1,IF(ISNUMBER(VLOOKUP('Table Seed Map'!$A$27,SeedMap[],9,0)),VLOOKUP('Table Seed Map'!$A$27,SeedMap[],9,0)+1,1)))</f>
        <v>50012</v>
      </c>
      <c r="AI14" s="61">
        <f>IFERROR(VLOOKUP(ListSearch[[#This Row],[List Name for Search]],ResourceList[[ListDisplayName]:[No]],2,0),"resource_list")</f>
        <v>50008</v>
      </c>
      <c r="AJ14" s="30" t="s">
        <v>28</v>
      </c>
      <c r="AK14" s="61" t="str">
        <f>IF(ListSearch[[#This Row],[List Name for Search]]="","relation",IFERROR(VLOOKUP(ListSearch[[#This Row],[Relation]],RelationTable[[Display]:[RELID]],2,0),""))</f>
        <v/>
      </c>
      <c r="AL14" s="61" t="str">
        <f>IF(ListSearch[[#This Row],[List Name for Search]]="","nest_relation1",IFERROR(VLOOKUP(ListSearch[[#This Row],[Relation 1]],RelationTable[[Display]:[RELID]],2,0),""))</f>
        <v/>
      </c>
      <c r="AM14" s="61" t="str">
        <f>IF(ListSearch[[#This Row],[List Name for Search]]="","nest_relation2",IFERROR(VLOOKUP(ListSearch[[#This Row],[Relation 2]],RelationTable[[Display]:[RELID]],2,0),""))</f>
        <v/>
      </c>
      <c r="AN14" s="61" t="str">
        <f>IF(ListSearch[[#This Row],[List Name for Search]]="","nest_relation3",IFERROR(VLOOKUP(ListSearch[[#This Row],[Relation 3]],RelationTable[[Display]:[RELID]],2,0),""))</f>
        <v/>
      </c>
      <c r="AO14" s="30"/>
      <c r="AP14" s="30"/>
      <c r="AQ14" s="30"/>
      <c r="AR14" s="30"/>
      <c r="AT14" s="61" t="str">
        <f>'Table Seed Map'!$A$26&amp;"-"&amp;COUNTA($AV$1:ListLayout[[#This Row],[No]])-2</f>
        <v>List Layout-12</v>
      </c>
      <c r="AU14" s="4" t="s">
        <v>775</v>
      </c>
      <c r="AV14" s="61">
        <f>IF(ListLayout[[#This Row],[List Name for Layout]]="","id",COUNTA($AU$2:ListLayout[[#This Row],[List Name for Layout]])+IF(ISNUMBER(VLOOKUP('Table Seed Map'!$A$26,SeedMap[],9,0)),VLOOKUP('Table Seed Map'!$A$26,SeedMap[],9,0),0))</f>
        <v>50012</v>
      </c>
      <c r="AW14" s="61">
        <f>IFERROR(VLOOKUP(ListLayout[[#This Row],[List Name for Layout]],ResourceList[[ListDisplayName]:[No]],2,0),"resource_list")</f>
        <v>50003</v>
      </c>
      <c r="AX14" s="61" t="s">
        <v>799</v>
      </c>
      <c r="AY14" s="30" t="s">
        <v>453</v>
      </c>
      <c r="AZ14" s="61" t="str">
        <f>IF(ListLayout[[#This Row],[List Name for Layout]]="","relation",IFERROR(VLOOKUP(ListLayout[[#This Row],[Relation]],RelationTable[[Display]:[RELID]],2,0),""))</f>
        <v/>
      </c>
      <c r="BA14" s="61" t="str">
        <f>IF(ListLayout[[#This Row],[List Name for Layout]]="","nest_relation1",IFERROR(VLOOKUP(ListLayout[[#This Row],[Relation 1]],RelationTable[[Display]:[RELID]],2,0),""))</f>
        <v/>
      </c>
      <c r="BB14" s="61" t="str">
        <f>IF(ListLayout[[#This Row],[List Name for Layout]]="","nest_relation2",IFERROR(VLOOKUP(ListLayout[[#This Row],[Relation 2]],RelationTable[[Display]:[RELID]],2,0),""))</f>
        <v/>
      </c>
      <c r="BC14" s="30"/>
      <c r="BD14" s="30"/>
      <c r="BE14" s="30"/>
    </row>
    <row r="15" spans="1:57">
      <c r="M15" s="4" t="s">
        <v>792</v>
      </c>
      <c r="N15" s="7">
        <f>VLOOKUP(ListExtras[[#This Row],[List Name]],ResourceList[[ListDisplayName]:[No]],2,0)</f>
        <v>50011</v>
      </c>
      <c r="O15" s="4"/>
      <c r="P15" s="4" t="s">
        <v>794</v>
      </c>
      <c r="Q15" s="4"/>
      <c r="R15" s="4"/>
      <c r="S15" s="4"/>
      <c r="T15" s="7" t="str">
        <f>'Table Seed Map'!$A$24&amp;"-"&amp;COUNT($W$1:ListExtras[[#This Row],[Scope ID]])</f>
        <v>List Scopes-5</v>
      </c>
      <c r="U15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5" s="61">
        <f>IF(ListExtras[[#This Row],[LID]]=0,"resource_list",ListExtras[[#This Row],[LID]])</f>
        <v>50011</v>
      </c>
      <c r="W15" s="61" t="str">
        <f>IFERROR(VLOOKUP(ListExtras[[#This Row],[Scope Name]],ResourceScopes[[ScopesDisplayNames]:[No]],2,0),IF(ListExtras[[#This Row],[LID]]=0,"scope",""))</f>
        <v/>
      </c>
      <c r="X15" s="7" t="str">
        <f>'Table Seed Map'!$A$25&amp;"-"&amp;COUNT($AA$1:ListExtras[[#This Row],[Relation]])</f>
        <v>List Relation-9</v>
      </c>
      <c r="Y15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50009</v>
      </c>
      <c r="Z15" s="61">
        <f>IF(ListExtras[[#This Row],[LID]]=0,"resource_list",ListExtras[[#This Row],[LID]])</f>
        <v>50011</v>
      </c>
      <c r="AA15" s="61">
        <f>IFERROR(VLOOKUP(ListExtras[[#This Row],[Relation Name]],RelationTable[[Display]:[RELID]],2,0),IF(ListExtras[[#This Row],[LID]]=0,"relation",""))</f>
        <v>50023</v>
      </c>
      <c r="AB15" s="61" t="str">
        <f>IFERROR(VLOOKUP(ListExtras[[#This Row],[R1 Name]],RelationTable[[Display]:[RELID]],2,0),IF(ListExtras[[#This Row],[LID]]=0,"nest_relation1",""))</f>
        <v/>
      </c>
      <c r="AC15" s="61" t="str">
        <f>IFERROR(VLOOKUP(ListExtras[[#This Row],[R2 Name]],RelationTable[[Display]:[RELID]],2,0),IF(ListExtras[[#This Row],[LID]]=0,"nest_relation2",""))</f>
        <v/>
      </c>
      <c r="AD15" s="61" t="str">
        <f>IFERROR(VLOOKUP(ListExtras[[#This Row],[R3 Name]],RelationTable[[Display]:[RELID]],2,0),IF(ListExtras[[#This Row],[LID]]=0,"nest_relation3",""))</f>
        <v/>
      </c>
      <c r="AF15" s="61" t="str">
        <f>'Table Seed Map'!$A$27&amp;"-"&amp;COUNTA($AH$1:ListSearch[[#This Row],[No]])-2</f>
        <v>List Search-13</v>
      </c>
      <c r="AG15" s="4" t="s">
        <v>789</v>
      </c>
      <c r="AH15" s="61">
        <f>IF(ListSearch[[#This Row],[List Name for Search]]="","id",IFERROR($AH14+1,IF(ISNUMBER(VLOOKUP('Table Seed Map'!$A$27,SeedMap[],9,0)),VLOOKUP('Table Seed Map'!$A$27,SeedMap[],9,0)+1,1)))</f>
        <v>50013</v>
      </c>
      <c r="AI15" s="61">
        <f>IFERROR(VLOOKUP(ListSearch[[#This Row],[List Name for Search]],ResourceList[[ListDisplayName]:[No]],2,0),"resource_list")</f>
        <v>50009</v>
      </c>
      <c r="AJ15" s="30" t="s">
        <v>479</v>
      </c>
      <c r="AK15" s="61" t="str">
        <f>IF(ListSearch[[#This Row],[List Name for Search]]="","relation",IFERROR(VLOOKUP(ListSearch[[#This Row],[Relation]],RelationTable[[Display]:[RELID]],2,0),""))</f>
        <v/>
      </c>
      <c r="AL15" s="61" t="str">
        <f>IF(ListSearch[[#This Row],[List Name for Search]]="","nest_relation1",IFERROR(VLOOKUP(ListSearch[[#This Row],[Relation 1]],RelationTable[[Display]:[RELID]],2,0),""))</f>
        <v/>
      </c>
      <c r="AM15" s="61" t="str">
        <f>IF(ListSearch[[#This Row],[List Name for Search]]="","nest_relation2",IFERROR(VLOOKUP(ListSearch[[#This Row],[Relation 2]],RelationTable[[Display]:[RELID]],2,0),""))</f>
        <v/>
      </c>
      <c r="AN15" s="61" t="str">
        <f>IF(ListSearch[[#This Row],[List Name for Search]]="","nest_relation3",IFERROR(VLOOKUP(ListSearch[[#This Row],[Relation 3]],RelationTable[[Display]:[RELID]],2,0),""))</f>
        <v/>
      </c>
      <c r="AO15" s="30"/>
      <c r="AP15" s="30"/>
      <c r="AQ15" s="30"/>
      <c r="AR15" s="30"/>
      <c r="AT15" s="61" t="str">
        <f>'Table Seed Map'!$A$26&amp;"-"&amp;COUNTA($AV$1:ListLayout[[#This Row],[No]])-2</f>
        <v>List Layout-13</v>
      </c>
      <c r="AU15" s="4" t="s">
        <v>776</v>
      </c>
      <c r="AV15" s="61">
        <f>IF(ListLayout[[#This Row],[List Name for Layout]]="","id",COUNTA($AU$2:ListLayout[[#This Row],[List Name for Layout]])+IF(ISNUMBER(VLOOKUP('Table Seed Map'!$A$26,SeedMap[],9,0)),VLOOKUP('Table Seed Map'!$A$26,SeedMap[],9,0),0))</f>
        <v>50013</v>
      </c>
      <c r="AW15" s="61">
        <f>IFERROR(VLOOKUP(ListLayout[[#This Row],[List Name for Layout]],ResourceList[[ListDisplayName]:[No]],2,0),"resource_list")</f>
        <v>50004</v>
      </c>
      <c r="AX15" s="61" t="s">
        <v>1</v>
      </c>
      <c r="AY15" s="30" t="s">
        <v>26</v>
      </c>
      <c r="AZ15" s="61" t="str">
        <f>IF(ListLayout[[#This Row],[List Name for Layout]]="","relation",IFERROR(VLOOKUP(ListLayout[[#This Row],[Relation]],RelationTable[[Display]:[RELID]],2,0),""))</f>
        <v/>
      </c>
      <c r="BA15" s="61" t="str">
        <f>IF(ListLayout[[#This Row],[List Name for Layout]]="","nest_relation1",IFERROR(VLOOKUP(ListLayout[[#This Row],[Relation 1]],RelationTable[[Display]:[RELID]],2,0),""))</f>
        <v/>
      </c>
      <c r="BB15" s="61" t="str">
        <f>IF(ListLayout[[#This Row],[List Name for Layout]]="","nest_relation2",IFERROR(VLOOKUP(ListLayout[[#This Row],[Relation 2]],RelationTable[[Display]:[RELID]],2,0),""))</f>
        <v/>
      </c>
      <c r="BC15" s="30"/>
      <c r="BD15" s="30"/>
      <c r="BE15" s="30"/>
    </row>
    <row r="16" spans="1:57">
      <c r="M16" s="4" t="s">
        <v>792</v>
      </c>
      <c r="N16" s="7">
        <f>VLOOKUP(ListExtras[[#This Row],[List Name]],ResourceList[[ListDisplayName]:[No]],2,0)</f>
        <v>50011</v>
      </c>
      <c r="O16" s="4"/>
      <c r="P16" s="4" t="s">
        <v>795</v>
      </c>
      <c r="Q16" s="4"/>
      <c r="R16" s="4"/>
      <c r="S16" s="4"/>
      <c r="T16" s="7" t="str">
        <f>'Table Seed Map'!$A$24&amp;"-"&amp;COUNT($W$1:ListExtras[[#This Row],[Scope ID]])</f>
        <v>List Scopes-5</v>
      </c>
      <c r="U16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6" s="61">
        <f>IF(ListExtras[[#This Row],[LID]]=0,"resource_list",ListExtras[[#This Row],[LID]])</f>
        <v>50011</v>
      </c>
      <c r="W16" s="61" t="str">
        <f>IFERROR(VLOOKUP(ListExtras[[#This Row],[Scope Name]],ResourceScopes[[ScopesDisplayNames]:[No]],2,0),IF(ListExtras[[#This Row],[LID]]=0,"scope",""))</f>
        <v/>
      </c>
      <c r="X16" s="7" t="str">
        <f>'Table Seed Map'!$A$25&amp;"-"&amp;COUNT($AA$1:ListExtras[[#This Row],[Relation]])</f>
        <v>List Relation-10</v>
      </c>
      <c r="Y16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50010</v>
      </c>
      <c r="Z16" s="61">
        <f>IF(ListExtras[[#This Row],[LID]]=0,"resource_list",ListExtras[[#This Row],[LID]])</f>
        <v>50011</v>
      </c>
      <c r="AA16" s="61">
        <f>IFERROR(VLOOKUP(ListExtras[[#This Row],[Relation Name]],RelationTable[[Display]:[RELID]],2,0),IF(ListExtras[[#This Row],[LID]]=0,"relation",""))</f>
        <v>50024</v>
      </c>
      <c r="AB16" s="61" t="str">
        <f>IFERROR(VLOOKUP(ListExtras[[#This Row],[R1 Name]],RelationTable[[Display]:[RELID]],2,0),IF(ListExtras[[#This Row],[LID]]=0,"nest_relation1",""))</f>
        <v/>
      </c>
      <c r="AC16" s="61" t="str">
        <f>IFERROR(VLOOKUP(ListExtras[[#This Row],[R2 Name]],RelationTable[[Display]:[RELID]],2,0),IF(ListExtras[[#This Row],[LID]]=0,"nest_relation2",""))</f>
        <v/>
      </c>
      <c r="AD16" s="61" t="str">
        <f>IFERROR(VLOOKUP(ListExtras[[#This Row],[R3 Name]],RelationTable[[Display]:[RELID]],2,0),IF(ListExtras[[#This Row],[LID]]=0,"nest_relation3",""))</f>
        <v/>
      </c>
      <c r="AT16" s="61" t="str">
        <f>'Table Seed Map'!$A$26&amp;"-"&amp;COUNTA($AV$1:ListLayout[[#This Row],[No]])-2</f>
        <v>List Layout-14</v>
      </c>
      <c r="AU16" s="4" t="s">
        <v>776</v>
      </c>
      <c r="AV16" s="61">
        <f>IF(ListLayout[[#This Row],[List Name for Layout]]="","id",COUNTA($AU$2:ListLayout[[#This Row],[List Name for Layout]])+IF(ISNUMBER(VLOOKUP('Table Seed Map'!$A$26,SeedMap[],9,0)),VLOOKUP('Table Seed Map'!$A$26,SeedMap[],9,0),0))</f>
        <v>50014</v>
      </c>
      <c r="AW16" s="61">
        <f>IFERROR(VLOOKUP(ListLayout[[#This Row],[List Name for Layout]],ResourceList[[ListDisplayName]:[No]],2,0),"resource_list")</f>
        <v>50004</v>
      </c>
      <c r="AX16" s="61" t="s">
        <v>798</v>
      </c>
      <c r="AY16" s="30" t="s">
        <v>52</v>
      </c>
      <c r="AZ16" s="61" t="str">
        <f>IF(ListLayout[[#This Row],[List Name for Layout]]="","relation",IFERROR(VLOOKUP(ListLayout[[#This Row],[Relation]],RelationTable[[Display]:[RELID]],2,0),""))</f>
        <v/>
      </c>
      <c r="BA16" s="61" t="str">
        <f>IF(ListLayout[[#This Row],[List Name for Layout]]="","nest_relation1",IFERROR(VLOOKUP(ListLayout[[#This Row],[Relation 1]],RelationTable[[Display]:[RELID]],2,0),""))</f>
        <v/>
      </c>
      <c r="BB16" s="61" t="str">
        <f>IF(ListLayout[[#This Row],[List Name for Layout]]="","nest_relation2",IFERROR(VLOOKUP(ListLayout[[#This Row],[Relation 2]],RelationTable[[Display]:[RELID]],2,0),""))</f>
        <v/>
      </c>
      <c r="BC16" s="30"/>
      <c r="BD16" s="30"/>
      <c r="BE16" s="30"/>
    </row>
    <row r="17" spans="46:57">
      <c r="AT17" s="61" t="str">
        <f>'Table Seed Map'!$A$26&amp;"-"&amp;COUNTA($AV$1:ListLayout[[#This Row],[No]])-2</f>
        <v>List Layout-15</v>
      </c>
      <c r="AU17" s="4" t="s">
        <v>776</v>
      </c>
      <c r="AV17" s="61">
        <f>IF(ListLayout[[#This Row],[List Name for Layout]]="","id",COUNTA($AU$2:ListLayout[[#This Row],[List Name for Layout]])+IF(ISNUMBER(VLOOKUP('Table Seed Map'!$A$26,SeedMap[],9,0)),VLOOKUP('Table Seed Map'!$A$26,SeedMap[],9,0),0))</f>
        <v>50015</v>
      </c>
      <c r="AW17" s="61">
        <f>IFERROR(VLOOKUP(ListLayout[[#This Row],[List Name for Layout]],ResourceList[[ListDisplayName]:[No]],2,0),"resource_list")</f>
        <v>50004</v>
      </c>
      <c r="AX17" s="61" t="s">
        <v>14</v>
      </c>
      <c r="AY17" s="30" t="s">
        <v>45</v>
      </c>
      <c r="AZ17" s="61" t="str">
        <f>IF(ListLayout[[#This Row],[List Name for Layout]]="","relation",IFERROR(VLOOKUP(ListLayout[[#This Row],[Relation]],RelationTable[[Display]:[RELID]],2,0),""))</f>
        <v/>
      </c>
      <c r="BA17" s="61" t="str">
        <f>IF(ListLayout[[#This Row],[List Name for Layout]]="","nest_relation1",IFERROR(VLOOKUP(ListLayout[[#This Row],[Relation 1]],RelationTable[[Display]:[RELID]],2,0),""))</f>
        <v/>
      </c>
      <c r="BB17" s="61" t="str">
        <f>IF(ListLayout[[#This Row],[List Name for Layout]]="","nest_relation2",IFERROR(VLOOKUP(ListLayout[[#This Row],[Relation 2]],RelationTable[[Display]:[RELID]],2,0),""))</f>
        <v/>
      </c>
      <c r="BC17" s="30"/>
      <c r="BD17" s="30"/>
      <c r="BE17" s="30"/>
    </row>
    <row r="18" spans="46:57">
      <c r="AT18" s="61" t="str">
        <f>'Table Seed Map'!$A$26&amp;"-"&amp;COUNTA($AV$1:ListLayout[[#This Row],[No]])-2</f>
        <v>List Layout-16</v>
      </c>
      <c r="AU18" s="4" t="s">
        <v>776</v>
      </c>
      <c r="AV18" s="61">
        <f>IF(ListLayout[[#This Row],[List Name for Layout]]="","id",COUNTA($AU$2:ListLayout[[#This Row],[List Name for Layout]])+IF(ISNUMBER(VLOOKUP('Table Seed Map'!$A$26,SeedMap[],9,0)),VLOOKUP('Table Seed Map'!$A$26,SeedMap[],9,0),0))</f>
        <v>50016</v>
      </c>
      <c r="AW18" s="61">
        <f>IFERROR(VLOOKUP(ListLayout[[#This Row],[List Name for Layout]],ResourceList[[ListDisplayName]:[No]],2,0),"resource_list")</f>
        <v>50004</v>
      </c>
      <c r="AX18" s="61" t="s">
        <v>799</v>
      </c>
      <c r="AY18" s="30" t="s">
        <v>453</v>
      </c>
      <c r="AZ18" s="61" t="str">
        <f>IF(ListLayout[[#This Row],[List Name for Layout]]="","relation",IFERROR(VLOOKUP(ListLayout[[#This Row],[Relation]],RelationTable[[Display]:[RELID]],2,0),""))</f>
        <v/>
      </c>
      <c r="BA18" s="61" t="str">
        <f>IF(ListLayout[[#This Row],[List Name for Layout]]="","nest_relation1",IFERROR(VLOOKUP(ListLayout[[#This Row],[Relation 1]],RelationTable[[Display]:[RELID]],2,0),""))</f>
        <v/>
      </c>
      <c r="BB18" s="61" t="str">
        <f>IF(ListLayout[[#This Row],[List Name for Layout]]="","nest_relation2",IFERROR(VLOOKUP(ListLayout[[#This Row],[Relation 2]],RelationTable[[Display]:[RELID]],2,0),""))</f>
        <v/>
      </c>
      <c r="BC18" s="30"/>
      <c r="BD18" s="30"/>
      <c r="BE18" s="30"/>
    </row>
    <row r="19" spans="46:57">
      <c r="AT19" s="61" t="str">
        <f>'Table Seed Map'!$A$26&amp;"-"&amp;COUNTA($AV$1:ListLayout[[#This Row],[No]])-2</f>
        <v>List Layout-17</v>
      </c>
      <c r="AU19" s="4" t="s">
        <v>783</v>
      </c>
      <c r="AV19" s="61">
        <f>IF(ListLayout[[#This Row],[List Name for Layout]]="","id",COUNTA($AU$2:ListLayout[[#This Row],[List Name for Layout]])+IF(ISNUMBER(VLOOKUP('Table Seed Map'!$A$26,SeedMap[],9,0)),VLOOKUP('Table Seed Map'!$A$26,SeedMap[],9,0),0))</f>
        <v>50017</v>
      </c>
      <c r="AW19" s="61">
        <f>IFERROR(VLOOKUP(ListLayout[[#This Row],[List Name for Layout]],ResourceList[[ListDisplayName]:[No]],2,0),"resource_list")</f>
        <v>50005</v>
      </c>
      <c r="AX19" s="61" t="s">
        <v>1</v>
      </c>
      <c r="AY19" s="30" t="s">
        <v>26</v>
      </c>
      <c r="AZ19" s="61">
        <f>IF(ListLayout[[#This Row],[List Name for Layout]]="","relation",IFERROR(VLOOKUP(ListLayout[[#This Row],[Relation]],RelationTable[[Display]:[RELID]],2,0),""))</f>
        <v>50008</v>
      </c>
      <c r="BA19" s="61" t="str">
        <f>IF(ListLayout[[#This Row],[List Name for Layout]]="","nest_relation1",IFERROR(VLOOKUP(ListLayout[[#This Row],[Relation 1]],RelationTable[[Display]:[RELID]],2,0),""))</f>
        <v/>
      </c>
      <c r="BB19" s="61" t="str">
        <f>IF(ListLayout[[#This Row],[List Name for Layout]]="","nest_relation2",IFERROR(VLOOKUP(ListLayout[[#This Row],[Relation 2]],RelationTable[[Display]:[RELID]],2,0),""))</f>
        <v/>
      </c>
      <c r="BC19" s="30" t="s">
        <v>787</v>
      </c>
      <c r="BD19" s="30"/>
      <c r="BE19" s="30"/>
    </row>
    <row r="20" spans="46:57">
      <c r="AT20" s="61" t="str">
        <f>'Table Seed Map'!$A$26&amp;"-"&amp;COUNTA($AV$1:ListLayout[[#This Row],[No]])-2</f>
        <v>List Layout-18</v>
      </c>
      <c r="AU20" s="4" t="s">
        <v>783</v>
      </c>
      <c r="AV20" s="61">
        <f>IF(ListLayout[[#This Row],[List Name for Layout]]="","id",COUNTA($AU$2:ListLayout[[#This Row],[List Name for Layout]])+IF(ISNUMBER(VLOOKUP('Table Seed Map'!$A$26,SeedMap[],9,0)),VLOOKUP('Table Seed Map'!$A$26,SeedMap[],9,0),0))</f>
        <v>50018</v>
      </c>
      <c r="AW20" s="61">
        <f>IFERROR(VLOOKUP(ListLayout[[#This Row],[List Name for Layout]],ResourceList[[ListDisplayName]:[No]],2,0),"resource_list")</f>
        <v>50005</v>
      </c>
      <c r="AX20" s="61" t="s">
        <v>943</v>
      </c>
      <c r="AY20" s="30" t="s">
        <v>26</v>
      </c>
      <c r="AZ20" s="61">
        <f>IF(ListLayout[[#This Row],[List Name for Layout]]="","relation",IFERROR(VLOOKUP(ListLayout[[#This Row],[Relation]],RelationTable[[Display]:[RELID]],2,0),""))</f>
        <v>50005</v>
      </c>
      <c r="BA20" s="61" t="str">
        <f>IF(ListLayout[[#This Row],[List Name for Layout]]="","nest_relation1",IFERROR(VLOOKUP(ListLayout[[#This Row],[Relation 1]],RelationTable[[Display]:[RELID]],2,0),""))</f>
        <v/>
      </c>
      <c r="BB20" s="61" t="str">
        <f>IF(ListLayout[[#This Row],[List Name for Layout]]="","nest_relation2",IFERROR(VLOOKUP(ListLayout[[#This Row],[Relation 2]],RelationTable[[Display]:[RELID]],2,0),""))</f>
        <v/>
      </c>
      <c r="BC20" s="30" t="s">
        <v>784</v>
      </c>
      <c r="BD20" s="30"/>
      <c r="BE20" s="30"/>
    </row>
    <row r="21" spans="46:57">
      <c r="AT21" s="61" t="str">
        <f>'Table Seed Map'!$A$26&amp;"-"&amp;COUNTA($AV$1:ListLayout[[#This Row],[No]])-2</f>
        <v>List Layout-19</v>
      </c>
      <c r="AU21" s="4" t="s">
        <v>783</v>
      </c>
      <c r="AV21" s="61">
        <f>IF(ListLayout[[#This Row],[List Name for Layout]]="","id",COUNTA($AU$2:ListLayout[[#This Row],[List Name for Layout]])+IF(ISNUMBER(VLOOKUP('Table Seed Map'!$A$26,SeedMap[],9,0)),VLOOKUP('Table Seed Map'!$A$26,SeedMap[],9,0),0))</f>
        <v>50019</v>
      </c>
      <c r="AW21" s="61">
        <f>IFERROR(VLOOKUP(ListLayout[[#This Row],[List Name for Layout]],ResourceList[[ListDisplayName]:[No]],2,0),"resource_list")</f>
        <v>50005</v>
      </c>
      <c r="AX21" s="61" t="s">
        <v>944</v>
      </c>
      <c r="AY21" s="30" t="s">
        <v>26</v>
      </c>
      <c r="AZ21" s="61">
        <f>IF(ListLayout[[#This Row],[List Name for Layout]]="","relation",IFERROR(VLOOKUP(ListLayout[[#This Row],[Relation]],RelationTable[[Display]:[RELID]],2,0),""))</f>
        <v>50006</v>
      </c>
      <c r="BA21" s="61" t="str">
        <f>IF(ListLayout[[#This Row],[List Name for Layout]]="","nest_relation1",IFERROR(VLOOKUP(ListLayout[[#This Row],[Relation 1]],RelationTable[[Display]:[RELID]],2,0),""))</f>
        <v/>
      </c>
      <c r="BB21" s="61" t="str">
        <f>IF(ListLayout[[#This Row],[List Name for Layout]]="","nest_relation2",IFERROR(VLOOKUP(ListLayout[[#This Row],[Relation 2]],RelationTable[[Display]:[RELID]],2,0),""))</f>
        <v/>
      </c>
      <c r="BC21" s="30" t="s">
        <v>785</v>
      </c>
      <c r="BD21" s="30"/>
      <c r="BE21" s="30"/>
    </row>
    <row r="22" spans="46:57">
      <c r="AT22" s="61" t="str">
        <f>'Table Seed Map'!$A$26&amp;"-"&amp;COUNTA($AV$1:ListLayout[[#This Row],[No]])-2</f>
        <v>List Layout-20</v>
      </c>
      <c r="AU22" s="4" t="s">
        <v>783</v>
      </c>
      <c r="AV22" s="61">
        <f>IF(ListLayout[[#This Row],[List Name for Layout]]="","id",COUNTA($AU$2:ListLayout[[#This Row],[List Name for Layout]])+IF(ISNUMBER(VLOOKUP('Table Seed Map'!$A$26,SeedMap[],9,0)),VLOOKUP('Table Seed Map'!$A$26,SeedMap[],9,0),0))</f>
        <v>50020</v>
      </c>
      <c r="AW22" s="61">
        <f>IFERROR(VLOOKUP(ListLayout[[#This Row],[List Name for Layout]],ResourceList[[ListDisplayName]:[No]],2,0),"resource_list")</f>
        <v>50005</v>
      </c>
      <c r="AX22" s="61" t="s">
        <v>800</v>
      </c>
      <c r="AY22" s="30" t="s">
        <v>231</v>
      </c>
      <c r="AZ22" s="61" t="str">
        <f>IF(ListLayout[[#This Row],[List Name for Layout]]="","relation",IFERROR(VLOOKUP(ListLayout[[#This Row],[Relation]],RelationTable[[Display]:[RELID]],2,0),""))</f>
        <v/>
      </c>
      <c r="BA22" s="61" t="str">
        <f>IF(ListLayout[[#This Row],[List Name for Layout]]="","nest_relation1",IFERROR(VLOOKUP(ListLayout[[#This Row],[Relation 1]],RelationTable[[Display]:[RELID]],2,0),""))</f>
        <v/>
      </c>
      <c r="BB22" s="61" t="str">
        <f>IF(ListLayout[[#This Row],[List Name for Layout]]="","nest_relation2",IFERROR(VLOOKUP(ListLayout[[#This Row],[Relation 2]],RelationTable[[Display]:[RELID]],2,0),""))</f>
        <v/>
      </c>
      <c r="BC22" s="30"/>
      <c r="BD22" s="30"/>
      <c r="BE22" s="30"/>
    </row>
    <row r="23" spans="46:57">
      <c r="AT23" s="61" t="str">
        <f>'Table Seed Map'!$A$26&amp;"-"&amp;COUNTA($AV$1:ListLayout[[#This Row],[No]])-2</f>
        <v>List Layout-21</v>
      </c>
      <c r="AU23" s="4" t="s">
        <v>783</v>
      </c>
      <c r="AV23" s="61">
        <f>IF(ListLayout[[#This Row],[List Name for Layout]]="","id",COUNTA($AU$2:ListLayout[[#This Row],[List Name for Layout]])+IF(ISNUMBER(VLOOKUP('Table Seed Map'!$A$26,SeedMap[],9,0)),VLOOKUP('Table Seed Map'!$A$26,SeedMap[],9,0),0))</f>
        <v>50021</v>
      </c>
      <c r="AW23" s="61">
        <f>IFERROR(VLOOKUP(ListLayout[[#This Row],[List Name for Layout]],ResourceList[[ListDisplayName]:[No]],2,0),"resource_list")</f>
        <v>50005</v>
      </c>
      <c r="AX23" s="61" t="s">
        <v>801</v>
      </c>
      <c r="AY23" s="30" t="s">
        <v>456</v>
      </c>
      <c r="AZ23" s="61" t="str">
        <f>IF(ListLayout[[#This Row],[List Name for Layout]]="","relation",IFERROR(VLOOKUP(ListLayout[[#This Row],[Relation]],RelationTable[[Display]:[RELID]],2,0),""))</f>
        <v/>
      </c>
      <c r="BA23" s="61" t="str">
        <f>IF(ListLayout[[#This Row],[List Name for Layout]]="","nest_relation1",IFERROR(VLOOKUP(ListLayout[[#This Row],[Relation 1]],RelationTable[[Display]:[RELID]],2,0),""))</f>
        <v/>
      </c>
      <c r="BB23" s="61" t="str">
        <f>IF(ListLayout[[#This Row],[List Name for Layout]]="","nest_relation2",IFERROR(VLOOKUP(ListLayout[[#This Row],[Relation 2]],RelationTable[[Display]:[RELID]],2,0),""))</f>
        <v/>
      </c>
      <c r="BC23" s="30"/>
      <c r="BD23" s="30"/>
      <c r="BE23" s="30"/>
    </row>
    <row r="24" spans="46:57">
      <c r="AT24" s="61" t="str">
        <f>'Table Seed Map'!$A$26&amp;"-"&amp;COUNTA($AV$1:ListLayout[[#This Row],[No]])-2</f>
        <v>List Layout-22</v>
      </c>
      <c r="AU24" s="4" t="s">
        <v>796</v>
      </c>
      <c r="AV24" s="61">
        <f>IF(ListLayout[[#This Row],[List Name for Layout]]="","id",COUNTA($AU$2:ListLayout[[#This Row],[List Name for Layout]])+IF(ISNUMBER(VLOOKUP('Table Seed Map'!$A$26,SeedMap[],9,0)),VLOOKUP('Table Seed Map'!$A$26,SeedMap[],9,0),0))</f>
        <v>50022</v>
      </c>
      <c r="AW24" s="61">
        <f>IFERROR(VLOOKUP(ListLayout[[#This Row],[List Name for Layout]],ResourceList[[ListDisplayName]:[No]],2,0),"resource_list")</f>
        <v>50006</v>
      </c>
      <c r="AX24" s="61" t="s">
        <v>1</v>
      </c>
      <c r="AY24" s="30" t="s">
        <v>26</v>
      </c>
      <c r="AZ24" s="61" t="str">
        <f>IF(ListLayout[[#This Row],[List Name for Layout]]="","relation",IFERROR(VLOOKUP(ListLayout[[#This Row],[Relation]],RelationTable[[Display]:[RELID]],2,0),""))</f>
        <v/>
      </c>
      <c r="BA24" s="61" t="str">
        <f>IF(ListLayout[[#This Row],[List Name for Layout]]="","nest_relation1",IFERROR(VLOOKUP(ListLayout[[#This Row],[Relation 1]],RelationTable[[Display]:[RELID]],2,0),""))</f>
        <v/>
      </c>
      <c r="BB24" s="61" t="str">
        <f>IF(ListLayout[[#This Row],[List Name for Layout]]="","nest_relation2",IFERROR(VLOOKUP(ListLayout[[#This Row],[Relation 2]],RelationTable[[Display]:[RELID]],2,0),""))</f>
        <v/>
      </c>
      <c r="BC24" s="30"/>
      <c r="BD24" s="30"/>
      <c r="BE24" s="30"/>
    </row>
    <row r="25" spans="46:57">
      <c r="AT25" s="61" t="str">
        <f>'Table Seed Map'!$A$26&amp;"-"&amp;COUNTA($AV$1:ListLayout[[#This Row],[No]])-2</f>
        <v>List Layout-23</v>
      </c>
      <c r="AU25" s="4" t="s">
        <v>796</v>
      </c>
      <c r="AV25" s="61">
        <f>IF(ListLayout[[#This Row],[List Name for Layout]]="","id",COUNTA($AU$2:ListLayout[[#This Row],[List Name for Layout]])+IF(ISNUMBER(VLOOKUP('Table Seed Map'!$A$26,SeedMap[],9,0)),VLOOKUP('Table Seed Map'!$A$26,SeedMap[],9,0),0))</f>
        <v>50023</v>
      </c>
      <c r="AW25" s="61">
        <f>IFERROR(VLOOKUP(ListLayout[[#This Row],[List Name for Layout]],ResourceList[[ListDisplayName]:[No]],2,0),"resource_list")</f>
        <v>50006</v>
      </c>
      <c r="AX25" s="61" t="s">
        <v>802</v>
      </c>
      <c r="AY25" s="30" t="s">
        <v>101</v>
      </c>
      <c r="AZ25" s="61" t="str">
        <f>IF(ListLayout[[#This Row],[List Name for Layout]]="","relation",IFERROR(VLOOKUP(ListLayout[[#This Row],[Relation]],RelationTable[[Display]:[RELID]],2,0),""))</f>
        <v/>
      </c>
      <c r="BA25" s="61" t="str">
        <f>IF(ListLayout[[#This Row],[List Name for Layout]]="","nest_relation1",IFERROR(VLOOKUP(ListLayout[[#This Row],[Relation 1]],RelationTable[[Display]:[RELID]],2,0),""))</f>
        <v/>
      </c>
      <c r="BB25" s="61" t="str">
        <f>IF(ListLayout[[#This Row],[List Name for Layout]]="","nest_relation2",IFERROR(VLOOKUP(ListLayout[[#This Row],[Relation 2]],RelationTable[[Display]:[RELID]],2,0),""))</f>
        <v/>
      </c>
      <c r="BC25" s="30"/>
      <c r="BD25" s="30"/>
      <c r="BE25" s="30"/>
    </row>
    <row r="26" spans="46:57">
      <c r="AT26" s="61" t="str">
        <f>'Table Seed Map'!$A$26&amp;"-"&amp;COUNTA($AV$1:ListLayout[[#This Row],[No]])-2</f>
        <v>List Layout-24</v>
      </c>
      <c r="AU26" s="4" t="s">
        <v>796</v>
      </c>
      <c r="AV26" s="61">
        <f>IF(ListLayout[[#This Row],[List Name for Layout]]="","id",COUNTA($AU$2:ListLayout[[#This Row],[List Name for Layout]])+IF(ISNUMBER(VLOOKUP('Table Seed Map'!$A$26,SeedMap[],9,0)),VLOOKUP('Table Seed Map'!$A$26,SeedMap[],9,0),0))</f>
        <v>50024</v>
      </c>
      <c r="AW26" s="61">
        <f>IFERROR(VLOOKUP(ListLayout[[#This Row],[List Name for Layout]],ResourceList[[ListDisplayName]:[No]],2,0),"resource_list")</f>
        <v>50006</v>
      </c>
      <c r="AX26" s="61" t="s">
        <v>803</v>
      </c>
      <c r="AY26" s="30" t="s">
        <v>471</v>
      </c>
      <c r="AZ26" s="61" t="str">
        <f>IF(ListLayout[[#This Row],[List Name for Layout]]="","relation",IFERROR(VLOOKUP(ListLayout[[#This Row],[Relation]],RelationTable[[Display]:[RELID]],2,0),""))</f>
        <v/>
      </c>
      <c r="BA26" s="61" t="str">
        <f>IF(ListLayout[[#This Row],[List Name for Layout]]="","nest_relation1",IFERROR(VLOOKUP(ListLayout[[#This Row],[Relation 1]],RelationTable[[Display]:[RELID]],2,0),""))</f>
        <v/>
      </c>
      <c r="BB26" s="61" t="str">
        <f>IF(ListLayout[[#This Row],[List Name for Layout]]="","nest_relation2",IFERROR(VLOOKUP(ListLayout[[#This Row],[Relation 2]],RelationTable[[Display]:[RELID]],2,0),""))</f>
        <v/>
      </c>
      <c r="BC26" s="30"/>
      <c r="BD26" s="30"/>
      <c r="BE26" s="30"/>
    </row>
    <row r="27" spans="46:57">
      <c r="AT27" s="61" t="str">
        <f>'Table Seed Map'!$A$26&amp;"-"&amp;COUNTA($AV$1:ListLayout[[#This Row],[No]])-2</f>
        <v>List Layout-25</v>
      </c>
      <c r="AU27" s="4" t="s">
        <v>788</v>
      </c>
      <c r="AV27" s="61">
        <f>IF(ListLayout[[#This Row],[List Name for Layout]]="","id",COUNTA($AU$2:ListLayout[[#This Row],[List Name for Layout]])+IF(ISNUMBER(VLOOKUP('Table Seed Map'!$A$26,SeedMap[],9,0)),VLOOKUP('Table Seed Map'!$A$26,SeedMap[],9,0),0))</f>
        <v>50025</v>
      </c>
      <c r="AW27" s="61">
        <f>IFERROR(VLOOKUP(ListLayout[[#This Row],[List Name for Layout]],ResourceList[[ListDisplayName]:[No]],2,0),"resource_list")</f>
        <v>50007</v>
      </c>
      <c r="AX27" s="61" t="s">
        <v>1</v>
      </c>
      <c r="AY27" s="30" t="s">
        <v>26</v>
      </c>
      <c r="AZ27" s="61" t="str">
        <f>IF(ListLayout[[#This Row],[List Name for Layout]]="","relation",IFERROR(VLOOKUP(ListLayout[[#This Row],[Relation]],RelationTable[[Display]:[RELID]],2,0),""))</f>
        <v/>
      </c>
      <c r="BA27" s="61" t="str">
        <f>IF(ListLayout[[#This Row],[List Name for Layout]]="","nest_relation1",IFERROR(VLOOKUP(ListLayout[[#This Row],[Relation 1]],RelationTable[[Display]:[RELID]],2,0),""))</f>
        <v/>
      </c>
      <c r="BB27" s="61" t="str">
        <f>IF(ListLayout[[#This Row],[List Name for Layout]]="","nest_relation2",IFERROR(VLOOKUP(ListLayout[[#This Row],[Relation 2]],RelationTable[[Display]:[RELID]],2,0),""))</f>
        <v/>
      </c>
      <c r="BC27" s="30"/>
      <c r="BD27" s="30"/>
      <c r="BE27" s="30"/>
    </row>
    <row r="28" spans="46:57">
      <c r="AT28" s="61" t="str">
        <f>'Table Seed Map'!$A$26&amp;"-"&amp;COUNTA($AV$1:ListLayout[[#This Row],[No]])-2</f>
        <v>List Layout-26</v>
      </c>
      <c r="AU28" s="4" t="s">
        <v>788</v>
      </c>
      <c r="AV28" s="61">
        <f>IF(ListLayout[[#This Row],[List Name for Layout]]="","id",COUNTA($AU$2:ListLayout[[#This Row],[List Name for Layout]])+IF(ISNUMBER(VLOOKUP('Table Seed Map'!$A$26,SeedMap[],9,0)),VLOOKUP('Table Seed Map'!$A$26,SeedMap[],9,0),0))</f>
        <v>50026</v>
      </c>
      <c r="AW28" s="61">
        <f>IFERROR(VLOOKUP(ListLayout[[#This Row],[List Name for Layout]],ResourceList[[ListDisplayName]:[No]],2,0),"resource_list")</f>
        <v>50007</v>
      </c>
      <c r="AX28" s="61" t="s">
        <v>613</v>
      </c>
      <c r="AY28" s="30" t="s">
        <v>26</v>
      </c>
      <c r="AZ28" s="61">
        <f>IF(ListLayout[[#This Row],[List Name for Layout]]="","relation",IFERROR(VLOOKUP(ListLayout[[#This Row],[Relation]],RelationTable[[Display]:[RELID]],2,0),""))</f>
        <v>50013</v>
      </c>
      <c r="BA28" s="61" t="str">
        <f>IF(ListLayout[[#This Row],[List Name for Layout]]="","nest_relation1",IFERROR(VLOOKUP(ListLayout[[#This Row],[Relation 1]],RelationTable[[Display]:[RELID]],2,0),""))</f>
        <v/>
      </c>
      <c r="BB28" s="61" t="str">
        <f>IF(ListLayout[[#This Row],[List Name for Layout]]="","nest_relation2",IFERROR(VLOOKUP(ListLayout[[#This Row],[Relation 2]],RelationTable[[Display]:[RELID]],2,0),""))</f>
        <v/>
      </c>
      <c r="BC28" s="30" t="s">
        <v>790</v>
      </c>
      <c r="BD28" s="30"/>
      <c r="BE28" s="30"/>
    </row>
    <row r="29" spans="46:57">
      <c r="AT29" s="61" t="str">
        <f>'Table Seed Map'!$A$26&amp;"-"&amp;COUNTA($AV$1:ListLayout[[#This Row],[No]])-2</f>
        <v>List Layout-27</v>
      </c>
      <c r="AU29" s="4" t="s">
        <v>788</v>
      </c>
      <c r="AV29" s="61">
        <f>IF(ListLayout[[#This Row],[List Name for Layout]]="","id",COUNTA($AU$2:ListLayout[[#This Row],[List Name for Layout]])+IF(ISNUMBER(VLOOKUP('Table Seed Map'!$A$26,SeedMap[],9,0)),VLOOKUP('Table Seed Map'!$A$26,SeedMap[],9,0),0))</f>
        <v>50027</v>
      </c>
      <c r="AW29" s="61">
        <f>IFERROR(VLOOKUP(ListLayout[[#This Row],[List Name for Layout]],ResourceList[[ListDisplayName]:[No]],2,0),"resource_list")</f>
        <v>50007</v>
      </c>
      <c r="AX29" s="61" t="s">
        <v>107</v>
      </c>
      <c r="AY29" s="30" t="s">
        <v>28</v>
      </c>
      <c r="AZ29" s="61" t="str">
        <f>IF(ListLayout[[#This Row],[List Name for Layout]]="","relation",IFERROR(VLOOKUP(ListLayout[[#This Row],[Relation]],RelationTable[[Display]:[RELID]],2,0),""))</f>
        <v/>
      </c>
      <c r="BA29" s="61" t="str">
        <f>IF(ListLayout[[#This Row],[List Name for Layout]]="","nest_relation1",IFERROR(VLOOKUP(ListLayout[[#This Row],[Relation 1]],RelationTable[[Display]:[RELID]],2,0),""))</f>
        <v/>
      </c>
      <c r="BB29" s="61" t="str">
        <f>IF(ListLayout[[#This Row],[List Name for Layout]]="","nest_relation2",IFERROR(VLOOKUP(ListLayout[[#This Row],[Relation 2]],RelationTable[[Display]:[RELID]],2,0),""))</f>
        <v/>
      </c>
      <c r="BC29" s="30"/>
      <c r="BD29" s="30"/>
      <c r="BE29" s="30"/>
    </row>
    <row r="30" spans="46:57">
      <c r="AT30" s="61" t="str">
        <f>'Table Seed Map'!$A$26&amp;"-"&amp;COUNTA($AV$1:ListLayout[[#This Row],[No]])-2</f>
        <v>List Layout-28</v>
      </c>
      <c r="AU30" s="4" t="s">
        <v>782</v>
      </c>
      <c r="AV30" s="61">
        <f>IF(ListLayout[[#This Row],[List Name for Layout]]="","id",COUNTA($AU$2:ListLayout[[#This Row],[List Name for Layout]])+IF(ISNUMBER(VLOOKUP('Table Seed Map'!$A$26,SeedMap[],9,0)),VLOOKUP('Table Seed Map'!$A$26,SeedMap[],9,0),0))</f>
        <v>50028</v>
      </c>
      <c r="AW30" s="61">
        <f>IFERROR(VLOOKUP(ListLayout[[#This Row],[List Name for Layout]],ResourceList[[ListDisplayName]:[No]],2,0),"resource_list")</f>
        <v>50008</v>
      </c>
      <c r="AX30" s="61" t="s">
        <v>1</v>
      </c>
      <c r="AY30" s="30" t="s">
        <v>26</v>
      </c>
      <c r="AZ30" s="61" t="str">
        <f>IF(ListLayout[[#This Row],[List Name for Layout]]="","relation",IFERROR(VLOOKUP(ListLayout[[#This Row],[Relation]],RelationTable[[Display]:[RELID]],2,0),""))</f>
        <v/>
      </c>
      <c r="BA30" s="61" t="str">
        <f>IF(ListLayout[[#This Row],[List Name for Layout]]="","nest_relation1",IFERROR(VLOOKUP(ListLayout[[#This Row],[Relation 1]],RelationTable[[Display]:[RELID]],2,0),""))</f>
        <v/>
      </c>
      <c r="BB30" s="61" t="str">
        <f>IF(ListLayout[[#This Row],[List Name for Layout]]="","nest_relation2",IFERROR(VLOOKUP(ListLayout[[#This Row],[Relation 2]],RelationTable[[Display]:[RELID]],2,0),""))</f>
        <v/>
      </c>
      <c r="BC30" s="30"/>
      <c r="BD30" s="30"/>
      <c r="BE30" s="30"/>
    </row>
    <row r="31" spans="46:57">
      <c r="AT31" s="61" t="str">
        <f>'Table Seed Map'!$A$26&amp;"-"&amp;COUNTA($AV$1:ListLayout[[#This Row],[No]])-2</f>
        <v>List Layout-29</v>
      </c>
      <c r="AU31" s="4" t="s">
        <v>782</v>
      </c>
      <c r="AV31" s="61">
        <f>IF(ListLayout[[#This Row],[List Name for Layout]]="","id",COUNTA($AU$2:ListLayout[[#This Row],[List Name for Layout]])+IF(ISNUMBER(VLOOKUP('Table Seed Map'!$A$26,SeedMap[],9,0)),VLOOKUP('Table Seed Map'!$A$26,SeedMap[],9,0),0))</f>
        <v>50029</v>
      </c>
      <c r="AW31" s="61">
        <f>IFERROR(VLOOKUP(ListLayout[[#This Row],[List Name for Layout]],ResourceList[[ListDisplayName]:[No]],2,0),"resource_list")</f>
        <v>50008</v>
      </c>
      <c r="AX31" s="61" t="s">
        <v>613</v>
      </c>
      <c r="AY31" s="30" t="s">
        <v>26</v>
      </c>
      <c r="AZ31" s="61">
        <f>IF(ListLayout[[#This Row],[List Name for Layout]]="","relation",IFERROR(VLOOKUP(ListLayout[[#This Row],[Relation]],RelationTable[[Display]:[RELID]],2,0),""))</f>
        <v>50013</v>
      </c>
      <c r="BA31" s="61" t="str">
        <f>IF(ListLayout[[#This Row],[List Name for Layout]]="","nest_relation1",IFERROR(VLOOKUP(ListLayout[[#This Row],[Relation 1]],RelationTable[[Display]:[RELID]],2,0),""))</f>
        <v/>
      </c>
      <c r="BB31" s="61" t="str">
        <f>IF(ListLayout[[#This Row],[List Name for Layout]]="","nest_relation2",IFERROR(VLOOKUP(ListLayout[[#This Row],[Relation 2]],RelationTable[[Display]:[RELID]],2,0),""))</f>
        <v/>
      </c>
      <c r="BC31" s="30" t="s">
        <v>790</v>
      </c>
      <c r="BD31" s="30"/>
      <c r="BE31" s="30"/>
    </row>
    <row r="32" spans="46:57">
      <c r="AT32" s="61" t="str">
        <f>'Table Seed Map'!$A$26&amp;"-"&amp;COUNTA($AV$1:ListLayout[[#This Row],[No]])-2</f>
        <v>List Layout-30</v>
      </c>
      <c r="AU32" s="4" t="s">
        <v>782</v>
      </c>
      <c r="AV32" s="61">
        <f>IF(ListLayout[[#This Row],[List Name for Layout]]="","id",COUNTA($AU$2:ListLayout[[#This Row],[List Name for Layout]])+IF(ISNUMBER(VLOOKUP('Table Seed Map'!$A$26,SeedMap[],9,0)),VLOOKUP('Table Seed Map'!$A$26,SeedMap[],9,0),0))</f>
        <v>50030</v>
      </c>
      <c r="AW32" s="61">
        <f>IFERROR(VLOOKUP(ListLayout[[#This Row],[List Name for Layout]],ResourceList[[ListDisplayName]:[No]],2,0),"resource_list")</f>
        <v>50008</v>
      </c>
      <c r="AX32" s="61" t="s">
        <v>107</v>
      </c>
      <c r="AY32" s="30" t="s">
        <v>28</v>
      </c>
      <c r="AZ32" s="61" t="str">
        <f>IF(ListLayout[[#This Row],[List Name for Layout]]="","relation",IFERROR(VLOOKUP(ListLayout[[#This Row],[Relation]],RelationTable[[Display]:[RELID]],2,0),""))</f>
        <v/>
      </c>
      <c r="BA32" s="61" t="str">
        <f>IF(ListLayout[[#This Row],[List Name for Layout]]="","nest_relation1",IFERROR(VLOOKUP(ListLayout[[#This Row],[Relation 1]],RelationTable[[Display]:[RELID]],2,0),""))</f>
        <v/>
      </c>
      <c r="BB32" s="61" t="str">
        <f>IF(ListLayout[[#This Row],[List Name for Layout]]="","nest_relation2",IFERROR(VLOOKUP(ListLayout[[#This Row],[Relation 2]],RelationTable[[Display]:[RELID]],2,0),""))</f>
        <v/>
      </c>
      <c r="BC32" s="30"/>
      <c r="BD32" s="30"/>
      <c r="BE32" s="30"/>
    </row>
    <row r="33" spans="46:57">
      <c r="AT33" s="61" t="str">
        <f>'Table Seed Map'!$A$26&amp;"-"&amp;COUNTA($AV$1:ListLayout[[#This Row],[No]])-2</f>
        <v>List Layout-31</v>
      </c>
      <c r="AU33" s="4" t="s">
        <v>789</v>
      </c>
      <c r="AV33" s="61">
        <f>IF(ListLayout[[#This Row],[List Name for Layout]]="","id",COUNTA($AU$2:ListLayout[[#This Row],[List Name for Layout]])+IF(ISNUMBER(VLOOKUP('Table Seed Map'!$A$26,SeedMap[],9,0)),VLOOKUP('Table Seed Map'!$A$26,SeedMap[],9,0),0))</f>
        <v>50031</v>
      </c>
      <c r="AW33" s="61">
        <f>IFERROR(VLOOKUP(ListLayout[[#This Row],[List Name for Layout]],ResourceList[[ListDisplayName]:[No]],2,0),"resource_list")</f>
        <v>50009</v>
      </c>
      <c r="AX33" s="61" t="s">
        <v>246</v>
      </c>
      <c r="AY33" s="30" t="s">
        <v>21</v>
      </c>
      <c r="AZ33" s="61" t="str">
        <f>IF(ListLayout[[#This Row],[List Name for Layout]]="","relation",IFERROR(VLOOKUP(ListLayout[[#This Row],[Relation]],RelationTable[[Display]:[RELID]],2,0),""))</f>
        <v/>
      </c>
      <c r="BA33" s="61" t="str">
        <f>IF(ListLayout[[#This Row],[List Name for Layout]]="","nest_relation1",IFERROR(VLOOKUP(ListLayout[[#This Row],[Relation 1]],RelationTable[[Display]:[RELID]],2,0),""))</f>
        <v/>
      </c>
      <c r="BB33" s="61" t="str">
        <f>IF(ListLayout[[#This Row],[List Name for Layout]]="","nest_relation2",IFERROR(VLOOKUP(ListLayout[[#This Row],[Relation 2]],RelationTable[[Display]:[RELID]],2,0),""))</f>
        <v/>
      </c>
      <c r="BC33" s="30"/>
      <c r="BD33" s="30"/>
      <c r="BE33" s="30"/>
    </row>
    <row r="34" spans="46:57">
      <c r="AT34" s="61" t="str">
        <f>'Table Seed Map'!$A$26&amp;"-"&amp;COUNTA($AV$1:ListLayout[[#This Row],[No]])-2</f>
        <v>List Layout-32</v>
      </c>
      <c r="AU34" s="4" t="s">
        <v>789</v>
      </c>
      <c r="AV34" s="61">
        <f>IF(ListLayout[[#This Row],[List Name for Layout]]="","id",COUNTA($AU$2:ListLayout[[#This Row],[List Name for Layout]])+IF(ISNUMBER(VLOOKUP('Table Seed Map'!$A$26,SeedMap[],9,0)),VLOOKUP('Table Seed Map'!$A$26,SeedMap[],9,0),0))</f>
        <v>50032</v>
      </c>
      <c r="AW34" s="61">
        <f>IFERROR(VLOOKUP(ListLayout[[#This Row],[List Name for Layout]],ResourceList[[ListDisplayName]:[No]],2,0),"resource_list")</f>
        <v>50009</v>
      </c>
      <c r="AX34" s="61" t="s">
        <v>219</v>
      </c>
      <c r="AY34" s="30" t="s">
        <v>479</v>
      </c>
      <c r="AZ34" s="61" t="str">
        <f>IF(ListLayout[[#This Row],[List Name for Layout]]="","relation",IFERROR(VLOOKUP(ListLayout[[#This Row],[Relation]],RelationTable[[Display]:[RELID]],2,0),""))</f>
        <v/>
      </c>
      <c r="BA34" s="61" t="str">
        <f>IF(ListLayout[[#This Row],[List Name for Layout]]="","nest_relation1",IFERROR(VLOOKUP(ListLayout[[#This Row],[Relation 1]],RelationTable[[Display]:[RELID]],2,0),""))</f>
        <v/>
      </c>
      <c r="BB34" s="61" t="str">
        <f>IF(ListLayout[[#This Row],[List Name for Layout]]="","nest_relation2",IFERROR(VLOOKUP(ListLayout[[#This Row],[Relation 2]],RelationTable[[Display]:[RELID]],2,0),""))</f>
        <v/>
      </c>
      <c r="BC34" s="30"/>
      <c r="BD34" s="30"/>
      <c r="BE34" s="30"/>
    </row>
    <row r="35" spans="46:57">
      <c r="AT35" s="61" t="str">
        <f>'Table Seed Map'!$A$26&amp;"-"&amp;COUNTA($AV$1:ListLayout[[#This Row],[No]])-2</f>
        <v>List Layout-33</v>
      </c>
      <c r="AU35" s="4" t="s">
        <v>789</v>
      </c>
      <c r="AV35" s="61">
        <f>IF(ListLayout[[#This Row],[List Name for Layout]]="","id",COUNTA($AU$2:ListLayout[[#This Row],[List Name for Layout]])+IF(ISNUMBER(VLOOKUP('Table Seed Map'!$A$26,SeedMap[],9,0)),VLOOKUP('Table Seed Map'!$A$26,SeedMap[],9,0),0))</f>
        <v>50033</v>
      </c>
      <c r="AW35" s="61">
        <f>IFERROR(VLOOKUP(ListLayout[[#This Row],[List Name for Layout]],ResourceList[[ListDisplayName]:[No]],2,0),"resource_list")</f>
        <v>50009</v>
      </c>
      <c r="AX35" s="61" t="s">
        <v>613</v>
      </c>
      <c r="AY35" s="30" t="s">
        <v>26</v>
      </c>
      <c r="AZ35" s="61">
        <f>IF(ListLayout[[#This Row],[List Name for Layout]]="","relation",IFERROR(VLOOKUP(ListLayout[[#This Row],[Relation]],RelationTable[[Display]:[RELID]],2,0),""))</f>
        <v>50021</v>
      </c>
      <c r="BA35" s="61" t="str">
        <f>IF(ListLayout[[#This Row],[List Name for Layout]]="","nest_relation1",IFERROR(VLOOKUP(ListLayout[[#This Row],[Relation 1]],RelationTable[[Display]:[RELID]],2,0),""))</f>
        <v/>
      </c>
      <c r="BB35" s="61" t="str">
        <f>IF(ListLayout[[#This Row],[List Name for Layout]]="","nest_relation2",IFERROR(VLOOKUP(ListLayout[[#This Row],[Relation 2]],RelationTable[[Display]:[RELID]],2,0),""))</f>
        <v/>
      </c>
      <c r="BC35" s="30" t="s">
        <v>791</v>
      </c>
      <c r="BD35" s="30"/>
      <c r="BE35" s="30"/>
    </row>
    <row r="36" spans="46:57">
      <c r="AT36" s="61" t="str">
        <f>'Table Seed Map'!$A$26&amp;"-"&amp;COUNTA($AV$1:ListLayout[[#This Row],[No]])-2</f>
        <v>List Layout-34</v>
      </c>
      <c r="AU36" s="4" t="s">
        <v>797</v>
      </c>
      <c r="AV36" s="61">
        <f>IF(ListLayout[[#This Row],[List Name for Layout]]="","id",COUNTA($AU$2:ListLayout[[#This Row],[List Name for Layout]])+IF(ISNUMBER(VLOOKUP('Table Seed Map'!$A$26,SeedMap[],9,0)),VLOOKUP('Table Seed Map'!$A$26,SeedMap[],9,0),0))</f>
        <v>50034</v>
      </c>
      <c r="AW36" s="61">
        <f>IFERROR(VLOOKUP(ListLayout[[#This Row],[List Name for Layout]],ResourceList[[ListDisplayName]:[No]],2,0),"resource_list")</f>
        <v>50010</v>
      </c>
      <c r="AX36" s="61" t="s">
        <v>1</v>
      </c>
      <c r="AY36" s="30" t="s">
        <v>26</v>
      </c>
      <c r="AZ36" s="61" t="str">
        <f>IF(ListLayout[[#This Row],[List Name for Layout]]="","relation",IFERROR(VLOOKUP(ListLayout[[#This Row],[Relation]],RelationTable[[Display]:[RELID]],2,0),""))</f>
        <v/>
      </c>
      <c r="BA36" s="61" t="str">
        <f>IF(ListLayout[[#This Row],[List Name for Layout]]="","nest_relation1",IFERROR(VLOOKUP(ListLayout[[#This Row],[Relation 1]],RelationTable[[Display]:[RELID]],2,0),""))</f>
        <v/>
      </c>
      <c r="BB36" s="61" t="str">
        <f>IF(ListLayout[[#This Row],[List Name for Layout]]="","nest_relation2",IFERROR(VLOOKUP(ListLayout[[#This Row],[Relation 2]],RelationTable[[Display]:[RELID]],2,0),""))</f>
        <v/>
      </c>
      <c r="BC36" s="30"/>
      <c r="BD36" s="30"/>
      <c r="BE36" s="30"/>
    </row>
    <row r="37" spans="46:57">
      <c r="AT37" s="61" t="str">
        <f>'Table Seed Map'!$A$26&amp;"-"&amp;COUNTA($AV$1:ListLayout[[#This Row],[No]])-2</f>
        <v>List Layout-35</v>
      </c>
      <c r="AU37" s="4" t="s">
        <v>797</v>
      </c>
      <c r="AV37" s="61">
        <f>IF(ListLayout[[#This Row],[List Name for Layout]]="","id",COUNTA($AU$2:ListLayout[[#This Row],[List Name for Layout]])+IF(ISNUMBER(VLOOKUP('Table Seed Map'!$A$26,SeedMap[],9,0)),VLOOKUP('Table Seed Map'!$A$26,SeedMap[],9,0),0))</f>
        <v>50035</v>
      </c>
      <c r="AW37" s="61">
        <f>IFERROR(VLOOKUP(ListLayout[[#This Row],[List Name for Layout]],ResourceList[[ListDisplayName]:[No]],2,0),"resource_list")</f>
        <v>50010</v>
      </c>
      <c r="AX37" s="61" t="s">
        <v>799</v>
      </c>
      <c r="AY37" s="30" t="s">
        <v>453</v>
      </c>
      <c r="AZ37" s="61" t="str">
        <f>IF(ListLayout[[#This Row],[List Name for Layout]]="","relation",IFERROR(VLOOKUP(ListLayout[[#This Row],[Relation]],RelationTable[[Display]:[RELID]],2,0),""))</f>
        <v/>
      </c>
      <c r="BA37" s="61" t="str">
        <f>IF(ListLayout[[#This Row],[List Name for Layout]]="","nest_relation1",IFERROR(VLOOKUP(ListLayout[[#This Row],[Relation 1]],RelationTable[[Display]:[RELID]],2,0),""))</f>
        <v/>
      </c>
      <c r="BB37" s="61" t="str">
        <f>IF(ListLayout[[#This Row],[List Name for Layout]]="","nest_relation2",IFERROR(VLOOKUP(ListLayout[[#This Row],[Relation 2]],RelationTable[[Display]:[RELID]],2,0),""))</f>
        <v/>
      </c>
      <c r="BC37" s="30"/>
      <c r="BD37" s="30"/>
      <c r="BE37" s="30"/>
    </row>
    <row r="38" spans="46:57">
      <c r="AT38" s="61" t="str">
        <f>'Table Seed Map'!$A$26&amp;"-"&amp;COUNTA($AV$1:ListLayout[[#This Row],[No]])-2</f>
        <v>List Layout-36</v>
      </c>
      <c r="AU38" s="4" t="s">
        <v>792</v>
      </c>
      <c r="AV38" s="61">
        <f>IF(ListLayout[[#This Row],[List Name for Layout]]="","id",COUNTA($AU$2:ListLayout[[#This Row],[List Name for Layout]])+IF(ISNUMBER(VLOOKUP('Table Seed Map'!$A$26,SeedMap[],9,0)),VLOOKUP('Table Seed Map'!$A$26,SeedMap[],9,0),0))</f>
        <v>50036</v>
      </c>
      <c r="AW38" s="61">
        <f>IFERROR(VLOOKUP(ListLayout[[#This Row],[List Name for Layout]],ResourceList[[ListDisplayName]:[No]],2,0),"resource_list")</f>
        <v>50011</v>
      </c>
      <c r="AX38" s="61" t="s">
        <v>569</v>
      </c>
      <c r="AY38" s="30" t="s">
        <v>26</v>
      </c>
      <c r="AZ38" s="61">
        <f>IF(ListLayout[[#This Row],[List Name for Layout]]="","relation",IFERROR(VLOOKUP(ListLayout[[#This Row],[Relation]],RelationTable[[Display]:[RELID]],2,0),""))</f>
        <v>50026</v>
      </c>
      <c r="BA38" s="61" t="str">
        <f>IF(ListLayout[[#This Row],[List Name for Layout]]="","nest_relation1",IFERROR(VLOOKUP(ListLayout[[#This Row],[Relation 1]],RelationTable[[Display]:[RELID]],2,0),""))</f>
        <v/>
      </c>
      <c r="BB38" s="61" t="str">
        <f>IF(ListLayout[[#This Row],[List Name for Layout]]="","nest_relation2",IFERROR(VLOOKUP(ListLayout[[#This Row],[Relation 2]],RelationTable[[Display]:[RELID]],2,0),""))</f>
        <v/>
      </c>
      <c r="BC38" s="30" t="s">
        <v>793</v>
      </c>
      <c r="BD38" s="30"/>
      <c r="BE38" s="30"/>
    </row>
    <row r="39" spans="46:57">
      <c r="AT39" s="61" t="str">
        <f>'Table Seed Map'!$A$26&amp;"-"&amp;COUNTA($AV$1:ListLayout[[#This Row],[No]])-2</f>
        <v>List Layout-37</v>
      </c>
      <c r="AU39" s="4" t="s">
        <v>792</v>
      </c>
      <c r="AV39" s="61">
        <f>IF(ListLayout[[#This Row],[List Name for Layout]]="","id",COUNTA($AU$2:ListLayout[[#This Row],[List Name for Layout]])+IF(ISNUMBER(VLOOKUP('Table Seed Map'!$A$26,SeedMap[],9,0)),VLOOKUP('Table Seed Map'!$A$26,SeedMap[],9,0),0))</f>
        <v>50037</v>
      </c>
      <c r="AW39" s="61">
        <f>IFERROR(VLOOKUP(ListLayout[[#This Row],[List Name for Layout]],ResourceList[[ListDisplayName]:[No]],2,0),"resource_list")</f>
        <v>50011</v>
      </c>
      <c r="AX39" s="61" t="s">
        <v>804</v>
      </c>
      <c r="AY39" s="30" t="s">
        <v>26</v>
      </c>
      <c r="AZ39" s="61">
        <f>IF(ListLayout[[#This Row],[List Name for Layout]]="","relation",IFERROR(VLOOKUP(ListLayout[[#This Row],[Relation]],RelationTable[[Display]:[RELID]],2,0),""))</f>
        <v>50023</v>
      </c>
      <c r="BA39" s="61" t="str">
        <f>IF(ListLayout[[#This Row],[List Name for Layout]]="","nest_relation1",IFERROR(VLOOKUP(ListLayout[[#This Row],[Relation 1]],RelationTable[[Display]:[RELID]],2,0),""))</f>
        <v/>
      </c>
      <c r="BB39" s="61" t="str">
        <f>IF(ListLayout[[#This Row],[List Name for Layout]]="","nest_relation2",IFERROR(VLOOKUP(ListLayout[[#This Row],[Relation 2]],RelationTable[[Display]:[RELID]],2,0),""))</f>
        <v/>
      </c>
      <c r="BC39" s="30" t="s">
        <v>794</v>
      </c>
      <c r="BD39" s="30"/>
      <c r="BE39" s="30"/>
    </row>
    <row r="40" spans="46:57">
      <c r="AT40" s="61" t="str">
        <f>'Table Seed Map'!$A$26&amp;"-"&amp;COUNTA($AV$1:ListLayout[[#This Row],[No]])-2</f>
        <v>List Layout-38</v>
      </c>
      <c r="AU40" s="4" t="s">
        <v>792</v>
      </c>
      <c r="AV40" s="61">
        <f>IF(ListLayout[[#This Row],[List Name for Layout]]="","id",COUNTA($AU$2:ListLayout[[#This Row],[List Name for Layout]])+IF(ISNUMBER(VLOOKUP('Table Seed Map'!$A$26,SeedMap[],9,0)),VLOOKUP('Table Seed Map'!$A$26,SeedMap[],9,0),0))</f>
        <v>50038</v>
      </c>
      <c r="AW40" s="61">
        <f>IFERROR(VLOOKUP(ListLayout[[#This Row],[List Name for Layout]],ResourceList[[ListDisplayName]:[No]],2,0),"resource_list")</f>
        <v>50011</v>
      </c>
      <c r="AX40" s="61" t="s">
        <v>805</v>
      </c>
      <c r="AY40" s="30" t="s">
        <v>26</v>
      </c>
      <c r="AZ40" s="61">
        <f>IF(ListLayout[[#This Row],[List Name for Layout]]="","relation",IFERROR(VLOOKUP(ListLayout[[#This Row],[Relation]],RelationTable[[Display]:[RELID]],2,0),""))</f>
        <v>50024</v>
      </c>
      <c r="BA40" s="61" t="str">
        <f>IF(ListLayout[[#This Row],[List Name for Layout]]="","nest_relation1",IFERROR(VLOOKUP(ListLayout[[#This Row],[Relation 1]],RelationTable[[Display]:[RELID]],2,0),""))</f>
        <v/>
      </c>
      <c r="BB40" s="61" t="str">
        <f>IF(ListLayout[[#This Row],[List Name for Layout]]="","nest_relation2",IFERROR(VLOOKUP(ListLayout[[#This Row],[Relation 2]],RelationTable[[Display]:[RELID]],2,0),""))</f>
        <v/>
      </c>
      <c r="BC40" s="30" t="s">
        <v>795</v>
      </c>
      <c r="BD40" s="30"/>
      <c r="BE40" s="30"/>
    </row>
  </sheetData>
  <dataValidations count="4">
    <dataValidation type="list" allowBlank="1" showInputMessage="1" showErrorMessage="1" sqref="AO2:AR15 P2:S16 BC2:BE40">
      <formula1>Relations</formula1>
    </dataValidation>
    <dataValidation type="list" allowBlank="1" showInputMessage="1" showErrorMessage="1" sqref="AG2:AG15 M2:M16 AU2:AU40">
      <formula1>ListNames</formula1>
    </dataValidation>
    <dataValidation type="list" allowBlank="1" showInputMessage="1" showErrorMessage="1" sqref="B2:B13">
      <formula1>Resources</formula1>
    </dataValidation>
    <dataValidation type="list" allowBlank="1" showInputMessage="1" showErrorMessage="1" sqref="O2:O16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21"/>
  <sheetViews>
    <sheetView topLeftCell="N1" workbookViewId="0">
      <selection activeCell="AT2" sqref="AT2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5.140625" style="20" bestFit="1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283</v>
      </c>
      <c r="B1" s="20" t="s">
        <v>105</v>
      </c>
      <c r="C1" s="20" t="s">
        <v>376</v>
      </c>
      <c r="D1" s="20" t="s">
        <v>104</v>
      </c>
      <c r="E1" s="20" t="s">
        <v>92</v>
      </c>
      <c r="F1" s="20" t="s">
        <v>1</v>
      </c>
      <c r="G1" s="20" t="s">
        <v>107</v>
      </c>
      <c r="H1" s="20" t="s">
        <v>377</v>
      </c>
      <c r="I1" s="20" t="s">
        <v>121</v>
      </c>
      <c r="J1" s="20" t="s">
        <v>246</v>
      </c>
      <c r="L1" s="1" t="s">
        <v>378</v>
      </c>
      <c r="M1" s="1" t="s">
        <v>379</v>
      </c>
      <c r="N1" s="1" t="s">
        <v>351</v>
      </c>
      <c r="O1" s="1" t="s">
        <v>350</v>
      </c>
      <c r="P1" s="1" t="s">
        <v>352</v>
      </c>
      <c r="Q1" s="1" t="s">
        <v>353</v>
      </c>
      <c r="R1" s="1" t="s">
        <v>354</v>
      </c>
      <c r="S1" s="1" t="s">
        <v>361</v>
      </c>
      <c r="T1" s="1" t="s">
        <v>356</v>
      </c>
      <c r="U1" s="1" t="s">
        <v>381</v>
      </c>
      <c r="V1" s="1" t="s">
        <v>357</v>
      </c>
      <c r="W1" s="1" t="s">
        <v>362</v>
      </c>
      <c r="X1" s="1" t="s">
        <v>358</v>
      </c>
      <c r="Y1" s="1" t="s">
        <v>380</v>
      </c>
      <c r="Z1" s="1" t="s">
        <v>110</v>
      </c>
      <c r="AA1" s="1" t="s">
        <v>239</v>
      </c>
      <c r="AB1" s="1" t="s">
        <v>240</v>
      </c>
      <c r="AC1" s="1" t="s">
        <v>241</v>
      </c>
      <c r="AE1" s="1" t="s">
        <v>283</v>
      </c>
      <c r="AF1" s="1" t="s">
        <v>383</v>
      </c>
      <c r="AG1" s="1" t="s">
        <v>384</v>
      </c>
      <c r="AH1" s="1" t="s">
        <v>104</v>
      </c>
      <c r="AI1" s="1" t="s">
        <v>323</v>
      </c>
      <c r="AJ1" s="1" t="s">
        <v>102</v>
      </c>
      <c r="AK1" s="1" t="s">
        <v>377</v>
      </c>
      <c r="AL1" s="1" t="s">
        <v>242</v>
      </c>
      <c r="AM1" s="1" t="s">
        <v>263</v>
      </c>
      <c r="AN1" s="1" t="s">
        <v>110</v>
      </c>
      <c r="AP1" s="1" t="s">
        <v>283</v>
      </c>
      <c r="AQ1" s="1" t="s">
        <v>385</v>
      </c>
      <c r="AR1" s="1" t="s">
        <v>104</v>
      </c>
      <c r="AS1" s="1" t="s">
        <v>386</v>
      </c>
      <c r="AT1" s="1" t="s">
        <v>109</v>
      </c>
      <c r="AU1" s="1" t="s">
        <v>111</v>
      </c>
      <c r="AV1" s="1" t="s">
        <v>367</v>
      </c>
      <c r="AW1" s="1" t="s">
        <v>110</v>
      </c>
    </row>
    <row r="2" spans="1:49">
      <c r="A2" s="6" t="str">
        <f>'Table Seed Map'!$A$28&amp;"-"&amp;COUNTA($B$1:ResourceData[[#This Row],[Resource Name]])-1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IF($D1="id",IF(ISNUMBER(VLOOKUP('Table Seed Map'!$A$28,SeedMap[],9,0)),VLOOKUP('Table Seed Map'!$A$28,SeedMap[],9,0)+1,1),IFERROR($D1+1,"id"))</f>
        <v>id</v>
      </c>
      <c r="E2" s="15" t="str">
        <f>IFERROR(VLOOKUP(ResourceData[[#This Row],[Resource Name]],ResourceTable[[RName]:[RID]],2,0),"resource")</f>
        <v>resource</v>
      </c>
      <c r="F2" s="13" t="s">
        <v>26</v>
      </c>
      <c r="G2" s="13" t="s">
        <v>28</v>
      </c>
      <c r="H2" s="13" t="s">
        <v>48</v>
      </c>
      <c r="I2" s="53" t="s">
        <v>35</v>
      </c>
      <c r="J2" s="55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Map'!$A$31&amp;"-"&amp;COUNTA($AH$1:DataViewSection[[#This Row],[No]])-2</f>
        <v>Data View Section-0</v>
      </c>
      <c r="AF2" s="2"/>
      <c r="AG2" s="9" t="str">
        <f>DataViewSection[[#This Row],[Data Name for Layout]]&amp;"/"&amp;COUNTA($AH$1:DataViewSection[[#This Row],[No]])-2</f>
        <v>/0</v>
      </c>
      <c r="AH2" s="16" t="str">
        <f>IF(DataViewSection[[#This Row],[Data Name for Layout]]="","id",IFERROR($AH1+1,IF(ISNUMBER(VLOOKUP('Table Seed Map'!$A$31,SeedMap[],9,0)),VLOOKUP('Table Seed Map'!$A$31,SeedMap[],9,0)+1,1)))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30</v>
      </c>
      <c r="AK2" s="16" t="s">
        <v>48</v>
      </c>
      <c r="AL2" s="16" t="s">
        <v>49</v>
      </c>
      <c r="AM2" s="14" t="s">
        <v>180</v>
      </c>
      <c r="AN2" s="14"/>
      <c r="AP2" s="16" t="str">
        <f>'Table Seed Map'!$A$32&amp;"-"&amp;COUNTA($AQ$2:DataViewSectionItem[[#This Row],[Data Section for Items]])</f>
        <v>Data View Section Items-0</v>
      </c>
      <c r="AQ2" s="2"/>
      <c r="AR2" s="16" t="str">
        <f>IF(DataViewSectionItem[[#This Row],[Data Section for Items]]="","id",IFERROR($AR1+1,IF(ISNUMBER(VLOOKUP('Table Seed Map'!$A$32,SeedMap[],9,0)),VLOOKUP('Table Seed Map'!$A$32,SeedMap[],9,0)+1,1)))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100</v>
      </c>
      <c r="AU2" s="14" t="s">
        <v>66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8" t="str">
        <f>'Table Seed Map'!$A$28&amp;"-"&amp;COUNTA($B$1:ResourceData[[#This Row],[Resource Name]])-1</f>
        <v>Resource Data-1</v>
      </c>
      <c r="B3" s="5" t="s">
        <v>575</v>
      </c>
      <c r="C3" s="8" t="str">
        <f>ResourceData[[#This Row],[Resource Name]]&amp;"/"&amp;ResourceData[[#This Row],[Name]]</f>
        <v>Visitor/VisitorDetails</v>
      </c>
      <c r="D3" s="31">
        <f>IF($D2="id",IF(ISNUMBER(VLOOKUP('Table Seed Map'!$A$28,SeedMap[],9,0)),VLOOKUP('Table Seed Map'!$A$28,SeedMap[],9,0)+1,1),IFERROR($D2+1,"id"))</f>
        <v>50001</v>
      </c>
      <c r="E3" s="31">
        <f>IFERROR(VLOOKUP(ResourceData[[#This Row],[Resource Name]],ResourceTable[[RName]:[RID]],2,0),"resource")</f>
        <v>50005</v>
      </c>
      <c r="F3" s="32" t="s">
        <v>806</v>
      </c>
      <c r="G3" s="32" t="s">
        <v>807</v>
      </c>
      <c r="H3" s="32" t="s">
        <v>26</v>
      </c>
      <c r="I3" s="94"/>
      <c r="J3" s="64">
        <f>[No]</f>
        <v>50001</v>
      </c>
      <c r="L3" s="4" t="s">
        <v>813</v>
      </c>
      <c r="M3" s="7">
        <f>VLOOKUP(DataExtra[[#This Row],[Data Name]],ResourceData[[DataDisplayName]:[No]],2,0)</f>
        <v>50004</v>
      </c>
      <c r="N3" s="4" t="s">
        <v>814</v>
      </c>
      <c r="O3" s="4"/>
      <c r="P3" s="4"/>
      <c r="Q3" s="4"/>
      <c r="R3" s="4"/>
      <c r="S3" s="7" t="str">
        <f>'Table Seed Map'!$A$29&amp;"-"&amp;COUNT($V$1:DataExtra[[#This Row],[Scope ID]])</f>
        <v>Data Scopes-1</v>
      </c>
      <c r="T3" s="61">
        <f>IF(DataExtra[[#This Row],[DID]]=0,"id",IF(DataExtra[[#This Row],[Scope ID]]="","",COUNT($V$2:DataExtra[[#This Row],[Scope ID]])+IF(ISNUMBER(VLOOKUP('Table Seed Map'!$A$29,SeedMap[],9,0)),VLOOKUP('Table Seed Map'!$A$29,SeedMap[],9,0),0)))</f>
        <v>50001</v>
      </c>
      <c r="U3" s="61">
        <f>IF(DataExtra[[#This Row],[DID]]=0,"resource_data",DataExtra[[#This Row],[DID]])</f>
        <v>50004</v>
      </c>
      <c r="V3" s="61">
        <f>IFERROR(VLOOKUP(DataExtra[[#This Row],[Scope Name]],ResourceScopes[[ScopesDisplayNames]:[No]],2,0),IF(DataExtra[[#This Row],[DID]]=0,"scope",""))</f>
        <v>50008</v>
      </c>
      <c r="W3" s="7" t="str">
        <f>'Table Seed Map'!$A$30&amp;"-"&amp;COUNT($Z$1:DataExtra[[#This Row],[Relation]])</f>
        <v>Data Relations-0</v>
      </c>
      <c r="X3" s="61" t="str">
        <f>IF(DataExtra[[#This Row],[DID]]=0,"id",IF(DataExtra[[#This Row],[Relation]]="","",COUNT($Z$2:DataExtra[[#This Row],[Relation]])+IF(ISNUMBER(VLOOKUP('Table Seed Map'!$A$30,SeedMap[],9,0)),VLOOKUP('Table Seed Map'!$A$30,SeedMap[],9,0),0)))</f>
        <v/>
      </c>
      <c r="Y3" s="61">
        <f>IF(DataExtra[[#This Row],[DID]]=0,"resource_data",DataExtra[[#This Row],[DID]])</f>
        <v>50004</v>
      </c>
      <c r="Z3" s="61" t="str">
        <f>IFERROR(VLOOKUP(DataExtra[[#This Row],[Relation Name]],RelationTable[[Display]:[RELID]],2,0),IF(DataExtra[[#This Row],[DID]]=0,"relation",""))</f>
        <v/>
      </c>
      <c r="AA3" s="61" t="str">
        <f>IFERROR(VLOOKUP(DataExtra[[#This Row],[R1 Name]],RelationTable[[Display]:[RELID]],2,0),IF(DataExtra[[#This Row],[DID]]=0,"nest_relation1",""))</f>
        <v/>
      </c>
      <c r="AB3" s="61" t="str">
        <f>IFERROR(VLOOKUP(DataExtra[[#This Row],[R2 Name]],RelationTable[[Display]:[RELID]],2,0),IF(DataExtra[[#This Row],[DID]]=0,"nest_relation2",""))</f>
        <v/>
      </c>
      <c r="AC3" s="61" t="str">
        <f>IFERROR(VLOOKUP(DataExtra[[#This Row],[R3 Name]],RelationTable[[Display]:[RELID]],2,0),IF(DataExtra[[#This Row],[DID]]=0,"nest_relation3",""))</f>
        <v/>
      </c>
      <c r="AE3" s="61" t="str">
        <f>'Table Seed Map'!$A$31&amp;"-"&amp;COUNTA($AH$1:DataViewSection[[#This Row],[No]])-2</f>
        <v>Data View Section-1</v>
      </c>
      <c r="AF3" s="4" t="s">
        <v>815</v>
      </c>
      <c r="AG3" s="7" t="str">
        <f>DataViewSection[[#This Row],[Data Name for Layout]]&amp;"/"&amp;COUNTA($AH$1:DataViewSection[[#This Row],[No]])-2</f>
        <v>Visitor/VisitorDetails/1</v>
      </c>
      <c r="AH3" s="61">
        <f>IF(DataViewSection[[#This Row],[Data Name for Layout]]="","id",IFERROR($AH2+1,IF(ISNUMBER(VLOOKUP('Table Seed Map'!$A$31,SeedMap[],9,0)),VLOOKUP('Table Seed Map'!$A$31,SeedMap[],9,0)+1,1)))</f>
        <v>50001</v>
      </c>
      <c r="AI3" s="61">
        <f>IFERROR(VLOOKUP(DataViewSection[[#This Row],[Data Name for Layout]],ResourceData[[DataDisplayName]:[No]],2,0),"resource_data")</f>
        <v>50001</v>
      </c>
      <c r="AJ3" s="61"/>
      <c r="AK3" s="61" t="s">
        <v>26</v>
      </c>
      <c r="AL3" s="61" t="str">
        <f>IFERROR(VLOOKUP(DataViewSection[[#This Row],[Relation]],RelationTable[[Display]:[RELID]],2,0),"")</f>
        <v/>
      </c>
      <c r="AM3" s="30">
        <v>12</v>
      </c>
      <c r="AN3" s="30"/>
      <c r="AP3" s="61" t="str">
        <f>'Table Seed Map'!$A$32&amp;"-"&amp;COUNTA($AQ$2:DataViewSectionItem[[#This Row],[Data Section for Items]])</f>
        <v>Data View Section Items-1</v>
      </c>
      <c r="AQ3" s="4" t="s">
        <v>826</v>
      </c>
      <c r="AR3" s="61">
        <f>IF(DataViewSectionItem[[#This Row],[Data Section for Items]]="","id",IFERROR($AR2+1,IF(ISNUMBER(VLOOKUP('Table Seed Map'!$A$32,SeedMap[],9,0)),VLOOKUP('Table Seed Map'!$A$32,SeedMap[],9,0)+1,1)))</f>
        <v>50001</v>
      </c>
      <c r="AS3" s="61">
        <f>IF(DataViewSectionItem[[#This Row],[Data Section for Items]]="","section",VLOOKUP(DataViewSectionItem[[#This Row],[Data Section for Items]],DataViewSection[[DataSectionDisplayName]:[No]],2,0))</f>
        <v>50001</v>
      </c>
      <c r="AT3" s="61" t="s">
        <v>707</v>
      </c>
      <c r="AU3" s="30" t="s">
        <v>101</v>
      </c>
      <c r="AV3" s="61" t="str">
        <f>IF(DataViewSectionItem[[#This Row],[Data Section for Items]]="","relation",IFERROR(VLOOKUP(DataViewSectionItem[[#This Row],[Relation]],RelationTable[[Display]:[RELID]],2,0),""))</f>
        <v/>
      </c>
      <c r="AW3" s="30"/>
    </row>
    <row r="4" spans="1:49">
      <c r="A4" s="8" t="str">
        <f>'Table Seed Map'!$A$28&amp;"-"&amp;COUNTA($B$1:ResourceData[[#This Row],[Resource Name]])-1</f>
        <v>Resource Data-2</v>
      </c>
      <c r="B4" s="5" t="s">
        <v>572</v>
      </c>
      <c r="C4" s="8" t="str">
        <f>ResourceData[[#This Row],[Resource Name]]&amp;"/"&amp;ResourceData[[#This Row],[Name]]</f>
        <v>ProductImage/ProductImageStatus</v>
      </c>
      <c r="D4" s="31">
        <f>IF($D3="id",IF(ISNUMBER(VLOOKUP('Table Seed Map'!$A$28,SeedMap[],9,0)),VLOOKUP('Table Seed Map'!$A$28,SeedMap[],9,0)+1,1),IFERROR($D3+1,"id"))</f>
        <v>50002</v>
      </c>
      <c r="E4" s="31">
        <f>IFERROR(VLOOKUP(ResourceData[[#This Row],[Resource Name]],ResourceTable[[RName]:[RID]],2,0),"resource")</f>
        <v>50004</v>
      </c>
      <c r="F4" s="32" t="s">
        <v>808</v>
      </c>
      <c r="G4" s="32" t="s">
        <v>809</v>
      </c>
      <c r="H4" s="32" t="s">
        <v>453</v>
      </c>
      <c r="I4" s="94"/>
      <c r="J4" s="64">
        <f>[No]</f>
        <v>50002</v>
      </c>
      <c r="L4" s="4" t="s">
        <v>815</v>
      </c>
      <c r="M4" s="7">
        <f>VLOOKUP(DataExtra[[#This Row],[Data Name]],ResourceData[[DataDisplayName]:[No]],2,0)</f>
        <v>50001</v>
      </c>
      <c r="N4" s="4"/>
      <c r="O4" s="4" t="s">
        <v>817</v>
      </c>
      <c r="P4" s="4" t="s">
        <v>725</v>
      </c>
      <c r="Q4" s="4"/>
      <c r="R4" s="4"/>
      <c r="S4" s="7" t="str">
        <f>'Table Seed Map'!$A$29&amp;"-"&amp;COUNT($V$1:DataExtra[[#This Row],[Scope ID]])</f>
        <v>Data Scopes-1</v>
      </c>
      <c r="T4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4" s="61">
        <f>IF(DataExtra[[#This Row],[DID]]=0,"resource_data",DataExtra[[#This Row],[DID]])</f>
        <v>50001</v>
      </c>
      <c r="V4" s="61" t="str">
        <f>IFERROR(VLOOKUP(DataExtra[[#This Row],[Scope Name]],ResourceScopes[[ScopesDisplayNames]:[No]],2,0),IF(DataExtra[[#This Row],[DID]]=0,"scope",""))</f>
        <v/>
      </c>
      <c r="W4" s="7" t="str">
        <f>'Table Seed Map'!$A$30&amp;"-"&amp;COUNT($Z$1:DataExtra[[#This Row],[Relation]])</f>
        <v>Data Relations-1</v>
      </c>
      <c r="X4" s="61">
        <f>IF(DataExtra[[#This Row],[DID]]=0,"id",IF(DataExtra[[#This Row],[Relation]]="","",COUNT($Z$2:DataExtra[[#This Row],[Relation]])+IF(ISNUMBER(VLOOKUP('Table Seed Map'!$A$30,SeedMap[],9,0)),VLOOKUP('Table Seed Map'!$A$30,SeedMap[],9,0),0)))</f>
        <v>50001</v>
      </c>
      <c r="Y4" s="61">
        <f>IF(DataExtra[[#This Row],[DID]]=0,"resource_data",DataExtra[[#This Row],[DID]])</f>
        <v>50001</v>
      </c>
      <c r="Z4" s="61">
        <f>IFERROR(VLOOKUP(DataExtra[[#This Row],[Relation Name]],RelationTable[[Display]:[RELID]],2,0),IF(DataExtra[[#This Row],[DID]]=0,"relation",""))</f>
        <v>50011</v>
      </c>
      <c r="AA4" s="61">
        <f>IFERROR(VLOOKUP(DataExtra[[#This Row],[R1 Name]],RelationTable[[Display]:[RELID]],2,0),IF(DataExtra[[#This Row],[DID]]=0,"nest_relation1",""))</f>
        <v>50018</v>
      </c>
      <c r="AB4" s="61" t="str">
        <f>IFERROR(VLOOKUP(DataExtra[[#This Row],[R2 Name]],RelationTable[[Display]:[RELID]],2,0),IF(DataExtra[[#This Row],[DID]]=0,"nest_relation2",""))</f>
        <v/>
      </c>
      <c r="AC4" s="61" t="str">
        <f>IFERROR(VLOOKUP(DataExtra[[#This Row],[R3 Name]],RelationTable[[Display]:[RELID]],2,0),IF(DataExtra[[#This Row],[DID]]=0,"nest_relation3",""))</f>
        <v/>
      </c>
      <c r="AE4" s="61" t="str">
        <f>'Table Seed Map'!$A$31&amp;"-"&amp;COUNTA($AH$1:DataViewSection[[#This Row],[No]])-2</f>
        <v>Data View Section-2</v>
      </c>
      <c r="AF4" s="4" t="s">
        <v>815</v>
      </c>
      <c r="AG4" s="7" t="str">
        <f>DataViewSection[[#This Row],[Data Name for Layout]]&amp;"/"&amp;COUNTA($AH$1:DataViewSection[[#This Row],[No]])-2</f>
        <v>Visitor/VisitorDetails/2</v>
      </c>
      <c r="AH4" s="61">
        <f>IF(DataViewSection[[#This Row],[Data Name for Layout]]="","id",IFERROR($AH3+1,IF(ISNUMBER(VLOOKUP('Table Seed Map'!$A$31,SeedMap[],9,0)),VLOOKUP('Table Seed Map'!$A$31,SeedMap[],9,0)+1,1)))</f>
        <v>50002</v>
      </c>
      <c r="AI4" s="61">
        <f>IFERROR(VLOOKUP(DataViewSection[[#This Row],[Data Name for Layout]],ResourceData[[DataDisplayName]:[No]],2,0),"resource_data")</f>
        <v>50001</v>
      </c>
      <c r="AJ4" s="61" t="s">
        <v>823</v>
      </c>
      <c r="AK4" s="61"/>
      <c r="AL4" s="61">
        <f>IFERROR(VLOOKUP(DataViewSection[[#This Row],[Relation]],RelationTable[[Display]:[RELID]],2,0),"")</f>
        <v>50011</v>
      </c>
      <c r="AM4" s="30">
        <v>6</v>
      </c>
      <c r="AN4" s="30" t="s">
        <v>817</v>
      </c>
      <c r="AP4" s="61" t="str">
        <f>'Table Seed Map'!$A$32&amp;"-"&amp;COUNTA($AQ$2:DataViewSectionItem[[#This Row],[Data Section for Items]])</f>
        <v>Data View Section Items-2</v>
      </c>
      <c r="AQ4" s="4" t="s">
        <v>826</v>
      </c>
      <c r="AR4" s="61">
        <f>IF(DataViewSectionItem[[#This Row],[Data Section for Items]]="","id",IFERROR($AR3+1,IF(ISNUMBER(VLOOKUP('Table Seed Map'!$A$32,SeedMap[],9,0)),VLOOKUP('Table Seed Map'!$A$32,SeedMap[],9,0)+1,1)))</f>
        <v>50002</v>
      </c>
      <c r="AS4" s="61">
        <f>IF(DataViewSectionItem[[#This Row],[Data Section for Items]]="","section",VLOOKUP(DataViewSectionItem[[#This Row],[Data Section for Items]],DataViewSection[[DataSectionDisplayName]:[No]],2,0))</f>
        <v>50001</v>
      </c>
      <c r="AT4" s="61" t="s">
        <v>708</v>
      </c>
      <c r="AU4" s="30" t="s">
        <v>471</v>
      </c>
      <c r="AV4" s="61" t="str">
        <f>IF(DataViewSectionItem[[#This Row],[Data Section for Items]]="","relation",IFERROR(VLOOKUP(DataViewSectionItem[[#This Row],[Relation]],RelationTable[[Display]:[RELID]],2,0),""))</f>
        <v/>
      </c>
      <c r="AW4" s="30"/>
    </row>
    <row r="5" spans="1:49">
      <c r="A5" s="8" t="str">
        <f>'Table Seed Map'!$A$28&amp;"-"&amp;COUNTA($B$1:ResourceData[[#This Row],[Resource Name]])-1</f>
        <v>Resource Data-3</v>
      </c>
      <c r="B5" s="5" t="s">
        <v>578</v>
      </c>
      <c r="C5" s="8" t="str">
        <f>ResourceData[[#This Row],[Resource Name]]&amp;"/"&amp;ResourceData[[#This Row],[Name]]</f>
        <v>Wishlist/WishlistDetails</v>
      </c>
      <c r="D5" s="31">
        <f>IF($D4="id",IF(ISNUMBER(VLOOKUP('Table Seed Map'!$A$28,SeedMap[],9,0)),VLOOKUP('Table Seed Map'!$A$28,SeedMap[],9,0)+1,1),IFERROR($D4+1,"id"))</f>
        <v>50003</v>
      </c>
      <c r="E5" s="31">
        <f>IFERROR(VLOOKUP(ResourceData[[#This Row],[Resource Name]],ResourceTable[[RName]:[RID]],2,0),"resource")</f>
        <v>50006</v>
      </c>
      <c r="F5" s="32" t="s">
        <v>810</v>
      </c>
      <c r="G5" s="32" t="s">
        <v>811</v>
      </c>
      <c r="H5" s="32" t="s">
        <v>26</v>
      </c>
      <c r="I5" s="94"/>
      <c r="J5" s="64">
        <f>[No]</f>
        <v>50003</v>
      </c>
      <c r="L5" s="4" t="s">
        <v>815</v>
      </c>
      <c r="M5" s="7">
        <f>VLOOKUP(DataExtra[[#This Row],[Data Name]],ResourceData[[DataDisplayName]:[No]],2,0)</f>
        <v>50001</v>
      </c>
      <c r="N5" s="4"/>
      <c r="O5" s="4" t="s">
        <v>818</v>
      </c>
      <c r="P5" s="4" t="s">
        <v>725</v>
      </c>
      <c r="Q5" s="4"/>
      <c r="R5" s="4"/>
      <c r="S5" s="7" t="str">
        <f>'Table Seed Map'!$A$29&amp;"-"&amp;COUNT($V$1:DataExtra[[#This Row],[Scope ID]])</f>
        <v>Data Scopes-1</v>
      </c>
      <c r="T5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5" s="61">
        <f>IF(DataExtra[[#This Row],[DID]]=0,"resource_data",DataExtra[[#This Row],[DID]])</f>
        <v>50001</v>
      </c>
      <c r="V5" s="61" t="str">
        <f>IFERROR(VLOOKUP(DataExtra[[#This Row],[Scope Name]],ResourceScopes[[ScopesDisplayNames]:[No]],2,0),IF(DataExtra[[#This Row],[DID]]=0,"scope",""))</f>
        <v/>
      </c>
      <c r="W5" s="7" t="str">
        <f>'Table Seed Map'!$A$30&amp;"-"&amp;COUNT($Z$1:DataExtra[[#This Row],[Relation]])</f>
        <v>Data Relations-2</v>
      </c>
      <c r="X5" s="61">
        <f>IF(DataExtra[[#This Row],[DID]]=0,"id",IF(DataExtra[[#This Row],[Relation]]="","",COUNT($Z$2:DataExtra[[#This Row],[Relation]])+IF(ISNUMBER(VLOOKUP('Table Seed Map'!$A$30,SeedMap[],9,0)),VLOOKUP('Table Seed Map'!$A$30,SeedMap[],9,0),0)))</f>
        <v>50002</v>
      </c>
      <c r="Y5" s="61">
        <f>IF(DataExtra[[#This Row],[DID]]=0,"resource_data",DataExtra[[#This Row],[DID]])</f>
        <v>50001</v>
      </c>
      <c r="Z5" s="61">
        <f>IFERROR(VLOOKUP(DataExtra[[#This Row],[Relation Name]],RelationTable[[Display]:[RELID]],2,0),IF(DataExtra[[#This Row],[DID]]=0,"relation",""))</f>
        <v>50012</v>
      </c>
      <c r="AA5" s="61">
        <f>IFERROR(VLOOKUP(DataExtra[[#This Row],[R1 Name]],RelationTable[[Display]:[RELID]],2,0),IF(DataExtra[[#This Row],[DID]]=0,"nest_relation1",""))</f>
        <v>50018</v>
      </c>
      <c r="AB5" s="61" t="str">
        <f>IFERROR(VLOOKUP(DataExtra[[#This Row],[R2 Name]],RelationTable[[Display]:[RELID]],2,0),IF(DataExtra[[#This Row],[DID]]=0,"nest_relation2",""))</f>
        <v/>
      </c>
      <c r="AC5" s="61" t="str">
        <f>IFERROR(VLOOKUP(DataExtra[[#This Row],[R3 Name]],RelationTable[[Display]:[RELID]],2,0),IF(DataExtra[[#This Row],[DID]]=0,"nest_relation3",""))</f>
        <v/>
      </c>
      <c r="AE5" s="61" t="str">
        <f>'Table Seed Map'!$A$31&amp;"-"&amp;COUNTA($AH$1:DataViewSection[[#This Row],[No]])-2</f>
        <v>Data View Section-3</v>
      </c>
      <c r="AF5" s="4" t="s">
        <v>815</v>
      </c>
      <c r="AG5" s="7" t="str">
        <f>DataViewSection[[#This Row],[Data Name for Layout]]&amp;"/"&amp;COUNTA($AH$1:DataViewSection[[#This Row],[No]])-2</f>
        <v>Visitor/VisitorDetails/3</v>
      </c>
      <c r="AH5" s="61">
        <f>IF(DataViewSection[[#This Row],[Data Name for Layout]]="","id",IFERROR($AH4+1,IF(ISNUMBER(VLOOKUP('Table Seed Map'!$A$31,SeedMap[],9,0)),VLOOKUP('Table Seed Map'!$A$31,SeedMap[],9,0)+1,1)))</f>
        <v>50003</v>
      </c>
      <c r="AI5" s="61">
        <f>IFERROR(VLOOKUP(DataViewSection[[#This Row],[Data Name for Layout]],ResourceData[[DataDisplayName]:[No]],2,0),"resource_data")</f>
        <v>50001</v>
      </c>
      <c r="AJ5" s="61" t="s">
        <v>824</v>
      </c>
      <c r="AK5" s="61"/>
      <c r="AL5" s="61">
        <f>IFERROR(VLOOKUP(DataViewSection[[#This Row],[Relation]],RelationTable[[Display]:[RELID]],2,0),"")</f>
        <v>50012</v>
      </c>
      <c r="AM5" s="30">
        <v>6</v>
      </c>
      <c r="AN5" s="30" t="s">
        <v>818</v>
      </c>
      <c r="AP5" s="61" t="str">
        <f>'Table Seed Map'!$A$32&amp;"-"&amp;COUNTA($AQ$2:DataViewSectionItem[[#This Row],[Data Section for Items]])</f>
        <v>Data View Section Items-3</v>
      </c>
      <c r="AQ5" s="4" t="s">
        <v>827</v>
      </c>
      <c r="AR5" s="61">
        <f>IF(DataViewSectionItem[[#This Row],[Data Section for Items]]="","id",IFERROR($AR4+1,IF(ISNUMBER(VLOOKUP('Table Seed Map'!$A$32,SeedMap[],9,0)),VLOOKUP('Table Seed Map'!$A$32,SeedMap[],9,0)+1,1)))</f>
        <v>50003</v>
      </c>
      <c r="AS5" s="61">
        <f>IF(DataViewSectionItem[[#This Row],[Data Section for Items]]="","section",VLOOKUP(DataViewSectionItem[[#This Row],[Data Section for Items]],DataViewSection[[DataSectionDisplayName]:[No]],2,0))</f>
        <v>50002</v>
      </c>
      <c r="AT5" s="61" t="s">
        <v>1</v>
      </c>
      <c r="AU5" s="30" t="s">
        <v>26</v>
      </c>
      <c r="AV5" s="61" t="str">
        <f>IF(DataViewSectionItem[[#This Row],[Data Section for Items]]="","relation",IFERROR(VLOOKUP(DataViewSectionItem[[#This Row],[Relation]],RelationTable[[Display]:[RELID]],2,0),""))</f>
        <v/>
      </c>
      <c r="AW5" s="30"/>
    </row>
    <row r="6" spans="1:49">
      <c r="A6" s="7" t="str">
        <f>'Table Seed Map'!$A$28&amp;"-"&amp;COUNTA($B$1:ResourceData[[#This Row],[Resource Name]])-1</f>
        <v>Resource Data-4</v>
      </c>
      <c r="B6" s="4" t="s">
        <v>659</v>
      </c>
      <c r="C6" s="7" t="str">
        <f>ResourceData[[#This Row],[Resource Name]]&amp;"/"&amp;ResourceData[[#This Row],[Name]]</f>
        <v>GroupDetail/GetListDetail</v>
      </c>
      <c r="D6" s="61">
        <f>IF($D5="id",IF(ISNUMBER(VLOOKUP('Table Seed Map'!$A$28,SeedMap[],9,0)),VLOOKUP('Table Seed Map'!$A$28,SeedMap[],9,0)+1,1),IFERROR($D5+1,"id"))</f>
        <v>50004</v>
      </c>
      <c r="E6" s="61">
        <f>IFERROR(VLOOKUP(ResourceData[[#This Row],[Resource Name]],ResourceTable[[RName]:[RID]],2,0),"resource")</f>
        <v>50002</v>
      </c>
      <c r="F6" s="30" t="s">
        <v>812</v>
      </c>
      <c r="G6" s="30" t="s">
        <v>765</v>
      </c>
      <c r="H6" s="30" t="s">
        <v>52</v>
      </c>
      <c r="I6" s="95"/>
      <c r="J6" s="67">
        <f>[No]</f>
        <v>50004</v>
      </c>
      <c r="L6" s="4" t="s">
        <v>816</v>
      </c>
      <c r="M6" s="7">
        <f>VLOOKUP(DataExtra[[#This Row],[Data Name]],ResourceData[[DataDisplayName]:[No]],2,0)</f>
        <v>50003</v>
      </c>
      <c r="N6" s="4"/>
      <c r="O6" s="4" t="s">
        <v>790</v>
      </c>
      <c r="P6" s="4"/>
      <c r="Q6" s="4"/>
      <c r="R6" s="4"/>
      <c r="S6" s="7" t="str">
        <f>'Table Seed Map'!$A$29&amp;"-"&amp;COUNT($V$1:DataExtra[[#This Row],[Scope ID]])</f>
        <v>Data Scopes-1</v>
      </c>
      <c r="T6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6" s="61">
        <f>IF(DataExtra[[#This Row],[DID]]=0,"resource_data",DataExtra[[#This Row],[DID]])</f>
        <v>50003</v>
      </c>
      <c r="V6" s="61" t="str">
        <f>IFERROR(VLOOKUP(DataExtra[[#This Row],[Scope Name]],ResourceScopes[[ScopesDisplayNames]:[No]],2,0),IF(DataExtra[[#This Row],[DID]]=0,"scope",""))</f>
        <v/>
      </c>
      <c r="W6" s="7" t="str">
        <f>'Table Seed Map'!$A$30&amp;"-"&amp;COUNT($Z$1:DataExtra[[#This Row],[Relation]])</f>
        <v>Data Relations-3</v>
      </c>
      <c r="X6" s="61">
        <f>IF(DataExtra[[#This Row],[DID]]=0,"id",IF(DataExtra[[#This Row],[Relation]]="","",COUNT($Z$2:DataExtra[[#This Row],[Relation]])+IF(ISNUMBER(VLOOKUP('Table Seed Map'!$A$30,SeedMap[],9,0)),VLOOKUP('Table Seed Map'!$A$30,SeedMap[],9,0),0)))</f>
        <v>50003</v>
      </c>
      <c r="Y6" s="61">
        <f>IF(DataExtra[[#This Row],[DID]]=0,"resource_data",DataExtra[[#This Row],[DID]])</f>
        <v>50003</v>
      </c>
      <c r="Z6" s="61">
        <f>IFERROR(VLOOKUP(DataExtra[[#This Row],[Relation Name]],RelationTable[[Display]:[RELID]],2,0),IF(DataExtra[[#This Row],[DID]]=0,"relation",""))</f>
        <v>50013</v>
      </c>
      <c r="AA6" s="61" t="str">
        <f>IFERROR(VLOOKUP(DataExtra[[#This Row],[R1 Name]],RelationTable[[Display]:[RELID]],2,0),IF(DataExtra[[#This Row],[DID]]=0,"nest_relation1",""))</f>
        <v/>
      </c>
      <c r="AB6" s="61" t="str">
        <f>IFERROR(VLOOKUP(DataExtra[[#This Row],[R2 Name]],RelationTable[[Display]:[RELID]],2,0),IF(DataExtra[[#This Row],[DID]]=0,"nest_relation2",""))</f>
        <v/>
      </c>
      <c r="AC6" s="61" t="str">
        <f>IFERROR(VLOOKUP(DataExtra[[#This Row],[R3 Name]],RelationTable[[Display]:[RELID]],2,0),IF(DataExtra[[#This Row],[DID]]=0,"nest_relation3",""))</f>
        <v/>
      </c>
      <c r="AE6" s="61" t="str">
        <f>'Table Seed Map'!$A$31&amp;"-"&amp;COUNTA($AH$1:DataViewSection[[#This Row],[No]])-2</f>
        <v>Data View Section-4</v>
      </c>
      <c r="AF6" s="4" t="s">
        <v>816</v>
      </c>
      <c r="AG6" s="7" t="str">
        <f>DataViewSection[[#This Row],[Data Name for Layout]]&amp;"/"&amp;COUNTA($AH$1:DataViewSection[[#This Row],[No]])-2</f>
        <v>Wishlist/WishlistDetails/4</v>
      </c>
      <c r="AH6" s="61">
        <f>IF(DataViewSection[[#This Row],[Data Name for Layout]]="","id",IFERROR($AH5+1,IF(ISNUMBER(VLOOKUP('Table Seed Map'!$A$31,SeedMap[],9,0)),VLOOKUP('Table Seed Map'!$A$31,SeedMap[],9,0)+1,1)))</f>
        <v>50004</v>
      </c>
      <c r="AI6" s="61">
        <f>IFERROR(VLOOKUP(DataViewSection[[#This Row],[Data Name for Layout]],ResourceData[[DataDisplayName]:[No]],2,0),"resource_data")</f>
        <v>50003</v>
      </c>
      <c r="AJ6" s="61"/>
      <c r="AK6" s="61" t="s">
        <v>26</v>
      </c>
      <c r="AL6" s="61" t="str">
        <f>IFERROR(VLOOKUP(DataViewSection[[#This Row],[Relation]],RelationTable[[Display]:[RELID]],2,0),"")</f>
        <v/>
      </c>
      <c r="AM6" s="30">
        <v>12</v>
      </c>
      <c r="AN6" s="30"/>
      <c r="AP6" s="61" t="str">
        <f>'Table Seed Map'!$A$32&amp;"-"&amp;COUNTA($AQ$2:DataViewSectionItem[[#This Row],[Data Section for Items]])</f>
        <v>Data View Section Items-4</v>
      </c>
      <c r="AQ6" s="4" t="s">
        <v>827</v>
      </c>
      <c r="AR6" s="61">
        <f>IF(DataViewSectionItem[[#This Row],[Data Section for Items]]="","id",IFERROR($AR5+1,IF(ISNUMBER(VLOOKUP('Table Seed Map'!$A$32,SeedMap[],9,0)),VLOOKUP('Table Seed Map'!$A$32,SeedMap[],9,0)+1,1)))</f>
        <v>50004</v>
      </c>
      <c r="AS6" s="61">
        <f>IF(DataViewSectionItem[[#This Row],[Data Section for Items]]="","section",VLOOKUP(DataViewSectionItem[[#This Row],[Data Section for Items]],DataViewSection[[DataSectionDisplayName]:[No]],2,0))</f>
        <v>50002</v>
      </c>
      <c r="AT6" s="61" t="s">
        <v>107</v>
      </c>
      <c r="AU6" s="30" t="s">
        <v>28</v>
      </c>
      <c r="AV6" s="61" t="str">
        <f>IF(DataViewSectionItem[[#This Row],[Data Section for Items]]="","relation",IFERROR(VLOOKUP(DataViewSectionItem[[#This Row],[Relation]],RelationTable[[Display]:[RELID]],2,0),""))</f>
        <v/>
      </c>
      <c r="AW6" s="30"/>
    </row>
    <row r="7" spans="1:49">
      <c r="L7" s="4" t="s">
        <v>816</v>
      </c>
      <c r="M7" s="7">
        <f>VLOOKUP(DataExtra[[#This Row],[Data Name]],ResourceData[[DataDisplayName]:[No]],2,0)</f>
        <v>50003</v>
      </c>
      <c r="N7" s="4"/>
      <c r="O7" s="4" t="s">
        <v>819</v>
      </c>
      <c r="P7" s="4"/>
      <c r="Q7" s="4"/>
      <c r="R7" s="4"/>
      <c r="S7" s="7" t="str">
        <f>'Table Seed Map'!$A$29&amp;"-"&amp;COUNT($V$1:DataExtra[[#This Row],[Scope ID]])</f>
        <v>Data Scopes-1</v>
      </c>
      <c r="T7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7" s="61">
        <f>IF(DataExtra[[#This Row],[DID]]=0,"resource_data",DataExtra[[#This Row],[DID]])</f>
        <v>50003</v>
      </c>
      <c r="V7" s="61" t="str">
        <f>IFERROR(VLOOKUP(DataExtra[[#This Row],[Scope Name]],ResourceScopes[[ScopesDisplayNames]:[No]],2,0),IF(DataExtra[[#This Row],[DID]]=0,"scope",""))</f>
        <v/>
      </c>
      <c r="W7" s="7" t="str">
        <f>'Table Seed Map'!$A$30&amp;"-"&amp;COUNT($Z$1:DataExtra[[#This Row],[Relation]])</f>
        <v>Data Relations-4</v>
      </c>
      <c r="X7" s="61">
        <f>IF(DataExtra[[#This Row],[DID]]=0,"id",IF(DataExtra[[#This Row],[Relation]]="","",COUNT($Z$2:DataExtra[[#This Row],[Relation]])+IF(ISNUMBER(VLOOKUP('Table Seed Map'!$A$30,SeedMap[],9,0)),VLOOKUP('Table Seed Map'!$A$30,SeedMap[],9,0),0)))</f>
        <v>50004</v>
      </c>
      <c r="Y7" s="61">
        <f>IF(DataExtra[[#This Row],[DID]]=0,"resource_data",DataExtra[[#This Row],[DID]])</f>
        <v>50003</v>
      </c>
      <c r="Z7" s="61">
        <f>IFERROR(VLOOKUP(DataExtra[[#This Row],[Relation Name]],RelationTable[[Display]:[RELID]],2,0),IF(DataExtra[[#This Row],[DID]]=0,"relation",""))</f>
        <v>50014</v>
      </c>
      <c r="AA7" s="61" t="str">
        <f>IFERROR(VLOOKUP(DataExtra[[#This Row],[R1 Name]],RelationTable[[Display]:[RELID]],2,0),IF(DataExtra[[#This Row],[DID]]=0,"nest_relation1",""))</f>
        <v/>
      </c>
      <c r="AB7" s="61" t="str">
        <f>IFERROR(VLOOKUP(DataExtra[[#This Row],[R2 Name]],RelationTable[[Display]:[RELID]],2,0),IF(DataExtra[[#This Row],[DID]]=0,"nest_relation2",""))</f>
        <v/>
      </c>
      <c r="AC7" s="61" t="str">
        <f>IFERROR(VLOOKUP(DataExtra[[#This Row],[R3 Name]],RelationTable[[Display]:[RELID]],2,0),IF(DataExtra[[#This Row],[DID]]=0,"nest_relation3",""))</f>
        <v/>
      </c>
      <c r="AE7" s="61" t="str">
        <f>'Table Seed Map'!$A$31&amp;"-"&amp;COUNTA($AH$1:DataViewSection[[#This Row],[No]])-2</f>
        <v>Data View Section-5</v>
      </c>
      <c r="AF7" s="4" t="s">
        <v>816</v>
      </c>
      <c r="AG7" s="7" t="str">
        <f>DataViewSection[[#This Row],[Data Name for Layout]]&amp;"/"&amp;COUNTA($AH$1:DataViewSection[[#This Row],[No]])-2</f>
        <v>Wishlist/WishlistDetails/5</v>
      </c>
      <c r="AH7" s="61">
        <f>IF(DataViewSection[[#This Row],[Data Name for Layout]]="","id",IFERROR($AH6+1,IF(ISNUMBER(VLOOKUP('Table Seed Map'!$A$31,SeedMap[],9,0)),VLOOKUP('Table Seed Map'!$A$31,SeedMap[],9,0)+1,1)))</f>
        <v>50005</v>
      </c>
      <c r="AI7" s="61">
        <f>IFERROR(VLOOKUP(DataViewSection[[#This Row],[Data Name for Layout]],ResourceData[[DataDisplayName]:[No]],2,0),"resource_data")</f>
        <v>50003</v>
      </c>
      <c r="AJ7" s="61" t="s">
        <v>825</v>
      </c>
      <c r="AK7" s="61"/>
      <c r="AL7" s="61">
        <f>IFERROR(VLOOKUP(DataViewSection[[#This Row],[Relation]],RelationTable[[Display]:[RELID]],2,0),"")</f>
        <v>50015</v>
      </c>
      <c r="AM7" s="30">
        <v>12</v>
      </c>
      <c r="AN7" s="30" t="s">
        <v>820</v>
      </c>
      <c r="AP7" s="61" t="str">
        <f>'Table Seed Map'!$A$32&amp;"-"&amp;COUNTA($AQ$2:DataViewSectionItem[[#This Row],[Data Section for Items]])</f>
        <v>Data View Section Items-5</v>
      </c>
      <c r="AQ7" s="4" t="s">
        <v>827</v>
      </c>
      <c r="AR7" s="61">
        <f>IF(DataViewSectionItem[[#This Row],[Data Section for Items]]="","id",IFERROR($AR6+1,IF(ISNUMBER(VLOOKUP('Table Seed Map'!$A$32,SeedMap[],9,0)),VLOOKUP('Table Seed Map'!$A$32,SeedMap[],9,0)+1,1)))</f>
        <v>50005</v>
      </c>
      <c r="AS7" s="61">
        <f>IF(DataViewSectionItem[[#This Row],[Data Section for Items]]="","section",VLOOKUP(DataViewSectionItem[[#This Row],[Data Section for Items]],DataViewSection[[DataSectionDisplayName]:[No]],2,0))</f>
        <v>50002</v>
      </c>
      <c r="AT7" s="61" t="s">
        <v>571</v>
      </c>
      <c r="AU7" s="30" t="s">
        <v>26</v>
      </c>
      <c r="AV7" s="61">
        <f>IF(DataViewSectionItem[[#This Row],[Data Section for Items]]="","relation",IFERROR(VLOOKUP(DataViewSectionItem[[#This Row],[Relation]],RelationTable[[Display]:[RELID]],2,0),""))</f>
        <v>50018</v>
      </c>
      <c r="AW7" s="30" t="s">
        <v>725</v>
      </c>
    </row>
    <row r="8" spans="1:49">
      <c r="L8" s="4" t="s">
        <v>816</v>
      </c>
      <c r="M8" s="7">
        <f>VLOOKUP(DataExtra[[#This Row],[Data Name]],ResourceData[[DataDisplayName]:[No]],2,0)</f>
        <v>50003</v>
      </c>
      <c r="N8" s="4"/>
      <c r="O8" s="4" t="s">
        <v>820</v>
      </c>
      <c r="P8" s="4"/>
      <c r="Q8" s="4"/>
      <c r="R8" s="4"/>
      <c r="S8" s="7" t="str">
        <f>'Table Seed Map'!$A$29&amp;"-"&amp;COUNT($V$1:DataExtra[[#This Row],[Scope ID]])</f>
        <v>Data Scopes-1</v>
      </c>
      <c r="T8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8" s="61">
        <f>IF(DataExtra[[#This Row],[DID]]=0,"resource_data",DataExtra[[#This Row],[DID]])</f>
        <v>50003</v>
      </c>
      <c r="V8" s="61" t="str">
        <f>IFERROR(VLOOKUP(DataExtra[[#This Row],[Scope Name]],ResourceScopes[[ScopesDisplayNames]:[No]],2,0),IF(DataExtra[[#This Row],[DID]]=0,"scope",""))</f>
        <v/>
      </c>
      <c r="W8" s="7" t="str">
        <f>'Table Seed Map'!$A$30&amp;"-"&amp;COUNT($Z$1:DataExtra[[#This Row],[Relation]])</f>
        <v>Data Relations-5</v>
      </c>
      <c r="X8" s="61">
        <f>IF(DataExtra[[#This Row],[DID]]=0,"id",IF(DataExtra[[#This Row],[Relation]]="","",COUNT($Z$2:DataExtra[[#This Row],[Relation]])+IF(ISNUMBER(VLOOKUP('Table Seed Map'!$A$30,SeedMap[],9,0)),VLOOKUP('Table Seed Map'!$A$30,SeedMap[],9,0),0)))</f>
        <v>50005</v>
      </c>
      <c r="Y8" s="61">
        <f>IF(DataExtra[[#This Row],[DID]]=0,"resource_data",DataExtra[[#This Row],[DID]])</f>
        <v>50003</v>
      </c>
      <c r="Z8" s="61">
        <f>IFERROR(VLOOKUP(DataExtra[[#This Row],[Relation Name]],RelationTable[[Display]:[RELID]],2,0),IF(DataExtra[[#This Row],[DID]]=0,"relation",""))</f>
        <v>50015</v>
      </c>
      <c r="AA8" s="61" t="str">
        <f>IFERROR(VLOOKUP(DataExtra[[#This Row],[R1 Name]],RelationTable[[Display]:[RELID]],2,0),IF(DataExtra[[#This Row],[DID]]=0,"nest_relation1",""))</f>
        <v/>
      </c>
      <c r="AB8" s="61" t="str">
        <f>IFERROR(VLOOKUP(DataExtra[[#This Row],[R2 Name]],RelationTable[[Display]:[RELID]],2,0),IF(DataExtra[[#This Row],[DID]]=0,"nest_relation2",""))</f>
        <v/>
      </c>
      <c r="AC8" s="61" t="str">
        <f>IFERROR(VLOOKUP(DataExtra[[#This Row],[R3 Name]],RelationTable[[Display]:[RELID]],2,0),IF(DataExtra[[#This Row],[DID]]=0,"nest_relation3",""))</f>
        <v/>
      </c>
      <c r="AE8" s="61" t="str">
        <f>'Table Seed Map'!$A$31&amp;"-"&amp;COUNTA($AH$1:DataViewSection[[#This Row],[No]])-2</f>
        <v>Data View Section-6</v>
      </c>
      <c r="AF8" s="4" t="s">
        <v>816</v>
      </c>
      <c r="AG8" s="7" t="str">
        <f>DataViewSection[[#This Row],[Data Name for Layout]]&amp;"/"&amp;COUNTA($AH$1:DataViewSection[[#This Row],[No]])-2</f>
        <v>Wishlist/WishlistDetails/6</v>
      </c>
      <c r="AH8" s="61">
        <f>IF(DataViewSection[[#This Row],[Data Name for Layout]]="","id",IFERROR($AH7+1,IF(ISNUMBER(VLOOKUP('Table Seed Map'!$A$31,SeedMap[],9,0)),VLOOKUP('Table Seed Map'!$A$31,SeedMap[],9,0)+1,1)))</f>
        <v>50006</v>
      </c>
      <c r="AI8" s="61">
        <f>IFERROR(VLOOKUP(DataViewSection[[#This Row],[Data Name for Layout]],ResourceData[[DataDisplayName]:[No]],2,0),"resource_data")</f>
        <v>50003</v>
      </c>
      <c r="AJ8" s="61" t="s">
        <v>571</v>
      </c>
      <c r="AK8" s="61"/>
      <c r="AL8" s="61">
        <f>IFERROR(VLOOKUP(DataViewSection[[#This Row],[Relation]],RelationTable[[Display]:[RELID]],2,0),"")</f>
        <v>50017</v>
      </c>
      <c r="AM8" s="30">
        <v>12</v>
      </c>
      <c r="AN8" s="30" t="s">
        <v>822</v>
      </c>
      <c r="AP8" s="61" t="str">
        <f>'Table Seed Map'!$A$32&amp;"-"&amp;COUNTA($AQ$2:DataViewSectionItem[[#This Row],[Data Section for Items]])</f>
        <v>Data View Section Items-6</v>
      </c>
      <c r="AQ8" s="4" t="s">
        <v>828</v>
      </c>
      <c r="AR8" s="61">
        <f>IF(DataViewSectionItem[[#This Row],[Data Section for Items]]="","id",IFERROR($AR7+1,IF(ISNUMBER(VLOOKUP('Table Seed Map'!$A$32,SeedMap[],9,0)),VLOOKUP('Table Seed Map'!$A$32,SeedMap[],9,0)+1,1)))</f>
        <v>50006</v>
      </c>
      <c r="AS8" s="61">
        <f>IF(DataViewSectionItem[[#This Row],[Data Section for Items]]="","section",VLOOKUP(DataViewSectionItem[[#This Row],[Data Section for Items]],DataViewSection[[DataSectionDisplayName]:[No]],2,0))</f>
        <v>50003</v>
      </c>
      <c r="AT8" s="61" t="s">
        <v>1</v>
      </c>
      <c r="AU8" s="30" t="s">
        <v>26</v>
      </c>
      <c r="AV8" s="61" t="str">
        <f>IF(DataViewSectionItem[[#This Row],[Data Section for Items]]="","relation",IFERROR(VLOOKUP(DataViewSectionItem[[#This Row],[Relation]],RelationTable[[Display]:[RELID]],2,0),""))</f>
        <v/>
      </c>
      <c r="AW8" s="30"/>
    </row>
    <row r="9" spans="1:49">
      <c r="L9" s="4" t="s">
        <v>816</v>
      </c>
      <c r="M9" s="7">
        <f>VLOOKUP(DataExtra[[#This Row],[Data Name]],ResourceData[[DataDisplayName]:[No]],2,0)</f>
        <v>50003</v>
      </c>
      <c r="N9" s="4"/>
      <c r="O9" s="4" t="s">
        <v>821</v>
      </c>
      <c r="P9" s="4" t="s">
        <v>791</v>
      </c>
      <c r="Q9" s="4"/>
      <c r="R9" s="4"/>
      <c r="S9" s="7" t="str">
        <f>'Table Seed Map'!$A$29&amp;"-"&amp;COUNT($V$1:DataExtra[[#This Row],[Scope ID]])</f>
        <v>Data Scopes-1</v>
      </c>
      <c r="T9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9" s="61">
        <f>IF(DataExtra[[#This Row],[DID]]=0,"resource_data",DataExtra[[#This Row],[DID]])</f>
        <v>50003</v>
      </c>
      <c r="V9" s="61" t="str">
        <f>IFERROR(VLOOKUP(DataExtra[[#This Row],[Scope Name]],ResourceScopes[[ScopesDisplayNames]:[No]],2,0),IF(DataExtra[[#This Row],[DID]]=0,"scope",""))</f>
        <v/>
      </c>
      <c r="W9" s="7" t="str">
        <f>'Table Seed Map'!$A$30&amp;"-"&amp;COUNT($Z$1:DataExtra[[#This Row],[Relation]])</f>
        <v>Data Relations-6</v>
      </c>
      <c r="X9" s="61">
        <f>IF(DataExtra[[#This Row],[DID]]=0,"id",IF(DataExtra[[#This Row],[Relation]]="","",COUNT($Z$2:DataExtra[[#This Row],[Relation]])+IF(ISNUMBER(VLOOKUP('Table Seed Map'!$A$30,SeedMap[],9,0)),VLOOKUP('Table Seed Map'!$A$30,SeedMap[],9,0),0)))</f>
        <v>50006</v>
      </c>
      <c r="Y9" s="61">
        <f>IF(DataExtra[[#This Row],[DID]]=0,"resource_data",DataExtra[[#This Row],[DID]])</f>
        <v>50003</v>
      </c>
      <c r="Z9" s="61">
        <f>IFERROR(VLOOKUP(DataExtra[[#This Row],[Relation Name]],RelationTable[[Display]:[RELID]],2,0),IF(DataExtra[[#This Row],[DID]]=0,"relation",""))</f>
        <v>50016</v>
      </c>
      <c r="AA9" s="61">
        <f>IFERROR(VLOOKUP(DataExtra[[#This Row],[R1 Name]],RelationTable[[Display]:[RELID]],2,0),IF(DataExtra[[#This Row],[DID]]=0,"nest_relation1",""))</f>
        <v>50021</v>
      </c>
      <c r="AB9" s="61" t="str">
        <f>IFERROR(VLOOKUP(DataExtra[[#This Row],[R2 Name]],RelationTable[[Display]:[RELID]],2,0),IF(DataExtra[[#This Row],[DID]]=0,"nest_relation2",""))</f>
        <v/>
      </c>
      <c r="AC9" s="61" t="str">
        <f>IFERROR(VLOOKUP(DataExtra[[#This Row],[R3 Name]],RelationTable[[Display]:[RELID]],2,0),IF(DataExtra[[#This Row],[DID]]=0,"nest_relation3",""))</f>
        <v/>
      </c>
      <c r="AE9" s="61" t="str">
        <f>'Table Seed Map'!$A$31&amp;"-"&amp;COUNTA($AH$1:DataViewSection[[#This Row],[No]])-2</f>
        <v>Data View Section-7</v>
      </c>
      <c r="AF9" s="4" t="s">
        <v>816</v>
      </c>
      <c r="AG9" s="7" t="str">
        <f>DataViewSection[[#This Row],[Data Name for Layout]]&amp;"/"&amp;COUNTA($AH$1:DataViewSection[[#This Row],[No]])-2</f>
        <v>Wishlist/WishlistDetails/7</v>
      </c>
      <c r="AH9" s="61">
        <f>IF(DataViewSection[[#This Row],[Data Name for Layout]]="","id",IFERROR($AH8+1,IF(ISNUMBER(VLOOKUP('Table Seed Map'!$A$31,SeedMap[],9,0)),VLOOKUP('Table Seed Map'!$A$31,SeedMap[],9,0)+1,1)))</f>
        <v>50007</v>
      </c>
      <c r="AI9" s="61">
        <f>IFERROR(VLOOKUP(DataViewSection[[#This Row],[Data Name for Layout]],ResourceData[[DataDisplayName]:[No]],2,0),"resource_data")</f>
        <v>50003</v>
      </c>
      <c r="AJ9" s="61" t="s">
        <v>745</v>
      </c>
      <c r="AK9" s="61"/>
      <c r="AL9" s="61">
        <f>IFERROR(VLOOKUP(DataViewSection[[#This Row],[Relation]],RelationTable[[Display]:[RELID]],2,0),"")</f>
        <v>50016</v>
      </c>
      <c r="AM9" s="30">
        <v>12</v>
      </c>
      <c r="AN9" s="30" t="s">
        <v>821</v>
      </c>
      <c r="AP9" s="61" t="str">
        <f>'Table Seed Map'!$A$32&amp;"-"&amp;COUNTA($AQ$2:DataViewSectionItem[[#This Row],[Data Section for Items]])</f>
        <v>Data View Section Items-7</v>
      </c>
      <c r="AQ9" s="4" t="s">
        <v>828</v>
      </c>
      <c r="AR9" s="61">
        <f>IF(DataViewSectionItem[[#This Row],[Data Section for Items]]="","id",IFERROR($AR8+1,IF(ISNUMBER(VLOOKUP('Table Seed Map'!$A$32,SeedMap[],9,0)),VLOOKUP('Table Seed Map'!$A$32,SeedMap[],9,0)+1,1)))</f>
        <v>50007</v>
      </c>
      <c r="AS9" s="61">
        <f>IF(DataViewSectionItem[[#This Row],[Data Section for Items]]="","section",VLOOKUP(DataViewSectionItem[[#This Row],[Data Section for Items]],DataViewSection[[DataSectionDisplayName]:[No]],2,0))</f>
        <v>50003</v>
      </c>
      <c r="AT9" s="61" t="s">
        <v>107</v>
      </c>
      <c r="AU9" s="30" t="s">
        <v>28</v>
      </c>
      <c r="AV9" s="61" t="str">
        <f>IF(DataViewSectionItem[[#This Row],[Data Section for Items]]="","relation",IFERROR(VLOOKUP(DataViewSectionItem[[#This Row],[Relation]],RelationTable[[Display]:[RELID]],2,0),""))</f>
        <v/>
      </c>
      <c r="AW9" s="30"/>
    </row>
    <row r="10" spans="1:49">
      <c r="L10" s="4" t="s">
        <v>816</v>
      </c>
      <c r="M10" s="7">
        <f>VLOOKUP(DataExtra[[#This Row],[Data Name]],ResourceData[[DataDisplayName]:[No]],2,0)</f>
        <v>50003</v>
      </c>
      <c r="N10" s="4"/>
      <c r="O10" s="4" t="s">
        <v>822</v>
      </c>
      <c r="P10" s="4" t="s">
        <v>793</v>
      </c>
      <c r="Q10" s="4"/>
      <c r="R10" s="4"/>
      <c r="S10" s="7" t="str">
        <f>'Table Seed Map'!$A$29&amp;"-"&amp;COUNT($V$1:DataExtra[[#This Row],[Scope ID]])</f>
        <v>Data Scopes-1</v>
      </c>
      <c r="T10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10" s="61">
        <f>IF(DataExtra[[#This Row],[DID]]=0,"resource_data",DataExtra[[#This Row],[DID]])</f>
        <v>50003</v>
      </c>
      <c r="V10" s="61" t="str">
        <f>IFERROR(VLOOKUP(DataExtra[[#This Row],[Scope Name]],ResourceScopes[[ScopesDisplayNames]:[No]],2,0),IF(DataExtra[[#This Row],[DID]]=0,"scope",""))</f>
        <v/>
      </c>
      <c r="W10" s="7" t="str">
        <f>'Table Seed Map'!$A$30&amp;"-"&amp;COUNT($Z$1:DataExtra[[#This Row],[Relation]])</f>
        <v>Data Relations-7</v>
      </c>
      <c r="X10" s="61">
        <f>IF(DataExtra[[#This Row],[DID]]=0,"id",IF(DataExtra[[#This Row],[Relation]]="","",COUNT($Z$2:DataExtra[[#This Row],[Relation]])+IF(ISNUMBER(VLOOKUP('Table Seed Map'!$A$30,SeedMap[],9,0)),VLOOKUP('Table Seed Map'!$A$30,SeedMap[],9,0),0)))</f>
        <v>50007</v>
      </c>
      <c r="Y10" s="61">
        <f>IF(DataExtra[[#This Row],[DID]]=0,"resource_data",DataExtra[[#This Row],[DID]])</f>
        <v>50003</v>
      </c>
      <c r="Z10" s="61">
        <f>IFERROR(VLOOKUP(DataExtra[[#This Row],[Relation Name]],RelationTable[[Display]:[RELID]],2,0),IF(DataExtra[[#This Row],[DID]]=0,"relation",""))</f>
        <v>50017</v>
      </c>
      <c r="AA10" s="61">
        <f>IFERROR(VLOOKUP(DataExtra[[#This Row],[R1 Name]],RelationTable[[Display]:[RELID]],2,0),IF(DataExtra[[#This Row],[DID]]=0,"nest_relation1",""))</f>
        <v>50026</v>
      </c>
      <c r="AB10" s="61" t="str">
        <f>IFERROR(VLOOKUP(DataExtra[[#This Row],[R2 Name]],RelationTable[[Display]:[RELID]],2,0),IF(DataExtra[[#This Row],[DID]]=0,"nest_relation2",""))</f>
        <v/>
      </c>
      <c r="AC10" s="61" t="str">
        <f>IFERROR(VLOOKUP(DataExtra[[#This Row],[R3 Name]],RelationTable[[Display]:[RELID]],2,0),IF(DataExtra[[#This Row],[DID]]=0,"nest_relation3",""))</f>
        <v/>
      </c>
      <c r="AP10" s="61" t="str">
        <f>'Table Seed Map'!$A$32&amp;"-"&amp;COUNTA($AQ$2:DataViewSectionItem[[#This Row],[Data Section for Items]])</f>
        <v>Data View Section Items-8</v>
      </c>
      <c r="AQ10" s="4" t="s">
        <v>828</v>
      </c>
      <c r="AR10" s="61">
        <f>IF(DataViewSectionItem[[#This Row],[Data Section for Items]]="","id",IFERROR($AR9+1,IF(ISNUMBER(VLOOKUP('Table Seed Map'!$A$32,SeedMap[],9,0)),VLOOKUP('Table Seed Map'!$A$32,SeedMap[],9,0)+1,1)))</f>
        <v>50008</v>
      </c>
      <c r="AS10" s="61">
        <f>IF(DataViewSectionItem[[#This Row],[Data Section for Items]]="","section",VLOOKUP(DataViewSectionItem[[#This Row],[Data Section for Items]],DataViewSection[[DataSectionDisplayName]:[No]],2,0))</f>
        <v>50003</v>
      </c>
      <c r="AT10" s="61" t="s">
        <v>571</v>
      </c>
      <c r="AU10" s="30" t="s">
        <v>26</v>
      </c>
      <c r="AV10" s="61">
        <f>IF(DataViewSectionItem[[#This Row],[Data Section for Items]]="","relation",IFERROR(VLOOKUP(DataViewSectionItem[[#This Row],[Relation]],RelationTable[[Display]:[RELID]],2,0),""))</f>
        <v>50018</v>
      </c>
      <c r="AW10" s="30" t="s">
        <v>725</v>
      </c>
    </row>
    <row r="11" spans="1:49">
      <c r="L11" s="4" t="s">
        <v>816</v>
      </c>
      <c r="M11" s="7">
        <f>VLOOKUP(DataExtra[[#This Row],[Data Name]],ResourceData[[DataDisplayName]:[No]],2,0)</f>
        <v>50003</v>
      </c>
      <c r="N11" s="4"/>
      <c r="O11" s="4" t="s">
        <v>822</v>
      </c>
      <c r="P11" s="4" t="s">
        <v>794</v>
      </c>
      <c r="Q11" s="4"/>
      <c r="R11" s="4"/>
      <c r="S11" s="7" t="str">
        <f>'Table Seed Map'!$A$29&amp;"-"&amp;COUNT($V$1:DataExtra[[#This Row],[Scope ID]])</f>
        <v>Data Scopes-1</v>
      </c>
      <c r="T11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11" s="61">
        <f>IF(DataExtra[[#This Row],[DID]]=0,"resource_data",DataExtra[[#This Row],[DID]])</f>
        <v>50003</v>
      </c>
      <c r="V11" s="61" t="str">
        <f>IFERROR(VLOOKUP(DataExtra[[#This Row],[Scope Name]],ResourceScopes[[ScopesDisplayNames]:[No]],2,0),IF(DataExtra[[#This Row],[DID]]=0,"scope",""))</f>
        <v/>
      </c>
      <c r="W11" s="7" t="str">
        <f>'Table Seed Map'!$A$30&amp;"-"&amp;COUNT($Z$1:DataExtra[[#This Row],[Relation]])</f>
        <v>Data Relations-8</v>
      </c>
      <c r="X11" s="61">
        <f>IF(DataExtra[[#This Row],[DID]]=0,"id",IF(DataExtra[[#This Row],[Relation]]="","",COUNT($Z$2:DataExtra[[#This Row],[Relation]])+IF(ISNUMBER(VLOOKUP('Table Seed Map'!$A$30,SeedMap[],9,0)),VLOOKUP('Table Seed Map'!$A$30,SeedMap[],9,0),0)))</f>
        <v>50008</v>
      </c>
      <c r="Y11" s="61">
        <f>IF(DataExtra[[#This Row],[DID]]=0,"resource_data",DataExtra[[#This Row],[DID]])</f>
        <v>50003</v>
      </c>
      <c r="Z11" s="61">
        <f>IFERROR(VLOOKUP(DataExtra[[#This Row],[Relation Name]],RelationTable[[Display]:[RELID]],2,0),IF(DataExtra[[#This Row],[DID]]=0,"relation",""))</f>
        <v>50017</v>
      </c>
      <c r="AA11" s="61">
        <f>IFERROR(VLOOKUP(DataExtra[[#This Row],[R1 Name]],RelationTable[[Display]:[RELID]],2,0),IF(DataExtra[[#This Row],[DID]]=0,"nest_relation1",""))</f>
        <v>50023</v>
      </c>
      <c r="AB11" s="61" t="str">
        <f>IFERROR(VLOOKUP(DataExtra[[#This Row],[R2 Name]],RelationTable[[Display]:[RELID]],2,0),IF(DataExtra[[#This Row],[DID]]=0,"nest_relation2",""))</f>
        <v/>
      </c>
      <c r="AC11" s="61" t="str">
        <f>IFERROR(VLOOKUP(DataExtra[[#This Row],[R3 Name]],RelationTable[[Display]:[RELID]],2,0),IF(DataExtra[[#This Row],[DID]]=0,"nest_relation3",""))</f>
        <v/>
      </c>
      <c r="AP11" s="61" t="str">
        <f>'Table Seed Map'!$A$32&amp;"-"&amp;COUNTA($AQ$2:DataViewSectionItem[[#This Row],[Data Section for Items]])</f>
        <v>Data View Section Items-9</v>
      </c>
      <c r="AQ11" s="4" t="s">
        <v>829</v>
      </c>
      <c r="AR11" s="61">
        <f>IF(DataViewSectionItem[[#This Row],[Data Section for Items]]="","id",IFERROR($AR10+1,IF(ISNUMBER(VLOOKUP('Table Seed Map'!$A$32,SeedMap[],9,0)),VLOOKUP('Table Seed Map'!$A$32,SeedMap[],9,0)+1,1)))</f>
        <v>50009</v>
      </c>
      <c r="AS11" s="61">
        <f>IF(DataViewSectionItem[[#This Row],[Data Section for Items]]="","section",VLOOKUP(DataViewSectionItem[[#This Row],[Data Section for Items]],DataViewSection[[DataSectionDisplayName]:[No]],2,0))</f>
        <v>50004</v>
      </c>
      <c r="AT11" s="61" t="s">
        <v>613</v>
      </c>
      <c r="AU11" s="30" t="s">
        <v>26</v>
      </c>
      <c r="AV11" s="61">
        <f>IF(DataViewSectionItem[[#This Row],[Data Section for Items]]="","relation",IFERROR(VLOOKUP(DataViewSectionItem[[#This Row],[Relation]],RelationTable[[Display]:[RELID]],2,0),""))</f>
        <v>50013</v>
      </c>
      <c r="AW11" s="30" t="s">
        <v>790</v>
      </c>
    </row>
    <row r="12" spans="1:49">
      <c r="L12" s="4" t="s">
        <v>816</v>
      </c>
      <c r="M12" s="7">
        <f>VLOOKUP(DataExtra[[#This Row],[Data Name]],ResourceData[[DataDisplayName]:[No]],2,0)</f>
        <v>50003</v>
      </c>
      <c r="N12" s="4"/>
      <c r="O12" s="4" t="s">
        <v>822</v>
      </c>
      <c r="P12" s="4" t="s">
        <v>795</v>
      </c>
      <c r="Q12" s="4"/>
      <c r="R12" s="4"/>
      <c r="S12" s="7" t="str">
        <f>'Table Seed Map'!$A$29&amp;"-"&amp;COUNT($V$1:DataExtra[[#This Row],[Scope ID]])</f>
        <v>Data Scopes-1</v>
      </c>
      <c r="T12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12" s="61">
        <f>IF(DataExtra[[#This Row],[DID]]=0,"resource_data",DataExtra[[#This Row],[DID]])</f>
        <v>50003</v>
      </c>
      <c r="V12" s="61" t="str">
        <f>IFERROR(VLOOKUP(DataExtra[[#This Row],[Scope Name]],ResourceScopes[[ScopesDisplayNames]:[No]],2,0),IF(DataExtra[[#This Row],[DID]]=0,"scope",""))</f>
        <v/>
      </c>
      <c r="W12" s="7" t="str">
        <f>'Table Seed Map'!$A$30&amp;"-"&amp;COUNT($Z$1:DataExtra[[#This Row],[Relation]])</f>
        <v>Data Relations-9</v>
      </c>
      <c r="X12" s="61">
        <f>IF(DataExtra[[#This Row],[DID]]=0,"id",IF(DataExtra[[#This Row],[Relation]]="","",COUNT($Z$2:DataExtra[[#This Row],[Relation]])+IF(ISNUMBER(VLOOKUP('Table Seed Map'!$A$30,SeedMap[],9,0)),VLOOKUP('Table Seed Map'!$A$30,SeedMap[],9,0),0)))</f>
        <v>50009</v>
      </c>
      <c r="Y12" s="61">
        <f>IF(DataExtra[[#This Row],[DID]]=0,"resource_data",DataExtra[[#This Row],[DID]])</f>
        <v>50003</v>
      </c>
      <c r="Z12" s="61">
        <f>IFERROR(VLOOKUP(DataExtra[[#This Row],[Relation Name]],RelationTable[[Display]:[RELID]],2,0),IF(DataExtra[[#This Row],[DID]]=0,"relation",""))</f>
        <v>50017</v>
      </c>
      <c r="AA12" s="61">
        <f>IFERROR(VLOOKUP(DataExtra[[#This Row],[R1 Name]],RelationTable[[Display]:[RELID]],2,0),IF(DataExtra[[#This Row],[DID]]=0,"nest_relation1",""))</f>
        <v>50024</v>
      </c>
      <c r="AB12" s="61" t="str">
        <f>IFERROR(VLOOKUP(DataExtra[[#This Row],[R2 Name]],RelationTable[[Display]:[RELID]],2,0),IF(DataExtra[[#This Row],[DID]]=0,"nest_relation2",""))</f>
        <v/>
      </c>
      <c r="AC12" s="61" t="str">
        <f>IFERROR(VLOOKUP(DataExtra[[#This Row],[R3 Name]],RelationTable[[Display]:[RELID]],2,0),IF(DataExtra[[#This Row],[DID]]=0,"nest_relation3",""))</f>
        <v/>
      </c>
      <c r="AP12" s="61" t="str">
        <f>'Table Seed Map'!$A$32&amp;"-"&amp;COUNTA($AQ$2:DataViewSectionItem[[#This Row],[Data Section for Items]])</f>
        <v>Data View Section Items-10</v>
      </c>
      <c r="AQ12" s="4" t="s">
        <v>829</v>
      </c>
      <c r="AR12" s="61">
        <f>IF(DataViewSectionItem[[#This Row],[Data Section for Items]]="","id",IFERROR($AR11+1,IF(ISNUMBER(VLOOKUP('Table Seed Map'!$A$32,SeedMap[],9,0)),VLOOKUP('Table Seed Map'!$A$32,SeedMap[],9,0)+1,1)))</f>
        <v>50010</v>
      </c>
      <c r="AS12" s="61">
        <f>IF(DataViewSectionItem[[#This Row],[Data Section for Items]]="","section",VLOOKUP(DataViewSectionItem[[#This Row],[Data Section for Items]],DataViewSection[[DataSectionDisplayName]:[No]],2,0))</f>
        <v>50004</v>
      </c>
      <c r="AT12" s="61" t="s">
        <v>833</v>
      </c>
      <c r="AU12" s="30" t="s">
        <v>453</v>
      </c>
      <c r="AV12" s="61">
        <f>IF(DataViewSectionItem[[#This Row],[Data Section for Items]]="","relation",IFERROR(VLOOKUP(DataViewSectionItem[[#This Row],[Relation]],RelationTable[[Display]:[RELID]],2,0),""))</f>
        <v>50014</v>
      </c>
      <c r="AW12" s="30" t="s">
        <v>819</v>
      </c>
    </row>
    <row r="13" spans="1:49">
      <c r="AP13" s="61" t="str">
        <f>'Table Seed Map'!$A$32&amp;"-"&amp;COUNTA($AQ$2:DataViewSectionItem[[#This Row],[Data Section for Items]])</f>
        <v>Data View Section Items-11</v>
      </c>
      <c r="AQ13" s="4" t="s">
        <v>829</v>
      </c>
      <c r="AR13" s="61">
        <f>IF(DataViewSectionItem[[#This Row],[Data Section for Items]]="","id",IFERROR($AR12+1,IF(ISNUMBER(VLOOKUP('Table Seed Map'!$A$32,SeedMap[],9,0)),VLOOKUP('Table Seed Map'!$A$32,SeedMap[],9,0)+1,1)))</f>
        <v>50011</v>
      </c>
      <c r="AS13" s="61">
        <f>IF(DataViewSectionItem[[#This Row],[Data Section for Items]]="","section",VLOOKUP(DataViewSectionItem[[#This Row],[Data Section for Items]],DataViewSection[[DataSectionDisplayName]:[No]],2,0))</f>
        <v>50004</v>
      </c>
      <c r="AT13" s="61" t="s">
        <v>107</v>
      </c>
      <c r="AU13" s="30" t="s">
        <v>28</v>
      </c>
      <c r="AV13" s="61" t="str">
        <f>IF(DataViewSectionItem[[#This Row],[Data Section for Items]]="","relation",IFERROR(VLOOKUP(DataViewSectionItem[[#This Row],[Relation]],RelationTable[[Display]:[RELID]],2,0),""))</f>
        <v/>
      </c>
      <c r="AW13" s="30"/>
    </row>
    <row r="14" spans="1:49">
      <c r="AP14" s="61" t="str">
        <f>'Table Seed Map'!$A$32&amp;"-"&amp;COUNTA($AQ$2:DataViewSectionItem[[#This Row],[Data Section for Items]])</f>
        <v>Data View Section Items-12</v>
      </c>
      <c r="AQ14" s="4" t="s">
        <v>830</v>
      </c>
      <c r="AR14" s="61">
        <f>IF(DataViewSectionItem[[#This Row],[Data Section for Items]]="","id",IFERROR($AR13+1,IF(ISNUMBER(VLOOKUP('Table Seed Map'!$A$32,SeedMap[],9,0)),VLOOKUP('Table Seed Map'!$A$32,SeedMap[],9,0)+1,1)))</f>
        <v>50012</v>
      </c>
      <c r="AS14" s="61">
        <f>IF(DataViewSectionItem[[#This Row],[Data Section for Items]]="","section",VLOOKUP(DataViewSectionItem[[#This Row],[Data Section for Items]],DataViewSection[[DataSectionDisplayName]:[No]],2,0))</f>
        <v>50005</v>
      </c>
      <c r="AT14" s="61" t="s">
        <v>1</v>
      </c>
      <c r="AU14" s="30" t="s">
        <v>26</v>
      </c>
      <c r="AV14" s="61" t="str">
        <f>IF(DataViewSectionItem[[#This Row],[Data Section for Items]]="","relation",IFERROR(VLOOKUP(DataViewSectionItem[[#This Row],[Relation]],RelationTable[[Display]:[RELID]],2,0),""))</f>
        <v/>
      </c>
      <c r="AW14" s="30"/>
    </row>
    <row r="15" spans="1:49">
      <c r="AP15" s="61" t="str">
        <f>'Table Seed Map'!$A$32&amp;"-"&amp;COUNTA($AQ$2:DataViewSectionItem[[#This Row],[Data Section for Items]])</f>
        <v>Data View Section Items-13</v>
      </c>
      <c r="AQ15" s="4" t="s">
        <v>830</v>
      </c>
      <c r="AR15" s="61">
        <f>IF(DataViewSectionItem[[#This Row],[Data Section for Items]]="","id",IFERROR($AR14+1,IF(ISNUMBER(VLOOKUP('Table Seed Map'!$A$32,SeedMap[],9,0)),VLOOKUP('Table Seed Map'!$A$32,SeedMap[],9,0)+1,1)))</f>
        <v>50013</v>
      </c>
      <c r="AS15" s="61">
        <f>IF(DataViewSectionItem[[#This Row],[Data Section for Items]]="","section",VLOOKUP(DataViewSectionItem[[#This Row],[Data Section for Items]],DataViewSection[[DataSectionDisplayName]:[No]],2,0))</f>
        <v>50005</v>
      </c>
      <c r="AT15" s="61" t="s">
        <v>802</v>
      </c>
      <c r="AU15" s="30" t="s">
        <v>101</v>
      </c>
      <c r="AV15" s="61" t="str">
        <f>IF(DataViewSectionItem[[#This Row],[Data Section for Items]]="","relation",IFERROR(VLOOKUP(DataViewSectionItem[[#This Row],[Relation]],RelationTable[[Display]:[RELID]],2,0),""))</f>
        <v/>
      </c>
      <c r="AW15" s="30"/>
    </row>
    <row r="16" spans="1:49">
      <c r="AP16" s="61" t="str">
        <f>'Table Seed Map'!$A$32&amp;"-"&amp;COUNTA($AQ$2:DataViewSectionItem[[#This Row],[Data Section for Items]])</f>
        <v>Data View Section Items-14</v>
      </c>
      <c r="AQ16" s="4" t="s">
        <v>830</v>
      </c>
      <c r="AR16" s="61">
        <f>IF(DataViewSectionItem[[#This Row],[Data Section for Items]]="","id",IFERROR($AR15+1,IF(ISNUMBER(VLOOKUP('Table Seed Map'!$A$32,SeedMap[],9,0)),VLOOKUP('Table Seed Map'!$A$32,SeedMap[],9,0)+1,1)))</f>
        <v>50014</v>
      </c>
      <c r="AS16" s="61">
        <f>IF(DataViewSectionItem[[#This Row],[Data Section for Items]]="","section",VLOOKUP(DataViewSectionItem[[#This Row],[Data Section for Items]],DataViewSection[[DataSectionDisplayName]:[No]],2,0))</f>
        <v>50005</v>
      </c>
      <c r="AT16" s="61" t="s">
        <v>803</v>
      </c>
      <c r="AU16" s="30" t="s">
        <v>471</v>
      </c>
      <c r="AV16" s="61" t="str">
        <f>IF(DataViewSectionItem[[#This Row],[Data Section for Items]]="","relation",IFERROR(VLOOKUP(DataViewSectionItem[[#This Row],[Relation]],RelationTable[[Display]:[RELID]],2,0),""))</f>
        <v/>
      </c>
      <c r="AW16" s="30"/>
    </row>
    <row r="17" spans="42:49">
      <c r="AP17" s="61" t="str">
        <f>'Table Seed Map'!$A$32&amp;"-"&amp;COUNTA($AQ$2:DataViewSectionItem[[#This Row],[Data Section for Items]])</f>
        <v>Data View Section Items-15</v>
      </c>
      <c r="AQ17" s="4" t="s">
        <v>831</v>
      </c>
      <c r="AR17" s="61">
        <f>IF(DataViewSectionItem[[#This Row],[Data Section for Items]]="","id",IFERROR($AR16+1,IF(ISNUMBER(VLOOKUP('Table Seed Map'!$A$32,SeedMap[],9,0)),VLOOKUP('Table Seed Map'!$A$32,SeedMap[],9,0)+1,1)))</f>
        <v>50015</v>
      </c>
      <c r="AS17" s="61">
        <f>IF(DataViewSectionItem[[#This Row],[Data Section for Items]]="","section",VLOOKUP(DataViewSectionItem[[#This Row],[Data Section for Items]],DataViewSection[[DataSectionDisplayName]:[No]],2,0))</f>
        <v>50006</v>
      </c>
      <c r="AT17" s="61" t="s">
        <v>569</v>
      </c>
      <c r="AU17" s="30" t="s">
        <v>26</v>
      </c>
      <c r="AV17" s="61">
        <f>IF(DataViewSectionItem[[#This Row],[Data Section for Items]]="","relation",IFERROR(VLOOKUP(DataViewSectionItem[[#This Row],[Relation]],RelationTable[[Display]:[RELID]],2,0),""))</f>
        <v>50026</v>
      </c>
      <c r="AW17" s="30" t="s">
        <v>793</v>
      </c>
    </row>
    <row r="18" spans="42:49">
      <c r="AP18" s="61" t="str">
        <f>'Table Seed Map'!$A$32&amp;"-"&amp;COUNTA($AQ$2:DataViewSectionItem[[#This Row],[Data Section for Items]])</f>
        <v>Data View Section Items-16</v>
      </c>
      <c r="AQ18" s="4" t="s">
        <v>831</v>
      </c>
      <c r="AR18" s="61">
        <f>IF(DataViewSectionItem[[#This Row],[Data Section for Items]]="","id",IFERROR($AR17+1,IF(ISNUMBER(VLOOKUP('Table Seed Map'!$A$32,SeedMap[],9,0)),VLOOKUP('Table Seed Map'!$A$32,SeedMap[],9,0)+1,1)))</f>
        <v>50016</v>
      </c>
      <c r="AS18" s="61">
        <f>IF(DataViewSectionItem[[#This Row],[Data Section for Items]]="","section",VLOOKUP(DataViewSectionItem[[#This Row],[Data Section for Items]],DataViewSection[[DataSectionDisplayName]:[No]],2,0))</f>
        <v>50006</v>
      </c>
      <c r="AT18" s="61" t="s">
        <v>804</v>
      </c>
      <c r="AU18" s="30" t="s">
        <v>26</v>
      </c>
      <c r="AV18" s="61">
        <f>IF(DataViewSectionItem[[#This Row],[Data Section for Items]]="","relation",IFERROR(VLOOKUP(DataViewSectionItem[[#This Row],[Relation]],RelationTable[[Display]:[RELID]],2,0),""))</f>
        <v>50023</v>
      </c>
      <c r="AW18" s="30" t="s">
        <v>794</v>
      </c>
    </row>
    <row r="19" spans="42:49">
      <c r="AP19" s="61" t="str">
        <f>'Table Seed Map'!$A$32&amp;"-"&amp;COUNTA($AQ$2:DataViewSectionItem[[#This Row],[Data Section for Items]])</f>
        <v>Data View Section Items-17</v>
      </c>
      <c r="AQ19" s="4" t="s">
        <v>831</v>
      </c>
      <c r="AR19" s="61">
        <f>IF(DataViewSectionItem[[#This Row],[Data Section for Items]]="","id",IFERROR($AR18+1,IF(ISNUMBER(VLOOKUP('Table Seed Map'!$A$32,SeedMap[],9,0)),VLOOKUP('Table Seed Map'!$A$32,SeedMap[],9,0)+1,1)))</f>
        <v>50017</v>
      </c>
      <c r="AS19" s="61">
        <f>IF(DataViewSectionItem[[#This Row],[Data Section for Items]]="","section",VLOOKUP(DataViewSectionItem[[#This Row],[Data Section for Items]],DataViewSection[[DataSectionDisplayName]:[No]],2,0))</f>
        <v>50006</v>
      </c>
      <c r="AT19" s="61" t="s">
        <v>805</v>
      </c>
      <c r="AU19" s="30" t="s">
        <v>26</v>
      </c>
      <c r="AV19" s="61">
        <f>IF(DataViewSectionItem[[#This Row],[Data Section for Items]]="","relation",IFERROR(VLOOKUP(DataViewSectionItem[[#This Row],[Relation]],RelationTable[[Display]:[RELID]],2,0),""))</f>
        <v>50024</v>
      </c>
      <c r="AW19" s="30" t="s">
        <v>795</v>
      </c>
    </row>
    <row r="20" spans="42:49">
      <c r="AP20" s="61" t="str">
        <f>'Table Seed Map'!$A$32&amp;"-"&amp;COUNTA($AQ$2:DataViewSectionItem[[#This Row],[Data Section for Items]])</f>
        <v>Data View Section Items-18</v>
      </c>
      <c r="AQ20" s="4" t="s">
        <v>832</v>
      </c>
      <c r="AR20" s="61">
        <f>IF(DataViewSectionItem[[#This Row],[Data Section for Items]]="","id",IFERROR($AR19+1,IF(ISNUMBER(VLOOKUP('Table Seed Map'!$A$32,SeedMap[],9,0)),VLOOKUP('Table Seed Map'!$A$32,SeedMap[],9,0)+1,1)))</f>
        <v>50018</v>
      </c>
      <c r="AS20" s="61">
        <f>IF(DataViewSectionItem[[#This Row],[Data Section for Items]]="","section",VLOOKUP(DataViewSectionItem[[#This Row],[Data Section for Items]],DataViewSection[[DataSectionDisplayName]:[No]],2,0))</f>
        <v>50007</v>
      </c>
      <c r="AT20" s="61" t="s">
        <v>834</v>
      </c>
      <c r="AU20" s="30" t="s">
        <v>479</v>
      </c>
      <c r="AV20" s="61" t="str">
        <f>IF(DataViewSectionItem[[#This Row],[Data Section for Items]]="","relation",IFERROR(VLOOKUP(DataViewSectionItem[[#This Row],[Relation]],RelationTable[[Display]:[RELID]],2,0),""))</f>
        <v/>
      </c>
      <c r="AW20" s="30"/>
    </row>
    <row r="21" spans="42:49">
      <c r="AP21" s="61" t="str">
        <f>'Table Seed Map'!$A$32&amp;"-"&amp;COUNTA($AQ$2:DataViewSectionItem[[#This Row],[Data Section for Items]])</f>
        <v>Data View Section Items-19</v>
      </c>
      <c r="AQ21" s="4" t="s">
        <v>832</v>
      </c>
      <c r="AR21" s="61">
        <f>IF(DataViewSectionItem[[#This Row],[Data Section for Items]]="","id",IFERROR($AR20+1,IF(ISNUMBER(VLOOKUP('Table Seed Map'!$A$32,SeedMap[],9,0)),VLOOKUP('Table Seed Map'!$A$32,SeedMap[],9,0)+1,1)))</f>
        <v>50019</v>
      </c>
      <c r="AS21" s="61">
        <f>IF(DataViewSectionItem[[#This Row],[Data Section for Items]]="","section",VLOOKUP(DataViewSectionItem[[#This Row],[Data Section for Items]],DataViewSection[[DataSectionDisplayName]:[No]],2,0))</f>
        <v>50007</v>
      </c>
      <c r="AT21" s="61" t="s">
        <v>613</v>
      </c>
      <c r="AU21" s="30" t="s">
        <v>26</v>
      </c>
      <c r="AV21" s="61">
        <f>IF(DataViewSectionItem[[#This Row],[Data Section for Items]]="","relation",IFERROR(VLOOKUP(DataViewSectionItem[[#This Row],[Relation]],RelationTable[[Display]:[RELID]],2,0),""))</f>
        <v>50021</v>
      </c>
      <c r="AW21" s="30" t="s">
        <v>791</v>
      </c>
    </row>
  </sheetData>
  <dataValidations count="5">
    <dataValidation type="list" allowBlank="1" showInputMessage="1" showErrorMessage="1" sqref="AN2:AN9 O2:R12 AW2:AW21">
      <formula1>Relations</formula1>
    </dataValidation>
    <dataValidation type="list" allowBlank="1" showInputMessage="1" showErrorMessage="1" sqref="AQ2:AQ21">
      <formula1>DataSections</formula1>
    </dataValidation>
    <dataValidation type="list" allowBlank="1" showInputMessage="1" showErrorMessage="1" sqref="B2:B6">
      <formula1>Resources</formula1>
    </dataValidation>
    <dataValidation type="list" allowBlank="1" showInputMessage="1" showErrorMessage="1" sqref="N2:N12">
      <formula1>Scopes</formula1>
    </dataValidation>
    <dataValidation type="list" allowBlank="1" showInputMessage="1" showErrorMessage="1" sqref="L2:L12 AF2:AF9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D1" workbookViewId="0">
      <selection activeCell="M2" sqref="M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151</v>
      </c>
      <c r="C1" s="1" t="s">
        <v>398</v>
      </c>
      <c r="D1" s="1" t="s">
        <v>399</v>
      </c>
      <c r="E1" s="1" t="s">
        <v>397</v>
      </c>
      <c r="F1" s="1" t="s">
        <v>401</v>
      </c>
      <c r="G1" s="1" t="s">
        <v>402</v>
      </c>
      <c r="H1" s="1" t="s">
        <v>403</v>
      </c>
      <c r="J1" s="1" t="s">
        <v>104</v>
      </c>
      <c r="K1" s="1" t="s">
        <v>14</v>
      </c>
      <c r="L1" s="1" t="s">
        <v>400</v>
      </c>
      <c r="M1" s="1" t="s">
        <v>283</v>
      </c>
      <c r="N1" s="1" t="s">
        <v>1</v>
      </c>
      <c r="O1" s="1" t="s">
        <v>276</v>
      </c>
      <c r="P1" s="1" t="s">
        <v>246</v>
      </c>
    </row>
    <row r="2" spans="1:16">
      <c r="A2" s="39" t="s">
        <v>128</v>
      </c>
      <c r="B2" s="39" t="s">
        <v>289</v>
      </c>
      <c r="C2" s="39" t="s">
        <v>283</v>
      </c>
      <c r="D2" s="56">
        <v>1</v>
      </c>
      <c r="E2" s="56">
        <f ca="1">COUNTA(INDIRECT(RecordCount[[#This Row],[Table Name]]&amp;"["&amp;RecordCount[[#This Row],[Count Field]]&amp;"]"))-RecordCount[[#This Row],[Count Reduce]]</f>
        <v>8</v>
      </c>
      <c r="F2" s="39" t="s">
        <v>150</v>
      </c>
      <c r="G2" s="56">
        <v>2</v>
      </c>
      <c r="H2" s="56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ProductImage/AddProductImageForm</v>
      </c>
      <c r="O2" s="6" t="str">
        <f ca="1">IF(IDNMaps[[#This Row],[Name]]="","","("&amp;IDNMaps[[#This Row],[Type]]&amp;") "&amp;IDNMaps[[#This Row],[Name]])</f>
        <v>(Forms) ProductImage/AddProductImageForm</v>
      </c>
      <c r="P2" s="6">
        <f ca="1">IFERROR(VLOOKUP(IDNMaps[[#This Row],[Primary]],INDIRECT(VLOOKUP(IDNMaps[[#This Row],[Type]],RecordCount[],2,0)),VLOOKUP(IDNMaps[[#This Row],[Type]],RecordCount[],8,0),0),"")</f>
        <v>50001</v>
      </c>
    </row>
    <row r="3" spans="1:16">
      <c r="A3" s="39" t="s">
        <v>126</v>
      </c>
      <c r="B3" s="39" t="s">
        <v>167</v>
      </c>
      <c r="C3" s="39" t="s">
        <v>283</v>
      </c>
      <c r="D3" s="56">
        <v>1</v>
      </c>
      <c r="E3" s="56">
        <f ca="1">COUNTA(INDIRECT(RecordCount[[#This Row],[Table Name]]&amp;"["&amp;RecordCount[[#This Row],[Count Field]]&amp;"]"))-RecordCount[[#This Row],[Count Reduce]]</f>
        <v>11</v>
      </c>
      <c r="F3" s="39" t="s">
        <v>155</v>
      </c>
      <c r="G3" s="56">
        <v>6</v>
      </c>
      <c r="H3" s="56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ProductImage/ChangeImageStatus</v>
      </c>
      <c r="O3" s="6" t="str">
        <f ca="1">IF(IDNMaps[[#This Row],[Name]]="","","("&amp;IDNMaps[[#This Row],[Type]]&amp;") "&amp;IDNMaps[[#This Row],[Name]])</f>
        <v>(Forms) ProductImage/ChangeImageStatus</v>
      </c>
      <c r="P3" s="6">
        <f ca="1">IFERROR(VLOOKUP(IDNMaps[[#This Row],[Primary]],INDIRECT(VLOOKUP(IDNMaps[[#This Row],[Type]],RecordCount[],2,0)),VLOOKUP(IDNMaps[[#This Row],[Type]],RecordCount[],8,0),0),"")</f>
        <v>50002</v>
      </c>
    </row>
    <row r="4" spans="1:16">
      <c r="A4" s="40" t="s">
        <v>127</v>
      </c>
      <c r="B4" s="39" t="s">
        <v>169</v>
      </c>
      <c r="C4" s="39" t="s">
        <v>283</v>
      </c>
      <c r="D4" s="56">
        <v>1</v>
      </c>
      <c r="E4" s="57">
        <f ca="1">COUNTA(INDIRECT(RecordCount[[#This Row],[Table Name]]&amp;"["&amp;RecordCount[[#This Row],[Count Field]]&amp;"]"))-RecordCount[[#This Row],[Count Reduce]]</f>
        <v>4</v>
      </c>
      <c r="F4" s="39" t="s">
        <v>171</v>
      </c>
      <c r="G4" s="56">
        <v>6</v>
      </c>
      <c r="H4" s="56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Visitor/Add New Visitor</v>
      </c>
      <c r="O4" s="6" t="str">
        <f ca="1">IF(IDNMaps[[#This Row],[Name]]="","","("&amp;IDNMaps[[#This Row],[Type]]&amp;") "&amp;IDNMaps[[#This Row],[Name]])</f>
        <v>(Forms) Visitor/Add New Visitor</v>
      </c>
      <c r="P4" s="6">
        <f ca="1">IFERROR(VLOOKUP(IDNMaps[[#This Row],[Primary]],INDIRECT(VLOOKUP(IDNMaps[[#This Row],[Type]],RecordCount[],2,0)),VLOOKUP(IDNMaps[[#This Row],[Type]],RecordCount[],8,0),0),"")</f>
        <v>50003</v>
      </c>
    </row>
    <row r="5" spans="1:16">
      <c r="A5" s="40" t="s">
        <v>110</v>
      </c>
      <c r="B5" s="40" t="s">
        <v>286</v>
      </c>
      <c r="C5" s="39" t="s">
        <v>283</v>
      </c>
      <c r="D5" s="56">
        <v>1</v>
      </c>
      <c r="E5" s="57">
        <f ca="1">COUNTA(INDIRECT(RecordCount[[#This Row],[Table Name]]&amp;"["&amp;RecordCount[[#This Row],[Count Field]]&amp;"]"))-RecordCount[[#This Row],[Count Reduce]]</f>
        <v>28</v>
      </c>
      <c r="F5" s="39" t="s">
        <v>156</v>
      </c>
      <c r="G5" s="56">
        <v>3</v>
      </c>
      <c r="H5" s="56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Wishlist/CreateNewWishlistForm</v>
      </c>
      <c r="O5" s="6" t="str">
        <f ca="1">IF(IDNMaps[[#This Row],[Name]]="","","("&amp;IDNMaps[[#This Row],[Type]]&amp;") "&amp;IDNMaps[[#This Row],[Name]])</f>
        <v>(Forms) Wishlist/CreateNewWishlistForm</v>
      </c>
      <c r="P5" s="6">
        <f ca="1">IFERROR(VLOOKUP(IDNMaps[[#This Row],[Primary]],INDIRECT(VLOOKUP(IDNMaps[[#This Row],[Type]],RecordCount[],2,0)),VLOOKUP(IDNMaps[[#This Row],[Type]],RecordCount[],8,0),0),"")</f>
        <v>50004</v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Wishlist/UpdateWishlistForm</v>
      </c>
      <c r="O6" s="6" t="str">
        <f ca="1">IF(IDNMaps[[#This Row],[Name]]="","","("&amp;IDNMaps[[#This Row],[Type]]&amp;") "&amp;IDNMaps[[#This Row],[Name]])</f>
        <v>(Forms) Wishlist/UpdateWishlistForm</v>
      </c>
      <c r="P6" s="6">
        <f ca="1">IFERROR(VLOOKUP(IDNMaps[[#This Row],[Primary]],INDIRECT(VLOOKUP(IDNMaps[[#This Row],[Type]],RecordCount[],2,0)),VLOOKUP(IDNMaps[[#This Row],[Type]],RecordCount[],8,0),0),"")</f>
        <v>50005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Visitor/AddWishlistVisitorForm</v>
      </c>
      <c r="O7" s="6" t="str">
        <f ca="1">IF(IDNMaps[[#This Row],[Name]]="","","("&amp;IDNMaps[[#This Row],[Type]]&amp;") "&amp;IDNMaps[[#This Row],[Name]])</f>
        <v>(Forms) Visitor/AddWishlistVisitorForm</v>
      </c>
      <c r="P7" s="6">
        <f ca="1">IFERROR(VLOOKUP(IDNMaps[[#This Row],[Primary]],INDIRECT(VLOOKUP(IDNMaps[[#This Row],[Type]],RecordCount[],2,0)),VLOOKUP(IDNMaps[[#This Row],[Type]],RecordCount[],8,0),0),"")</f>
        <v>50006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WishlistNote/AddWishlistNote</v>
      </c>
      <c r="O8" s="6" t="str">
        <f ca="1">IF(IDNMaps[[#This Row],[Name]]="","","("&amp;IDNMaps[[#This Row],[Type]]&amp;") "&amp;IDNMaps[[#This Row],[Name]])</f>
        <v>(Forms) WishlistNote/AddWishlistNote</v>
      </c>
      <c r="P8" s="6">
        <f ca="1">IFERROR(VLOOKUP(IDNMaps[[#This Row],[Primary]],INDIRECT(VLOOKUP(IDNMaps[[#This Row],[Type]],RecordCount[],2,0)),VLOOKUP(IDNMaps[[#This Row],[Type]],RecordCount[],8,0),0),"")</f>
        <v>50007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GroupDetail/ChangeItemGroupWebListForm</v>
      </c>
      <c r="O9" s="6" t="str">
        <f ca="1">IF(IDNMaps[[#This Row],[Name]]="","","("&amp;IDNMaps[[#This Row],[Type]]&amp;") "&amp;IDNMaps[[#This Row],[Name]])</f>
        <v>(Forms) GroupDetail/ChangeItemGroupWebListForm</v>
      </c>
      <c r="P9" s="6">
        <f ca="1">IFERROR(VLOOKUP(IDNMaps[[#This Row],[Primary]],INDIRECT(VLOOKUP(IDNMaps[[#This Row],[Type]],RecordCount[],2,0)),VLOOKUP(IDNMaps[[#This Row],[Type]],RecordCount[],8,0),0),"")</f>
        <v>50008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0" s="6">
        <f ca="1">IF(IDNMaps[[#This Row],[Type]]="","",COUNTIF($K$1:IDNMaps[[#This Row],[Type]],IDNMaps[[#This Row],[Type]]))</f>
        <v>1</v>
      </c>
      <c r="M10" s="6" t="str">
        <f ca="1">IFERROR(VLOOKUP(IDNMaps[[#This Row],[Type]],RecordCount[],6,0)&amp;"-"&amp;IDNMaps[[#This Row],[Type Count]],"")</f>
        <v>Resource Lists-1</v>
      </c>
      <c r="N10" s="6" t="str">
        <f ca="1">IFERROR(VLOOKUP(IDNMaps[[#This Row],[Primary]],INDIRECT(VLOOKUP(IDNMaps[[#This Row],[Type]],RecordCount[],2,0)),VLOOKUP(IDNMaps[[#This Row],[Type]],RecordCount[],7,0),0),"")</f>
        <v>Group01List</v>
      </c>
      <c r="O10" s="6" t="str">
        <f ca="1">IF(IDNMaps[[#This Row],[Name]]="","","("&amp;IDNMaps[[#This Row],[Type]]&amp;") "&amp;IDNMaps[[#This Row],[Name]])</f>
        <v>(Lists) Group01List</v>
      </c>
      <c r="P10" s="6">
        <f ca="1">IFERROR(VLOOKUP(IDNMaps[[#This Row],[Primary]],INDIRECT(VLOOKUP(IDNMaps[[#This Row],[Type]],RecordCount[],2,0)),VLOOKUP(IDNMaps[[#This Row],[Type]],RecordCount[],8,0),0),"")</f>
        <v>50001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1" s="6">
        <f ca="1">IF(IDNMaps[[#This Row],[Type]]="","",COUNTIF($K$1:IDNMaps[[#This Row],[Type]],IDNMaps[[#This Row],[Type]]))</f>
        <v>2</v>
      </c>
      <c r="M11" s="6" t="str">
        <f ca="1">IFERROR(VLOOKUP(IDNMaps[[#This Row],[Type]],RecordCount[],6,0)&amp;"-"&amp;IDNMaps[[#This Row],[Type Count]],"")</f>
        <v>Resource Lists-2</v>
      </c>
      <c r="N11" s="6" t="str">
        <f ca="1">IFERROR(VLOOKUP(IDNMaps[[#This Row],[Primary]],INDIRECT(VLOOKUP(IDNMaps[[#This Row],[Type]],RecordCount[],2,0)),VLOOKUP(IDNMaps[[#This Row],[Type]],RecordCount[],7,0),0),"")</f>
        <v>Group02List</v>
      </c>
      <c r="O11" s="6" t="str">
        <f ca="1">IF(IDNMaps[[#This Row],[Name]]="","","("&amp;IDNMaps[[#This Row],[Type]]&amp;") "&amp;IDNMaps[[#This Row],[Name]])</f>
        <v>(Lists) Group02List</v>
      </c>
      <c r="P11" s="6">
        <f ca="1">IFERROR(VLOOKUP(IDNMaps[[#This Row],[Primary]],INDIRECT(VLOOKUP(IDNMaps[[#This Row],[Type]],RecordCount[],2,0)),VLOOKUP(IDNMaps[[#This Row],[Type]],RecordCount[],8,0),0),"")</f>
        <v>50002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2" s="6">
        <f ca="1">IF(IDNMaps[[#This Row],[Type]]="","",COUNTIF($K$1:IDNMaps[[#This Row],[Type]],IDNMaps[[#This Row],[Type]]))</f>
        <v>3</v>
      </c>
      <c r="M12" s="6" t="str">
        <f ca="1">IFERROR(VLOOKUP(IDNMaps[[#This Row],[Type]],RecordCount[],6,0)&amp;"-"&amp;IDNMaps[[#This Row],[Type Count]],"")</f>
        <v>Resource Lists-3</v>
      </c>
      <c r="N12" s="6" t="str">
        <f ca="1">IFERROR(VLOOKUP(IDNMaps[[#This Row],[Primary]],INDIRECT(VLOOKUP(IDNMaps[[#This Row],[Type]],RecordCount[],2,0)),VLOOKUP(IDNMaps[[#This Row],[Type]],RecordCount[],7,0),0),"")</f>
        <v>Group03List</v>
      </c>
      <c r="O12" s="6" t="str">
        <f ca="1">IF(IDNMaps[[#This Row],[Name]]="","","("&amp;IDNMaps[[#This Row],[Type]]&amp;") "&amp;IDNMaps[[#This Row],[Name]])</f>
        <v>(Lists) Group03List</v>
      </c>
      <c r="P12" s="6">
        <f ca="1">IFERROR(VLOOKUP(IDNMaps[[#This Row],[Primary]],INDIRECT(VLOOKUP(IDNMaps[[#This Row],[Type]],RecordCount[],2,0)),VLOOKUP(IDNMaps[[#This Row],[Type]],RecordCount[],8,0),0),"")</f>
        <v>50003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3" s="6">
        <f ca="1">IF(IDNMaps[[#This Row],[Type]]="","",COUNTIF($K$1:IDNMaps[[#This Row],[Type]],IDNMaps[[#This Row],[Type]]))</f>
        <v>4</v>
      </c>
      <c r="M13" s="6" t="str">
        <f ca="1">IFERROR(VLOOKUP(IDNMaps[[#This Row],[Type]],RecordCount[],6,0)&amp;"-"&amp;IDNMaps[[#This Row],[Type Count]],"")</f>
        <v>Resource Lists-4</v>
      </c>
      <c r="N13" s="6" t="str">
        <f ca="1">IFERROR(VLOOKUP(IDNMaps[[#This Row],[Primary]],INDIRECT(VLOOKUP(IDNMaps[[#This Row],[Type]],RecordCount[],2,0)),VLOOKUP(IDNMaps[[#This Row],[Type]],RecordCount[],7,0),0),"")</f>
        <v>Group04List</v>
      </c>
      <c r="O13" s="6" t="str">
        <f ca="1">IF(IDNMaps[[#This Row],[Name]]="","","("&amp;IDNMaps[[#This Row],[Type]]&amp;") "&amp;IDNMaps[[#This Row],[Name]])</f>
        <v>(Lists) Group04List</v>
      </c>
      <c r="P13" s="6">
        <f ca="1">IFERROR(VLOOKUP(IDNMaps[[#This Row],[Primary]],INDIRECT(VLOOKUP(IDNMaps[[#This Row],[Type]],RecordCount[],2,0)),VLOOKUP(IDNMaps[[#This Row],[Type]],RecordCount[],8,0),0),"")</f>
        <v>50004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4" s="6">
        <f ca="1">IF(IDNMaps[[#This Row],[Type]]="","",COUNTIF($K$1:IDNMaps[[#This Row],[Type]],IDNMaps[[#This Row],[Type]]))</f>
        <v>5</v>
      </c>
      <c r="M14" s="6" t="str">
        <f ca="1">IFERROR(VLOOKUP(IDNMaps[[#This Row],[Type]],RecordCount[],6,0)&amp;"-"&amp;IDNMaps[[#This Row],[Type Count]],"")</f>
        <v>Resource Lists-5</v>
      </c>
      <c r="N14" s="6" t="str">
        <f ca="1">IFERROR(VLOOKUP(IDNMaps[[#This Row],[Primary]],INDIRECT(VLOOKUP(IDNMaps[[#This Row],[Type]],RecordCount[],2,0)),VLOOKUP(IDNMaps[[#This Row],[Type]],RecordCount[],7,0),0),"")</f>
        <v>ProductsList</v>
      </c>
      <c r="O14" s="6" t="str">
        <f ca="1">IF(IDNMaps[[#This Row],[Name]]="","","("&amp;IDNMaps[[#This Row],[Type]]&amp;") "&amp;IDNMaps[[#This Row],[Name]])</f>
        <v>(Lists) ProductsList</v>
      </c>
      <c r="P14" s="6">
        <f ca="1">IFERROR(VLOOKUP(IDNMaps[[#This Row],[Primary]],INDIRECT(VLOOKUP(IDNMaps[[#This Row],[Type]],RecordCount[],2,0)),VLOOKUP(IDNMaps[[#This Row],[Type]],RecordCount[],8,0),0),"")</f>
        <v>50005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5" s="6">
        <f ca="1">IF(IDNMaps[[#This Row],[Type]]="","",COUNTIF($K$1:IDNMaps[[#This Row],[Type]],IDNMaps[[#This Row],[Type]]))</f>
        <v>6</v>
      </c>
      <c r="M15" s="6" t="str">
        <f ca="1">IFERROR(VLOOKUP(IDNMaps[[#This Row],[Type]],RecordCount[],6,0)&amp;"-"&amp;IDNMaps[[#This Row],[Type Count]],"")</f>
        <v>Resource Lists-6</v>
      </c>
      <c r="N15" s="6" t="str">
        <f ca="1">IFERROR(VLOOKUP(IDNMaps[[#This Row],[Primary]],INDIRECT(VLOOKUP(IDNMaps[[#This Row],[Type]],RecordCount[],2,0)),VLOOKUP(IDNMaps[[#This Row],[Type]],RecordCount[],7,0),0),"")</f>
        <v>VisitorsList</v>
      </c>
      <c r="O15" s="6" t="str">
        <f ca="1">IF(IDNMaps[[#This Row],[Name]]="","","("&amp;IDNMaps[[#This Row],[Type]]&amp;") "&amp;IDNMaps[[#This Row],[Name]])</f>
        <v>(Lists) VisitorsList</v>
      </c>
      <c r="P15" s="6">
        <f ca="1">IFERROR(VLOOKUP(IDNMaps[[#This Row],[Primary]],INDIRECT(VLOOKUP(IDNMaps[[#This Row],[Type]],RecordCount[],2,0)),VLOOKUP(IDNMaps[[#This Row],[Type]],RecordCount[],8,0),0),"")</f>
        <v>50006</v>
      </c>
    </row>
    <row r="16" spans="1:16">
      <c r="J16" s="58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6" s="6">
        <f ca="1">IF(IDNMaps[[#This Row],[Type]]="","",COUNTIF($K$1:IDNMaps[[#This Row],[Type]],IDNMaps[[#This Row],[Type]]))</f>
        <v>7</v>
      </c>
      <c r="M16" s="6" t="str">
        <f ca="1">IFERROR(VLOOKUP(IDNMaps[[#This Row],[Type]],RecordCount[],6,0)&amp;"-"&amp;IDNMaps[[#This Row],[Type Count]],"")</f>
        <v>Resource Lists-7</v>
      </c>
      <c r="N16" s="6" t="str">
        <f ca="1">IFERROR(VLOOKUP(IDNMaps[[#This Row],[Primary]],INDIRECT(VLOOKUP(IDNMaps[[#This Row],[Type]],RecordCount[],2,0)),VLOOKUP(IDNMaps[[#This Row],[Type]],RecordCount[],7,0),0),"")</f>
        <v>WishlistsList</v>
      </c>
      <c r="O16" s="6" t="str">
        <f ca="1">IF(IDNMaps[[#This Row],[Name]]="","","("&amp;IDNMaps[[#This Row],[Type]]&amp;") "&amp;IDNMaps[[#This Row],[Name]])</f>
        <v>(Lists) WishlistsList</v>
      </c>
      <c r="P16" s="6">
        <f ca="1">IFERROR(VLOOKUP(IDNMaps[[#This Row],[Primary]],INDIRECT(VLOOKUP(IDNMaps[[#This Row],[Type]],RecordCount[],2,0)),VLOOKUP(IDNMaps[[#This Row],[Type]],RecordCount[],8,0),0),"")</f>
        <v>50007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7" s="6">
        <f ca="1">IF(IDNMaps[[#This Row],[Type]]="","",COUNTIF($K$1:IDNMaps[[#This Row],[Type]],IDNMaps[[#This Row],[Type]]))</f>
        <v>8</v>
      </c>
      <c r="M17" s="6" t="str">
        <f ca="1">IFERROR(VLOOKUP(IDNMaps[[#This Row],[Type]],RecordCount[],6,0)&amp;"-"&amp;IDNMaps[[#This Row],[Type Count]],"")</f>
        <v>Resource Lists-8</v>
      </c>
      <c r="N17" s="6" t="str">
        <f ca="1">IFERROR(VLOOKUP(IDNMaps[[#This Row],[Primary]],INDIRECT(VLOOKUP(IDNMaps[[#This Row],[Type]],RecordCount[],2,0)),VLOOKUP(IDNMaps[[#This Row],[Type]],RecordCount[],7,0),0),"")</f>
        <v>VendorWishlist</v>
      </c>
      <c r="O17" s="6" t="str">
        <f ca="1">IF(IDNMaps[[#This Row],[Name]]="","","("&amp;IDNMaps[[#This Row],[Type]]&amp;") "&amp;IDNMaps[[#This Row],[Name]])</f>
        <v>(Lists) VendorWishlist</v>
      </c>
      <c r="P17" s="6">
        <f ca="1">IFERROR(VLOOKUP(IDNMaps[[#This Row],[Primary]],INDIRECT(VLOOKUP(IDNMaps[[#This Row],[Type]],RecordCount[],2,0)),VLOOKUP(IDNMaps[[#This Row],[Type]],RecordCount[],8,0),0),"")</f>
        <v>50008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8" s="6">
        <f ca="1">IF(IDNMaps[[#This Row],[Type]]="","",COUNTIF($K$1:IDNMaps[[#This Row],[Type]],IDNMaps[[#This Row],[Type]]))</f>
        <v>9</v>
      </c>
      <c r="M18" s="6" t="str">
        <f ca="1">IFERROR(VLOOKUP(IDNMaps[[#This Row],[Type]],RecordCount[],6,0)&amp;"-"&amp;IDNMaps[[#This Row],[Type Count]],"")</f>
        <v>Resource Lists-9</v>
      </c>
      <c r="N18" s="6" t="str">
        <f ca="1">IFERROR(VLOOKUP(IDNMaps[[#This Row],[Primary]],INDIRECT(VLOOKUP(IDNMaps[[#This Row],[Type]],RecordCount[],2,0)),VLOOKUP(IDNMaps[[#This Row],[Type]],RecordCount[],7,0),0),"")</f>
        <v>WishlistNotesList</v>
      </c>
      <c r="O18" s="6" t="str">
        <f ca="1">IF(IDNMaps[[#This Row],[Name]]="","","("&amp;IDNMaps[[#This Row],[Type]]&amp;") "&amp;IDNMaps[[#This Row],[Name]])</f>
        <v>(Lists) WishlistNotesList</v>
      </c>
      <c r="P18" s="6">
        <f ca="1">IFERROR(VLOOKUP(IDNMaps[[#This Row],[Primary]],INDIRECT(VLOOKUP(IDNMaps[[#This Row],[Type]],RecordCount[],2,0)),VLOOKUP(IDNMaps[[#This Row],[Type]],RecordCount[],8,0),0),"")</f>
        <v>50009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9" s="6">
        <f ca="1">IF(IDNMaps[[#This Row],[Type]]="","",COUNTIF($K$1:IDNMaps[[#This Row],[Type]],IDNMaps[[#This Row],[Type]]))</f>
        <v>10</v>
      </c>
      <c r="M19" s="6" t="str">
        <f ca="1">IFERROR(VLOOKUP(IDNMaps[[#This Row],[Type]],RecordCount[],6,0)&amp;"-"&amp;IDNMaps[[#This Row],[Type Count]],"")</f>
        <v>Resource Lists-10</v>
      </c>
      <c r="N19" s="6" t="str">
        <f ca="1">IFERROR(VLOOKUP(IDNMaps[[#This Row],[Primary]],INDIRECT(VLOOKUP(IDNMaps[[#This Row],[Type]],RecordCount[],2,0)),VLOOKUP(IDNMaps[[#This Row],[Type]],RecordCount[],7,0),0),"")</f>
        <v>ProductImagesList</v>
      </c>
      <c r="O19" s="6" t="str">
        <f ca="1">IF(IDNMaps[[#This Row],[Name]]="","","("&amp;IDNMaps[[#This Row],[Type]]&amp;") "&amp;IDNMaps[[#This Row],[Name]])</f>
        <v>(Lists) ProductImagesList</v>
      </c>
      <c r="P19" s="6">
        <f ca="1">IFERROR(VLOOKUP(IDNMaps[[#This Row],[Primary]],INDIRECT(VLOOKUP(IDNMaps[[#This Row],[Type]],RecordCount[],2,0)),VLOOKUP(IDNMaps[[#This Row],[Type]],RecordCount[],8,0),0),"")</f>
        <v>50010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0" s="6">
        <f ca="1">IF(IDNMaps[[#This Row],[Type]]="","",COUNTIF($K$1:IDNMaps[[#This Row],[Type]],IDNMaps[[#This Row],[Type]]))</f>
        <v>11</v>
      </c>
      <c r="M20" s="6" t="str">
        <f ca="1">IFERROR(VLOOKUP(IDNMaps[[#This Row],[Type]],RecordCount[],6,0)&amp;"-"&amp;IDNMaps[[#This Row],[Type Count]],"")</f>
        <v>Resource Lists-11</v>
      </c>
      <c r="N20" s="6" t="str">
        <f ca="1">IFERROR(VLOOKUP(IDNMaps[[#This Row],[Primary]],INDIRECT(VLOOKUP(IDNMaps[[#This Row],[Type]],RecordCount[],2,0)),VLOOKUP(IDNMaps[[#This Row],[Type]],RecordCount[],7,0),0),"")</f>
        <v>WishlistItemsList</v>
      </c>
      <c r="O20" s="6" t="str">
        <f ca="1">IF(IDNMaps[[#This Row],[Name]]="","","("&amp;IDNMaps[[#This Row],[Type]]&amp;") "&amp;IDNMaps[[#This Row],[Name]])</f>
        <v>(Lists) WishlistItemsList</v>
      </c>
      <c r="P20" s="6">
        <f ca="1">IFERROR(VLOOKUP(IDNMaps[[#This Row],[Primary]],INDIRECT(VLOOKUP(IDNMaps[[#This Row],[Type]],RecordCount[],2,0)),VLOOKUP(IDNMaps[[#This Row],[Type]],RecordCount[],8,0),0),"")</f>
        <v>50011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21" s="6">
        <f ca="1">IF(IDNMaps[[#This Row],[Type]]="","",COUNTIF($K$1:IDNMaps[[#This Row],[Type]],IDNMaps[[#This Row],[Type]]))</f>
        <v>1</v>
      </c>
      <c r="M21" s="6" t="str">
        <f ca="1">IFERROR(VLOOKUP(IDNMaps[[#This Row],[Type]],RecordCount[],6,0)&amp;"-"&amp;IDNMaps[[#This Row],[Type Count]],"")</f>
        <v>Resource Data-1</v>
      </c>
      <c r="N21" s="6" t="str">
        <f ca="1">IFERROR(VLOOKUP(IDNMaps[[#This Row],[Primary]],INDIRECT(VLOOKUP(IDNMaps[[#This Row],[Type]],RecordCount[],2,0)),VLOOKUP(IDNMaps[[#This Row],[Type]],RecordCount[],7,0),0),"")</f>
        <v>VisitorDetails</v>
      </c>
      <c r="O21" s="6" t="str">
        <f ca="1">IF(IDNMaps[[#This Row],[Name]]="","","("&amp;IDNMaps[[#This Row],[Type]]&amp;") "&amp;IDNMaps[[#This Row],[Name]])</f>
        <v>(Data) VisitorDetails</v>
      </c>
      <c r="P21" s="6">
        <f ca="1">IFERROR(VLOOKUP(IDNMaps[[#This Row],[Primary]],INDIRECT(VLOOKUP(IDNMaps[[#This Row],[Type]],RecordCount[],2,0)),VLOOKUP(IDNMaps[[#This Row],[Type]],RecordCount[],8,0),0),"")</f>
        <v>50001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22" s="6">
        <f ca="1">IF(IDNMaps[[#This Row],[Type]]="","",COUNTIF($K$1:IDNMaps[[#This Row],[Type]],IDNMaps[[#This Row],[Type]]))</f>
        <v>2</v>
      </c>
      <c r="M22" s="6" t="str">
        <f ca="1">IFERROR(VLOOKUP(IDNMaps[[#This Row],[Type]],RecordCount[],6,0)&amp;"-"&amp;IDNMaps[[#This Row],[Type Count]],"")</f>
        <v>Resource Data-2</v>
      </c>
      <c r="N22" s="6" t="str">
        <f ca="1">IFERROR(VLOOKUP(IDNMaps[[#This Row],[Primary]],INDIRECT(VLOOKUP(IDNMaps[[#This Row],[Type]],RecordCount[],2,0)),VLOOKUP(IDNMaps[[#This Row],[Type]],RecordCount[],7,0),0),"")</f>
        <v>ProductImageStatus</v>
      </c>
      <c r="O22" s="6" t="str">
        <f ca="1">IF(IDNMaps[[#This Row],[Name]]="","","("&amp;IDNMaps[[#This Row],[Type]]&amp;") "&amp;IDNMaps[[#This Row],[Name]])</f>
        <v>(Data) ProductImageStatus</v>
      </c>
      <c r="P22" s="6">
        <f ca="1">IFERROR(VLOOKUP(IDNMaps[[#This Row],[Primary]],INDIRECT(VLOOKUP(IDNMaps[[#This Row],[Type]],RecordCount[],2,0)),VLOOKUP(IDNMaps[[#This Row],[Type]],RecordCount[],8,0),0),"")</f>
        <v>50002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23" s="6">
        <f ca="1">IF(IDNMaps[[#This Row],[Type]]="","",COUNTIF($K$1:IDNMaps[[#This Row],[Type]],IDNMaps[[#This Row],[Type]]))</f>
        <v>3</v>
      </c>
      <c r="M23" s="6" t="str">
        <f ca="1">IFERROR(VLOOKUP(IDNMaps[[#This Row],[Type]],RecordCount[],6,0)&amp;"-"&amp;IDNMaps[[#This Row],[Type Count]],"")</f>
        <v>Resource Data-3</v>
      </c>
      <c r="N23" s="6" t="str">
        <f ca="1">IFERROR(VLOOKUP(IDNMaps[[#This Row],[Primary]],INDIRECT(VLOOKUP(IDNMaps[[#This Row],[Type]],RecordCount[],2,0)),VLOOKUP(IDNMaps[[#This Row],[Type]],RecordCount[],7,0),0),"")</f>
        <v>WishlistDetails</v>
      </c>
      <c r="O23" s="6" t="str">
        <f ca="1">IF(IDNMaps[[#This Row],[Name]]="","","("&amp;IDNMaps[[#This Row],[Type]]&amp;") "&amp;IDNMaps[[#This Row],[Name]])</f>
        <v>(Data) WishlistDetails</v>
      </c>
      <c r="P23" s="6">
        <f ca="1">IFERROR(VLOOKUP(IDNMaps[[#This Row],[Primary]],INDIRECT(VLOOKUP(IDNMaps[[#This Row],[Type]],RecordCount[],2,0)),VLOOKUP(IDNMaps[[#This Row],[Type]],RecordCount[],8,0),0),"")</f>
        <v>50003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24" s="6">
        <f ca="1">IF(IDNMaps[[#This Row],[Type]]="","",COUNTIF($K$1:IDNMaps[[#This Row],[Type]],IDNMaps[[#This Row],[Type]]))</f>
        <v>4</v>
      </c>
      <c r="M24" s="6" t="str">
        <f ca="1">IFERROR(VLOOKUP(IDNMaps[[#This Row],[Type]],RecordCount[],6,0)&amp;"-"&amp;IDNMaps[[#This Row],[Type Count]],"")</f>
        <v>Resource Data-4</v>
      </c>
      <c r="N24" s="6" t="str">
        <f ca="1">IFERROR(VLOOKUP(IDNMaps[[#This Row],[Primary]],INDIRECT(VLOOKUP(IDNMaps[[#This Row],[Type]],RecordCount[],2,0)),VLOOKUP(IDNMaps[[#This Row],[Type]],RecordCount[],7,0),0),"")</f>
        <v>GetListDetail</v>
      </c>
      <c r="O24" s="6" t="str">
        <f ca="1">IF(IDNMaps[[#This Row],[Name]]="","","("&amp;IDNMaps[[#This Row],[Type]]&amp;") "&amp;IDNMaps[[#This Row],[Name]])</f>
        <v>(Data) GetListDetail</v>
      </c>
      <c r="P24" s="6">
        <f ca="1">IFERROR(VLOOKUP(IDNMaps[[#This Row],[Primary]],INDIRECT(VLOOKUP(IDNMaps[[#This Row],[Type]],RecordCount[],2,0)),VLOOKUP(IDNMaps[[#This Row],[Type]],RecordCount[],8,0),0),"")</f>
        <v>50004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5" s="6">
        <f ca="1">IF(IDNMaps[[#This Row],[Type]]="","",COUNTIF($K$1:IDNMaps[[#This Row],[Type]],IDNMaps[[#This Row],[Type]]))</f>
        <v>1</v>
      </c>
      <c r="M25" s="6" t="str">
        <f ca="1">IFERROR(VLOOKUP(IDNMaps[[#This Row],[Type]],RecordCount[],6,0)&amp;"-"&amp;IDNMaps[[#This Row],[Type Count]],"")</f>
        <v>Resource Relations-1</v>
      </c>
      <c r="N25" s="6" t="str">
        <f ca="1">IFERROR(VLOOKUP(IDNMaps[[#This Row],[Primary]],INDIRECT(VLOOKUP(IDNMaps[[#This Row],[Type]],RecordCount[],2,0)),VLOOKUP(IDNMaps[[#This Row],[Type]],RecordCount[],7,0),0),"")</f>
        <v>GroupDetail/Group01Products</v>
      </c>
      <c r="O25" s="6" t="str">
        <f ca="1">IF(IDNMaps[[#This Row],[Name]]="","","("&amp;IDNMaps[[#This Row],[Type]]&amp;") "&amp;IDNMaps[[#This Row],[Name]])</f>
        <v>(Relation) GroupDetail/Group01Products</v>
      </c>
      <c r="P25" s="6">
        <f ca="1">IFERROR(VLOOKUP(IDNMaps[[#This Row],[Primary]],INDIRECT(VLOOKUP(IDNMaps[[#This Row],[Type]],RecordCount[],2,0)),VLOOKUP(IDNMaps[[#This Row],[Type]],RecordCount[],8,0),0),"")</f>
        <v>50001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6" s="6">
        <f ca="1">IF(IDNMaps[[#This Row],[Type]]="","",COUNTIF($K$1:IDNMaps[[#This Row],[Type]],IDNMaps[[#This Row],[Type]]))</f>
        <v>2</v>
      </c>
      <c r="M26" s="6" t="str">
        <f ca="1">IFERROR(VLOOKUP(IDNMaps[[#This Row],[Type]],RecordCount[],6,0)&amp;"-"&amp;IDNMaps[[#This Row],[Type Count]],"")</f>
        <v>Resource Relations-2</v>
      </c>
      <c r="N26" s="6" t="str">
        <f ca="1">IFERROR(VLOOKUP(IDNMaps[[#This Row],[Primary]],INDIRECT(VLOOKUP(IDNMaps[[#This Row],[Type]],RecordCount[],2,0)),VLOOKUP(IDNMaps[[#This Row],[Type]],RecordCount[],7,0),0),"")</f>
        <v>GroupDetail/Group02Products</v>
      </c>
      <c r="O26" s="6" t="str">
        <f ca="1">IF(IDNMaps[[#This Row],[Name]]="","","("&amp;IDNMaps[[#This Row],[Type]]&amp;") "&amp;IDNMaps[[#This Row],[Name]])</f>
        <v>(Relation) GroupDetail/Group02Products</v>
      </c>
      <c r="P26" s="6">
        <f ca="1">IFERROR(VLOOKUP(IDNMaps[[#This Row],[Primary]],INDIRECT(VLOOKUP(IDNMaps[[#This Row],[Type]],RecordCount[],2,0)),VLOOKUP(IDNMaps[[#This Row],[Type]],RecordCount[],8,0),0),"")</f>
        <v>50002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7" s="6">
        <f ca="1">IF(IDNMaps[[#This Row],[Type]]="","",COUNTIF($K$1:IDNMaps[[#This Row],[Type]],IDNMaps[[#This Row],[Type]]))</f>
        <v>3</v>
      </c>
      <c r="M27" s="6" t="str">
        <f ca="1">IFERROR(VLOOKUP(IDNMaps[[#This Row],[Type]],RecordCount[],6,0)&amp;"-"&amp;IDNMaps[[#This Row],[Type Count]],"")</f>
        <v>Resource Relations-3</v>
      </c>
      <c r="N27" s="6" t="str">
        <f ca="1">IFERROR(VLOOKUP(IDNMaps[[#This Row],[Primary]],INDIRECT(VLOOKUP(IDNMaps[[#This Row],[Type]],RecordCount[],2,0)),VLOOKUP(IDNMaps[[#This Row],[Type]],RecordCount[],7,0),0),"")</f>
        <v>GroupDetail/Group03Products</v>
      </c>
      <c r="O27" s="6" t="str">
        <f ca="1">IF(IDNMaps[[#This Row],[Name]]="","","("&amp;IDNMaps[[#This Row],[Type]]&amp;") "&amp;IDNMaps[[#This Row],[Name]])</f>
        <v>(Relation) GroupDetail/Group03Products</v>
      </c>
      <c r="P27" s="6">
        <f ca="1">IFERROR(VLOOKUP(IDNMaps[[#This Row],[Primary]],INDIRECT(VLOOKUP(IDNMaps[[#This Row],[Type]],RecordCount[],2,0)),VLOOKUP(IDNMaps[[#This Row],[Type]],RecordCount[],8,0),0),"")</f>
        <v>50003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8" s="6">
        <f ca="1">IF(IDNMaps[[#This Row],[Type]]="","",COUNTIF($K$1:IDNMaps[[#This Row],[Type]],IDNMaps[[#This Row],[Type]]))</f>
        <v>4</v>
      </c>
      <c r="M28" s="6" t="str">
        <f ca="1">IFERROR(VLOOKUP(IDNMaps[[#This Row],[Type]],RecordCount[],6,0)&amp;"-"&amp;IDNMaps[[#This Row],[Type Count]],"")</f>
        <v>Resource Relations-4</v>
      </c>
      <c r="N28" s="6" t="str">
        <f ca="1">IFERROR(VLOOKUP(IDNMaps[[#This Row],[Primary]],INDIRECT(VLOOKUP(IDNMaps[[#This Row],[Type]],RecordCount[],2,0)),VLOOKUP(IDNMaps[[#This Row],[Type]],RecordCount[],7,0),0),"")</f>
        <v>GroupDetail/Group04Products</v>
      </c>
      <c r="O28" s="6" t="str">
        <f ca="1">IF(IDNMaps[[#This Row],[Name]]="","","("&amp;IDNMaps[[#This Row],[Type]]&amp;") "&amp;IDNMaps[[#This Row],[Name]])</f>
        <v>(Relation) GroupDetail/Group04Products</v>
      </c>
      <c r="P28" s="6">
        <f ca="1">IFERROR(VLOOKUP(IDNMaps[[#This Row],[Primary]],INDIRECT(VLOOKUP(IDNMaps[[#This Row],[Type]],RecordCount[],2,0)),VLOOKUP(IDNMaps[[#This Row],[Type]],RecordCount[],8,0),0),"")</f>
        <v>50004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9" s="6">
        <f ca="1">IF(IDNMaps[[#This Row],[Type]]="","",COUNTIF($K$1:IDNMaps[[#This Row],[Type]],IDNMaps[[#This Row],[Type]]))</f>
        <v>5</v>
      </c>
      <c r="M29" s="6" t="str">
        <f ca="1">IFERROR(VLOOKUP(IDNMaps[[#This Row],[Type]],RecordCount[],6,0)&amp;"-"&amp;IDNMaps[[#This Row],[Type Count]],"")</f>
        <v>Resource Relations-5</v>
      </c>
      <c r="N29" s="6" t="str">
        <f ca="1">IFERROR(VLOOKUP(IDNMaps[[#This Row],[Primary]],INDIRECT(VLOOKUP(IDNMaps[[#This Row],[Type]],RecordCount[],2,0)),VLOOKUP(IDNMaps[[#This Row],[Type]],RecordCount[],7,0),0),"")</f>
        <v>Product/Group01</v>
      </c>
      <c r="O29" s="6" t="str">
        <f ca="1">IF(IDNMaps[[#This Row],[Name]]="","","("&amp;IDNMaps[[#This Row],[Type]]&amp;") "&amp;IDNMaps[[#This Row],[Name]])</f>
        <v>(Relation) Product/Group01</v>
      </c>
      <c r="P29" s="6">
        <f ca="1">IFERROR(VLOOKUP(IDNMaps[[#This Row],[Primary]],INDIRECT(VLOOKUP(IDNMaps[[#This Row],[Type]],RecordCount[],2,0)),VLOOKUP(IDNMaps[[#This Row],[Type]],RecordCount[],8,0),0),"")</f>
        <v>50005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0" s="6">
        <f ca="1">IF(IDNMaps[[#This Row],[Type]]="","",COUNTIF($K$1:IDNMaps[[#This Row],[Type]],IDNMaps[[#This Row],[Type]]))</f>
        <v>6</v>
      </c>
      <c r="M30" s="6" t="str">
        <f ca="1">IFERROR(VLOOKUP(IDNMaps[[#This Row],[Type]],RecordCount[],6,0)&amp;"-"&amp;IDNMaps[[#This Row],[Type Count]],"")</f>
        <v>Resource Relations-6</v>
      </c>
      <c r="N30" s="6" t="str">
        <f ca="1">IFERROR(VLOOKUP(IDNMaps[[#This Row],[Primary]],INDIRECT(VLOOKUP(IDNMaps[[#This Row],[Type]],RecordCount[],2,0)),VLOOKUP(IDNMaps[[#This Row],[Type]],RecordCount[],7,0),0),"")</f>
        <v>Product/Group02</v>
      </c>
      <c r="O30" s="6" t="str">
        <f ca="1">IF(IDNMaps[[#This Row],[Name]]="","","("&amp;IDNMaps[[#This Row],[Type]]&amp;") "&amp;IDNMaps[[#This Row],[Name]])</f>
        <v>(Relation) Product/Group02</v>
      </c>
      <c r="P30" s="6">
        <f ca="1">IFERROR(VLOOKUP(IDNMaps[[#This Row],[Primary]],INDIRECT(VLOOKUP(IDNMaps[[#This Row],[Type]],RecordCount[],2,0)),VLOOKUP(IDNMaps[[#This Row],[Type]],RecordCount[],8,0),0),"")</f>
        <v>50006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1" s="6">
        <f ca="1">IF(IDNMaps[[#This Row],[Type]]="","",COUNTIF($K$1:IDNMaps[[#This Row],[Type]],IDNMaps[[#This Row],[Type]]))</f>
        <v>7</v>
      </c>
      <c r="M31" s="6" t="str">
        <f ca="1">IFERROR(VLOOKUP(IDNMaps[[#This Row],[Type]],RecordCount[],6,0)&amp;"-"&amp;IDNMaps[[#This Row],[Type Count]],"")</f>
        <v>Resource Relations-7</v>
      </c>
      <c r="N31" s="6" t="str">
        <f ca="1">IFERROR(VLOOKUP(IDNMaps[[#This Row],[Primary]],INDIRECT(VLOOKUP(IDNMaps[[#This Row],[Type]],RecordCount[],2,0)),VLOOKUP(IDNMaps[[#This Row],[Type]],RecordCount[],7,0),0),"")</f>
        <v>Product/Group03</v>
      </c>
      <c r="O31" s="6" t="str">
        <f ca="1">IF(IDNMaps[[#This Row],[Name]]="","","("&amp;IDNMaps[[#This Row],[Type]]&amp;") "&amp;IDNMaps[[#This Row],[Name]])</f>
        <v>(Relation) Product/Group03</v>
      </c>
      <c r="P31" s="6">
        <f ca="1">IFERROR(VLOOKUP(IDNMaps[[#This Row],[Primary]],INDIRECT(VLOOKUP(IDNMaps[[#This Row],[Type]],RecordCount[],2,0)),VLOOKUP(IDNMaps[[#This Row],[Type]],RecordCount[],8,0),0),"")</f>
        <v>50007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2" s="6">
        <f ca="1">IF(IDNMaps[[#This Row],[Type]]="","",COUNTIF($K$1:IDNMaps[[#This Row],[Type]],IDNMaps[[#This Row],[Type]]))</f>
        <v>8</v>
      </c>
      <c r="M32" s="6" t="str">
        <f ca="1">IFERROR(VLOOKUP(IDNMaps[[#This Row],[Type]],RecordCount[],6,0)&amp;"-"&amp;IDNMaps[[#This Row],[Type Count]],"")</f>
        <v>Resource Relations-8</v>
      </c>
      <c r="N32" s="6" t="str">
        <f ca="1">IFERROR(VLOOKUP(IDNMaps[[#This Row],[Primary]],INDIRECT(VLOOKUP(IDNMaps[[#This Row],[Type]],RecordCount[],2,0)),VLOOKUP(IDNMaps[[#This Row],[Type]],RecordCount[],7,0),0),"")</f>
        <v>Product/Group04</v>
      </c>
      <c r="O32" s="6" t="str">
        <f ca="1">IF(IDNMaps[[#This Row],[Name]]="","","("&amp;IDNMaps[[#This Row],[Type]]&amp;") "&amp;IDNMaps[[#This Row],[Name]])</f>
        <v>(Relation) Product/Group04</v>
      </c>
      <c r="P32" s="6">
        <f ca="1">IFERROR(VLOOKUP(IDNMaps[[#This Row],[Primary]],INDIRECT(VLOOKUP(IDNMaps[[#This Row],[Type]],RecordCount[],2,0)),VLOOKUP(IDNMaps[[#This Row],[Type]],RecordCount[],8,0),0),"")</f>
        <v>50008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3" s="6">
        <f ca="1">IF(IDNMaps[[#This Row],[Type]]="","",COUNTIF($K$1:IDNMaps[[#This Row],[Type]],IDNMaps[[#This Row],[Type]]))</f>
        <v>9</v>
      </c>
      <c r="M33" s="6" t="str">
        <f ca="1">IFERROR(VLOOKUP(IDNMaps[[#This Row],[Type]],RecordCount[],6,0)&amp;"-"&amp;IDNMaps[[#This Row],[Type Count]],"")</f>
        <v>Resource Relations-9</v>
      </c>
      <c r="N33" s="6" t="str">
        <f ca="1">IFERROR(VLOOKUP(IDNMaps[[#This Row],[Primary]],INDIRECT(VLOOKUP(IDNMaps[[#This Row],[Type]],RecordCount[],2,0)),VLOOKUP(IDNMaps[[#This Row],[Type]],RecordCount[],7,0),0),"")</f>
        <v>Product/Images</v>
      </c>
      <c r="O33" s="6" t="str">
        <f ca="1">IF(IDNMaps[[#This Row],[Name]]="","","("&amp;IDNMaps[[#This Row],[Type]]&amp;") "&amp;IDNMaps[[#This Row],[Name]])</f>
        <v>(Relation) Product/Images</v>
      </c>
      <c r="P33" s="6">
        <f ca="1">IFERROR(VLOOKUP(IDNMaps[[#This Row],[Primary]],INDIRECT(VLOOKUP(IDNMaps[[#This Row],[Type]],RecordCount[],2,0)),VLOOKUP(IDNMaps[[#This Row],[Type]],RecordCount[],8,0),0),"")</f>
        <v>50009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4" s="6">
        <f ca="1">IF(IDNMaps[[#This Row],[Type]]="","",COUNTIF($K$1:IDNMaps[[#This Row],[Type]],IDNMaps[[#This Row],[Type]]))</f>
        <v>10</v>
      </c>
      <c r="M34" s="6" t="str">
        <f ca="1">IFERROR(VLOOKUP(IDNMaps[[#This Row],[Type]],RecordCount[],6,0)&amp;"-"&amp;IDNMaps[[#This Row],[Type Count]],"")</f>
        <v>Resource Relations-10</v>
      </c>
      <c r="N34" s="6" t="str">
        <f ca="1">IFERROR(VLOOKUP(IDNMaps[[#This Row],[Primary]],INDIRECT(VLOOKUP(IDNMaps[[#This Row],[Type]],RecordCount[],2,0)),VLOOKUP(IDNMaps[[#This Row],[Type]],RecordCount[],7,0),0),"")</f>
        <v>Product/Wishlists</v>
      </c>
      <c r="O34" s="6" t="str">
        <f ca="1">IF(IDNMaps[[#This Row],[Name]]="","","("&amp;IDNMaps[[#This Row],[Type]]&amp;") "&amp;IDNMaps[[#This Row],[Name]])</f>
        <v>(Relation) Product/Wishlists</v>
      </c>
      <c r="P34" s="6">
        <f ca="1">IFERROR(VLOOKUP(IDNMaps[[#This Row],[Primary]],INDIRECT(VLOOKUP(IDNMaps[[#This Row],[Type]],RecordCount[],2,0)),VLOOKUP(IDNMaps[[#This Row],[Type]],RecordCount[],8,0),0),"")</f>
        <v>50010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5" s="6">
        <f ca="1">IF(IDNMaps[[#This Row],[Type]]="","",COUNTIF($K$1:IDNMaps[[#This Row],[Type]],IDNMaps[[#This Row],[Type]]))</f>
        <v>11</v>
      </c>
      <c r="M35" s="6" t="str">
        <f ca="1">IFERROR(VLOOKUP(IDNMaps[[#This Row],[Type]],RecordCount[],6,0)&amp;"-"&amp;IDNMaps[[#This Row],[Type Count]],"")</f>
        <v>Resource Relations-11</v>
      </c>
      <c r="N35" s="6" t="str">
        <f ca="1">IFERROR(VLOOKUP(IDNMaps[[#This Row],[Primary]],INDIRECT(VLOOKUP(IDNMaps[[#This Row],[Type]],RecordCount[],2,0)),VLOOKUP(IDNMaps[[#This Row],[Type]],RecordCount[],7,0),0),"")</f>
        <v>Visitor/Wishlists</v>
      </c>
      <c r="O35" s="6" t="str">
        <f ca="1">IF(IDNMaps[[#This Row],[Name]]="","","("&amp;IDNMaps[[#This Row],[Type]]&amp;") "&amp;IDNMaps[[#This Row],[Name]])</f>
        <v>(Relation) Visitor/Wishlists</v>
      </c>
      <c r="P35" s="6">
        <f ca="1">IFERROR(VLOOKUP(IDNMaps[[#This Row],[Primary]],INDIRECT(VLOOKUP(IDNMaps[[#This Row],[Type]],RecordCount[],2,0)),VLOOKUP(IDNMaps[[#This Row],[Type]],RecordCount[],8,0),0),"")</f>
        <v>50011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6" s="6">
        <f ca="1">IF(IDNMaps[[#This Row],[Type]]="","",COUNTIF($K$1:IDNMaps[[#This Row],[Type]],IDNMaps[[#This Row],[Type]]))</f>
        <v>12</v>
      </c>
      <c r="M36" s="6" t="str">
        <f ca="1">IFERROR(VLOOKUP(IDNMaps[[#This Row],[Type]],RecordCount[],6,0)&amp;"-"&amp;IDNMaps[[#This Row],[Type Count]],"")</f>
        <v>Resource Relations-12</v>
      </c>
      <c r="N36" s="6" t="str">
        <f ca="1">IFERROR(VLOOKUP(IDNMaps[[#This Row],[Primary]],INDIRECT(VLOOKUP(IDNMaps[[#This Row],[Type]],RecordCount[],2,0)),VLOOKUP(IDNMaps[[#This Row],[Type]],RecordCount[],7,0),0),"")</f>
        <v>Visitor/SharedWishlist</v>
      </c>
      <c r="O36" s="6" t="str">
        <f ca="1">IF(IDNMaps[[#This Row],[Name]]="","","("&amp;IDNMaps[[#This Row],[Type]]&amp;") "&amp;IDNMaps[[#This Row],[Name]])</f>
        <v>(Relation) Visitor/SharedWishlist</v>
      </c>
      <c r="P36" s="6">
        <f ca="1">IFERROR(VLOOKUP(IDNMaps[[#This Row],[Primary]],INDIRECT(VLOOKUP(IDNMaps[[#This Row],[Type]],RecordCount[],2,0)),VLOOKUP(IDNMaps[[#This Row],[Type]],RecordCount[],8,0),0),"")</f>
        <v>50012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7" s="6">
        <f ca="1">IF(IDNMaps[[#This Row],[Type]]="","",COUNTIF($K$1:IDNMaps[[#This Row],[Type]],IDNMaps[[#This Row],[Type]]))</f>
        <v>13</v>
      </c>
      <c r="M37" s="6" t="str">
        <f ca="1">IFERROR(VLOOKUP(IDNMaps[[#This Row],[Type]],RecordCount[],6,0)&amp;"-"&amp;IDNMaps[[#This Row],[Type Count]],"")</f>
        <v>Resource Relations-13</v>
      </c>
      <c r="N37" s="6" t="str">
        <f ca="1">IFERROR(VLOOKUP(IDNMaps[[#This Row],[Primary]],INDIRECT(VLOOKUP(IDNMaps[[#This Row],[Type]],RecordCount[],2,0)),VLOOKUP(IDNMaps[[#This Row],[Type]],RecordCount[],7,0),0),"")</f>
        <v>Wishlist/Author</v>
      </c>
      <c r="O37" s="6" t="str">
        <f ca="1">IF(IDNMaps[[#This Row],[Name]]="","","("&amp;IDNMaps[[#This Row],[Type]]&amp;") "&amp;IDNMaps[[#This Row],[Name]])</f>
        <v>(Relation) Wishlist/Author</v>
      </c>
      <c r="P37" s="6">
        <f ca="1">IFERROR(VLOOKUP(IDNMaps[[#This Row],[Primary]],INDIRECT(VLOOKUP(IDNMaps[[#This Row],[Type]],RecordCount[],2,0)),VLOOKUP(IDNMaps[[#This Row],[Type]],RecordCount[],8,0),0),"")</f>
        <v>50013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8" s="6">
        <f ca="1">IF(IDNMaps[[#This Row],[Type]]="","",COUNTIF($K$1:IDNMaps[[#This Row],[Type]],IDNMaps[[#This Row],[Type]]))</f>
        <v>14</v>
      </c>
      <c r="M38" s="6" t="str">
        <f ca="1">IFERROR(VLOOKUP(IDNMaps[[#This Row],[Type]],RecordCount[],6,0)&amp;"-"&amp;IDNMaps[[#This Row],[Type Count]],"")</f>
        <v>Resource Relations-14</v>
      </c>
      <c r="N38" s="6" t="str">
        <f ca="1">IFERROR(VLOOKUP(IDNMaps[[#This Row],[Primary]],INDIRECT(VLOOKUP(IDNMaps[[#This Row],[Type]],RecordCount[],2,0)),VLOOKUP(IDNMaps[[#This Row],[Type]],RecordCount[],7,0),0),"")</f>
        <v>Wishlist/Vendor</v>
      </c>
      <c r="O38" s="6" t="str">
        <f ca="1">IF(IDNMaps[[#This Row],[Name]]="","","("&amp;IDNMaps[[#This Row],[Type]]&amp;") "&amp;IDNMaps[[#This Row],[Name]])</f>
        <v>(Relation) Wishlist/Vendor</v>
      </c>
      <c r="P38" s="6">
        <f ca="1">IFERROR(VLOOKUP(IDNMaps[[#This Row],[Primary]],INDIRECT(VLOOKUP(IDNMaps[[#This Row],[Type]],RecordCount[],2,0)),VLOOKUP(IDNMaps[[#This Row],[Type]],RecordCount[],8,0),0),"")</f>
        <v>50014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9" s="6">
        <f ca="1">IF(IDNMaps[[#This Row],[Type]]="","",COUNTIF($K$1:IDNMaps[[#This Row],[Type]],IDNMaps[[#This Row],[Type]]))</f>
        <v>15</v>
      </c>
      <c r="M39" s="6" t="str">
        <f ca="1">IFERROR(VLOOKUP(IDNMaps[[#This Row],[Type]],RecordCount[],6,0)&amp;"-"&amp;IDNMaps[[#This Row],[Type Count]],"")</f>
        <v>Resource Relations-15</v>
      </c>
      <c r="N39" s="6" t="str">
        <f ca="1">IFERROR(VLOOKUP(IDNMaps[[#This Row],[Primary]],INDIRECT(VLOOKUP(IDNMaps[[#This Row],[Type]],RecordCount[],2,0)),VLOOKUP(IDNMaps[[#This Row],[Type]],RecordCount[],7,0),0),"")</f>
        <v>Wishlist/Visitors</v>
      </c>
      <c r="O39" s="6" t="str">
        <f ca="1">IF(IDNMaps[[#This Row],[Name]]="","","("&amp;IDNMaps[[#This Row],[Type]]&amp;") "&amp;IDNMaps[[#This Row],[Name]])</f>
        <v>(Relation) Wishlist/Visitors</v>
      </c>
      <c r="P39" s="6">
        <f ca="1">IFERROR(VLOOKUP(IDNMaps[[#This Row],[Primary]],INDIRECT(VLOOKUP(IDNMaps[[#This Row],[Type]],RecordCount[],2,0)),VLOOKUP(IDNMaps[[#This Row],[Type]],RecordCount[],8,0),0),"")</f>
        <v>50015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0" s="6">
        <f ca="1">IF(IDNMaps[[#This Row],[Type]]="","",COUNTIF($K$1:IDNMaps[[#This Row],[Type]],IDNMaps[[#This Row],[Type]]))</f>
        <v>16</v>
      </c>
      <c r="M40" s="6" t="str">
        <f ca="1">IFERROR(VLOOKUP(IDNMaps[[#This Row],[Type]],RecordCount[],6,0)&amp;"-"&amp;IDNMaps[[#This Row],[Type Count]],"")</f>
        <v>Resource Relations-16</v>
      </c>
      <c r="N40" s="6" t="str">
        <f ca="1">IFERROR(VLOOKUP(IDNMaps[[#This Row],[Primary]],INDIRECT(VLOOKUP(IDNMaps[[#This Row],[Type]],RecordCount[],2,0)),VLOOKUP(IDNMaps[[#This Row],[Type]],RecordCount[],7,0),0),"")</f>
        <v>Wishlist/Notes</v>
      </c>
      <c r="O40" s="6" t="str">
        <f ca="1">IF(IDNMaps[[#This Row],[Name]]="","","("&amp;IDNMaps[[#This Row],[Type]]&amp;") "&amp;IDNMaps[[#This Row],[Name]])</f>
        <v>(Relation) Wishlist/Notes</v>
      </c>
      <c r="P40" s="6">
        <f ca="1">IFERROR(VLOOKUP(IDNMaps[[#This Row],[Primary]],INDIRECT(VLOOKUP(IDNMaps[[#This Row],[Type]],RecordCount[],2,0)),VLOOKUP(IDNMaps[[#This Row],[Type]],RecordCount[],8,0),0),"")</f>
        <v>50016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1" s="6">
        <f ca="1">IF(IDNMaps[[#This Row],[Type]]="","",COUNTIF($K$1:IDNMaps[[#This Row],[Type]],IDNMaps[[#This Row],[Type]]))</f>
        <v>17</v>
      </c>
      <c r="M41" s="6" t="str">
        <f ca="1">IFERROR(VLOOKUP(IDNMaps[[#This Row],[Type]],RecordCount[],6,0)&amp;"-"&amp;IDNMaps[[#This Row],[Type Count]],"")</f>
        <v>Resource Relations-17</v>
      </c>
      <c r="N41" s="6" t="str">
        <f ca="1">IFERROR(VLOOKUP(IDNMaps[[#This Row],[Primary]],INDIRECT(VLOOKUP(IDNMaps[[#This Row],[Type]],RecordCount[],2,0)),VLOOKUP(IDNMaps[[#This Row],[Type]],RecordCount[],7,0),0),"")</f>
        <v>Wishlist/Items</v>
      </c>
      <c r="O41" s="6" t="str">
        <f ca="1">IF(IDNMaps[[#This Row],[Name]]="","","("&amp;IDNMaps[[#This Row],[Type]]&amp;") "&amp;IDNMaps[[#This Row],[Name]])</f>
        <v>(Relation) Wishlist/Items</v>
      </c>
      <c r="P41" s="6">
        <f ca="1">IFERROR(VLOOKUP(IDNMaps[[#This Row],[Primary]],INDIRECT(VLOOKUP(IDNMaps[[#This Row],[Type]],RecordCount[],2,0)),VLOOKUP(IDNMaps[[#This Row],[Type]],RecordCount[],8,0),0),"")</f>
        <v>50017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2" s="6">
        <f ca="1">IF(IDNMaps[[#This Row],[Type]]="","",COUNTIF($K$1:IDNMaps[[#This Row],[Type]],IDNMaps[[#This Row],[Type]]))</f>
        <v>18</v>
      </c>
      <c r="M42" s="6" t="str">
        <f ca="1">IFERROR(VLOOKUP(IDNMaps[[#This Row],[Type]],RecordCount[],6,0)&amp;"-"&amp;IDNMaps[[#This Row],[Type Count]],"")</f>
        <v>Resource Relations-18</v>
      </c>
      <c r="N42" s="6" t="str">
        <f ca="1">IFERROR(VLOOKUP(IDNMaps[[#This Row],[Primary]],INDIRECT(VLOOKUP(IDNMaps[[#This Row],[Type]],RecordCount[],2,0)),VLOOKUP(IDNMaps[[#This Row],[Type]],RecordCount[],7,0),0),"")</f>
        <v>Wishlist/Products</v>
      </c>
      <c r="O42" s="6" t="str">
        <f ca="1">IF(IDNMaps[[#This Row],[Name]]="","","("&amp;IDNMaps[[#This Row],[Type]]&amp;") "&amp;IDNMaps[[#This Row],[Name]])</f>
        <v>(Relation) Wishlist/Products</v>
      </c>
      <c r="P42" s="6">
        <f ca="1">IFERROR(VLOOKUP(IDNMaps[[#This Row],[Primary]],INDIRECT(VLOOKUP(IDNMaps[[#This Row],[Type]],RecordCount[],2,0)),VLOOKUP(IDNMaps[[#This Row],[Type]],RecordCount[],8,0),0),"")</f>
        <v>50018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3" s="6">
        <f ca="1">IF(IDNMaps[[#This Row],[Type]]="","",COUNTIF($K$1:IDNMaps[[#This Row],[Type]],IDNMaps[[#This Row],[Type]]))</f>
        <v>19</v>
      </c>
      <c r="M43" s="6" t="str">
        <f ca="1">IFERROR(VLOOKUP(IDNMaps[[#This Row],[Type]],RecordCount[],6,0)&amp;"-"&amp;IDNMaps[[#This Row],[Type Count]],"")</f>
        <v>Resource Relations-19</v>
      </c>
      <c r="N43" s="6" t="str">
        <f ca="1">IFERROR(VLOOKUP(IDNMaps[[#This Row],[Primary]],INDIRECT(VLOOKUP(IDNMaps[[#This Row],[Type]],RecordCount[],2,0)),VLOOKUP(IDNMaps[[#This Row],[Type]],RecordCount[],7,0),0),"")</f>
        <v>Visitor/Wishlist</v>
      </c>
      <c r="O43" s="6" t="str">
        <f ca="1">IF(IDNMaps[[#This Row],[Name]]="","","("&amp;IDNMaps[[#This Row],[Type]]&amp;") "&amp;IDNMaps[[#This Row],[Name]])</f>
        <v>(Relation) Visitor/Wishlist</v>
      </c>
      <c r="P43" s="6">
        <f ca="1">IFERROR(VLOOKUP(IDNMaps[[#This Row],[Primary]],INDIRECT(VLOOKUP(IDNMaps[[#This Row],[Type]],RecordCount[],2,0)),VLOOKUP(IDNMaps[[#This Row],[Type]],RecordCount[],8,0),0),"")</f>
        <v>50019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4" s="6">
        <f ca="1">IF(IDNMaps[[#This Row],[Type]]="","",COUNTIF($K$1:IDNMaps[[#This Row],[Type]],IDNMaps[[#This Row],[Type]]))</f>
        <v>20</v>
      </c>
      <c r="M44" s="6" t="str">
        <f ca="1">IFERROR(VLOOKUP(IDNMaps[[#This Row],[Type]],RecordCount[],6,0)&amp;"-"&amp;IDNMaps[[#This Row],[Type Count]],"")</f>
        <v>Resource Relations-20</v>
      </c>
      <c r="N44" s="6" t="str">
        <f ca="1">IFERROR(VLOOKUP(IDNMaps[[#This Row],[Primary]],INDIRECT(VLOOKUP(IDNMaps[[#This Row],[Type]],RecordCount[],2,0)),VLOOKUP(IDNMaps[[#This Row],[Type]],RecordCount[],7,0),0),"")</f>
        <v>Visitor/Visitor</v>
      </c>
      <c r="O44" s="6" t="str">
        <f ca="1">IF(IDNMaps[[#This Row],[Name]]="","","("&amp;IDNMaps[[#This Row],[Type]]&amp;") "&amp;IDNMaps[[#This Row],[Name]])</f>
        <v>(Relation) Visitor/Visitor</v>
      </c>
      <c r="P44" s="6">
        <f ca="1">IFERROR(VLOOKUP(IDNMaps[[#This Row],[Primary]],INDIRECT(VLOOKUP(IDNMaps[[#This Row],[Type]],RecordCount[],2,0)),VLOOKUP(IDNMaps[[#This Row],[Type]],RecordCount[],8,0),0),"")</f>
        <v>50020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5" s="6">
        <f ca="1">IF(IDNMaps[[#This Row],[Type]]="","",COUNTIF($K$1:IDNMaps[[#This Row],[Type]],IDNMaps[[#This Row],[Type]]))</f>
        <v>21</v>
      </c>
      <c r="M45" s="6" t="str">
        <f ca="1">IFERROR(VLOOKUP(IDNMaps[[#This Row],[Type]],RecordCount[],6,0)&amp;"-"&amp;IDNMaps[[#This Row],[Type Count]],"")</f>
        <v>Resource Relations-21</v>
      </c>
      <c r="N45" s="6" t="str">
        <f ca="1">IFERROR(VLOOKUP(IDNMaps[[#This Row],[Primary]],INDIRECT(VLOOKUP(IDNMaps[[#This Row],[Type]],RecordCount[],2,0)),VLOOKUP(IDNMaps[[#This Row],[Type]],RecordCount[],7,0),0),"")</f>
        <v>WishlistNote/Author</v>
      </c>
      <c r="O45" s="6" t="str">
        <f ca="1">IF(IDNMaps[[#This Row],[Name]]="","","("&amp;IDNMaps[[#This Row],[Type]]&amp;") "&amp;IDNMaps[[#This Row],[Name]])</f>
        <v>(Relation) WishlistNote/Author</v>
      </c>
      <c r="P45" s="6">
        <f ca="1">IFERROR(VLOOKUP(IDNMaps[[#This Row],[Primary]],INDIRECT(VLOOKUP(IDNMaps[[#This Row],[Type]],RecordCount[],2,0)),VLOOKUP(IDNMaps[[#This Row],[Type]],RecordCount[],8,0),0),"")</f>
        <v>50021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6" s="6">
        <f ca="1">IF(IDNMaps[[#This Row],[Type]]="","",COUNTIF($K$1:IDNMaps[[#This Row],[Type]],IDNMaps[[#This Row],[Type]]))</f>
        <v>22</v>
      </c>
      <c r="M46" s="6" t="str">
        <f ca="1">IFERROR(VLOOKUP(IDNMaps[[#This Row],[Type]],RecordCount[],6,0)&amp;"-"&amp;IDNMaps[[#This Row],[Type Count]],"")</f>
        <v>Resource Relations-22</v>
      </c>
      <c r="N46" s="6" t="str">
        <f ca="1">IFERROR(VLOOKUP(IDNMaps[[#This Row],[Primary]],INDIRECT(VLOOKUP(IDNMaps[[#This Row],[Type]],RecordCount[],2,0)),VLOOKUP(IDNMaps[[#This Row],[Type]],RecordCount[],7,0),0),"")</f>
        <v>WishlistProduct/Wishlist</v>
      </c>
      <c r="O46" s="6" t="str">
        <f ca="1">IF(IDNMaps[[#This Row],[Name]]="","","("&amp;IDNMaps[[#This Row],[Type]]&amp;") "&amp;IDNMaps[[#This Row],[Name]])</f>
        <v>(Relation) WishlistProduct/Wishlist</v>
      </c>
      <c r="P46" s="6">
        <f ca="1">IFERROR(VLOOKUP(IDNMaps[[#This Row],[Primary]],INDIRECT(VLOOKUP(IDNMaps[[#This Row],[Type]],RecordCount[],2,0)),VLOOKUP(IDNMaps[[#This Row],[Type]],RecordCount[],8,0),0),"")</f>
        <v>50022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7" s="6">
        <f ca="1">IF(IDNMaps[[#This Row],[Type]]="","",COUNTIF($K$1:IDNMaps[[#This Row],[Type]],IDNMaps[[#This Row],[Type]]))</f>
        <v>23</v>
      </c>
      <c r="M47" s="6" t="str">
        <f ca="1">IFERROR(VLOOKUP(IDNMaps[[#This Row],[Type]],RecordCount[],6,0)&amp;"-"&amp;IDNMaps[[#This Row],[Type Count]],"")</f>
        <v>Resource Relations-23</v>
      </c>
      <c r="N47" s="6" t="str">
        <f ca="1">IFERROR(VLOOKUP(IDNMaps[[#This Row],[Primary]],INDIRECT(VLOOKUP(IDNMaps[[#This Row],[Type]],RecordCount[],2,0)),VLOOKUP(IDNMaps[[#This Row],[Type]],RecordCount[],7,0),0),"")</f>
        <v>WishlistProduct/Added</v>
      </c>
      <c r="O47" s="6" t="str">
        <f ca="1">IF(IDNMaps[[#This Row],[Name]]="","","("&amp;IDNMaps[[#This Row],[Type]]&amp;") "&amp;IDNMaps[[#This Row],[Name]])</f>
        <v>(Relation) WishlistProduct/Added</v>
      </c>
      <c r="P47" s="6">
        <f ca="1">IFERROR(VLOOKUP(IDNMaps[[#This Row],[Primary]],INDIRECT(VLOOKUP(IDNMaps[[#This Row],[Type]],RecordCount[],2,0)),VLOOKUP(IDNMaps[[#This Row],[Type]],RecordCount[],8,0),0),"")</f>
        <v>50023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8" s="6">
        <f ca="1">IF(IDNMaps[[#This Row],[Type]]="","",COUNTIF($K$1:IDNMaps[[#This Row],[Type]],IDNMaps[[#This Row],[Type]]))</f>
        <v>24</v>
      </c>
      <c r="M48" s="6" t="str">
        <f ca="1">IFERROR(VLOOKUP(IDNMaps[[#This Row],[Type]],RecordCount[],6,0)&amp;"-"&amp;IDNMaps[[#This Row],[Type Count]],"")</f>
        <v>Resource Relations-24</v>
      </c>
      <c r="N48" s="6" t="str">
        <f ca="1">IFERROR(VLOOKUP(IDNMaps[[#This Row],[Primary]],INDIRECT(VLOOKUP(IDNMaps[[#This Row],[Type]],RecordCount[],2,0)),VLOOKUP(IDNMaps[[#This Row],[Type]],RecordCount[],7,0),0),"")</f>
        <v>WishlistProduct/Removed</v>
      </c>
      <c r="O48" s="6" t="str">
        <f ca="1">IF(IDNMaps[[#This Row],[Name]]="","","("&amp;IDNMaps[[#This Row],[Type]]&amp;") "&amp;IDNMaps[[#This Row],[Name]])</f>
        <v>(Relation) WishlistProduct/Removed</v>
      </c>
      <c r="P48" s="6">
        <f ca="1">IFERROR(VLOOKUP(IDNMaps[[#This Row],[Primary]],INDIRECT(VLOOKUP(IDNMaps[[#This Row],[Type]],RecordCount[],2,0)),VLOOKUP(IDNMaps[[#This Row],[Type]],RecordCount[],8,0),0),"")</f>
        <v>50024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9" s="6">
        <f ca="1">IF(IDNMaps[[#This Row],[Type]]="","",COUNTIF($K$1:IDNMaps[[#This Row],[Type]],IDNMaps[[#This Row],[Type]]))</f>
        <v>25</v>
      </c>
      <c r="M49" s="6" t="str">
        <f ca="1">IFERROR(VLOOKUP(IDNMaps[[#This Row],[Type]],RecordCount[],6,0)&amp;"-"&amp;IDNMaps[[#This Row],[Type Count]],"")</f>
        <v>Resource Relations-25</v>
      </c>
      <c r="N49" s="6" t="str">
        <f ca="1">IFERROR(VLOOKUP(IDNMaps[[#This Row],[Primary]],INDIRECT(VLOOKUP(IDNMaps[[#This Row],[Type]],RecordCount[],2,0)),VLOOKUP(IDNMaps[[#This Row],[Type]],RecordCount[],7,0),0),"")</f>
        <v>WishlistProduct/Notes</v>
      </c>
      <c r="O49" s="6" t="str">
        <f ca="1">IF(IDNMaps[[#This Row],[Name]]="","","("&amp;IDNMaps[[#This Row],[Type]]&amp;") "&amp;IDNMaps[[#This Row],[Name]])</f>
        <v>(Relation) WishlistProduct/Notes</v>
      </c>
      <c r="P49" s="6">
        <f ca="1">IFERROR(VLOOKUP(IDNMaps[[#This Row],[Primary]],INDIRECT(VLOOKUP(IDNMaps[[#This Row],[Type]],RecordCount[],2,0)),VLOOKUP(IDNMaps[[#This Row],[Type]],RecordCount[],8,0),0),"")</f>
        <v>50025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0" s="6">
        <f ca="1">IF(IDNMaps[[#This Row],[Type]]="","",COUNTIF($K$1:IDNMaps[[#This Row],[Type]],IDNMaps[[#This Row],[Type]]))</f>
        <v>26</v>
      </c>
      <c r="M50" s="6" t="str">
        <f ca="1">IFERROR(VLOOKUP(IDNMaps[[#This Row],[Type]],RecordCount[],6,0)&amp;"-"&amp;IDNMaps[[#This Row],[Type Count]],"")</f>
        <v>Resource Relations-26</v>
      </c>
      <c r="N50" s="6" t="str">
        <f ca="1">IFERROR(VLOOKUP(IDNMaps[[#This Row],[Primary]],INDIRECT(VLOOKUP(IDNMaps[[#This Row],[Type]],RecordCount[],2,0)),VLOOKUP(IDNMaps[[#This Row],[Type]],RecordCount[],7,0),0),"")</f>
        <v>WishlistProduct/Product</v>
      </c>
      <c r="O50" s="6" t="str">
        <f ca="1">IF(IDNMaps[[#This Row],[Name]]="","","("&amp;IDNMaps[[#This Row],[Type]]&amp;") "&amp;IDNMaps[[#This Row],[Name]])</f>
        <v>(Relation) WishlistProduct/Product</v>
      </c>
      <c r="P50" s="6">
        <f ca="1">IFERROR(VLOOKUP(IDNMaps[[#This Row],[Primary]],INDIRECT(VLOOKUP(IDNMaps[[#This Row],[Type]],RecordCount[],2,0)),VLOOKUP(IDNMaps[[#This Row],[Type]],RecordCount[],8,0),0),"")</f>
        <v>50026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1" s="6">
        <f ca="1">IF(IDNMaps[[#This Row],[Type]]="","",COUNTIF($K$1:IDNMaps[[#This Row],[Type]],IDNMaps[[#This Row],[Type]]))</f>
        <v>27</v>
      </c>
      <c r="M51" s="6" t="str">
        <f ca="1">IFERROR(VLOOKUP(IDNMaps[[#This Row],[Type]],RecordCount[],6,0)&amp;"-"&amp;IDNMaps[[#This Row],[Type Count]],"")</f>
        <v>Resource Relations-27</v>
      </c>
      <c r="N51" s="6" t="str">
        <f ca="1">IFERROR(VLOOKUP(IDNMaps[[#This Row],[Primary]],INDIRECT(VLOOKUP(IDNMaps[[#This Row],[Type]],RecordCount[],2,0)),VLOOKUP(IDNMaps[[#This Row],[Type]],RecordCount[],7,0),0),"")</f>
        <v>WishlistProductNote/Author</v>
      </c>
      <c r="O51" s="6" t="str">
        <f ca="1">IF(IDNMaps[[#This Row],[Name]]="","","("&amp;IDNMaps[[#This Row],[Type]]&amp;") "&amp;IDNMaps[[#This Row],[Name]])</f>
        <v>(Relation) WishlistProductNote/Author</v>
      </c>
      <c r="P51" s="6">
        <f ca="1">IFERROR(VLOOKUP(IDNMaps[[#This Row],[Primary]],INDIRECT(VLOOKUP(IDNMaps[[#This Row],[Type]],RecordCount[],2,0)),VLOOKUP(IDNMaps[[#This Row],[Type]],RecordCount[],8,0),0),"")</f>
        <v>50027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2" s="6">
        <f ca="1">IF(IDNMaps[[#This Row],[Type]]="","",COUNTIF($K$1:IDNMaps[[#This Row],[Type]],IDNMaps[[#This Row],[Type]]))</f>
        <v>28</v>
      </c>
      <c r="M52" s="6" t="str">
        <f ca="1">IFERROR(VLOOKUP(IDNMaps[[#This Row],[Type]],RecordCount[],6,0)&amp;"-"&amp;IDNMaps[[#This Row],[Type Count]],"")</f>
        <v>Resource Relations-28</v>
      </c>
      <c r="N52" s="6" t="str">
        <f ca="1">IFERROR(VLOOKUP(IDNMaps[[#This Row],[Primary]],INDIRECT(VLOOKUP(IDNMaps[[#This Row],[Type]],RecordCount[],2,0)),VLOOKUP(IDNMaps[[#This Row],[Type]],RecordCount[],7,0),0),"")</f>
        <v>Wishlist/Share</v>
      </c>
      <c r="O52" s="6" t="str">
        <f ca="1">IF(IDNMaps[[#This Row],[Name]]="","","("&amp;IDNMaps[[#This Row],[Type]]&amp;") "&amp;IDNMaps[[#This Row],[Name]])</f>
        <v>(Relation) Wishlist/Share</v>
      </c>
      <c r="P52" s="6">
        <f ca="1">IFERROR(VLOOKUP(IDNMaps[[#This Row],[Primary]],INDIRECT(VLOOKUP(IDNMaps[[#This Row],[Type]],RecordCount[],2,0)),VLOOKUP(IDNMaps[[#This Row],[Type]],RecordCount[],8,0),0),"")</f>
        <v>50028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3" s="6" t="str">
        <f ca="1">IF(IDNMaps[[#This Row],[Type]]="","",COUNTIF($K$1:IDNMaps[[#This Row],[Type]],IDNMaps[[#This Row],[Type]]))</f>
        <v/>
      </c>
      <c r="M53" s="6" t="str">
        <f ca="1">IFERROR(VLOOKUP(IDNMaps[[#This Row],[Type]],RecordCount[],6,0)&amp;"-"&amp;IDNMaps[[#This Row],[Type Count]],"")</f>
        <v/>
      </c>
      <c r="N53" s="6" t="str">
        <f ca="1">IFERROR(VLOOKUP(IDNMaps[[#This Row],[Primary]],INDIRECT(VLOOKUP(IDNMaps[[#This Row],[Type]],RecordCount[],2,0)),VLOOKUP(IDNMaps[[#This Row],[Type]],RecordCount[],7,0),0),"")</f>
        <v/>
      </c>
      <c r="O53" s="6" t="str">
        <f ca="1">IF(IDNMaps[[#This Row],[Name]]="","","("&amp;IDNMaps[[#This Row],[Type]]&amp;") "&amp;IDNMaps[[#This Row],[Name]])</f>
        <v/>
      </c>
      <c r="P53" s="6" t="str">
        <f ca="1">IFERROR(VLOOKUP(IDNMaps[[#This Row],[Primary]],INDIRECT(VLOOKUP(IDNMaps[[#This Row],[Type]],RecordCount[],2,0)),VLOOKUP(IDNMaps[[#This Row],[Type]],RecordCount[],8,0),0),"")</f>
        <v/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4" s="6" t="str">
        <f ca="1">IF(IDNMaps[[#This Row],[Type]]="","",COUNTIF($K$1:IDNMaps[[#This Row],[Type]],IDNMaps[[#This Row],[Type]]))</f>
        <v/>
      </c>
      <c r="M54" s="6" t="str">
        <f ca="1">IFERROR(VLOOKUP(IDNMaps[[#This Row],[Type]],RecordCount[],6,0)&amp;"-"&amp;IDNMaps[[#This Row],[Type Count]],"")</f>
        <v/>
      </c>
      <c r="N54" s="6" t="str">
        <f ca="1">IFERROR(VLOOKUP(IDNMaps[[#This Row],[Primary]],INDIRECT(VLOOKUP(IDNMaps[[#This Row],[Type]],RecordCount[],2,0)),VLOOKUP(IDNMaps[[#This Row],[Type]],RecordCount[],7,0),0),"")</f>
        <v/>
      </c>
      <c r="O54" s="6" t="str">
        <f ca="1">IF(IDNMaps[[#This Row],[Name]]="","","("&amp;IDNMaps[[#This Row],[Type]]&amp;") "&amp;IDNMaps[[#This Row],[Name]])</f>
        <v/>
      </c>
      <c r="P54" s="6" t="str">
        <f ca="1">IFERROR(VLOOKUP(IDNMaps[[#This Row],[Primary]],INDIRECT(VLOOKUP(IDNMaps[[#This Row],[Type]],RecordCount[],2,0)),VLOOKUP(IDNMaps[[#This Row],[Type]],RecordCount[],8,0),0),"")</f>
        <v/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5" s="6" t="str">
        <f ca="1">IF(IDNMaps[[#This Row],[Type]]="","",COUNTIF($K$1:IDNMaps[[#This Row],[Type]],IDNMaps[[#This Row],[Type]]))</f>
        <v/>
      </c>
      <c r="M55" s="6" t="str">
        <f ca="1">IFERROR(VLOOKUP(IDNMaps[[#This Row],[Type]],RecordCount[],6,0)&amp;"-"&amp;IDNMaps[[#This Row],[Type Count]],"")</f>
        <v/>
      </c>
      <c r="N55" s="6" t="str">
        <f ca="1">IFERROR(VLOOKUP(IDNMaps[[#This Row],[Primary]],INDIRECT(VLOOKUP(IDNMaps[[#This Row],[Type]],RecordCount[],2,0)),VLOOKUP(IDNMaps[[#This Row],[Type]],RecordCount[],7,0),0),"")</f>
        <v/>
      </c>
      <c r="O55" s="6" t="str">
        <f ca="1">IF(IDNMaps[[#This Row],[Name]]="","","("&amp;IDNMaps[[#This Row],[Type]]&amp;") "&amp;IDNMaps[[#This Row],[Name]])</f>
        <v/>
      </c>
      <c r="P55" s="6" t="str">
        <f ca="1">IFERROR(VLOOKUP(IDNMaps[[#This Row],[Primary]],INDIRECT(VLOOKUP(IDNMaps[[#This Row],[Type]],RecordCount[],2,0)),VLOOKUP(IDNMaps[[#This Row],[Type]],RecordCount[],8,0),0),"")</f>
        <v/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6" s="6" t="str">
        <f ca="1">IF(IDNMaps[[#This Row],[Type]]="","",COUNTIF($K$1:IDNMaps[[#This Row],[Type]],IDNMaps[[#This Row],[Type]]))</f>
        <v/>
      </c>
      <c r="M56" s="6" t="str">
        <f ca="1">IFERROR(VLOOKUP(IDNMaps[[#This Row],[Type]],RecordCount[],6,0)&amp;"-"&amp;IDNMaps[[#This Row],[Type Count]],"")</f>
        <v/>
      </c>
      <c r="N56" s="6" t="str">
        <f ca="1">IFERROR(VLOOKUP(IDNMaps[[#This Row],[Primary]],INDIRECT(VLOOKUP(IDNMaps[[#This Row],[Type]],RecordCount[],2,0)),VLOOKUP(IDNMaps[[#This Row],[Type]],RecordCount[],7,0),0),"")</f>
        <v/>
      </c>
      <c r="O56" s="6" t="str">
        <f ca="1">IF(IDNMaps[[#This Row],[Name]]="","","("&amp;IDNMaps[[#This Row],[Type]]&amp;") "&amp;IDNMaps[[#This Row],[Name]])</f>
        <v/>
      </c>
      <c r="P56" s="6" t="str">
        <f ca="1">IFERROR(VLOOKUP(IDNMaps[[#This Row],[Primary]],INDIRECT(VLOOKUP(IDNMaps[[#This Row],[Type]],RecordCount[],2,0)),VLOOKUP(IDNMaps[[#This Row],[Type]],RecordCount[],8,0),0),"")</f>
        <v/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7" s="6" t="str">
        <f ca="1">IF(IDNMaps[[#This Row],[Type]]="","",COUNTIF($K$1:IDNMaps[[#This Row],[Type]],IDNMaps[[#This Row],[Type]]))</f>
        <v/>
      </c>
      <c r="M57" s="6" t="str">
        <f ca="1">IFERROR(VLOOKUP(IDNMaps[[#This Row],[Type]],RecordCount[],6,0)&amp;"-"&amp;IDNMaps[[#This Row],[Type Count]],"")</f>
        <v/>
      </c>
      <c r="N57" s="6" t="str">
        <f ca="1">IFERROR(VLOOKUP(IDNMaps[[#This Row],[Primary]],INDIRECT(VLOOKUP(IDNMaps[[#This Row],[Type]],RecordCount[],2,0)),VLOOKUP(IDNMaps[[#This Row],[Type]],RecordCount[],7,0),0),"")</f>
        <v/>
      </c>
      <c r="O57" s="6" t="str">
        <f ca="1">IF(IDNMaps[[#This Row],[Name]]="","","("&amp;IDNMaps[[#This Row],[Type]]&amp;") "&amp;IDNMaps[[#This Row],[Name]])</f>
        <v/>
      </c>
      <c r="P57" s="6" t="str">
        <f ca="1">IFERROR(VLOOKUP(IDNMaps[[#This Row],[Primary]],INDIRECT(VLOOKUP(IDNMaps[[#This Row],[Type]],RecordCount[],2,0)),VLOOKUP(IDNMaps[[#This Row],[Type]],RecordCount[],8,0),0),"")</f>
        <v/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8" s="6" t="str">
        <f ca="1">IF(IDNMaps[[#This Row],[Type]]="","",COUNTIF($K$1:IDNMaps[[#This Row],[Type]],IDNMaps[[#This Row],[Type]]))</f>
        <v/>
      </c>
      <c r="M58" s="6" t="str">
        <f ca="1">IFERROR(VLOOKUP(IDNMaps[[#This Row],[Type]],RecordCount[],6,0)&amp;"-"&amp;IDNMaps[[#This Row],[Type Count]],"")</f>
        <v/>
      </c>
      <c r="N58" s="6" t="str">
        <f ca="1">IFERROR(VLOOKUP(IDNMaps[[#This Row],[Primary]],INDIRECT(VLOOKUP(IDNMaps[[#This Row],[Type]],RecordCount[],2,0)),VLOOKUP(IDNMaps[[#This Row],[Type]],RecordCount[],7,0),0),"")</f>
        <v/>
      </c>
      <c r="O58" s="6" t="str">
        <f ca="1">IF(IDNMaps[[#This Row],[Name]]="","","("&amp;IDNMaps[[#This Row],[Type]]&amp;") "&amp;IDNMaps[[#This Row],[Name]])</f>
        <v/>
      </c>
      <c r="P58" s="6" t="str">
        <f ca="1">IFERROR(VLOOKUP(IDNMaps[[#This Row],[Primary]],INDIRECT(VLOOKUP(IDNMaps[[#This Row],[Type]],RecordCount[],2,0)),VLOOKUP(IDNMaps[[#This Row],[Type]],RecordCount[],8,0),0),"")</f>
        <v/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9" s="6" t="str">
        <f ca="1">IF(IDNMaps[[#This Row],[Type]]="","",COUNTIF($K$1:IDNMaps[[#This Row],[Type]],IDNMaps[[#This Row],[Type]]))</f>
        <v/>
      </c>
      <c r="M59" s="6" t="str">
        <f ca="1">IFERROR(VLOOKUP(IDNMaps[[#This Row],[Type]],RecordCount[],6,0)&amp;"-"&amp;IDNMaps[[#This Row],[Type Count]],"")</f>
        <v/>
      </c>
      <c r="N59" s="6" t="str">
        <f ca="1">IFERROR(VLOOKUP(IDNMaps[[#This Row],[Primary]],INDIRECT(VLOOKUP(IDNMaps[[#This Row],[Type]],RecordCount[],2,0)),VLOOKUP(IDNMaps[[#This Row],[Type]],RecordCount[],7,0),0),"")</f>
        <v/>
      </c>
      <c r="O59" s="6" t="str">
        <f ca="1">IF(IDNMaps[[#This Row],[Name]]="","","("&amp;IDNMaps[[#This Row],[Type]]&amp;") "&amp;IDNMaps[[#This Row],[Name]])</f>
        <v/>
      </c>
      <c r="P59" s="6" t="str">
        <f ca="1">IFERROR(VLOOKUP(IDNMaps[[#This Row],[Primary]],INDIRECT(VLOOKUP(IDNMaps[[#This Row],[Type]],RecordCount[],2,0)),VLOOKUP(IDNMaps[[#This Row],[Type]],RecordCount[],8,0),0),"")</f>
        <v/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0" s="6" t="str">
        <f ca="1">IF(IDNMaps[[#This Row],[Type]]="","",COUNTIF($K$1:IDNMaps[[#This Row],[Type]],IDNMaps[[#This Row],[Type]]))</f>
        <v/>
      </c>
      <c r="M60" s="6" t="str">
        <f ca="1">IFERROR(VLOOKUP(IDNMaps[[#This Row],[Type]],RecordCount[],6,0)&amp;"-"&amp;IDNMaps[[#This Row],[Type Count]],"")</f>
        <v/>
      </c>
      <c r="N60" s="6" t="str">
        <f ca="1">IFERROR(VLOOKUP(IDNMaps[[#This Row],[Primary]],INDIRECT(VLOOKUP(IDNMaps[[#This Row],[Type]],RecordCount[],2,0)),VLOOKUP(IDNMaps[[#This Row],[Type]],RecordCount[],7,0),0),"")</f>
        <v/>
      </c>
      <c r="O60" s="6" t="str">
        <f ca="1">IF(IDNMaps[[#This Row],[Name]]="","","("&amp;IDNMaps[[#This Row],[Type]]&amp;") "&amp;IDNMaps[[#This Row],[Name]])</f>
        <v/>
      </c>
      <c r="P60" s="6" t="str">
        <f ca="1">IFERROR(VLOOKUP(IDNMaps[[#This Row],[Primary]],INDIRECT(VLOOKUP(IDNMaps[[#This Row],[Type]],RecordCount[],2,0)),VLOOKUP(IDNMaps[[#This Row],[Type]],RecordCount[],8,0),0),"")</f>
        <v/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1" s="6" t="str">
        <f ca="1">IF(IDNMaps[[#This Row],[Type]]="","",COUNTIF($K$1:IDNMaps[[#This Row],[Type]],IDNMaps[[#This Row],[Type]]))</f>
        <v/>
      </c>
      <c r="M61" s="6" t="str">
        <f ca="1">IFERROR(VLOOKUP(IDNMaps[[#This Row],[Type]],RecordCount[],6,0)&amp;"-"&amp;IDNMaps[[#This Row],[Type Count]],"")</f>
        <v/>
      </c>
      <c r="N61" s="6" t="str">
        <f ca="1">IFERROR(VLOOKUP(IDNMaps[[#This Row],[Primary]],INDIRECT(VLOOKUP(IDNMaps[[#This Row],[Type]],RecordCount[],2,0)),VLOOKUP(IDNMaps[[#This Row],[Type]],RecordCount[],7,0),0),"")</f>
        <v/>
      </c>
      <c r="O61" s="6" t="str">
        <f ca="1">IF(IDNMaps[[#This Row],[Name]]="","","("&amp;IDNMaps[[#This Row],[Type]]&amp;") "&amp;IDNMaps[[#This Row],[Name]])</f>
        <v/>
      </c>
      <c r="P61" s="6" t="str">
        <f ca="1">IFERROR(VLOOKUP(IDNMaps[[#This Row],[Primary]],INDIRECT(VLOOKUP(IDNMaps[[#This Row],[Type]],RecordCount[],2,0)),VLOOKUP(IDNMaps[[#This Row],[Type]],RecordCount[],8,0),0),"")</f>
        <v/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2" s="6" t="str">
        <f ca="1">IF(IDNMaps[[#This Row],[Type]]="","",COUNTIF($K$1:IDNMaps[[#This Row],[Type]],IDNMaps[[#This Row],[Type]]))</f>
        <v/>
      </c>
      <c r="M62" s="6" t="str">
        <f ca="1">IFERROR(VLOOKUP(IDNMaps[[#This Row],[Type]],RecordCount[],6,0)&amp;"-"&amp;IDNMaps[[#This Row],[Type Count]],"")</f>
        <v/>
      </c>
      <c r="N62" s="6" t="str">
        <f ca="1">IFERROR(VLOOKUP(IDNMaps[[#This Row],[Primary]],INDIRECT(VLOOKUP(IDNMaps[[#This Row],[Type]],RecordCount[],2,0)),VLOOKUP(IDNMaps[[#This Row],[Type]],RecordCount[],7,0),0),"")</f>
        <v/>
      </c>
      <c r="O62" s="6" t="str">
        <f ca="1">IF(IDNMaps[[#This Row],[Name]]="","","("&amp;IDNMaps[[#This Row],[Type]]&amp;") "&amp;IDNMaps[[#This Row],[Name]])</f>
        <v/>
      </c>
      <c r="P62" s="6" t="str">
        <f ca="1">IFERROR(VLOOKUP(IDNMaps[[#This Row],[Primary]],INDIRECT(VLOOKUP(IDNMaps[[#This Row],[Type]],RecordCount[],2,0)),VLOOKUP(IDNMaps[[#This Row],[Type]],RecordCount[],8,0),0),"")</f>
        <v/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3" s="6" t="str">
        <f ca="1">IF(IDNMaps[[#This Row],[Type]]="","",COUNTIF($K$1:IDNMaps[[#This Row],[Type]],IDNMaps[[#This Row],[Type]]))</f>
        <v/>
      </c>
      <c r="M63" s="6" t="str">
        <f ca="1">IFERROR(VLOOKUP(IDNMaps[[#This Row],[Type]],RecordCount[],6,0)&amp;"-"&amp;IDNMaps[[#This Row],[Type Count]],"")</f>
        <v/>
      </c>
      <c r="N63" s="6" t="str">
        <f ca="1">IFERROR(VLOOKUP(IDNMaps[[#This Row],[Primary]],INDIRECT(VLOOKUP(IDNMaps[[#This Row],[Type]],RecordCount[],2,0)),VLOOKUP(IDNMaps[[#This Row],[Type]],RecordCount[],7,0),0),"")</f>
        <v/>
      </c>
      <c r="O63" s="6" t="str">
        <f ca="1">IF(IDNMaps[[#This Row],[Name]]="","","("&amp;IDNMaps[[#This Row],[Type]]&amp;") "&amp;IDNMaps[[#This Row],[Name]])</f>
        <v/>
      </c>
      <c r="P63" s="6" t="str">
        <f ca="1">IFERROR(VLOOKUP(IDNMaps[[#This Row],[Primary]],INDIRECT(VLOOKUP(IDNMaps[[#This Row],[Type]],RecordCount[],2,0)),VLOOKUP(IDNMaps[[#This Row],[Type]],RecordCount[],8,0),0),"")</f>
        <v/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4" s="6" t="str">
        <f ca="1">IF(IDNMaps[[#This Row],[Type]]="","",COUNTIF($K$1:IDNMaps[[#This Row],[Type]],IDNMaps[[#This Row],[Type]]))</f>
        <v/>
      </c>
      <c r="M64" s="6" t="str">
        <f ca="1">IFERROR(VLOOKUP(IDNMaps[[#This Row],[Type]],RecordCount[],6,0)&amp;"-"&amp;IDNMaps[[#This Row],[Type Count]],"")</f>
        <v/>
      </c>
      <c r="N64" s="6" t="str">
        <f ca="1">IFERROR(VLOOKUP(IDNMaps[[#This Row],[Primary]],INDIRECT(VLOOKUP(IDNMaps[[#This Row],[Type]],RecordCount[],2,0)),VLOOKUP(IDNMaps[[#This Row],[Type]],RecordCount[],7,0),0),"")</f>
        <v/>
      </c>
      <c r="O64" s="6" t="str">
        <f ca="1">IF(IDNMaps[[#This Row],[Name]]="","","("&amp;IDNMaps[[#This Row],[Type]]&amp;") "&amp;IDNMaps[[#This Row],[Name]])</f>
        <v/>
      </c>
      <c r="P64" s="6" t="str">
        <f ca="1">IFERROR(VLOOKUP(IDNMaps[[#This Row],[Primary]],INDIRECT(VLOOKUP(IDNMaps[[#This Row],[Type]],RecordCount[],2,0)),VLOOKUP(IDNMaps[[#This Row],[Type]],RecordCount[],8,0),0),"")</f>
        <v/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5" s="6" t="str">
        <f ca="1">IF(IDNMaps[[#This Row],[Type]]="","",COUNTIF($K$1:IDNMaps[[#This Row],[Type]],IDNMaps[[#This Row],[Type]]))</f>
        <v/>
      </c>
      <c r="M65" s="6" t="str">
        <f ca="1">IFERROR(VLOOKUP(IDNMaps[[#This Row],[Type]],RecordCount[],6,0)&amp;"-"&amp;IDNMaps[[#This Row],[Type Count]],"")</f>
        <v/>
      </c>
      <c r="N65" s="6" t="str">
        <f ca="1">IFERROR(VLOOKUP(IDNMaps[[#This Row],[Primary]],INDIRECT(VLOOKUP(IDNMaps[[#This Row],[Type]],RecordCount[],2,0)),VLOOKUP(IDNMaps[[#This Row],[Type]],RecordCount[],7,0),0),"")</f>
        <v/>
      </c>
      <c r="O65" s="6" t="str">
        <f ca="1">IF(IDNMaps[[#This Row],[Name]]="","","("&amp;IDNMaps[[#This Row],[Type]]&amp;") "&amp;IDNMaps[[#This Row],[Name]])</f>
        <v/>
      </c>
      <c r="P65" s="6" t="str">
        <f ca="1">IFERROR(VLOOKUP(IDNMaps[[#This Row],[Primary]],INDIRECT(VLOOKUP(IDNMaps[[#This Row],[Type]],RecordCount[],2,0)),VLOOKUP(IDNMaps[[#This Row],[Type]],RecordCount[],8,0),0),"")</f>
        <v/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6" s="6" t="str">
        <f ca="1">IF(IDNMaps[[#This Row],[Type]]="","",COUNTIF($K$1:IDNMaps[[#This Row],[Type]],IDNMaps[[#This Row],[Type]]))</f>
        <v/>
      </c>
      <c r="M66" s="6" t="str">
        <f ca="1">IFERROR(VLOOKUP(IDNMaps[[#This Row],[Type]],RecordCount[],6,0)&amp;"-"&amp;IDNMaps[[#This Row],[Type Count]],"")</f>
        <v/>
      </c>
      <c r="N66" s="6" t="str">
        <f ca="1">IFERROR(VLOOKUP(IDNMaps[[#This Row],[Primary]],INDIRECT(VLOOKUP(IDNMaps[[#This Row],[Type]],RecordCount[],2,0)),VLOOKUP(IDNMaps[[#This Row],[Type]],RecordCount[],7,0),0),"")</f>
        <v/>
      </c>
      <c r="O66" s="6" t="str">
        <f ca="1">IF(IDNMaps[[#This Row],[Name]]="","","("&amp;IDNMaps[[#This Row],[Type]]&amp;") "&amp;IDNMaps[[#This Row],[Name]])</f>
        <v/>
      </c>
      <c r="P66" s="6" t="str">
        <f ca="1">IFERROR(VLOOKUP(IDNMaps[[#This Row],[Primary]],INDIRECT(VLOOKUP(IDNMaps[[#This Row],[Type]],RecordCount[],2,0)),VLOOKUP(IDNMaps[[#This Row],[Type]],RecordCount[],8,0),0),"")</f>
        <v/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8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84"/>
  <sheetViews>
    <sheetView workbookViewId="0">
      <selection activeCell="C8" sqref="C8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55</v>
      </c>
      <c r="B1" t="s">
        <v>14</v>
      </c>
      <c r="C1" t="s">
        <v>1</v>
      </c>
      <c r="D1" s="20" t="s">
        <v>192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5" t="s">
        <v>21</v>
      </c>
      <c r="B2" s="5" t="s">
        <v>22</v>
      </c>
      <c r="C2" s="5" t="s">
        <v>21</v>
      </c>
      <c r="D2" s="5"/>
      <c r="E2" s="5"/>
      <c r="F2" s="5"/>
      <c r="G2" s="5"/>
      <c r="H2" s="5"/>
      <c r="I2" s="5"/>
    </row>
    <row r="3" spans="1:9">
      <c r="A3" s="5" t="s">
        <v>520</v>
      </c>
      <c r="B3" s="5" t="s">
        <v>232</v>
      </c>
      <c r="C3" s="5" t="s">
        <v>231</v>
      </c>
      <c r="D3" s="5">
        <v>15</v>
      </c>
      <c r="E3" s="5" t="s">
        <v>29</v>
      </c>
      <c r="F3" s="5" t="s">
        <v>25</v>
      </c>
      <c r="G3" s="5"/>
      <c r="H3" s="5"/>
      <c r="I3" s="5"/>
    </row>
    <row r="4" spans="1:9">
      <c r="A4" s="5" t="s">
        <v>518</v>
      </c>
      <c r="B4" s="5" t="s">
        <v>564</v>
      </c>
      <c r="C4" s="5"/>
      <c r="D4" s="5"/>
      <c r="E4" s="5"/>
      <c r="F4" s="5"/>
      <c r="G4" s="5"/>
      <c r="H4" s="5"/>
      <c r="I4" s="5"/>
    </row>
    <row r="5" spans="1:9">
      <c r="A5" s="5" t="s">
        <v>39</v>
      </c>
      <c r="B5" s="5" t="s">
        <v>39</v>
      </c>
      <c r="C5" s="5"/>
      <c r="D5" s="5"/>
      <c r="E5" s="5"/>
      <c r="F5" s="5"/>
      <c r="G5" s="5"/>
      <c r="H5" s="5"/>
      <c r="I5" s="5"/>
    </row>
    <row r="6" spans="1:9">
      <c r="A6" s="5" t="s">
        <v>451</v>
      </c>
      <c r="B6" s="5" t="s">
        <v>27</v>
      </c>
      <c r="C6" s="5" t="s">
        <v>451</v>
      </c>
      <c r="D6" s="5">
        <v>64</v>
      </c>
      <c r="E6" s="5" t="s">
        <v>29</v>
      </c>
      <c r="F6" s="5"/>
      <c r="G6" s="5"/>
      <c r="H6" s="5"/>
      <c r="I6" s="5"/>
    </row>
    <row r="7" spans="1:9">
      <c r="A7" s="5" t="s">
        <v>523</v>
      </c>
      <c r="B7" s="5" t="s">
        <v>27</v>
      </c>
      <c r="C7" s="5" t="s">
        <v>523</v>
      </c>
      <c r="D7" s="5">
        <v>64</v>
      </c>
      <c r="E7" s="5" t="s">
        <v>29</v>
      </c>
      <c r="F7" s="5"/>
      <c r="G7" s="5"/>
      <c r="H7" s="5"/>
      <c r="I7" s="5"/>
    </row>
    <row r="8" spans="1:9">
      <c r="A8" s="5" t="s">
        <v>26</v>
      </c>
      <c r="B8" s="5" t="s">
        <v>27</v>
      </c>
      <c r="C8" s="5" t="s">
        <v>26</v>
      </c>
      <c r="D8" s="5">
        <v>64</v>
      </c>
      <c r="E8" s="5" t="s">
        <v>25</v>
      </c>
      <c r="F8" s="5"/>
      <c r="G8" s="5"/>
      <c r="H8" s="5"/>
      <c r="I8" s="5"/>
    </row>
    <row r="9" spans="1:9">
      <c r="A9" s="5" t="s">
        <v>454</v>
      </c>
      <c r="B9" s="5" t="s">
        <v>27</v>
      </c>
      <c r="C9" s="5" t="s">
        <v>26</v>
      </c>
      <c r="D9" s="5">
        <v>64</v>
      </c>
      <c r="E9" s="5" t="s">
        <v>29</v>
      </c>
      <c r="F9" s="5"/>
      <c r="G9" s="5"/>
      <c r="H9" s="5"/>
      <c r="I9" s="5"/>
    </row>
    <row r="10" spans="1:9">
      <c r="A10" s="5" t="s">
        <v>519</v>
      </c>
      <c r="B10" s="5" t="s">
        <v>24</v>
      </c>
      <c r="C10" s="5" t="s">
        <v>75</v>
      </c>
      <c r="D10" s="5"/>
      <c r="E10" s="5" t="s">
        <v>29</v>
      </c>
      <c r="F10" s="5" t="s">
        <v>25</v>
      </c>
      <c r="G10" s="5"/>
      <c r="H10" s="5"/>
      <c r="I10" s="5"/>
    </row>
    <row r="11" spans="1:9">
      <c r="A11" s="5" t="s">
        <v>521</v>
      </c>
      <c r="B11" s="5" t="s">
        <v>40</v>
      </c>
      <c r="C11" s="5" t="s">
        <v>75</v>
      </c>
      <c r="D11" s="5"/>
      <c r="E11" s="5" t="s">
        <v>41</v>
      </c>
      <c r="F11" s="5" t="s">
        <v>568</v>
      </c>
      <c r="G11" s="5" t="s">
        <v>42</v>
      </c>
      <c r="H11" s="5" t="s">
        <v>43</v>
      </c>
      <c r="I11" s="5"/>
    </row>
    <row r="12" spans="1:9">
      <c r="A12" s="5" t="s">
        <v>492</v>
      </c>
      <c r="B12" s="5" t="s">
        <v>44</v>
      </c>
      <c r="C12" s="5" t="s">
        <v>52</v>
      </c>
      <c r="D12" s="5" t="s">
        <v>161</v>
      </c>
      <c r="E12" s="5" t="s">
        <v>162</v>
      </c>
      <c r="F12" s="5"/>
      <c r="G12" s="5"/>
      <c r="H12" s="5"/>
      <c r="I12" s="5"/>
    </row>
    <row r="13" spans="1:9">
      <c r="A13" s="5" t="s">
        <v>452</v>
      </c>
      <c r="B13" s="5" t="s">
        <v>44</v>
      </c>
      <c r="C13" s="5" t="s">
        <v>45</v>
      </c>
      <c r="D13" s="5" t="s">
        <v>504</v>
      </c>
      <c r="E13" s="5" t="s">
        <v>491</v>
      </c>
      <c r="F13" s="5" t="s">
        <v>25</v>
      </c>
      <c r="G13" s="5"/>
      <c r="H13" s="5"/>
      <c r="I13" s="5"/>
    </row>
    <row r="14" spans="1:9">
      <c r="A14" s="5" t="s">
        <v>453</v>
      </c>
      <c r="B14" s="5" t="s">
        <v>44</v>
      </c>
      <c r="C14" s="5" t="s">
        <v>453</v>
      </c>
      <c r="D14" s="5" t="s">
        <v>494</v>
      </c>
      <c r="E14" s="5" t="s">
        <v>495</v>
      </c>
      <c r="F14" s="5" t="s">
        <v>25</v>
      </c>
      <c r="G14" s="5"/>
      <c r="H14" s="5"/>
      <c r="I14" s="5"/>
    </row>
    <row r="15" spans="1:9">
      <c r="A15" s="5" t="s">
        <v>28</v>
      </c>
      <c r="B15" s="5" t="s">
        <v>27</v>
      </c>
      <c r="C15" s="5" t="s">
        <v>28</v>
      </c>
      <c r="D15" s="5">
        <v>1024</v>
      </c>
      <c r="E15" s="5" t="s">
        <v>29</v>
      </c>
      <c r="F15" s="5"/>
      <c r="G15" s="5"/>
      <c r="H15" s="5"/>
      <c r="I15" s="5"/>
    </row>
    <row r="16" spans="1:9">
      <c r="A16" s="5" t="s">
        <v>455</v>
      </c>
      <c r="B16" s="5" t="s">
        <v>27</v>
      </c>
      <c r="C16" s="5" t="s">
        <v>455</v>
      </c>
      <c r="D16" s="5">
        <v>800</v>
      </c>
      <c r="E16" s="5" t="s">
        <v>29</v>
      </c>
      <c r="F16" s="5"/>
      <c r="G16" s="5"/>
      <c r="H16" s="5"/>
      <c r="I16" s="5"/>
    </row>
    <row r="17" spans="1:9">
      <c r="A17" s="5" t="s">
        <v>456</v>
      </c>
      <c r="B17" s="5" t="s">
        <v>27</v>
      </c>
      <c r="C17" s="5" t="s">
        <v>456</v>
      </c>
      <c r="D17" s="5">
        <v>800</v>
      </c>
      <c r="E17" s="5" t="s">
        <v>29</v>
      </c>
      <c r="F17" s="5"/>
      <c r="G17" s="5"/>
      <c r="H17" s="5"/>
      <c r="I17" s="5"/>
    </row>
    <row r="18" spans="1:9">
      <c r="A18" s="5" t="s">
        <v>457</v>
      </c>
      <c r="B18" s="5" t="s">
        <v>27</v>
      </c>
      <c r="C18" s="5" t="s">
        <v>457</v>
      </c>
      <c r="D18" s="5">
        <v>800</v>
      </c>
      <c r="E18" s="5" t="s">
        <v>29</v>
      </c>
      <c r="F18" s="5"/>
      <c r="G18" s="5"/>
      <c r="H18" s="5"/>
      <c r="I18" s="5"/>
    </row>
    <row r="19" spans="1:9">
      <c r="A19" s="5" t="s">
        <v>458</v>
      </c>
      <c r="B19" s="5" t="s">
        <v>27</v>
      </c>
      <c r="C19" s="5" t="s">
        <v>458</v>
      </c>
      <c r="D19" s="5">
        <v>800</v>
      </c>
      <c r="E19" s="5" t="s">
        <v>29</v>
      </c>
      <c r="F19" s="5"/>
      <c r="G19" s="5"/>
      <c r="H19" s="5"/>
      <c r="I19" s="5"/>
    </row>
    <row r="20" spans="1:9">
      <c r="A20" s="5" t="s">
        <v>459</v>
      </c>
      <c r="B20" s="5" t="s">
        <v>27</v>
      </c>
      <c r="C20" s="5" t="s">
        <v>459</v>
      </c>
      <c r="D20" s="5">
        <v>800</v>
      </c>
      <c r="E20" s="5" t="s">
        <v>29</v>
      </c>
      <c r="F20" s="5"/>
      <c r="G20" s="5"/>
      <c r="H20" s="5"/>
      <c r="I20" s="5"/>
    </row>
    <row r="21" spans="1:9">
      <c r="A21" s="5" t="s">
        <v>460</v>
      </c>
      <c r="B21" s="5" t="s">
        <v>27</v>
      </c>
      <c r="C21" s="5" t="s">
        <v>460</v>
      </c>
      <c r="D21" s="5">
        <v>800</v>
      </c>
      <c r="E21" s="5" t="s">
        <v>29</v>
      </c>
      <c r="F21" s="5"/>
      <c r="G21" s="5"/>
      <c r="H21" s="5"/>
      <c r="I21" s="5"/>
    </row>
    <row r="22" spans="1:9">
      <c r="A22" s="5" t="s">
        <v>461</v>
      </c>
      <c r="B22" s="5" t="s">
        <v>27</v>
      </c>
      <c r="C22" s="5" t="s">
        <v>461</v>
      </c>
      <c r="D22" s="5">
        <v>800</v>
      </c>
      <c r="E22" s="5" t="s">
        <v>29</v>
      </c>
      <c r="F22" s="5"/>
      <c r="G22" s="5"/>
      <c r="H22" s="5"/>
      <c r="I22" s="5"/>
    </row>
    <row r="23" spans="1:9">
      <c r="A23" s="5" t="s">
        <v>462</v>
      </c>
      <c r="B23" s="5" t="s">
        <v>27</v>
      </c>
      <c r="C23" s="5" t="s">
        <v>462</v>
      </c>
      <c r="D23" s="5">
        <v>800</v>
      </c>
      <c r="E23" s="5" t="s">
        <v>29</v>
      </c>
      <c r="F23" s="5"/>
      <c r="G23" s="5"/>
      <c r="H23" s="5"/>
      <c r="I23" s="5"/>
    </row>
    <row r="24" spans="1:9">
      <c r="A24" s="5" t="s">
        <v>463</v>
      </c>
      <c r="B24" s="5" t="s">
        <v>27</v>
      </c>
      <c r="C24" s="5" t="s">
        <v>463</v>
      </c>
      <c r="D24" s="5">
        <v>800</v>
      </c>
      <c r="E24" s="5" t="s">
        <v>29</v>
      </c>
      <c r="F24" s="5"/>
      <c r="G24" s="5"/>
      <c r="H24" s="5"/>
      <c r="I24" s="5"/>
    </row>
    <row r="25" spans="1:9">
      <c r="A25" s="5" t="s">
        <v>464</v>
      </c>
      <c r="B25" s="5" t="s">
        <v>27</v>
      </c>
      <c r="C25" s="5" t="s">
        <v>464</v>
      </c>
      <c r="D25" s="5">
        <v>800</v>
      </c>
      <c r="E25" s="5" t="s">
        <v>29</v>
      </c>
      <c r="F25" s="5"/>
      <c r="G25" s="5"/>
      <c r="H25" s="5"/>
      <c r="I25" s="5"/>
    </row>
    <row r="26" spans="1:9">
      <c r="A26" s="5" t="s">
        <v>465</v>
      </c>
      <c r="B26" s="5" t="s">
        <v>44</v>
      </c>
      <c r="C26" s="5" t="s">
        <v>465</v>
      </c>
      <c r="D26" s="5" t="s">
        <v>161</v>
      </c>
      <c r="E26" s="5" t="s">
        <v>187</v>
      </c>
      <c r="F26" s="5"/>
      <c r="G26" s="5"/>
      <c r="H26" s="5"/>
      <c r="I26" s="5"/>
    </row>
    <row r="27" spans="1:9">
      <c r="A27" s="5" t="s">
        <v>466</v>
      </c>
      <c r="B27" s="5" t="s">
        <v>44</v>
      </c>
      <c r="C27" s="5" t="s">
        <v>45</v>
      </c>
      <c r="D27" s="5" t="s">
        <v>490</v>
      </c>
      <c r="E27" s="5" t="s">
        <v>491</v>
      </c>
      <c r="F27" s="5"/>
      <c r="G27" s="5"/>
      <c r="H27" s="5"/>
      <c r="I27" s="5"/>
    </row>
    <row r="28" spans="1:9">
      <c r="A28" s="5" t="s">
        <v>522</v>
      </c>
      <c r="B28" s="5" t="s">
        <v>24</v>
      </c>
      <c r="C28" s="5" t="s">
        <v>543</v>
      </c>
      <c r="D28" s="5"/>
      <c r="E28" s="5" t="s">
        <v>29</v>
      </c>
      <c r="F28" s="5" t="s">
        <v>25</v>
      </c>
      <c r="G28" s="5"/>
      <c r="H28" s="5"/>
      <c r="I28" s="5"/>
    </row>
    <row r="29" spans="1:9">
      <c r="A29" s="5" t="s">
        <v>525</v>
      </c>
      <c r="B29" s="5" t="s">
        <v>24</v>
      </c>
      <c r="C29" s="5" t="s">
        <v>544</v>
      </c>
      <c r="D29" s="5"/>
      <c r="E29" s="5" t="s">
        <v>29</v>
      </c>
      <c r="F29" s="5" t="s">
        <v>25</v>
      </c>
      <c r="G29" s="5"/>
      <c r="H29" s="5"/>
      <c r="I29" s="5"/>
    </row>
    <row r="30" spans="1:9">
      <c r="A30" s="5" t="s">
        <v>526</v>
      </c>
      <c r="B30" s="5" t="s">
        <v>24</v>
      </c>
      <c r="C30" s="5" t="s">
        <v>545</v>
      </c>
      <c r="D30" s="5"/>
      <c r="E30" s="5" t="s">
        <v>29</v>
      </c>
      <c r="F30" s="5" t="s">
        <v>25</v>
      </c>
      <c r="G30" s="5"/>
      <c r="H30" s="5"/>
      <c r="I30" s="5"/>
    </row>
    <row r="31" spans="1:9">
      <c r="A31" s="5" t="s">
        <v>527</v>
      </c>
      <c r="B31" s="5" t="s">
        <v>24</v>
      </c>
      <c r="C31" s="5" t="s">
        <v>546</v>
      </c>
      <c r="D31" s="5"/>
      <c r="E31" s="5" t="s">
        <v>29</v>
      </c>
      <c r="F31" s="5" t="s">
        <v>25</v>
      </c>
      <c r="G31" s="5"/>
      <c r="H31" s="5"/>
      <c r="I31" s="5"/>
    </row>
    <row r="32" spans="1:9">
      <c r="A32" s="5" t="s">
        <v>528</v>
      </c>
      <c r="B32" s="5" t="s">
        <v>24</v>
      </c>
      <c r="C32" s="5" t="s">
        <v>547</v>
      </c>
      <c r="D32" s="5"/>
      <c r="E32" s="5" t="s">
        <v>29</v>
      </c>
      <c r="F32" s="5" t="s">
        <v>25</v>
      </c>
      <c r="G32" s="5"/>
      <c r="H32" s="5"/>
      <c r="I32" s="5"/>
    </row>
    <row r="33" spans="1:9">
      <c r="A33" s="5" t="s">
        <v>529</v>
      </c>
      <c r="B33" s="5" t="s">
        <v>24</v>
      </c>
      <c r="C33" s="5" t="s">
        <v>548</v>
      </c>
      <c r="D33" s="5"/>
      <c r="E33" s="5" t="s">
        <v>29</v>
      </c>
      <c r="F33" s="5" t="s">
        <v>25</v>
      </c>
      <c r="G33" s="5"/>
      <c r="H33" s="5"/>
      <c r="I33" s="5"/>
    </row>
    <row r="34" spans="1:9">
      <c r="A34" s="5" t="s">
        <v>530</v>
      </c>
      <c r="B34" s="5" t="s">
        <v>24</v>
      </c>
      <c r="C34" s="5" t="s">
        <v>549</v>
      </c>
      <c r="D34" s="5"/>
      <c r="E34" s="5" t="s">
        <v>29</v>
      </c>
      <c r="F34" s="5" t="s">
        <v>25</v>
      </c>
      <c r="G34" s="5"/>
      <c r="H34" s="5"/>
      <c r="I34" s="5"/>
    </row>
    <row r="35" spans="1:9">
      <c r="A35" s="5" t="s">
        <v>531</v>
      </c>
      <c r="B35" s="5" t="s">
        <v>24</v>
      </c>
      <c r="C35" s="5" t="s">
        <v>550</v>
      </c>
      <c r="D35" s="5"/>
      <c r="E35" s="5" t="s">
        <v>29</v>
      </c>
      <c r="F35" s="5" t="s">
        <v>25</v>
      </c>
      <c r="G35" s="5"/>
      <c r="H35" s="5"/>
      <c r="I35" s="5"/>
    </row>
    <row r="36" spans="1:9">
      <c r="A36" s="5" t="s">
        <v>532</v>
      </c>
      <c r="B36" s="5" t="s">
        <v>24</v>
      </c>
      <c r="C36" s="5" t="s">
        <v>551</v>
      </c>
      <c r="D36" s="5"/>
      <c r="E36" s="5" t="s">
        <v>29</v>
      </c>
      <c r="F36" s="5" t="s">
        <v>25</v>
      </c>
      <c r="G36" s="5"/>
      <c r="H36" s="5"/>
      <c r="I36" s="5"/>
    </row>
    <row r="37" spans="1:9">
      <c r="A37" s="5" t="s">
        <v>524</v>
      </c>
      <c r="B37" s="5" t="s">
        <v>24</v>
      </c>
      <c r="C37" s="5" t="s">
        <v>552</v>
      </c>
      <c r="D37" s="5"/>
      <c r="E37" s="5" t="s">
        <v>29</v>
      </c>
      <c r="F37" s="5" t="s">
        <v>25</v>
      </c>
      <c r="G37" s="5"/>
      <c r="H37" s="5"/>
      <c r="I37" s="5"/>
    </row>
    <row r="38" spans="1:9">
      <c r="A38" s="5" t="s">
        <v>533</v>
      </c>
      <c r="B38" s="5" t="s">
        <v>40</v>
      </c>
      <c r="C38" s="5" t="s">
        <v>543</v>
      </c>
      <c r="D38" s="5"/>
      <c r="E38" s="5" t="s">
        <v>41</v>
      </c>
      <c r="F38" s="5" t="s">
        <v>566</v>
      </c>
      <c r="G38" s="5" t="s">
        <v>42</v>
      </c>
      <c r="H38" s="5" t="s">
        <v>47</v>
      </c>
      <c r="I38" s="5"/>
    </row>
    <row r="39" spans="1:9">
      <c r="A39" s="5" t="s">
        <v>534</v>
      </c>
      <c r="B39" s="5" t="s">
        <v>40</v>
      </c>
      <c r="C39" s="5" t="s">
        <v>544</v>
      </c>
      <c r="D39" s="5"/>
      <c r="E39" s="5" t="s">
        <v>41</v>
      </c>
      <c r="F39" s="5" t="s">
        <v>566</v>
      </c>
      <c r="G39" s="5" t="s">
        <v>42</v>
      </c>
      <c r="H39" s="5" t="s">
        <v>47</v>
      </c>
      <c r="I39" s="5"/>
    </row>
    <row r="40" spans="1:9">
      <c r="A40" s="5" t="s">
        <v>535</v>
      </c>
      <c r="B40" s="5" t="s">
        <v>40</v>
      </c>
      <c r="C40" s="5" t="s">
        <v>545</v>
      </c>
      <c r="D40" s="5"/>
      <c r="E40" s="5" t="s">
        <v>41</v>
      </c>
      <c r="F40" s="5" t="s">
        <v>566</v>
      </c>
      <c r="G40" s="5" t="s">
        <v>42</v>
      </c>
      <c r="H40" s="5" t="s">
        <v>47</v>
      </c>
      <c r="I40" s="5"/>
    </row>
    <row r="41" spans="1:9">
      <c r="A41" s="5" t="s">
        <v>536</v>
      </c>
      <c r="B41" s="5" t="s">
        <v>40</v>
      </c>
      <c r="C41" s="5" t="s">
        <v>546</v>
      </c>
      <c r="D41" s="5"/>
      <c r="E41" s="5" t="s">
        <v>41</v>
      </c>
      <c r="F41" s="5" t="s">
        <v>566</v>
      </c>
      <c r="G41" s="5" t="s">
        <v>42</v>
      </c>
      <c r="H41" s="5" t="s">
        <v>47</v>
      </c>
      <c r="I41" s="5"/>
    </row>
    <row r="42" spans="1:9">
      <c r="A42" s="5" t="s">
        <v>537</v>
      </c>
      <c r="B42" s="5" t="s">
        <v>40</v>
      </c>
      <c r="C42" s="5" t="s">
        <v>547</v>
      </c>
      <c r="D42" s="5"/>
      <c r="E42" s="5" t="s">
        <v>41</v>
      </c>
      <c r="F42" s="5" t="s">
        <v>566</v>
      </c>
      <c r="G42" s="5" t="s">
        <v>42</v>
      </c>
      <c r="H42" s="5" t="s">
        <v>47</v>
      </c>
      <c r="I42" s="5"/>
    </row>
    <row r="43" spans="1:9">
      <c r="A43" s="5" t="s">
        <v>538</v>
      </c>
      <c r="B43" s="5" t="s">
        <v>40</v>
      </c>
      <c r="C43" s="5" t="s">
        <v>548</v>
      </c>
      <c r="D43" s="5"/>
      <c r="E43" s="5" t="s">
        <v>41</v>
      </c>
      <c r="F43" s="5" t="s">
        <v>566</v>
      </c>
      <c r="G43" s="5" t="s">
        <v>42</v>
      </c>
      <c r="H43" s="5" t="s">
        <v>47</v>
      </c>
      <c r="I43" s="5"/>
    </row>
    <row r="44" spans="1:9">
      <c r="A44" s="5" t="s">
        <v>539</v>
      </c>
      <c r="B44" s="5" t="s">
        <v>40</v>
      </c>
      <c r="C44" s="5" t="s">
        <v>549</v>
      </c>
      <c r="D44" s="5"/>
      <c r="E44" s="5" t="s">
        <v>41</v>
      </c>
      <c r="F44" s="5" t="s">
        <v>566</v>
      </c>
      <c r="G44" s="5" t="s">
        <v>42</v>
      </c>
      <c r="H44" s="5" t="s">
        <v>47</v>
      </c>
      <c r="I44" s="5"/>
    </row>
    <row r="45" spans="1:9">
      <c r="A45" s="5" t="s">
        <v>540</v>
      </c>
      <c r="B45" s="5" t="s">
        <v>40</v>
      </c>
      <c r="C45" s="5" t="s">
        <v>550</v>
      </c>
      <c r="D45" s="5"/>
      <c r="E45" s="5" t="s">
        <v>41</v>
      </c>
      <c r="F45" s="5" t="s">
        <v>566</v>
      </c>
      <c r="G45" s="5" t="s">
        <v>42</v>
      </c>
      <c r="H45" s="5" t="s">
        <v>47</v>
      </c>
      <c r="I45" s="5"/>
    </row>
    <row r="46" spans="1:9">
      <c r="A46" s="5" t="s">
        <v>541</v>
      </c>
      <c r="B46" s="5" t="s">
        <v>40</v>
      </c>
      <c r="C46" s="5" t="s">
        <v>551</v>
      </c>
      <c r="D46" s="5"/>
      <c r="E46" s="5" t="s">
        <v>41</v>
      </c>
      <c r="F46" s="5" t="s">
        <v>566</v>
      </c>
      <c r="G46" s="5" t="s">
        <v>42</v>
      </c>
      <c r="H46" s="5" t="s">
        <v>47</v>
      </c>
      <c r="I46" s="5"/>
    </row>
    <row r="47" spans="1:9">
      <c r="A47" s="5" t="s">
        <v>542</v>
      </c>
      <c r="B47" s="5" t="s">
        <v>40</v>
      </c>
      <c r="C47" s="5" t="s">
        <v>552</v>
      </c>
      <c r="D47" s="5"/>
      <c r="E47" s="5" t="s">
        <v>41</v>
      </c>
      <c r="F47" s="5" t="s">
        <v>566</v>
      </c>
      <c r="G47" s="5" t="s">
        <v>42</v>
      </c>
      <c r="H47" s="5" t="s">
        <v>47</v>
      </c>
      <c r="I47" s="5"/>
    </row>
    <row r="48" spans="1:9">
      <c r="A48" s="5" t="s">
        <v>471</v>
      </c>
      <c r="B48" s="5" t="s">
        <v>27</v>
      </c>
      <c r="C48" s="5" t="s">
        <v>471</v>
      </c>
      <c r="D48" s="5">
        <v>64</v>
      </c>
      <c r="E48" s="5" t="s">
        <v>29</v>
      </c>
      <c r="F48" s="5"/>
      <c r="G48" s="5"/>
      <c r="H48" s="5"/>
      <c r="I48" s="5"/>
    </row>
    <row r="49" spans="1:9">
      <c r="A49" s="5" t="s">
        <v>101</v>
      </c>
      <c r="B49" s="5" t="s">
        <v>27</v>
      </c>
      <c r="C49" s="5" t="s">
        <v>101</v>
      </c>
      <c r="D49" s="5">
        <v>256</v>
      </c>
      <c r="E49" s="5" t="s">
        <v>29</v>
      </c>
      <c r="F49" s="5"/>
      <c r="G49" s="5"/>
      <c r="H49" s="5"/>
      <c r="I49" s="5"/>
    </row>
    <row r="50" spans="1:9">
      <c r="A50" s="5" t="s">
        <v>472</v>
      </c>
      <c r="B50" s="5" t="s">
        <v>24</v>
      </c>
      <c r="C50" s="5" t="s">
        <v>493</v>
      </c>
      <c r="D50" s="5"/>
      <c r="E50" s="5" t="s">
        <v>29</v>
      </c>
      <c r="F50" s="5" t="s">
        <v>25</v>
      </c>
      <c r="G50" s="5"/>
      <c r="H50" s="5"/>
      <c r="I50" s="5"/>
    </row>
    <row r="51" spans="1:9">
      <c r="A51" s="5" t="s">
        <v>496</v>
      </c>
      <c r="B51" s="5" t="s">
        <v>24</v>
      </c>
      <c r="C51" s="5" t="s">
        <v>496</v>
      </c>
      <c r="D51" s="5"/>
      <c r="E51" s="5" t="s">
        <v>29</v>
      </c>
      <c r="F51" s="5" t="s">
        <v>25</v>
      </c>
      <c r="G51" s="5"/>
      <c r="H51" s="5"/>
      <c r="I51" s="5"/>
    </row>
    <row r="52" spans="1:9">
      <c r="A52" s="5" t="s">
        <v>497</v>
      </c>
      <c r="B52" s="5" t="s">
        <v>24</v>
      </c>
      <c r="C52" s="5" t="s">
        <v>497</v>
      </c>
      <c r="D52" s="5"/>
      <c r="E52" s="5" t="s">
        <v>29</v>
      </c>
      <c r="F52" s="5" t="s">
        <v>25</v>
      </c>
      <c r="G52" s="5"/>
      <c r="H52" s="5"/>
      <c r="I52" s="5"/>
    </row>
    <row r="53" spans="1:9">
      <c r="A53" s="5" t="s">
        <v>53</v>
      </c>
      <c r="B53" s="5" t="s">
        <v>27</v>
      </c>
      <c r="C53" s="5" t="s">
        <v>53</v>
      </c>
      <c r="D53" s="5">
        <v>32</v>
      </c>
      <c r="E53" s="5" t="s">
        <v>29</v>
      </c>
      <c r="F53" s="5"/>
      <c r="G53" s="5"/>
      <c r="H53" s="5"/>
      <c r="I53" s="5"/>
    </row>
    <row r="54" spans="1:9">
      <c r="A54" s="5" t="s">
        <v>498</v>
      </c>
      <c r="B54" s="5" t="s">
        <v>27</v>
      </c>
      <c r="C54" s="5" t="s">
        <v>498</v>
      </c>
      <c r="D54" s="5">
        <v>32</v>
      </c>
      <c r="E54" s="5" t="s">
        <v>29</v>
      </c>
      <c r="F54" s="5"/>
      <c r="G54" s="5"/>
      <c r="H54" s="5"/>
      <c r="I54" s="5"/>
    </row>
    <row r="55" spans="1:9">
      <c r="A55" s="5" t="s">
        <v>231</v>
      </c>
      <c r="B55" s="5" t="s">
        <v>27</v>
      </c>
      <c r="C55" s="5" t="s">
        <v>231</v>
      </c>
      <c r="D55" s="5">
        <v>64</v>
      </c>
      <c r="E55" s="5" t="s">
        <v>29</v>
      </c>
      <c r="F55" s="5"/>
      <c r="G55" s="5"/>
      <c r="H55" s="5"/>
      <c r="I55" s="5"/>
    </row>
    <row r="56" spans="1:9">
      <c r="A56" s="5" t="s">
        <v>499</v>
      </c>
      <c r="B56" s="5" t="s">
        <v>27</v>
      </c>
      <c r="C56" s="5" t="s">
        <v>499</v>
      </c>
      <c r="D56" s="5">
        <v>256</v>
      </c>
      <c r="E56" s="5" t="s">
        <v>29</v>
      </c>
      <c r="F56" s="5"/>
      <c r="G56" s="5"/>
      <c r="H56" s="5"/>
      <c r="I56" s="5"/>
    </row>
    <row r="57" spans="1:9">
      <c r="A57" s="5" t="s">
        <v>500</v>
      </c>
      <c r="B57" s="5" t="s">
        <v>27</v>
      </c>
      <c r="C57" s="5" t="s">
        <v>500</v>
      </c>
      <c r="D57" s="5">
        <v>256</v>
      </c>
      <c r="E57" s="5" t="s">
        <v>29</v>
      </c>
      <c r="F57" s="5"/>
      <c r="G57" s="5"/>
      <c r="H57" s="5"/>
      <c r="I57" s="5"/>
    </row>
    <row r="58" spans="1:9">
      <c r="A58" s="5" t="s">
        <v>501</v>
      </c>
      <c r="B58" s="5" t="s">
        <v>27</v>
      </c>
      <c r="C58" s="5" t="s">
        <v>501</v>
      </c>
      <c r="D58" s="5">
        <v>256</v>
      </c>
      <c r="E58" s="5" t="s">
        <v>29</v>
      </c>
      <c r="F58" s="5"/>
      <c r="G58" s="5"/>
      <c r="H58" s="5"/>
      <c r="I58" s="5"/>
    </row>
    <row r="59" spans="1:9">
      <c r="A59" s="5" t="s">
        <v>502</v>
      </c>
      <c r="B59" s="5" t="s">
        <v>27</v>
      </c>
      <c r="C59" s="5" t="s">
        <v>502</v>
      </c>
      <c r="D59" s="5">
        <v>256</v>
      </c>
      <c r="E59" s="5" t="s">
        <v>29</v>
      </c>
      <c r="F59" s="5"/>
      <c r="G59" s="5"/>
      <c r="H59" s="5"/>
      <c r="I59" s="5"/>
    </row>
    <row r="60" spans="1:9">
      <c r="A60" s="5" t="s">
        <v>503</v>
      </c>
      <c r="B60" s="5" t="s">
        <v>27</v>
      </c>
      <c r="C60" s="5" t="s">
        <v>503</v>
      </c>
      <c r="D60" s="5">
        <v>256</v>
      </c>
      <c r="E60" s="5" t="s">
        <v>29</v>
      </c>
      <c r="F60" s="5"/>
      <c r="G60" s="5"/>
      <c r="H60" s="5"/>
      <c r="I60" s="5"/>
    </row>
    <row r="61" spans="1:9">
      <c r="A61" s="5" t="s">
        <v>505</v>
      </c>
      <c r="B61" s="5" t="s">
        <v>27</v>
      </c>
      <c r="C61" s="5" t="s">
        <v>505</v>
      </c>
      <c r="D61" s="5">
        <v>32</v>
      </c>
      <c r="E61" s="5" t="s">
        <v>29</v>
      </c>
      <c r="F61" s="5"/>
      <c r="G61" s="5"/>
      <c r="H61" s="5"/>
      <c r="I61" s="5"/>
    </row>
    <row r="62" spans="1:9">
      <c r="A62" s="5" t="s">
        <v>467</v>
      </c>
      <c r="B62" s="5" t="s">
        <v>24</v>
      </c>
      <c r="C62" s="5" t="s">
        <v>467</v>
      </c>
      <c r="D62" s="5"/>
      <c r="E62" s="5" t="s">
        <v>29</v>
      </c>
      <c r="F62" s="5" t="s">
        <v>25</v>
      </c>
      <c r="G62" s="5"/>
      <c r="H62" s="5"/>
      <c r="I62" s="5"/>
    </row>
    <row r="63" spans="1:9">
      <c r="A63" s="5" t="s">
        <v>468</v>
      </c>
      <c r="B63" s="5" t="s">
        <v>27</v>
      </c>
      <c r="C63" s="5" t="s">
        <v>468</v>
      </c>
      <c r="D63" s="5">
        <v>128</v>
      </c>
      <c r="E63" s="5" t="s">
        <v>29</v>
      </c>
      <c r="F63" s="5"/>
      <c r="G63" s="5"/>
      <c r="H63" s="5"/>
      <c r="I63" s="5"/>
    </row>
    <row r="64" spans="1:9">
      <c r="A64" s="5" t="s">
        <v>469</v>
      </c>
      <c r="B64" s="5" t="s">
        <v>44</v>
      </c>
      <c r="C64" s="5" t="s">
        <v>506</v>
      </c>
      <c r="D64" s="5" t="s">
        <v>161</v>
      </c>
      <c r="E64" s="5" t="s">
        <v>162</v>
      </c>
      <c r="F64" s="5" t="s">
        <v>25</v>
      </c>
      <c r="G64" s="5"/>
      <c r="H64" s="5"/>
      <c r="I64" s="5"/>
    </row>
    <row r="65" spans="1:9">
      <c r="A65" s="5" t="s">
        <v>475</v>
      </c>
      <c r="B65" s="5" t="s">
        <v>24</v>
      </c>
      <c r="C65" s="5" t="s">
        <v>475</v>
      </c>
      <c r="D65" s="5"/>
      <c r="E65" s="5" t="s">
        <v>29</v>
      </c>
      <c r="F65" s="5" t="s">
        <v>25</v>
      </c>
      <c r="G65" s="5"/>
      <c r="H65" s="5"/>
      <c r="I65" s="5"/>
    </row>
    <row r="66" spans="1:9">
      <c r="A66" s="5" t="s">
        <v>481</v>
      </c>
      <c r="B66" s="5" t="s">
        <v>24</v>
      </c>
      <c r="C66" s="5" t="s">
        <v>481</v>
      </c>
      <c r="D66" s="5"/>
      <c r="E66" s="5" t="s">
        <v>29</v>
      </c>
      <c r="F66" s="5" t="s">
        <v>25</v>
      </c>
      <c r="G66" s="5"/>
      <c r="H66" s="5"/>
      <c r="I66" s="5"/>
    </row>
    <row r="67" spans="1:9">
      <c r="A67" s="5" t="s">
        <v>482</v>
      </c>
      <c r="B67" s="5" t="s">
        <v>507</v>
      </c>
      <c r="C67" s="5" t="s">
        <v>482</v>
      </c>
      <c r="D67" s="5"/>
      <c r="E67" s="5" t="s">
        <v>508</v>
      </c>
      <c r="F67" s="5"/>
      <c r="G67" s="5"/>
      <c r="H67" s="5"/>
      <c r="I67" s="5"/>
    </row>
    <row r="68" spans="1:9">
      <c r="A68" s="5" t="s">
        <v>483</v>
      </c>
      <c r="B68" s="5" t="s">
        <v>24</v>
      </c>
      <c r="C68" s="5" t="s">
        <v>483</v>
      </c>
      <c r="D68" s="5"/>
      <c r="E68" s="5" t="s">
        <v>29</v>
      </c>
      <c r="F68" s="5" t="s">
        <v>25</v>
      </c>
      <c r="G68" s="5"/>
      <c r="H68" s="5"/>
      <c r="I68" s="5"/>
    </row>
    <row r="69" spans="1:9">
      <c r="A69" s="5" t="s">
        <v>484</v>
      </c>
      <c r="B69" s="5" t="s">
        <v>507</v>
      </c>
      <c r="C69" s="5" t="s">
        <v>484</v>
      </c>
      <c r="D69" s="5"/>
      <c r="E69" s="5" t="s">
        <v>509</v>
      </c>
      <c r="F69" s="5"/>
      <c r="G69" s="5"/>
      <c r="H69" s="5"/>
      <c r="I69" s="5"/>
    </row>
    <row r="70" spans="1:9">
      <c r="A70" s="5" t="s">
        <v>485</v>
      </c>
      <c r="B70" s="5" t="s">
        <v>44</v>
      </c>
      <c r="C70" s="5" t="s">
        <v>485</v>
      </c>
      <c r="D70" s="5" t="s">
        <v>494</v>
      </c>
      <c r="E70" s="5" t="s">
        <v>495</v>
      </c>
      <c r="F70" s="5" t="s">
        <v>25</v>
      </c>
      <c r="G70" s="5"/>
      <c r="H70" s="5"/>
      <c r="I70" s="5"/>
    </row>
    <row r="71" spans="1:9">
      <c r="A71" s="5" t="s">
        <v>474</v>
      </c>
      <c r="B71" s="5" t="s">
        <v>24</v>
      </c>
      <c r="C71" s="5" t="s">
        <v>474</v>
      </c>
      <c r="D71" s="5"/>
      <c r="E71" s="5" t="s">
        <v>29</v>
      </c>
      <c r="F71" s="5" t="s">
        <v>25</v>
      </c>
      <c r="G71" s="5"/>
      <c r="H71" s="5"/>
      <c r="I71" s="5"/>
    </row>
    <row r="72" spans="1:9">
      <c r="A72" s="5" t="s">
        <v>476</v>
      </c>
      <c r="B72" s="5" t="s">
        <v>44</v>
      </c>
      <c r="C72" s="5" t="s">
        <v>476</v>
      </c>
      <c r="D72" s="5" t="s">
        <v>161</v>
      </c>
      <c r="E72" s="5" t="s">
        <v>187</v>
      </c>
      <c r="F72" s="5" t="s">
        <v>25</v>
      </c>
      <c r="G72" s="5"/>
      <c r="H72" s="5"/>
      <c r="I72" s="5"/>
    </row>
    <row r="73" spans="1:9">
      <c r="A73" s="5" t="s">
        <v>479</v>
      </c>
      <c r="B73" s="5" t="s">
        <v>27</v>
      </c>
      <c r="C73" s="5" t="s">
        <v>479</v>
      </c>
      <c r="D73" s="5">
        <v>512</v>
      </c>
      <c r="E73" s="5" t="s">
        <v>29</v>
      </c>
      <c r="F73" s="5"/>
      <c r="G73" s="5"/>
      <c r="H73" s="5"/>
      <c r="I73" s="5"/>
    </row>
    <row r="74" spans="1:9">
      <c r="A74" s="5" t="s">
        <v>480</v>
      </c>
      <c r="B74" s="5" t="s">
        <v>24</v>
      </c>
      <c r="C74" s="5" t="s">
        <v>493</v>
      </c>
      <c r="D74" s="5"/>
      <c r="E74" s="5" t="s">
        <v>29</v>
      </c>
      <c r="F74" s="5" t="s">
        <v>25</v>
      </c>
      <c r="G74" s="5"/>
      <c r="H74" s="5"/>
      <c r="I74" s="5"/>
    </row>
    <row r="75" spans="1:9">
      <c r="A75" s="5" t="s">
        <v>488</v>
      </c>
      <c r="B75" s="5" t="s">
        <v>24</v>
      </c>
      <c r="C75" s="5" t="s">
        <v>488</v>
      </c>
      <c r="D75" s="5"/>
      <c r="E75" s="5" t="s">
        <v>29</v>
      </c>
      <c r="F75" s="5" t="s">
        <v>25</v>
      </c>
      <c r="G75" s="5"/>
      <c r="H75" s="5"/>
      <c r="I75" s="5"/>
    </row>
    <row r="76" spans="1:9">
      <c r="A76" s="5" t="s">
        <v>510</v>
      </c>
      <c r="B76" s="5" t="s">
        <v>40</v>
      </c>
      <c r="C76" s="5" t="s">
        <v>496</v>
      </c>
      <c r="D76" s="5"/>
      <c r="E76" s="5" t="s">
        <v>41</v>
      </c>
      <c r="F76" s="5" t="s">
        <v>511</v>
      </c>
      <c r="G76" s="5" t="s">
        <v>42</v>
      </c>
      <c r="H76" s="5" t="s">
        <v>47</v>
      </c>
      <c r="I76" s="5"/>
    </row>
    <row r="77" spans="1:9">
      <c r="A77" s="5" t="s">
        <v>512</v>
      </c>
      <c r="B77" s="5" t="s">
        <v>40</v>
      </c>
      <c r="C77" s="5" t="s">
        <v>497</v>
      </c>
      <c r="D77" s="5"/>
      <c r="E77" s="5" t="s">
        <v>41</v>
      </c>
      <c r="F77" s="5" t="s">
        <v>513</v>
      </c>
      <c r="G77" s="5" t="s">
        <v>42</v>
      </c>
      <c r="H77" s="5" t="s">
        <v>47</v>
      </c>
      <c r="I77" s="5"/>
    </row>
    <row r="78" spans="1:9">
      <c r="A78" s="5" t="s">
        <v>470</v>
      </c>
      <c r="B78" s="5" t="s">
        <v>40</v>
      </c>
      <c r="C78" s="5" t="s">
        <v>467</v>
      </c>
      <c r="D78" s="5"/>
      <c r="E78" s="5" t="s">
        <v>41</v>
      </c>
      <c r="F78" s="5" t="s">
        <v>514</v>
      </c>
      <c r="G78" s="5" t="s">
        <v>42</v>
      </c>
      <c r="H78" s="5" t="s">
        <v>43</v>
      </c>
      <c r="I78" s="5"/>
    </row>
    <row r="79" spans="1:9">
      <c r="A79" s="5" t="s">
        <v>477</v>
      </c>
      <c r="B79" s="5" t="s">
        <v>40</v>
      </c>
      <c r="C79" s="5" t="s">
        <v>474</v>
      </c>
      <c r="D79" s="5"/>
      <c r="E79" s="5" t="s">
        <v>41</v>
      </c>
      <c r="F79" s="5" t="s">
        <v>515</v>
      </c>
      <c r="G79" s="5" t="s">
        <v>42</v>
      </c>
      <c r="H79" s="5" t="s">
        <v>47</v>
      </c>
      <c r="I79" s="5"/>
    </row>
    <row r="80" spans="1:9">
      <c r="A80" s="5" t="s">
        <v>473</v>
      </c>
      <c r="B80" s="5" t="s">
        <v>40</v>
      </c>
      <c r="C80" s="5" t="s">
        <v>493</v>
      </c>
      <c r="D80" s="5"/>
      <c r="E80" s="5" t="s">
        <v>41</v>
      </c>
      <c r="F80" s="5" t="s">
        <v>515</v>
      </c>
      <c r="G80" s="5" t="s">
        <v>42</v>
      </c>
      <c r="H80" s="5" t="s">
        <v>47</v>
      </c>
      <c r="I80" s="5"/>
    </row>
    <row r="81" spans="1:9">
      <c r="A81" s="5" t="s">
        <v>478</v>
      </c>
      <c r="B81" s="5" t="s">
        <v>40</v>
      </c>
      <c r="C81" s="5" t="s">
        <v>475</v>
      </c>
      <c r="D81" s="5"/>
      <c r="E81" s="5" t="s">
        <v>41</v>
      </c>
      <c r="F81" s="5" t="s">
        <v>516</v>
      </c>
      <c r="G81" s="5" t="s">
        <v>42</v>
      </c>
      <c r="H81" s="5" t="s">
        <v>43</v>
      </c>
      <c r="I81" s="5"/>
    </row>
    <row r="82" spans="1:9">
      <c r="A82" s="5" t="s">
        <v>489</v>
      </c>
      <c r="B82" s="5" t="s">
        <v>40</v>
      </c>
      <c r="C82" s="5" t="s">
        <v>488</v>
      </c>
      <c r="D82" s="5"/>
      <c r="E82" s="5" t="s">
        <v>41</v>
      </c>
      <c r="F82" s="5" t="s">
        <v>517</v>
      </c>
      <c r="G82" s="5" t="s">
        <v>42</v>
      </c>
      <c r="H82" s="5" t="s">
        <v>43</v>
      </c>
      <c r="I82" s="5"/>
    </row>
    <row r="83" spans="1:9">
      <c r="A83" s="5" t="s">
        <v>486</v>
      </c>
      <c r="B83" s="5" t="s">
        <v>40</v>
      </c>
      <c r="C83" s="5" t="s">
        <v>481</v>
      </c>
      <c r="D83" s="5"/>
      <c r="E83" s="5" t="s">
        <v>41</v>
      </c>
      <c r="F83" s="5" t="s">
        <v>515</v>
      </c>
      <c r="G83" s="5" t="s">
        <v>42</v>
      </c>
      <c r="H83" s="5" t="s">
        <v>47</v>
      </c>
      <c r="I83" s="5"/>
    </row>
    <row r="84" spans="1:9">
      <c r="A84" s="5" t="s">
        <v>487</v>
      </c>
      <c r="B84" s="5" t="s">
        <v>40</v>
      </c>
      <c r="C84" s="5" t="s">
        <v>483</v>
      </c>
      <c r="D84" s="5"/>
      <c r="E84" s="5" t="s">
        <v>41</v>
      </c>
      <c r="F84" s="5" t="s">
        <v>515</v>
      </c>
      <c r="G84" s="5" t="s">
        <v>42</v>
      </c>
      <c r="H84" s="5" t="s">
        <v>47</v>
      </c>
      <c r="I84" s="5"/>
    </row>
  </sheetData>
  <conditionalFormatting sqref="A2:A15 A17:A84">
    <cfRule type="duplicateValues" dxfId="450" priority="48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0"/>
  <sheetViews>
    <sheetView topLeftCell="A48" workbookViewId="0">
      <selection activeCell="K52" sqref="K52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54</v>
      </c>
    </row>
    <row r="2" spans="1:11">
      <c r="A2" s="5" t="s">
        <v>519</v>
      </c>
      <c r="B2" s="5" t="s">
        <v>21</v>
      </c>
      <c r="C2" s="5" t="str">
        <f>VLOOKUP([Field],Columns[],2,0)&amp;"("</f>
        <v>increments(</v>
      </c>
      <c r="D2" s="5" t="str">
        <f>IF(VLOOKUP([Field],Columns[],3,0)&lt;&gt;"","'"&amp;VLOOKUP([Field],Columns[],3,0)&amp;"'","")</f>
        <v>'id'</v>
      </c>
      <c r="E2" s="8" t="str">
        <f>IF(VLOOKUP([Field],Columns[],4,0)&lt;&gt;0,", "&amp;VLOOKUP([Field],Columns[],4,0)&amp;")",")")</f>
        <v>)</v>
      </c>
      <c r="F2" s="5" t="str">
        <f>IF(VLOOKUP([Field],Columns[],5,0)=0,"","-&gt;"&amp;VLOOKUP([Field],Columns[],5,0))</f>
        <v/>
      </c>
      <c r="G2" s="5" t="str">
        <f>IF(VLOOKUP([Field],Columns[],6,0)=0,"","-&gt;"&amp;VLOOKUP([Field],Columns[],6,0))</f>
        <v/>
      </c>
      <c r="H2" s="5" t="str">
        <f>IF(VLOOKUP([Field],Columns[],7,0)=0,"","-&gt;"&amp;VLOOKUP([Field],Columns[],7,0))</f>
        <v/>
      </c>
      <c r="I2" s="5" t="str">
        <f>IF(VLOOKUP([Field],Columns[],8,0)=0,"","-&gt;"&amp;VLOOKUP([Field],Columns[],8,0))</f>
        <v/>
      </c>
      <c r="J2" s="5" t="str">
        <f>IF(VLOOKUP([Field],Columns[],9,0)=0,"","-&gt;"&amp;VLOOKUP([Field],Columns[],9,0))</f>
        <v/>
      </c>
      <c r="K2" s="5" t="str">
        <f>"$table-&gt;"&amp;[Type]&amp;[Name]&amp;[Arg2]&amp;[Method1]&amp;[Method2]&amp;[Method3]&amp;[Method4]&amp;[Method5]&amp;";"</f>
        <v>$table-&gt;increments('id');</v>
      </c>
    </row>
    <row r="3" spans="1:11">
      <c r="A3" s="5" t="s">
        <v>519</v>
      </c>
      <c r="B3" s="5" t="s">
        <v>520</v>
      </c>
      <c r="C3" s="5" t="str">
        <f>VLOOKUP([Field],Columns[],2,0)&amp;"("</f>
        <v>char(</v>
      </c>
      <c r="D3" s="5" t="str">
        <f>IF(VLOOKUP([Field],Columns[],3,0)&lt;&gt;"","'"&amp;VLOOKUP([Field],Columns[],3,0)&amp;"'","")</f>
        <v>'code'</v>
      </c>
      <c r="E3" s="8" t="str">
        <f>IF(VLOOKUP([Field],Columns[],4,0)&lt;&gt;0,", "&amp;VLOOKUP([Field],Columns[],4,0)&amp;")",")")</f>
        <v>, 15)</v>
      </c>
      <c r="F3" s="5" t="str">
        <f>IF(VLOOKUP([Field],Columns[],5,0)=0,"","-&gt;"&amp;VLOOKUP([Field],Columns[],5,0))</f>
        <v>-&gt;nullable()</v>
      </c>
      <c r="G3" s="5" t="str">
        <f>IF(VLOOKUP([Field],Columns[],6,0)=0,"","-&gt;"&amp;VLOOKUP([Field],Columns[],6,0))</f>
        <v>-&gt;index()</v>
      </c>
      <c r="H3" s="5" t="str">
        <f>IF(VLOOKUP([Field],Columns[],7,0)=0,"","-&gt;"&amp;VLOOKUP([Field],Columns[],7,0))</f>
        <v/>
      </c>
      <c r="I3" s="5" t="str">
        <f>IF(VLOOKUP([Field],Columns[],8,0)=0,"","-&gt;"&amp;VLOOKUP([Field],Columns[],8,0))</f>
        <v/>
      </c>
      <c r="J3" s="5" t="str">
        <f>IF(VLOOKUP([Field],Columns[],9,0)=0,"","-&gt;"&amp;VLOOKUP([Field],Columns[],9,0))</f>
        <v/>
      </c>
      <c r="K3" s="5" t="str">
        <f>"$table-&gt;"&amp;[Type]&amp;[Name]&amp;[Arg2]&amp;[Method1]&amp;[Method2]&amp;[Method3]&amp;[Method4]&amp;[Method5]&amp;";"</f>
        <v>$table-&gt;char('code', 15)-&gt;nullable()-&gt;index();</v>
      </c>
    </row>
    <row r="4" spans="1:11">
      <c r="A4" s="5" t="s">
        <v>519</v>
      </c>
      <c r="B4" s="5" t="s">
        <v>26</v>
      </c>
      <c r="C4" s="5" t="str">
        <f>VLOOKUP([Field],Columns[],2,0)&amp;"("</f>
        <v>string(</v>
      </c>
      <c r="D4" s="5" t="str">
        <f>IF(VLOOKUP([Field],Columns[],3,0)&lt;&gt;"","'"&amp;VLOOKUP([Field],Columns[],3,0)&amp;"'","")</f>
        <v>'name'</v>
      </c>
      <c r="E4" s="8" t="str">
        <f>IF(VLOOKUP([Field],Columns[],4,0)&lt;&gt;0,", "&amp;VLOOKUP([Field],Columns[],4,0)&amp;")",")")</f>
        <v>, 64)</v>
      </c>
      <c r="F4" s="5" t="str">
        <f>IF(VLOOKUP([Field],Columns[],5,0)=0,"","-&gt;"&amp;VLOOKUP([Field],Columns[],5,0))</f>
        <v>-&gt;index()</v>
      </c>
      <c r="G4" s="5" t="str">
        <f>IF(VLOOKUP([Field],Columns[],6,0)=0,"","-&gt;"&amp;VLOOKUP([Field],Columns[],6,0))</f>
        <v/>
      </c>
      <c r="H4" s="5" t="str">
        <f>IF(VLOOKUP([Field],Columns[],7,0)=0,"","-&gt;"&amp;VLOOKUP([Field],Columns[],7,0))</f>
        <v/>
      </c>
      <c r="I4" s="5" t="str">
        <f>IF(VLOOKUP([Field],Columns[],8,0)=0,"","-&gt;"&amp;VLOOKUP([Field],Columns[],8,0))</f>
        <v/>
      </c>
      <c r="J4" s="5" t="str">
        <f>IF(VLOOKUP([Field],Columns[],9,0)=0,"","-&gt;"&amp;VLOOKUP([Field],Columns[],9,0))</f>
        <v/>
      </c>
      <c r="K4" s="5" t="str">
        <f>"$table-&gt;"&amp;[Type]&amp;[Name]&amp;[Arg2]&amp;[Method1]&amp;[Method2]&amp;[Method3]&amp;[Method4]&amp;[Method5]&amp;";"</f>
        <v>$table-&gt;string('name', 64)-&gt;index();</v>
      </c>
    </row>
    <row r="5" spans="1:11">
      <c r="A5" s="5" t="s">
        <v>519</v>
      </c>
      <c r="B5" s="5" t="s">
        <v>452</v>
      </c>
      <c r="C5" s="5" t="str">
        <f>VLOOKUP([Field],Columns[],2,0)&amp;"("</f>
        <v>enum(</v>
      </c>
      <c r="D5" s="5" t="str">
        <f>IF(VLOOKUP([Field],Columns[],3,0)&lt;&gt;"","'"&amp;VLOOKUP([Field],Columns[],3,0)&amp;"'","")</f>
        <v>'type'</v>
      </c>
      <c r="E5" s="8" t="str">
        <f>IF(VLOOKUP([Field],Columns[],4,0)&lt;&gt;0,", "&amp;VLOOKUP([Field],Columns[],4,0)&amp;")",")")</f>
        <v>, ['Public','Private'])</v>
      </c>
      <c r="F5" s="5" t="str">
        <f>IF(VLOOKUP([Field],Columns[],5,0)=0,"","-&gt;"&amp;VLOOKUP([Field],Columns[],5,0))</f>
        <v>-&gt;default('Public')</v>
      </c>
      <c r="G5" s="5" t="str">
        <f>IF(VLOOKUP([Field],Columns[],6,0)=0,"","-&gt;"&amp;VLOOKUP([Field],Columns[],6,0))</f>
        <v>-&gt;index()</v>
      </c>
      <c r="H5" s="5" t="str">
        <f>IF(VLOOKUP([Field],Columns[],7,0)=0,"","-&gt;"&amp;VLOOKUP([Field],Columns[],7,0))</f>
        <v/>
      </c>
      <c r="I5" s="5" t="str">
        <f>IF(VLOOKUP([Field],Columns[],8,0)=0,"","-&gt;"&amp;VLOOKUP([Field],Columns[],8,0))</f>
        <v/>
      </c>
      <c r="J5" s="5" t="str">
        <f>IF(VLOOKUP([Field],Columns[],9,0)=0,"","-&gt;"&amp;VLOOKUP([Field],Columns[],9,0))</f>
        <v/>
      </c>
      <c r="K5" s="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6" spans="1:11">
      <c r="A6" s="5" t="s">
        <v>519</v>
      </c>
      <c r="B6" s="5" t="s">
        <v>453</v>
      </c>
      <c r="C6" s="5" t="str">
        <f>VLOOKUP([Field],Columns[],2,0)&amp;"("</f>
        <v>enum(</v>
      </c>
      <c r="D6" s="5" t="str">
        <f>IF(VLOOKUP([Field],Columns[],3,0)&lt;&gt;"","'"&amp;VLOOKUP([Field],Columns[],3,0)&amp;"'","")</f>
        <v>'status'</v>
      </c>
      <c r="E6" s="8" t="str">
        <f>IF(VLOOKUP([Field],Columns[],4,0)&lt;&gt;0,", "&amp;VLOOKUP([Field],Columns[],4,0)&amp;")",")")</f>
        <v>, ['Active','Inactive'])</v>
      </c>
      <c r="F6" s="5" t="str">
        <f>IF(VLOOKUP([Field],Columns[],5,0)=0,"","-&gt;"&amp;VLOOKUP([Field],Columns[],5,0))</f>
        <v>-&gt;default('Active')</v>
      </c>
      <c r="G6" s="5" t="str">
        <f>IF(VLOOKUP([Field],Columns[],6,0)=0,"","-&gt;"&amp;VLOOKUP([Field],Columns[],6,0))</f>
        <v>-&gt;index()</v>
      </c>
      <c r="H6" s="5" t="str">
        <f>IF(VLOOKUP([Field],Columns[],7,0)=0,"","-&gt;"&amp;VLOOKUP([Field],Columns[],7,0))</f>
        <v/>
      </c>
      <c r="I6" s="5" t="str">
        <f>IF(VLOOKUP([Field],Columns[],8,0)=0,"","-&gt;"&amp;VLOOKUP([Field],Columns[],8,0))</f>
        <v/>
      </c>
      <c r="J6" s="5" t="str">
        <f>IF(VLOOKUP([Field],Columns[],9,0)=0,"","-&gt;"&amp;VLOOKUP([Field],Columns[],9,0))</f>
        <v/>
      </c>
      <c r="K6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" spans="1:11">
      <c r="A7" s="5" t="s">
        <v>519</v>
      </c>
      <c r="B7" s="5" t="s">
        <v>518</v>
      </c>
      <c r="C7" s="5" t="str">
        <f>VLOOKUP([Field],Columns[],2,0)&amp;"("</f>
        <v>audit(</v>
      </c>
      <c r="D7" s="5" t="str">
        <f>IF(VLOOKUP([Field],Columns[],3,0)&lt;&gt;"","'"&amp;VLOOKUP([Field],Columns[],3,0)&amp;"'","")</f>
        <v/>
      </c>
      <c r="E7" s="8" t="str">
        <f>IF(VLOOKUP([Field],Columns[],4,0)&lt;&gt;0,", "&amp;VLOOKUP([Field],Columns[],4,0)&amp;")",")")</f>
        <v>)</v>
      </c>
      <c r="F7" s="5" t="str">
        <f>IF(VLOOKUP([Field],Columns[],5,0)=0,"","-&gt;"&amp;VLOOKUP([Field],Columns[],5,0))</f>
        <v/>
      </c>
      <c r="G7" s="5" t="str">
        <f>IF(VLOOKUP([Field],Columns[],6,0)=0,"","-&gt;"&amp;VLOOKUP([Field],Columns[],6,0))</f>
        <v/>
      </c>
      <c r="H7" s="5" t="str">
        <f>IF(VLOOKUP([Field],Columns[],7,0)=0,"","-&gt;"&amp;VLOOKUP([Field],Columns[],7,0))</f>
        <v/>
      </c>
      <c r="I7" s="5" t="str">
        <f>IF(VLOOKUP([Field],Columns[],8,0)=0,"","-&gt;"&amp;VLOOKUP([Field],Columns[],8,0))</f>
        <v/>
      </c>
      <c r="J7" s="5" t="str">
        <f>IF(VLOOKUP([Field],Columns[],9,0)=0,"","-&gt;"&amp;VLOOKUP([Field],Columns[],9,0))</f>
        <v/>
      </c>
      <c r="K7" s="5" t="str">
        <f>"$table-&gt;"&amp;[Type]&amp;[Name]&amp;[Arg2]&amp;[Method1]&amp;[Method2]&amp;[Method3]&amp;[Method4]&amp;[Method5]&amp;";"</f>
        <v>$table-&gt;audit();</v>
      </c>
    </row>
    <row r="8" spans="1:11">
      <c r="A8" s="5" t="s">
        <v>565</v>
      </c>
      <c r="B8" s="5" t="s">
        <v>21</v>
      </c>
      <c r="C8" s="5" t="str">
        <f>VLOOKUP([Field],Columns[],2,0)&amp;"("</f>
        <v>increments(</v>
      </c>
      <c r="D8" s="5" t="str">
        <f>IF(VLOOKUP([Field],Columns[],3,0)&lt;&gt;"","'"&amp;VLOOKUP([Field],Columns[],3,0)&amp;"'","")</f>
        <v>'id'</v>
      </c>
      <c r="E8" s="8" t="str">
        <f>IF(VLOOKUP([Field],Columns[],4,0)&lt;&gt;0,", "&amp;VLOOKUP([Field],Columns[],4,0)&amp;")",")")</f>
        <v>)</v>
      </c>
      <c r="F8" s="5" t="str">
        <f>IF(VLOOKUP([Field],Columns[],5,0)=0,"","-&gt;"&amp;VLOOKUP([Field],Columns[],5,0))</f>
        <v/>
      </c>
      <c r="G8" s="5" t="str">
        <f>IF(VLOOKUP([Field],Columns[],6,0)=0,"","-&gt;"&amp;VLOOKUP([Field],Columns[],6,0))</f>
        <v/>
      </c>
      <c r="H8" s="5" t="str">
        <f>IF(VLOOKUP([Field],Columns[],7,0)=0,"","-&gt;"&amp;VLOOKUP([Field],Columns[],7,0))</f>
        <v/>
      </c>
      <c r="I8" s="5" t="str">
        <f>IF(VLOOKUP([Field],Columns[],8,0)=0,"","-&gt;"&amp;VLOOKUP([Field],Columns[],8,0))</f>
        <v/>
      </c>
      <c r="J8" s="5" t="str">
        <f>IF(VLOOKUP([Field],Columns[],9,0)=0,"","-&gt;"&amp;VLOOKUP([Field],Columns[],9,0))</f>
        <v/>
      </c>
      <c r="K8" s="5" t="str">
        <f>"$table-&gt;"&amp;[Type]&amp;[Name]&amp;[Arg2]&amp;[Method1]&amp;[Method2]&amp;[Method3]&amp;[Method4]&amp;[Method5]&amp;";"</f>
        <v>$table-&gt;increments('id');</v>
      </c>
    </row>
    <row r="9" spans="1:11">
      <c r="A9" s="5" t="s">
        <v>565</v>
      </c>
      <c r="B9" s="5" t="s">
        <v>451</v>
      </c>
      <c r="C9" s="5" t="str">
        <f>VLOOKUP([Field],Columns[],2,0)&amp;"("</f>
        <v>string(</v>
      </c>
      <c r="D9" s="5" t="str">
        <f>IF(VLOOKUP([Field],Columns[],3,0)&lt;&gt;"","'"&amp;VLOOKUP([Field],Columns[],3,0)&amp;"'","")</f>
        <v>'refno'</v>
      </c>
      <c r="E9" s="8" t="str">
        <f>IF(VLOOKUP([Field],Columns[],4,0)&lt;&gt;0,", "&amp;VLOOKUP([Field],Columns[],4,0)&amp;")",")")</f>
        <v>, 64)</v>
      </c>
      <c r="F9" s="5" t="str">
        <f>IF(VLOOKUP([Field],Columns[],5,0)=0,"","-&gt;"&amp;VLOOKUP([Field],Columns[],5,0))</f>
        <v>-&gt;nullable()</v>
      </c>
      <c r="G9" s="5" t="str">
        <f>IF(VLOOKUP([Field],Columns[],6,0)=0,"","-&gt;"&amp;VLOOKUP([Field],Columns[],6,0))</f>
        <v/>
      </c>
      <c r="H9" s="5" t="str">
        <f>IF(VLOOKUP([Field],Columns[],7,0)=0,"","-&gt;"&amp;VLOOKUP([Field],Columns[],7,0))</f>
        <v/>
      </c>
      <c r="I9" s="5" t="str">
        <f>IF(VLOOKUP([Field],Columns[],8,0)=0,"","-&gt;"&amp;VLOOKUP([Field],Columns[],8,0))</f>
        <v/>
      </c>
      <c r="J9" s="5" t="str">
        <f>IF(VLOOKUP([Field],Columns[],9,0)=0,"","-&gt;"&amp;VLOOKUP([Field],Columns[],9,0))</f>
        <v/>
      </c>
      <c r="K9" s="5" t="str">
        <f>"$table-&gt;"&amp;[Type]&amp;[Name]&amp;[Arg2]&amp;[Method1]&amp;[Method2]&amp;[Method3]&amp;[Method4]&amp;[Method5]&amp;";"</f>
        <v>$table-&gt;string('refno', 64)-&gt;nullable();</v>
      </c>
    </row>
    <row r="10" spans="1:11">
      <c r="A10" s="5" t="s">
        <v>565</v>
      </c>
      <c r="B10" s="5" t="s">
        <v>519</v>
      </c>
      <c r="C10" s="5" t="str">
        <f>VLOOKUP([Field],Columns[],2,0)&amp;"("</f>
        <v>unsignedInteger(</v>
      </c>
      <c r="D10" s="5" t="str">
        <f>IF(VLOOKUP([Field],Columns[],3,0)&lt;&gt;"","'"&amp;VLOOKUP([Field],Columns[],3,0)&amp;"'","")</f>
        <v>'group'</v>
      </c>
      <c r="E10" s="8" t="str">
        <f>IF(VLOOKUP([Field],Columns[],4,0)&lt;&gt;0,", "&amp;VLOOKUP([Field],Columns[],4,0)&amp;")",")")</f>
        <v>)</v>
      </c>
      <c r="F10" s="5" t="str">
        <f>IF(VLOOKUP([Field],Columns[],5,0)=0,"","-&gt;"&amp;VLOOKUP([Field],Columns[],5,0))</f>
        <v>-&gt;nullable()</v>
      </c>
      <c r="G10" s="5" t="str">
        <f>IF(VLOOKUP([Field],Columns[],6,0)=0,"","-&gt;"&amp;VLOOKUP([Field],Columns[],6,0))</f>
        <v>-&gt;index()</v>
      </c>
      <c r="H10" s="5" t="str">
        <f>IF(VLOOKUP([Field],Columns[],7,0)=0,"","-&gt;"&amp;VLOOKUP([Field],Columns[],7,0))</f>
        <v/>
      </c>
      <c r="I10" s="5" t="str">
        <f>IF(VLOOKUP([Field],Columns[],8,0)=0,"","-&gt;"&amp;VLOOKUP([Field],Columns[],8,0))</f>
        <v/>
      </c>
      <c r="J10" s="5" t="str">
        <f>IF(VLOOKUP([Field],Columns[],9,0)=0,"","-&gt;"&amp;VLOOKUP([Field],Columns[],9,0))</f>
        <v/>
      </c>
      <c r="K10" s="5" t="str">
        <f>"$table-&gt;"&amp;[Type]&amp;[Name]&amp;[Arg2]&amp;[Method1]&amp;[Method2]&amp;[Method3]&amp;[Method4]&amp;[Method5]&amp;";"</f>
        <v>$table-&gt;unsignedInteger('group')-&gt;nullable()-&gt;index();</v>
      </c>
    </row>
    <row r="11" spans="1:11">
      <c r="A11" s="5" t="s">
        <v>565</v>
      </c>
      <c r="B11" s="5" t="s">
        <v>520</v>
      </c>
      <c r="C11" s="5" t="str">
        <f>VLOOKUP([Field],Columns[],2,0)&amp;"("</f>
        <v>char(</v>
      </c>
      <c r="D11" s="5" t="str">
        <f>IF(VLOOKUP([Field],Columns[],3,0)&lt;&gt;"","'"&amp;VLOOKUP([Field],Columns[],3,0)&amp;"'","")</f>
        <v>'code'</v>
      </c>
      <c r="E11" s="8" t="str">
        <f>IF(VLOOKUP([Field],Columns[],4,0)&lt;&gt;0,", "&amp;VLOOKUP([Field],Columns[],4,0)&amp;")",")")</f>
        <v>, 15)</v>
      </c>
      <c r="F11" s="5" t="str">
        <f>IF(VLOOKUP([Field],Columns[],5,0)=0,"","-&gt;"&amp;VLOOKUP([Field],Columns[],5,0))</f>
        <v>-&gt;nullable()</v>
      </c>
      <c r="G11" s="5" t="str">
        <f>IF(VLOOKUP([Field],Columns[],6,0)=0,"","-&gt;"&amp;VLOOKUP([Field],Columns[],6,0))</f>
        <v>-&gt;index()</v>
      </c>
      <c r="H11" s="5" t="str">
        <f>IF(VLOOKUP([Field],Columns[],7,0)=0,"","-&gt;"&amp;VLOOKUP([Field],Columns[],7,0))</f>
        <v/>
      </c>
      <c r="I11" s="5" t="str">
        <f>IF(VLOOKUP([Field],Columns[],8,0)=0,"","-&gt;"&amp;VLOOKUP([Field],Columns[],8,0))</f>
        <v/>
      </c>
      <c r="J11" s="5" t="str">
        <f>IF(VLOOKUP([Field],Columns[],9,0)=0,"","-&gt;"&amp;VLOOKUP([Field],Columns[],9,0))</f>
        <v/>
      </c>
      <c r="K11" s="5" t="str">
        <f>"$table-&gt;"&amp;[Type]&amp;[Name]&amp;[Arg2]&amp;[Method1]&amp;[Method2]&amp;[Method3]&amp;[Method4]&amp;[Method5]&amp;";"</f>
        <v>$table-&gt;char('code', 15)-&gt;nullable()-&gt;index();</v>
      </c>
    </row>
    <row r="12" spans="1:11">
      <c r="A12" s="5" t="s">
        <v>565</v>
      </c>
      <c r="B12" s="5" t="s">
        <v>26</v>
      </c>
      <c r="C12" s="5" t="str">
        <f>VLOOKUP([Field],Columns[],2,0)&amp;"("</f>
        <v>string(</v>
      </c>
      <c r="D12" s="5" t="str">
        <f>IF(VLOOKUP([Field],Columns[],3,0)&lt;&gt;"","'"&amp;VLOOKUP([Field],Columns[],3,0)&amp;"'","")</f>
        <v>'name'</v>
      </c>
      <c r="E12" s="8" t="str">
        <f>IF(VLOOKUP([Field],Columns[],4,0)&lt;&gt;0,", "&amp;VLOOKUP([Field],Columns[],4,0)&amp;")",")")</f>
        <v>, 64)</v>
      </c>
      <c r="F12" s="5" t="str">
        <f>IF(VLOOKUP([Field],Columns[],5,0)=0,"","-&gt;"&amp;VLOOKUP([Field],Columns[],5,0))</f>
        <v>-&gt;index()</v>
      </c>
      <c r="G12" s="5" t="str">
        <f>IF(VLOOKUP([Field],Columns[],6,0)=0,"","-&gt;"&amp;VLOOKUP([Field],Columns[],6,0))</f>
        <v/>
      </c>
      <c r="H12" s="5" t="str">
        <f>IF(VLOOKUP([Field],Columns[],7,0)=0,"","-&gt;"&amp;VLOOKUP([Field],Columns[],7,0))</f>
        <v/>
      </c>
      <c r="I12" s="5" t="str">
        <f>IF(VLOOKUP([Field],Columns[],8,0)=0,"","-&gt;"&amp;VLOOKUP([Field],Columns[],8,0))</f>
        <v/>
      </c>
      <c r="J12" s="5" t="str">
        <f>IF(VLOOKUP([Field],Columns[],9,0)=0,"","-&gt;"&amp;VLOOKUP([Field],Columns[],9,0))</f>
        <v/>
      </c>
      <c r="K12" s="5" t="str">
        <f>"$table-&gt;"&amp;[Type]&amp;[Name]&amp;[Arg2]&amp;[Method1]&amp;[Method2]&amp;[Method3]&amp;[Method4]&amp;[Method5]&amp;";"</f>
        <v>$table-&gt;string('name', 64)-&gt;index();</v>
      </c>
    </row>
    <row r="13" spans="1:11">
      <c r="A13" s="5" t="s">
        <v>565</v>
      </c>
      <c r="B13" s="5" t="s">
        <v>492</v>
      </c>
      <c r="C13" s="5" t="str">
        <f>VLOOKUP([Field],Columns[],2,0)&amp;"("</f>
        <v>enum(</v>
      </c>
      <c r="D13" s="5" t="str">
        <f>IF(VLOOKUP([Field],Columns[],3,0)&lt;&gt;"","'"&amp;VLOOKUP([Field],Columns[],3,0)&amp;"'","")</f>
        <v>'list'</v>
      </c>
      <c r="E13" s="8" t="str">
        <f>IF(VLOOKUP([Field],Columns[],4,0)&lt;&gt;0,", "&amp;VLOOKUP([Field],Columns[],4,0)&amp;")",")")</f>
        <v>, ['Yes','No'])</v>
      </c>
      <c r="F13" s="5" t="str">
        <f>IF(VLOOKUP([Field],Columns[],5,0)=0,"","-&gt;"&amp;VLOOKUP([Field],Columns[],5,0))</f>
        <v>-&gt;default('Yes')</v>
      </c>
      <c r="G13" s="5" t="str">
        <f>IF(VLOOKUP([Field],Columns[],6,0)=0,"","-&gt;"&amp;VLOOKUP([Field],Columns[],6,0))</f>
        <v/>
      </c>
      <c r="H13" s="5" t="str">
        <f>IF(VLOOKUP([Field],Columns[],7,0)=0,"","-&gt;"&amp;VLOOKUP([Field],Columns[],7,0))</f>
        <v/>
      </c>
      <c r="I13" s="5" t="str">
        <f>IF(VLOOKUP([Field],Columns[],8,0)=0,"","-&gt;"&amp;VLOOKUP([Field],Columns[],8,0))</f>
        <v/>
      </c>
      <c r="J13" s="5" t="str">
        <f>IF(VLOOKUP([Field],Columns[],9,0)=0,"","-&gt;"&amp;VLOOKUP([Field],Columns[],9,0))</f>
        <v/>
      </c>
      <c r="K13" s="5" t="str">
        <f>"$table-&gt;"&amp;[Type]&amp;[Name]&amp;[Arg2]&amp;[Method1]&amp;[Method2]&amp;[Method3]&amp;[Method4]&amp;[Method5]&amp;";"</f>
        <v>$table-&gt;enum('list', ['Yes','No'])-&gt;default('Yes');</v>
      </c>
    </row>
    <row r="14" spans="1:11">
      <c r="A14" s="5" t="s">
        <v>565</v>
      </c>
      <c r="B14" s="5" t="s">
        <v>452</v>
      </c>
      <c r="C14" s="5" t="str">
        <f>VLOOKUP([Field],Columns[],2,0)&amp;"("</f>
        <v>enum(</v>
      </c>
      <c r="D14" s="5" t="str">
        <f>IF(VLOOKUP([Field],Columns[],3,0)&lt;&gt;"","'"&amp;VLOOKUP([Field],Columns[],3,0)&amp;"'","")</f>
        <v>'type'</v>
      </c>
      <c r="E14" s="8" t="str">
        <f>IF(VLOOKUP([Field],Columns[],4,0)&lt;&gt;0,", "&amp;VLOOKUP([Field],Columns[],4,0)&amp;")",")")</f>
        <v>, ['Public','Private'])</v>
      </c>
      <c r="F14" s="5" t="str">
        <f>IF(VLOOKUP([Field],Columns[],5,0)=0,"","-&gt;"&amp;VLOOKUP([Field],Columns[],5,0))</f>
        <v>-&gt;default('Public')</v>
      </c>
      <c r="G14" s="5" t="str">
        <f>IF(VLOOKUP([Field],Columns[],6,0)=0,"","-&gt;"&amp;VLOOKUP([Field],Columns[],6,0))</f>
        <v>-&gt;index()</v>
      </c>
      <c r="H14" s="5" t="str">
        <f>IF(VLOOKUP([Field],Columns[],7,0)=0,"","-&gt;"&amp;VLOOKUP([Field],Columns[],7,0))</f>
        <v/>
      </c>
      <c r="I14" s="5" t="str">
        <f>IF(VLOOKUP([Field],Columns[],8,0)=0,"","-&gt;"&amp;VLOOKUP([Field],Columns[],8,0))</f>
        <v/>
      </c>
      <c r="J14" s="5" t="str">
        <f>IF(VLOOKUP([Field],Columns[],9,0)=0,"","-&gt;"&amp;VLOOKUP([Field],Columns[],9,0))</f>
        <v/>
      </c>
      <c r="K14" s="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15" spans="1:11">
      <c r="A15" s="5" t="s">
        <v>565</v>
      </c>
      <c r="B15" s="5" t="s">
        <v>453</v>
      </c>
      <c r="C15" s="5" t="str">
        <f>VLOOKUP([Field],Columns[],2,0)&amp;"("</f>
        <v>enum(</v>
      </c>
      <c r="D15" s="5" t="str">
        <f>IF(VLOOKUP([Field],Columns[],3,0)&lt;&gt;"","'"&amp;VLOOKUP([Field],Columns[],3,0)&amp;"'","")</f>
        <v>'status'</v>
      </c>
      <c r="E15" s="8" t="str">
        <f>IF(VLOOKUP([Field],Columns[],4,0)&lt;&gt;0,", "&amp;VLOOKUP([Field],Columns[],4,0)&amp;")",")")</f>
        <v>, ['Active','Inactive'])</v>
      </c>
      <c r="F15" s="5" t="str">
        <f>IF(VLOOKUP([Field],Columns[],5,0)=0,"","-&gt;"&amp;VLOOKUP([Field],Columns[],5,0))</f>
        <v>-&gt;default('Active')</v>
      </c>
      <c r="G15" s="5" t="str">
        <f>IF(VLOOKUP([Field],Columns[],6,0)=0,"","-&gt;"&amp;VLOOKUP([Field],Columns[],6,0))</f>
        <v>-&gt;index()</v>
      </c>
      <c r="H15" s="5" t="str">
        <f>IF(VLOOKUP([Field],Columns[],7,0)=0,"","-&gt;"&amp;VLOOKUP([Field],Columns[],7,0))</f>
        <v/>
      </c>
      <c r="I15" s="5" t="str">
        <f>IF(VLOOKUP([Field],Columns[],8,0)=0,"","-&gt;"&amp;VLOOKUP([Field],Columns[],8,0))</f>
        <v/>
      </c>
      <c r="J15" s="5" t="str">
        <f>IF(VLOOKUP([Field],Columns[],9,0)=0,"","-&gt;"&amp;VLOOKUP([Field],Columns[],9,0))</f>
        <v/>
      </c>
      <c r="K15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6" spans="1:11">
      <c r="A16" s="5" t="s">
        <v>565</v>
      </c>
      <c r="B16" s="5" t="s">
        <v>518</v>
      </c>
      <c r="C16" s="5" t="str">
        <f>VLOOKUP([Field],Columns[],2,0)&amp;"("</f>
        <v>audit(</v>
      </c>
      <c r="D16" s="5" t="str">
        <f>IF(VLOOKUP([Field],Columns[],3,0)&lt;&gt;"","'"&amp;VLOOKUP([Field],Columns[],3,0)&amp;"'","")</f>
        <v/>
      </c>
      <c r="E16" s="8" t="str">
        <f>IF(VLOOKUP([Field],Columns[],4,0)&lt;&gt;0,", "&amp;VLOOKUP([Field],Columns[],4,0)&amp;")",")")</f>
        <v>)</v>
      </c>
      <c r="F16" s="5" t="str">
        <f>IF(VLOOKUP([Field],Columns[],5,0)=0,"","-&gt;"&amp;VLOOKUP([Field],Columns[],5,0))</f>
        <v/>
      </c>
      <c r="G16" s="5" t="str">
        <f>IF(VLOOKUP([Field],Columns[],6,0)=0,"","-&gt;"&amp;VLOOKUP([Field],Columns[],6,0))</f>
        <v/>
      </c>
      <c r="H16" s="5" t="str">
        <f>IF(VLOOKUP([Field],Columns[],7,0)=0,"","-&gt;"&amp;VLOOKUP([Field],Columns[],7,0))</f>
        <v/>
      </c>
      <c r="I16" s="5" t="str">
        <f>IF(VLOOKUP([Field],Columns[],8,0)=0,"","-&gt;"&amp;VLOOKUP([Field],Columns[],8,0))</f>
        <v/>
      </c>
      <c r="J16" s="5" t="str">
        <f>IF(VLOOKUP([Field],Columns[],9,0)=0,"","-&gt;"&amp;VLOOKUP([Field],Columns[],9,0))</f>
        <v/>
      </c>
      <c r="K16" s="5" t="str">
        <f>"$table-&gt;"&amp;[Type]&amp;[Name]&amp;[Arg2]&amp;[Method1]&amp;[Method2]&amp;[Method3]&amp;[Method4]&amp;[Method5]&amp;";"</f>
        <v>$table-&gt;audit();</v>
      </c>
    </row>
    <row r="17" spans="1:11">
      <c r="A17" s="5" t="s">
        <v>565</v>
      </c>
      <c r="B17" s="5" t="s">
        <v>521</v>
      </c>
      <c r="C17" s="5" t="str">
        <f>VLOOKUP([Field],Columns[],2,0)&amp;"("</f>
        <v>foreign(</v>
      </c>
      <c r="D17" s="5" t="str">
        <f>IF(VLOOKUP([Field],Columns[],3,0)&lt;&gt;"","'"&amp;VLOOKUP([Field],Columns[],3,0)&amp;"'","")</f>
        <v>'group'</v>
      </c>
      <c r="E17" s="8" t="str">
        <f>IF(VLOOKUP([Field],Columns[],4,0)&lt;&gt;0,", "&amp;VLOOKUP([Field],Columns[],4,0)&amp;")",")")</f>
        <v>)</v>
      </c>
      <c r="F17" s="5" t="str">
        <f>IF(VLOOKUP([Field],Columns[],5,0)=0,"","-&gt;"&amp;VLOOKUP([Field],Columns[],5,0))</f>
        <v>-&gt;references('id')</v>
      </c>
      <c r="G17" s="5" t="str">
        <f>IF(VLOOKUP([Field],Columns[],6,0)=0,"","-&gt;"&amp;VLOOKUP([Field],Columns[],6,0))</f>
        <v>-&gt;on('group_master')</v>
      </c>
      <c r="H17" s="5" t="str">
        <f>IF(VLOOKUP([Field],Columns[],7,0)=0,"","-&gt;"&amp;VLOOKUP([Field],Columns[],7,0))</f>
        <v>-&gt;onUpdate('cascade')</v>
      </c>
      <c r="I17" s="5" t="str">
        <f>IF(VLOOKUP([Field],Columns[],8,0)=0,"","-&gt;"&amp;VLOOKUP([Field],Columns[],8,0))</f>
        <v>-&gt;onDelete('cascade')</v>
      </c>
      <c r="J17" s="5" t="str">
        <f>IF(VLOOKUP([Field],Columns[],9,0)=0,"","-&gt;"&amp;VLOOKUP([Field],Columns[],9,0))</f>
        <v/>
      </c>
      <c r="K17" s="5" t="str">
        <f>"$table-&gt;"&amp;[Type]&amp;[Name]&amp;[Arg2]&amp;[Method1]&amp;[Method2]&amp;[Method3]&amp;[Method4]&amp;[Method5]&amp;";"</f>
        <v>$table-&gt;foreign('group')-&gt;references('id')-&gt;on('group_master')-&gt;onUpdate('cascade')-&gt;onDelete('cascade');</v>
      </c>
    </row>
    <row r="18" spans="1:11">
      <c r="A18" s="5" t="s">
        <v>442</v>
      </c>
      <c r="B18" s="5" t="s">
        <v>21</v>
      </c>
      <c r="C18" s="5" t="str">
        <f>VLOOKUP([Field],Columns[],2,0)&amp;"("</f>
        <v>increments(</v>
      </c>
      <c r="D18" s="5" t="str">
        <f>IF(VLOOKUP([Field],Columns[],3,0)&lt;&gt;"","'"&amp;VLOOKUP([Field],Columns[],3,0)&amp;"'","")</f>
        <v>'id'</v>
      </c>
      <c r="E18" s="8" t="str">
        <f>IF(VLOOKUP([Field],Columns[],4,0)&lt;&gt;0,", "&amp;VLOOKUP([Field],Columns[],4,0)&amp;")",")")</f>
        <v>)</v>
      </c>
      <c r="F18" s="5" t="str">
        <f>IF(VLOOKUP([Field],Columns[],5,0)=0,"","-&gt;"&amp;VLOOKUP([Field],Columns[],5,0))</f>
        <v/>
      </c>
      <c r="G18" s="5" t="str">
        <f>IF(VLOOKUP([Field],Columns[],6,0)=0,"","-&gt;"&amp;VLOOKUP([Field],Columns[],6,0))</f>
        <v/>
      </c>
      <c r="H18" s="5" t="str">
        <f>IF(VLOOKUP([Field],Columns[],7,0)=0,"","-&gt;"&amp;VLOOKUP([Field],Columns[],7,0))</f>
        <v/>
      </c>
      <c r="I18" s="5" t="str">
        <f>IF(VLOOKUP([Field],Columns[],8,0)=0,"","-&gt;"&amp;VLOOKUP([Field],Columns[],8,0))</f>
        <v/>
      </c>
      <c r="J18" s="5" t="str">
        <f>IF(VLOOKUP([Field],Columns[],9,0)=0,"","-&gt;"&amp;VLOOKUP([Field],Columns[],9,0))</f>
        <v/>
      </c>
      <c r="K18" s="5" t="str">
        <f>"$table-&gt;"&amp;[Type]&amp;[Name]&amp;[Arg2]&amp;[Method1]&amp;[Method2]&amp;[Method3]&amp;[Method4]&amp;[Method5]&amp;";"</f>
        <v>$table-&gt;increments('id');</v>
      </c>
    </row>
    <row r="19" spans="1:11">
      <c r="A19" s="5" t="s">
        <v>442</v>
      </c>
      <c r="B19" s="5" t="s">
        <v>520</v>
      </c>
      <c r="C19" s="5" t="str">
        <f>VLOOKUP([Field],Columns[],2,0)&amp;"("</f>
        <v>char(</v>
      </c>
      <c r="D19" s="5" t="str">
        <f>IF(VLOOKUP([Field],Columns[],3,0)&lt;&gt;"","'"&amp;VLOOKUP([Field],Columns[],3,0)&amp;"'","")</f>
        <v>'code'</v>
      </c>
      <c r="E19" s="8" t="str">
        <f>IF(VLOOKUP([Field],Columns[],4,0)&lt;&gt;0,", "&amp;VLOOKUP([Field],Columns[],4,0)&amp;")",")")</f>
        <v>, 15)</v>
      </c>
      <c r="F19" s="5" t="str">
        <f>IF(VLOOKUP([Field],Columns[],5,0)=0,"","-&gt;"&amp;VLOOKUP([Field],Columns[],5,0))</f>
        <v>-&gt;nullable()</v>
      </c>
      <c r="G19" s="5" t="str">
        <f>IF(VLOOKUP([Field],Columns[],6,0)=0,"","-&gt;"&amp;VLOOKUP([Field],Columns[],6,0))</f>
        <v>-&gt;index()</v>
      </c>
      <c r="H19" s="5" t="str">
        <f>IF(VLOOKUP([Field],Columns[],7,0)=0,"","-&gt;"&amp;VLOOKUP([Field],Columns[],7,0))</f>
        <v/>
      </c>
      <c r="I19" s="5" t="str">
        <f>IF(VLOOKUP([Field],Columns[],8,0)=0,"","-&gt;"&amp;VLOOKUP([Field],Columns[],8,0))</f>
        <v/>
      </c>
      <c r="J19" s="5" t="str">
        <f>IF(VLOOKUP([Field],Columns[],9,0)=0,"","-&gt;"&amp;VLOOKUP([Field],Columns[],9,0))</f>
        <v/>
      </c>
      <c r="K19" s="5" t="str">
        <f>"$table-&gt;"&amp;[Type]&amp;[Name]&amp;[Arg2]&amp;[Method1]&amp;[Method2]&amp;[Method3]&amp;[Method4]&amp;[Method5]&amp;";"</f>
        <v>$table-&gt;char('code', 15)-&gt;nullable()-&gt;index();</v>
      </c>
    </row>
    <row r="20" spans="1:11">
      <c r="A20" s="5" t="s">
        <v>442</v>
      </c>
      <c r="B20" s="5" t="s">
        <v>454</v>
      </c>
      <c r="C20" s="5" t="str">
        <f>VLOOKUP([Field],Columns[],2,0)&amp;"("</f>
        <v>string(</v>
      </c>
      <c r="D20" s="5" t="str">
        <f>IF(VLOOKUP([Field],Columns[],3,0)&lt;&gt;"","'"&amp;VLOOKUP([Field],Columns[],3,0)&amp;"'","")</f>
        <v>'name'</v>
      </c>
      <c r="E20" s="8" t="str">
        <f>IF(VLOOKUP([Field],Columns[],4,0)&lt;&gt;0,", "&amp;VLOOKUP([Field],Columns[],4,0)&amp;")",")")</f>
        <v>, 64)</v>
      </c>
      <c r="F20" s="5" t="str">
        <f>IF(VLOOKUP([Field],Columns[],5,0)=0,"","-&gt;"&amp;VLOOKUP([Field],Columns[],5,0))</f>
        <v>-&gt;nullable()</v>
      </c>
      <c r="G20" s="5" t="str">
        <f>IF(VLOOKUP([Field],Columns[],6,0)=0,"","-&gt;"&amp;VLOOKUP([Field],Columns[],6,0))</f>
        <v/>
      </c>
      <c r="H20" s="5" t="str">
        <f>IF(VLOOKUP([Field],Columns[],7,0)=0,"","-&gt;"&amp;VLOOKUP([Field],Columns[],7,0))</f>
        <v/>
      </c>
      <c r="I20" s="5" t="str">
        <f>IF(VLOOKUP([Field],Columns[],8,0)=0,"","-&gt;"&amp;VLOOKUP([Field],Columns[],8,0))</f>
        <v/>
      </c>
      <c r="J20" s="5" t="str">
        <f>IF(VLOOKUP([Field],Columns[],9,0)=0,"","-&gt;"&amp;VLOOKUP([Field],Columns[],9,0))</f>
        <v/>
      </c>
      <c r="K20" s="5" t="str">
        <f>"$table-&gt;"&amp;[Type]&amp;[Name]&amp;[Arg2]&amp;[Method1]&amp;[Method2]&amp;[Method3]&amp;[Method4]&amp;[Method5]&amp;";"</f>
        <v>$table-&gt;string('name', 64)-&gt;nullable();</v>
      </c>
    </row>
    <row r="21" spans="1:11">
      <c r="A21" s="5" t="s">
        <v>442</v>
      </c>
      <c r="B21" s="5" t="s">
        <v>28</v>
      </c>
      <c r="C21" s="5" t="str">
        <f>VLOOKUP([Field],Columns[],2,0)&amp;"("</f>
        <v>string(</v>
      </c>
      <c r="D21" s="5" t="str">
        <f>IF(VLOOKUP([Field],Columns[],3,0)&lt;&gt;"","'"&amp;VLOOKUP([Field],Columns[],3,0)&amp;"'","")</f>
        <v>'description'</v>
      </c>
      <c r="E21" s="8" t="str">
        <f>IF(VLOOKUP([Field],Columns[],4,0)&lt;&gt;0,", "&amp;VLOOKUP([Field],Columns[],4,0)&amp;")",")")</f>
        <v>, 1024)</v>
      </c>
      <c r="F21" s="5" t="str">
        <f>IF(VLOOKUP([Field],Columns[],5,0)=0,"","-&gt;"&amp;VLOOKUP([Field],Columns[],5,0))</f>
        <v>-&gt;nullable()</v>
      </c>
      <c r="G21" s="5" t="str">
        <f>IF(VLOOKUP([Field],Columns[],6,0)=0,"","-&gt;"&amp;VLOOKUP([Field],Columns[],6,0))</f>
        <v/>
      </c>
      <c r="H21" s="5" t="str">
        <f>IF(VLOOKUP([Field],Columns[],7,0)=0,"","-&gt;"&amp;VLOOKUP([Field],Columns[],7,0))</f>
        <v/>
      </c>
      <c r="I21" s="5" t="str">
        <f>IF(VLOOKUP([Field],Columns[],8,0)=0,"","-&gt;"&amp;VLOOKUP([Field],Columns[],8,0))</f>
        <v/>
      </c>
      <c r="J21" s="5" t="str">
        <f>IF(VLOOKUP([Field],Columns[],9,0)=0,"","-&gt;"&amp;VLOOKUP([Field],Columns[],9,0))</f>
        <v/>
      </c>
      <c r="K21" s="5" t="str">
        <f>"$table-&gt;"&amp;[Type]&amp;[Name]&amp;[Arg2]&amp;[Method1]&amp;[Method2]&amp;[Method3]&amp;[Method4]&amp;[Method5]&amp;";"</f>
        <v>$table-&gt;string('description', 1024)-&gt;nullable();</v>
      </c>
    </row>
    <row r="22" spans="1:11">
      <c r="A22" s="5" t="s">
        <v>442</v>
      </c>
      <c r="B22" s="5" t="s">
        <v>455</v>
      </c>
      <c r="C22" s="5" t="str">
        <f>VLOOKUP([Field],Columns[],2,0)&amp;"("</f>
        <v>string(</v>
      </c>
      <c r="D22" s="5" t="str">
        <f>IF(VLOOKUP([Field],Columns[],3,0)&lt;&gt;"","'"&amp;VLOOKUP([Field],Columns[],3,0)&amp;"'","")</f>
        <v>'narration'</v>
      </c>
      <c r="E22" s="8" t="str">
        <f>IF(VLOOKUP([Field],Columns[],4,0)&lt;&gt;0,", "&amp;VLOOKUP([Field],Columns[],4,0)&amp;")",")")</f>
        <v>, 800)</v>
      </c>
      <c r="F22" s="5" t="str">
        <f>IF(VLOOKUP([Field],Columns[],5,0)=0,"","-&gt;"&amp;VLOOKUP([Field],Columns[],5,0))</f>
        <v>-&gt;nullable()</v>
      </c>
      <c r="G22" s="5" t="str">
        <f>IF(VLOOKUP([Field],Columns[],6,0)=0,"","-&gt;"&amp;VLOOKUP([Field],Columns[],6,0))</f>
        <v/>
      </c>
      <c r="H22" s="5" t="str">
        <f>IF(VLOOKUP([Field],Columns[],7,0)=0,"","-&gt;"&amp;VLOOKUP([Field],Columns[],7,0))</f>
        <v/>
      </c>
      <c r="I22" s="5" t="str">
        <f>IF(VLOOKUP([Field],Columns[],8,0)=0,"","-&gt;"&amp;VLOOKUP([Field],Columns[],8,0))</f>
        <v/>
      </c>
      <c r="J22" s="5" t="str">
        <f>IF(VLOOKUP([Field],Columns[],9,0)=0,"","-&gt;"&amp;VLOOKUP([Field],Columns[],9,0))</f>
        <v/>
      </c>
      <c r="K22" s="5" t="str">
        <f>"$table-&gt;"&amp;[Type]&amp;[Name]&amp;[Arg2]&amp;[Method1]&amp;[Method2]&amp;[Method3]&amp;[Method4]&amp;[Method5]&amp;";"</f>
        <v>$table-&gt;string('narration', 800)-&gt;nullable();</v>
      </c>
    </row>
    <row r="23" spans="1:11">
      <c r="A23" s="5" t="s">
        <v>442</v>
      </c>
      <c r="B23" s="5" t="s">
        <v>456</v>
      </c>
      <c r="C23" s="5" t="str">
        <f>VLOOKUP([Field],Columns[],2,0)&amp;"("</f>
        <v>string(</v>
      </c>
      <c r="D23" s="5" t="str">
        <f>IF(VLOOKUP([Field],Columns[],3,0)&lt;&gt;"","'"&amp;VLOOKUP([Field],Columns[],3,0)&amp;"'","")</f>
        <v>'narration2'</v>
      </c>
      <c r="E23" s="8" t="str">
        <f>IF(VLOOKUP([Field],Columns[],4,0)&lt;&gt;0,", "&amp;VLOOKUP([Field],Columns[],4,0)&amp;")",")")</f>
        <v>, 800)</v>
      </c>
      <c r="F23" s="5" t="str">
        <f>IF(VLOOKUP([Field],Columns[],5,0)=0,"","-&gt;"&amp;VLOOKUP([Field],Columns[],5,0))</f>
        <v>-&gt;nullable()</v>
      </c>
      <c r="G23" s="5" t="str">
        <f>IF(VLOOKUP([Field],Columns[],6,0)=0,"","-&gt;"&amp;VLOOKUP([Field],Columns[],6,0))</f>
        <v/>
      </c>
      <c r="H23" s="5" t="str">
        <f>IF(VLOOKUP([Field],Columns[],7,0)=0,"","-&gt;"&amp;VLOOKUP([Field],Columns[],7,0))</f>
        <v/>
      </c>
      <c r="I23" s="5" t="str">
        <f>IF(VLOOKUP([Field],Columns[],8,0)=0,"","-&gt;"&amp;VLOOKUP([Field],Columns[],8,0))</f>
        <v/>
      </c>
      <c r="J23" s="5" t="str">
        <f>IF(VLOOKUP([Field],Columns[],9,0)=0,"","-&gt;"&amp;VLOOKUP([Field],Columns[],9,0))</f>
        <v/>
      </c>
      <c r="K23" s="5" t="str">
        <f>"$table-&gt;"&amp;[Type]&amp;[Name]&amp;[Arg2]&amp;[Method1]&amp;[Method2]&amp;[Method3]&amp;[Method4]&amp;[Method5]&amp;";"</f>
        <v>$table-&gt;string('narration2', 800)-&gt;nullable();</v>
      </c>
    </row>
    <row r="24" spans="1:11">
      <c r="A24" s="5" t="s">
        <v>442</v>
      </c>
      <c r="B24" s="5" t="s">
        <v>457</v>
      </c>
      <c r="C24" s="5" t="str">
        <f>VLOOKUP([Field],Columns[],2,0)&amp;"("</f>
        <v>string(</v>
      </c>
      <c r="D24" s="5" t="str">
        <f>IF(VLOOKUP([Field],Columns[],3,0)&lt;&gt;"","'"&amp;VLOOKUP([Field],Columns[],3,0)&amp;"'","")</f>
        <v>'narration3'</v>
      </c>
      <c r="E24" s="8" t="str">
        <f>IF(VLOOKUP([Field],Columns[],4,0)&lt;&gt;0,", "&amp;VLOOKUP([Field],Columns[],4,0)&amp;")",")")</f>
        <v>, 800)</v>
      </c>
      <c r="F24" s="5" t="str">
        <f>IF(VLOOKUP([Field],Columns[],5,0)=0,"","-&gt;"&amp;VLOOKUP([Field],Columns[],5,0))</f>
        <v>-&gt;nullable()</v>
      </c>
      <c r="G24" s="5" t="str">
        <f>IF(VLOOKUP([Field],Columns[],6,0)=0,"","-&gt;"&amp;VLOOKUP([Field],Columns[],6,0))</f>
        <v/>
      </c>
      <c r="H24" s="5" t="str">
        <f>IF(VLOOKUP([Field],Columns[],7,0)=0,"","-&gt;"&amp;VLOOKUP([Field],Columns[],7,0))</f>
        <v/>
      </c>
      <c r="I24" s="5" t="str">
        <f>IF(VLOOKUP([Field],Columns[],8,0)=0,"","-&gt;"&amp;VLOOKUP([Field],Columns[],8,0))</f>
        <v/>
      </c>
      <c r="J24" s="5" t="str">
        <f>IF(VLOOKUP([Field],Columns[],9,0)=0,"","-&gt;"&amp;VLOOKUP([Field],Columns[],9,0))</f>
        <v/>
      </c>
      <c r="K24" s="5" t="str">
        <f>"$table-&gt;"&amp;[Type]&amp;[Name]&amp;[Arg2]&amp;[Method1]&amp;[Method2]&amp;[Method3]&amp;[Method4]&amp;[Method5]&amp;";"</f>
        <v>$table-&gt;string('narration3', 800)-&gt;nullable();</v>
      </c>
    </row>
    <row r="25" spans="1:11">
      <c r="A25" s="5" t="s">
        <v>442</v>
      </c>
      <c r="B25" s="5" t="s">
        <v>458</v>
      </c>
      <c r="C25" s="5" t="str">
        <f>VLOOKUP([Field],Columns[],2,0)&amp;"("</f>
        <v>string(</v>
      </c>
      <c r="D25" s="5" t="str">
        <f>IF(VLOOKUP([Field],Columns[],3,0)&lt;&gt;"","'"&amp;VLOOKUP([Field],Columns[],3,0)&amp;"'","")</f>
        <v>'narration4'</v>
      </c>
      <c r="E25" s="8" t="str">
        <f>IF(VLOOKUP([Field],Columns[],4,0)&lt;&gt;0,", "&amp;VLOOKUP([Field],Columns[],4,0)&amp;")",")")</f>
        <v>, 800)</v>
      </c>
      <c r="F25" s="5" t="str">
        <f>IF(VLOOKUP([Field],Columns[],5,0)=0,"","-&gt;"&amp;VLOOKUP([Field],Columns[],5,0))</f>
        <v>-&gt;nullable()</v>
      </c>
      <c r="G25" s="5" t="str">
        <f>IF(VLOOKUP([Field],Columns[],6,0)=0,"","-&gt;"&amp;VLOOKUP([Field],Columns[],6,0))</f>
        <v/>
      </c>
      <c r="H25" s="5" t="str">
        <f>IF(VLOOKUP([Field],Columns[],7,0)=0,"","-&gt;"&amp;VLOOKUP([Field],Columns[],7,0))</f>
        <v/>
      </c>
      <c r="I25" s="5" t="str">
        <f>IF(VLOOKUP([Field],Columns[],8,0)=0,"","-&gt;"&amp;VLOOKUP([Field],Columns[],8,0))</f>
        <v/>
      </c>
      <c r="J25" s="5" t="str">
        <f>IF(VLOOKUP([Field],Columns[],9,0)=0,"","-&gt;"&amp;VLOOKUP([Field],Columns[],9,0))</f>
        <v/>
      </c>
      <c r="K25" s="5" t="str">
        <f>"$table-&gt;"&amp;[Type]&amp;[Name]&amp;[Arg2]&amp;[Method1]&amp;[Method2]&amp;[Method3]&amp;[Method4]&amp;[Method5]&amp;";"</f>
        <v>$table-&gt;string('narration4', 800)-&gt;nullable();</v>
      </c>
    </row>
    <row r="26" spans="1:11">
      <c r="A26" s="5" t="s">
        <v>442</v>
      </c>
      <c r="B26" s="5" t="s">
        <v>459</v>
      </c>
      <c r="C26" s="5" t="str">
        <f>VLOOKUP([Field],Columns[],2,0)&amp;"("</f>
        <v>string(</v>
      </c>
      <c r="D26" s="5" t="str">
        <f>IF(VLOOKUP([Field],Columns[],3,0)&lt;&gt;"","'"&amp;VLOOKUP([Field],Columns[],3,0)&amp;"'","")</f>
        <v>'narration5'</v>
      </c>
      <c r="E26" s="8" t="str">
        <f>IF(VLOOKUP([Field],Columns[],4,0)&lt;&gt;0,", "&amp;VLOOKUP([Field],Columns[],4,0)&amp;")",")")</f>
        <v>, 800)</v>
      </c>
      <c r="F26" s="5" t="str">
        <f>IF(VLOOKUP([Field],Columns[],5,0)=0,"","-&gt;"&amp;VLOOKUP([Field],Columns[],5,0))</f>
        <v>-&gt;nullable()</v>
      </c>
      <c r="G26" s="5" t="str">
        <f>IF(VLOOKUP([Field],Columns[],6,0)=0,"","-&gt;"&amp;VLOOKUP([Field],Columns[],6,0))</f>
        <v/>
      </c>
      <c r="H26" s="5" t="str">
        <f>IF(VLOOKUP([Field],Columns[],7,0)=0,"","-&gt;"&amp;VLOOKUP([Field],Columns[],7,0))</f>
        <v/>
      </c>
      <c r="I26" s="5" t="str">
        <f>IF(VLOOKUP([Field],Columns[],8,0)=0,"","-&gt;"&amp;VLOOKUP([Field],Columns[],8,0))</f>
        <v/>
      </c>
      <c r="J26" s="5" t="str">
        <f>IF(VLOOKUP([Field],Columns[],9,0)=0,"","-&gt;"&amp;VLOOKUP([Field],Columns[],9,0))</f>
        <v/>
      </c>
      <c r="K26" s="5" t="str">
        <f>"$table-&gt;"&amp;[Type]&amp;[Name]&amp;[Arg2]&amp;[Method1]&amp;[Method2]&amp;[Method3]&amp;[Method4]&amp;[Method5]&amp;";"</f>
        <v>$table-&gt;string('narration5', 800)-&gt;nullable();</v>
      </c>
    </row>
    <row r="27" spans="1:11">
      <c r="A27" s="5" t="s">
        <v>442</v>
      </c>
      <c r="B27" s="5" t="s">
        <v>460</v>
      </c>
      <c r="C27" s="5" t="str">
        <f>VLOOKUP([Field],Columns[],2,0)&amp;"("</f>
        <v>string(</v>
      </c>
      <c r="D27" s="5" t="str">
        <f>IF(VLOOKUP([Field],Columns[],3,0)&lt;&gt;"","'"&amp;VLOOKUP([Field],Columns[],3,0)&amp;"'","")</f>
        <v>'narration6'</v>
      </c>
      <c r="E27" s="8" t="str">
        <f>IF(VLOOKUP([Field],Columns[],4,0)&lt;&gt;0,", "&amp;VLOOKUP([Field],Columns[],4,0)&amp;")",")")</f>
        <v>, 800)</v>
      </c>
      <c r="F27" s="5" t="str">
        <f>IF(VLOOKUP([Field],Columns[],5,0)=0,"","-&gt;"&amp;VLOOKUP([Field],Columns[],5,0))</f>
        <v>-&gt;nullable()</v>
      </c>
      <c r="G27" s="5" t="str">
        <f>IF(VLOOKUP([Field],Columns[],6,0)=0,"","-&gt;"&amp;VLOOKUP([Field],Columns[],6,0))</f>
        <v/>
      </c>
      <c r="H27" s="5" t="str">
        <f>IF(VLOOKUP([Field],Columns[],7,0)=0,"","-&gt;"&amp;VLOOKUP([Field],Columns[],7,0))</f>
        <v/>
      </c>
      <c r="I27" s="5" t="str">
        <f>IF(VLOOKUP([Field],Columns[],8,0)=0,"","-&gt;"&amp;VLOOKUP([Field],Columns[],8,0))</f>
        <v/>
      </c>
      <c r="J27" s="5" t="str">
        <f>IF(VLOOKUP([Field],Columns[],9,0)=0,"","-&gt;"&amp;VLOOKUP([Field],Columns[],9,0))</f>
        <v/>
      </c>
      <c r="K27" s="5" t="str">
        <f>"$table-&gt;"&amp;[Type]&amp;[Name]&amp;[Arg2]&amp;[Method1]&amp;[Method2]&amp;[Method3]&amp;[Method4]&amp;[Method5]&amp;";"</f>
        <v>$table-&gt;string('narration6', 800)-&gt;nullable();</v>
      </c>
    </row>
    <row r="28" spans="1:11">
      <c r="A28" s="5" t="s">
        <v>442</v>
      </c>
      <c r="B28" s="5" t="s">
        <v>461</v>
      </c>
      <c r="C28" s="5" t="str">
        <f>VLOOKUP([Field],Columns[],2,0)&amp;"("</f>
        <v>string(</v>
      </c>
      <c r="D28" s="5" t="str">
        <f>IF(VLOOKUP([Field],Columns[],3,0)&lt;&gt;"","'"&amp;VLOOKUP([Field],Columns[],3,0)&amp;"'","")</f>
        <v>'narration7'</v>
      </c>
      <c r="E28" s="8" t="str">
        <f>IF(VLOOKUP([Field],Columns[],4,0)&lt;&gt;0,", "&amp;VLOOKUP([Field],Columns[],4,0)&amp;")",")")</f>
        <v>, 800)</v>
      </c>
      <c r="F28" s="5" t="str">
        <f>IF(VLOOKUP([Field],Columns[],5,0)=0,"","-&gt;"&amp;VLOOKUP([Field],Columns[],5,0))</f>
        <v>-&gt;nullable()</v>
      </c>
      <c r="G28" s="5" t="str">
        <f>IF(VLOOKUP([Field],Columns[],6,0)=0,"","-&gt;"&amp;VLOOKUP([Field],Columns[],6,0))</f>
        <v/>
      </c>
      <c r="H28" s="5" t="str">
        <f>IF(VLOOKUP([Field],Columns[],7,0)=0,"","-&gt;"&amp;VLOOKUP([Field],Columns[],7,0))</f>
        <v/>
      </c>
      <c r="I28" s="5" t="str">
        <f>IF(VLOOKUP([Field],Columns[],8,0)=0,"","-&gt;"&amp;VLOOKUP([Field],Columns[],8,0))</f>
        <v/>
      </c>
      <c r="J28" s="5" t="str">
        <f>IF(VLOOKUP([Field],Columns[],9,0)=0,"","-&gt;"&amp;VLOOKUP([Field],Columns[],9,0))</f>
        <v/>
      </c>
      <c r="K28" s="5" t="str">
        <f>"$table-&gt;"&amp;[Type]&amp;[Name]&amp;[Arg2]&amp;[Method1]&amp;[Method2]&amp;[Method3]&amp;[Method4]&amp;[Method5]&amp;";"</f>
        <v>$table-&gt;string('narration7', 800)-&gt;nullable();</v>
      </c>
    </row>
    <row r="29" spans="1:11">
      <c r="A29" s="5" t="s">
        <v>442</v>
      </c>
      <c r="B29" s="5" t="s">
        <v>462</v>
      </c>
      <c r="C29" s="5" t="str">
        <f>VLOOKUP([Field],Columns[],2,0)&amp;"("</f>
        <v>string(</v>
      </c>
      <c r="D29" s="5" t="str">
        <f>IF(VLOOKUP([Field],Columns[],3,0)&lt;&gt;"","'"&amp;VLOOKUP([Field],Columns[],3,0)&amp;"'","")</f>
        <v>'narration8'</v>
      </c>
      <c r="E29" s="8" t="str">
        <f>IF(VLOOKUP([Field],Columns[],4,0)&lt;&gt;0,", "&amp;VLOOKUP([Field],Columns[],4,0)&amp;")",")")</f>
        <v>, 800)</v>
      </c>
      <c r="F29" s="5" t="str">
        <f>IF(VLOOKUP([Field],Columns[],5,0)=0,"","-&gt;"&amp;VLOOKUP([Field],Columns[],5,0))</f>
        <v>-&gt;nullable()</v>
      </c>
      <c r="G29" s="5" t="str">
        <f>IF(VLOOKUP([Field],Columns[],6,0)=0,"","-&gt;"&amp;VLOOKUP([Field],Columns[],6,0))</f>
        <v/>
      </c>
      <c r="H29" s="5" t="str">
        <f>IF(VLOOKUP([Field],Columns[],7,0)=0,"","-&gt;"&amp;VLOOKUP([Field],Columns[],7,0))</f>
        <v/>
      </c>
      <c r="I29" s="5" t="str">
        <f>IF(VLOOKUP([Field],Columns[],8,0)=0,"","-&gt;"&amp;VLOOKUP([Field],Columns[],8,0))</f>
        <v/>
      </c>
      <c r="J29" s="5" t="str">
        <f>IF(VLOOKUP([Field],Columns[],9,0)=0,"","-&gt;"&amp;VLOOKUP([Field],Columns[],9,0))</f>
        <v/>
      </c>
      <c r="K29" s="5" t="str">
        <f>"$table-&gt;"&amp;[Type]&amp;[Name]&amp;[Arg2]&amp;[Method1]&amp;[Method2]&amp;[Method3]&amp;[Method4]&amp;[Method5]&amp;";"</f>
        <v>$table-&gt;string('narration8', 800)-&gt;nullable();</v>
      </c>
    </row>
    <row r="30" spans="1:11">
      <c r="A30" s="5" t="s">
        <v>442</v>
      </c>
      <c r="B30" s="5" t="s">
        <v>463</v>
      </c>
      <c r="C30" s="5" t="str">
        <f>VLOOKUP([Field],Columns[],2,0)&amp;"("</f>
        <v>string(</v>
      </c>
      <c r="D30" s="5" t="str">
        <f>IF(VLOOKUP([Field],Columns[],3,0)&lt;&gt;"","'"&amp;VLOOKUP([Field],Columns[],3,0)&amp;"'","")</f>
        <v>'narration9'</v>
      </c>
      <c r="E30" s="8" t="str">
        <f>IF(VLOOKUP([Field],Columns[],4,0)&lt;&gt;0,", "&amp;VLOOKUP([Field],Columns[],4,0)&amp;")",")")</f>
        <v>, 800)</v>
      </c>
      <c r="F30" s="5" t="str">
        <f>IF(VLOOKUP([Field],Columns[],5,0)=0,"","-&gt;"&amp;VLOOKUP([Field],Columns[],5,0))</f>
        <v>-&gt;nullable()</v>
      </c>
      <c r="G30" s="5" t="str">
        <f>IF(VLOOKUP([Field],Columns[],6,0)=0,"","-&gt;"&amp;VLOOKUP([Field],Columns[],6,0))</f>
        <v/>
      </c>
      <c r="H30" s="5" t="str">
        <f>IF(VLOOKUP([Field],Columns[],7,0)=0,"","-&gt;"&amp;VLOOKUP([Field],Columns[],7,0))</f>
        <v/>
      </c>
      <c r="I30" s="5" t="str">
        <f>IF(VLOOKUP([Field],Columns[],8,0)=0,"","-&gt;"&amp;VLOOKUP([Field],Columns[],8,0))</f>
        <v/>
      </c>
      <c r="J30" s="5" t="str">
        <f>IF(VLOOKUP([Field],Columns[],9,0)=0,"","-&gt;"&amp;VLOOKUP([Field],Columns[],9,0))</f>
        <v/>
      </c>
      <c r="K30" s="5" t="str">
        <f>"$table-&gt;"&amp;[Type]&amp;[Name]&amp;[Arg2]&amp;[Method1]&amp;[Method2]&amp;[Method3]&amp;[Method4]&amp;[Method5]&amp;";"</f>
        <v>$table-&gt;string('narration9', 800)-&gt;nullable();</v>
      </c>
    </row>
    <row r="31" spans="1:11">
      <c r="A31" s="5" t="s">
        <v>442</v>
      </c>
      <c r="B31" s="5" t="s">
        <v>464</v>
      </c>
      <c r="C31" s="5" t="str">
        <f>VLOOKUP([Field],Columns[],2,0)&amp;"("</f>
        <v>string(</v>
      </c>
      <c r="D31" s="5" t="str">
        <f>IF(VLOOKUP([Field],Columns[],3,0)&lt;&gt;"","'"&amp;VLOOKUP([Field],Columns[],3,0)&amp;"'","")</f>
        <v>'narration10'</v>
      </c>
      <c r="E31" s="8" t="str">
        <f>IF(VLOOKUP([Field],Columns[],4,0)&lt;&gt;0,", "&amp;VLOOKUP([Field],Columns[],4,0)&amp;")",")")</f>
        <v>, 800)</v>
      </c>
      <c r="F31" s="5" t="str">
        <f>IF(VLOOKUP([Field],Columns[],5,0)=0,"","-&gt;"&amp;VLOOKUP([Field],Columns[],5,0))</f>
        <v>-&gt;nullable()</v>
      </c>
      <c r="G31" s="5" t="str">
        <f>IF(VLOOKUP([Field],Columns[],6,0)=0,"","-&gt;"&amp;VLOOKUP([Field],Columns[],6,0))</f>
        <v/>
      </c>
      <c r="H31" s="5" t="str">
        <f>IF(VLOOKUP([Field],Columns[],7,0)=0,"","-&gt;"&amp;VLOOKUP([Field],Columns[],7,0))</f>
        <v/>
      </c>
      <c r="I31" s="5" t="str">
        <f>IF(VLOOKUP([Field],Columns[],8,0)=0,"","-&gt;"&amp;VLOOKUP([Field],Columns[],8,0))</f>
        <v/>
      </c>
      <c r="J31" s="5" t="str">
        <f>IF(VLOOKUP([Field],Columns[],9,0)=0,"","-&gt;"&amp;VLOOKUP([Field],Columns[],9,0))</f>
        <v/>
      </c>
      <c r="K31" s="5" t="str">
        <f>"$table-&gt;"&amp;[Type]&amp;[Name]&amp;[Arg2]&amp;[Method1]&amp;[Method2]&amp;[Method3]&amp;[Method4]&amp;[Method5]&amp;";"</f>
        <v>$table-&gt;string('narration10', 800)-&gt;nullable();</v>
      </c>
    </row>
    <row r="32" spans="1:11">
      <c r="A32" s="5" t="s">
        <v>442</v>
      </c>
      <c r="B32" s="5" t="s">
        <v>451</v>
      </c>
      <c r="C32" s="5" t="str">
        <f>VLOOKUP([Field],Columns[],2,0)&amp;"("</f>
        <v>string(</v>
      </c>
      <c r="D32" s="5" t="str">
        <f>IF(VLOOKUP([Field],Columns[],3,0)&lt;&gt;"","'"&amp;VLOOKUP([Field],Columns[],3,0)&amp;"'","")</f>
        <v>'refno'</v>
      </c>
      <c r="E32" s="8" t="str">
        <f>IF(VLOOKUP([Field],Columns[],4,0)&lt;&gt;0,", "&amp;VLOOKUP([Field],Columns[],4,0)&amp;")",")")</f>
        <v>, 64)</v>
      </c>
      <c r="F32" s="5" t="str">
        <f>IF(VLOOKUP([Field],Columns[],5,0)=0,"","-&gt;"&amp;VLOOKUP([Field],Columns[],5,0))</f>
        <v>-&gt;nullable()</v>
      </c>
      <c r="G32" s="5" t="str">
        <f>IF(VLOOKUP([Field],Columns[],6,0)=0,"","-&gt;"&amp;VLOOKUP([Field],Columns[],6,0))</f>
        <v/>
      </c>
      <c r="H32" s="5" t="str">
        <f>IF(VLOOKUP([Field],Columns[],7,0)=0,"","-&gt;"&amp;VLOOKUP([Field],Columns[],7,0))</f>
        <v/>
      </c>
      <c r="I32" s="5" t="str">
        <f>IF(VLOOKUP([Field],Columns[],8,0)=0,"","-&gt;"&amp;VLOOKUP([Field],Columns[],8,0))</f>
        <v/>
      </c>
      <c r="J32" s="5" t="str">
        <f>IF(VLOOKUP([Field],Columns[],9,0)=0,"","-&gt;"&amp;VLOOKUP([Field],Columns[],9,0))</f>
        <v/>
      </c>
      <c r="K32" s="5" t="str">
        <f>"$table-&gt;"&amp;[Type]&amp;[Name]&amp;[Arg2]&amp;[Method1]&amp;[Method2]&amp;[Method3]&amp;[Method4]&amp;[Method5]&amp;";"</f>
        <v>$table-&gt;string('refno', 64)-&gt;nullable();</v>
      </c>
    </row>
    <row r="33" spans="1:11">
      <c r="A33" s="5" t="s">
        <v>442</v>
      </c>
      <c r="B33" s="5" t="s">
        <v>523</v>
      </c>
      <c r="C33" s="5" t="str">
        <f>VLOOKUP([Field],Columns[],2,0)&amp;"("</f>
        <v>string(</v>
      </c>
      <c r="D33" s="5" t="str">
        <f>IF(VLOOKUP([Field],Columns[],3,0)&lt;&gt;"","'"&amp;VLOOKUP([Field],Columns[],3,0)&amp;"'","")</f>
        <v>'refno2'</v>
      </c>
      <c r="E33" s="8" t="str">
        <f>IF(VLOOKUP([Field],Columns[],4,0)&lt;&gt;0,", "&amp;VLOOKUP([Field],Columns[],4,0)&amp;")",")")</f>
        <v>, 64)</v>
      </c>
      <c r="F33" s="5" t="str">
        <f>IF(VLOOKUP([Field],Columns[],5,0)=0,"","-&gt;"&amp;VLOOKUP([Field],Columns[],5,0))</f>
        <v>-&gt;nullable()</v>
      </c>
      <c r="G33" s="5" t="str">
        <f>IF(VLOOKUP([Field],Columns[],6,0)=0,"","-&gt;"&amp;VLOOKUP([Field],Columns[],6,0))</f>
        <v/>
      </c>
      <c r="H33" s="5" t="str">
        <f>IF(VLOOKUP([Field],Columns[],7,0)=0,"","-&gt;"&amp;VLOOKUP([Field],Columns[],7,0))</f>
        <v/>
      </c>
      <c r="I33" s="5" t="str">
        <f>IF(VLOOKUP([Field],Columns[],8,0)=0,"","-&gt;"&amp;VLOOKUP([Field],Columns[],8,0))</f>
        <v/>
      </c>
      <c r="J33" s="5" t="str">
        <f>IF(VLOOKUP([Field],Columns[],9,0)=0,"","-&gt;"&amp;VLOOKUP([Field],Columns[],9,0))</f>
        <v/>
      </c>
      <c r="K33" s="5" t="str">
        <f>"$table-&gt;"&amp;[Type]&amp;[Name]&amp;[Arg2]&amp;[Method1]&amp;[Method2]&amp;[Method3]&amp;[Method4]&amp;[Method5]&amp;";"</f>
        <v>$table-&gt;string('refno2', 64)-&gt;nullable();</v>
      </c>
    </row>
    <row r="34" spans="1:11">
      <c r="A34" s="5" t="s">
        <v>442</v>
      </c>
      <c r="B34" s="5" t="s">
        <v>465</v>
      </c>
      <c r="C34" s="5" t="str">
        <f>VLOOKUP([Field],Columns[],2,0)&amp;"("</f>
        <v>enum(</v>
      </c>
      <c r="D34" s="5" t="str">
        <f>IF(VLOOKUP([Field],Columns[],3,0)&lt;&gt;"","'"&amp;VLOOKUP([Field],Columns[],3,0)&amp;"'","")</f>
        <v>'itemserial'</v>
      </c>
      <c r="E34" s="8" t="str">
        <f>IF(VLOOKUP([Field],Columns[],4,0)&lt;&gt;0,", "&amp;VLOOKUP([Field],Columns[],4,0)&amp;")",")")</f>
        <v>, ['Yes','No'])</v>
      </c>
      <c r="F34" s="5" t="str">
        <f>IF(VLOOKUP([Field],Columns[],5,0)=0,"","-&gt;"&amp;VLOOKUP([Field],Columns[],5,0))</f>
        <v>-&gt;default('No')</v>
      </c>
      <c r="G34" s="5" t="str">
        <f>IF(VLOOKUP([Field],Columns[],6,0)=0,"","-&gt;"&amp;VLOOKUP([Field],Columns[],6,0))</f>
        <v/>
      </c>
      <c r="H34" s="5" t="str">
        <f>IF(VLOOKUP([Field],Columns[],7,0)=0,"","-&gt;"&amp;VLOOKUP([Field],Columns[],7,0))</f>
        <v/>
      </c>
      <c r="I34" s="5" t="str">
        <f>IF(VLOOKUP([Field],Columns[],8,0)=0,"","-&gt;"&amp;VLOOKUP([Field],Columns[],8,0))</f>
        <v/>
      </c>
      <c r="J34" s="5" t="str">
        <f>IF(VLOOKUP([Field],Columns[],9,0)=0,"","-&gt;"&amp;VLOOKUP([Field],Columns[],9,0))</f>
        <v/>
      </c>
      <c r="K34" s="5" t="str">
        <f>"$table-&gt;"&amp;[Type]&amp;[Name]&amp;[Arg2]&amp;[Method1]&amp;[Method2]&amp;[Method3]&amp;[Method4]&amp;[Method5]&amp;";"</f>
        <v>$table-&gt;enum('itemserial', ['Yes','No'])-&gt;default('No');</v>
      </c>
    </row>
    <row r="35" spans="1:11">
      <c r="A35" s="5" t="s">
        <v>442</v>
      </c>
      <c r="B35" s="5" t="s">
        <v>466</v>
      </c>
      <c r="C35" s="5" t="str">
        <f>VLOOKUP([Field],Columns[],2,0)&amp;"("</f>
        <v>enum(</v>
      </c>
      <c r="D35" s="5" t="str">
        <f>IF(VLOOKUP([Field],Columns[],3,0)&lt;&gt;"","'"&amp;VLOOKUP([Field],Columns[],3,0)&amp;"'","")</f>
        <v>'type'</v>
      </c>
      <c r="E35" s="8" t="str">
        <f>IF(VLOOKUP([Field],Columns[],4,0)&lt;&gt;0,", "&amp;VLOOKUP([Field],Columns[],4,0)&amp;")",")")</f>
        <v>, ['Public','Protected','System'])</v>
      </c>
      <c r="F35" s="5" t="str">
        <f>IF(VLOOKUP([Field],Columns[],5,0)=0,"","-&gt;"&amp;VLOOKUP([Field],Columns[],5,0))</f>
        <v>-&gt;default('Public')</v>
      </c>
      <c r="G35" s="5" t="str">
        <f>IF(VLOOKUP([Field],Columns[],6,0)=0,"","-&gt;"&amp;VLOOKUP([Field],Columns[],6,0))</f>
        <v/>
      </c>
      <c r="H35" s="5" t="str">
        <f>IF(VLOOKUP([Field],Columns[],7,0)=0,"","-&gt;"&amp;VLOOKUP([Field],Columns[],7,0))</f>
        <v/>
      </c>
      <c r="I35" s="5" t="str">
        <f>IF(VLOOKUP([Field],Columns[],8,0)=0,"","-&gt;"&amp;VLOOKUP([Field],Columns[],8,0))</f>
        <v/>
      </c>
      <c r="J35" s="5" t="str">
        <f>IF(VLOOKUP([Field],Columns[],9,0)=0,"","-&gt;"&amp;VLOOKUP([Field],Columns[],9,0))</f>
        <v/>
      </c>
      <c r="K35" s="5" t="str">
        <f>"$table-&gt;"&amp;[Type]&amp;[Name]&amp;[Arg2]&amp;[Method1]&amp;[Method2]&amp;[Method3]&amp;[Method4]&amp;[Method5]&amp;";"</f>
        <v>$table-&gt;enum('type', ['Public','Protected','System'])-&gt;default('Public');</v>
      </c>
    </row>
    <row r="36" spans="1:11">
      <c r="A36" s="5" t="s">
        <v>442</v>
      </c>
      <c r="B36" s="5" t="s">
        <v>522</v>
      </c>
      <c r="C36" s="5" t="str">
        <f>VLOOKUP([Field],Columns[],2,0)&amp;"("</f>
        <v>unsignedInteger(</v>
      </c>
      <c r="D36" s="5" t="str">
        <f>IF(VLOOKUP([Field],Columns[],3,0)&lt;&gt;"","'"&amp;VLOOKUP([Field],Columns[],3,0)&amp;"'","")</f>
        <v>'group01'</v>
      </c>
      <c r="E36" s="8" t="str">
        <f>IF(VLOOKUP([Field],Columns[],4,0)&lt;&gt;0,", "&amp;VLOOKUP([Field],Columns[],4,0)&amp;")",")")</f>
        <v>)</v>
      </c>
      <c r="F36" s="5" t="str">
        <f>IF(VLOOKUP([Field],Columns[],5,0)=0,"","-&gt;"&amp;VLOOKUP([Field],Columns[],5,0))</f>
        <v>-&gt;nullable()</v>
      </c>
      <c r="G36" s="5" t="str">
        <f>IF(VLOOKUP([Field],Columns[],6,0)=0,"","-&gt;"&amp;VLOOKUP([Field],Columns[],6,0))</f>
        <v>-&gt;index()</v>
      </c>
      <c r="H36" s="5" t="str">
        <f>IF(VLOOKUP([Field],Columns[],7,0)=0,"","-&gt;"&amp;VLOOKUP([Field],Columns[],7,0))</f>
        <v/>
      </c>
      <c r="I36" s="5" t="str">
        <f>IF(VLOOKUP([Field],Columns[],8,0)=0,"","-&gt;"&amp;VLOOKUP([Field],Columns[],8,0))</f>
        <v/>
      </c>
      <c r="J36" s="5" t="str">
        <f>IF(VLOOKUP([Field],Columns[],9,0)=0,"","-&gt;"&amp;VLOOKUP([Field],Columns[],9,0))</f>
        <v/>
      </c>
      <c r="K36" s="5" t="str">
        <f>"$table-&gt;"&amp;[Type]&amp;[Name]&amp;[Arg2]&amp;[Method1]&amp;[Method2]&amp;[Method3]&amp;[Method4]&amp;[Method5]&amp;";"</f>
        <v>$table-&gt;unsignedInteger('group01')-&gt;nullable()-&gt;index();</v>
      </c>
    </row>
    <row r="37" spans="1:11">
      <c r="A37" s="5" t="s">
        <v>442</v>
      </c>
      <c r="B37" s="5" t="s">
        <v>525</v>
      </c>
      <c r="C37" s="5" t="str">
        <f>VLOOKUP([Field],Columns[],2,0)&amp;"("</f>
        <v>unsignedInteger(</v>
      </c>
      <c r="D37" s="5" t="str">
        <f>IF(VLOOKUP([Field],Columns[],3,0)&lt;&gt;"","'"&amp;VLOOKUP([Field],Columns[],3,0)&amp;"'","")</f>
        <v>'group02'</v>
      </c>
      <c r="E37" s="8" t="str">
        <f>IF(VLOOKUP([Field],Columns[],4,0)&lt;&gt;0,", "&amp;VLOOKUP([Field],Columns[],4,0)&amp;")",")")</f>
        <v>)</v>
      </c>
      <c r="F37" s="5" t="str">
        <f>IF(VLOOKUP([Field],Columns[],5,0)=0,"","-&gt;"&amp;VLOOKUP([Field],Columns[],5,0))</f>
        <v>-&gt;nullable()</v>
      </c>
      <c r="G37" s="5" t="str">
        <f>IF(VLOOKUP([Field],Columns[],6,0)=0,"","-&gt;"&amp;VLOOKUP([Field],Columns[],6,0))</f>
        <v>-&gt;index()</v>
      </c>
      <c r="H37" s="5" t="str">
        <f>IF(VLOOKUP([Field],Columns[],7,0)=0,"","-&gt;"&amp;VLOOKUP([Field],Columns[],7,0))</f>
        <v/>
      </c>
      <c r="I37" s="5" t="str">
        <f>IF(VLOOKUP([Field],Columns[],8,0)=0,"","-&gt;"&amp;VLOOKUP([Field],Columns[],8,0))</f>
        <v/>
      </c>
      <c r="J37" s="5" t="str">
        <f>IF(VLOOKUP([Field],Columns[],9,0)=0,"","-&gt;"&amp;VLOOKUP([Field],Columns[],9,0))</f>
        <v/>
      </c>
      <c r="K37" s="5" t="str">
        <f>"$table-&gt;"&amp;[Type]&amp;[Name]&amp;[Arg2]&amp;[Method1]&amp;[Method2]&amp;[Method3]&amp;[Method4]&amp;[Method5]&amp;";"</f>
        <v>$table-&gt;unsignedInteger('group02')-&gt;nullable()-&gt;index();</v>
      </c>
    </row>
    <row r="38" spans="1:11">
      <c r="A38" s="5" t="s">
        <v>442</v>
      </c>
      <c r="B38" s="5" t="s">
        <v>526</v>
      </c>
      <c r="C38" s="5" t="str">
        <f>VLOOKUP([Field],Columns[],2,0)&amp;"("</f>
        <v>unsignedInteger(</v>
      </c>
      <c r="D38" s="5" t="str">
        <f>IF(VLOOKUP([Field],Columns[],3,0)&lt;&gt;"","'"&amp;VLOOKUP([Field],Columns[],3,0)&amp;"'","")</f>
        <v>'group03'</v>
      </c>
      <c r="E38" s="8" t="str">
        <f>IF(VLOOKUP([Field],Columns[],4,0)&lt;&gt;0,", "&amp;VLOOKUP([Field],Columns[],4,0)&amp;")",")")</f>
        <v>)</v>
      </c>
      <c r="F38" s="5" t="str">
        <f>IF(VLOOKUP([Field],Columns[],5,0)=0,"","-&gt;"&amp;VLOOKUP([Field],Columns[],5,0))</f>
        <v>-&gt;nullable()</v>
      </c>
      <c r="G38" s="5" t="str">
        <f>IF(VLOOKUP([Field],Columns[],6,0)=0,"","-&gt;"&amp;VLOOKUP([Field],Columns[],6,0))</f>
        <v>-&gt;index()</v>
      </c>
      <c r="H38" s="5" t="str">
        <f>IF(VLOOKUP([Field],Columns[],7,0)=0,"","-&gt;"&amp;VLOOKUP([Field],Columns[],7,0))</f>
        <v/>
      </c>
      <c r="I38" s="5" t="str">
        <f>IF(VLOOKUP([Field],Columns[],8,0)=0,"","-&gt;"&amp;VLOOKUP([Field],Columns[],8,0))</f>
        <v/>
      </c>
      <c r="J38" s="5" t="str">
        <f>IF(VLOOKUP([Field],Columns[],9,0)=0,"","-&gt;"&amp;VLOOKUP([Field],Columns[],9,0))</f>
        <v/>
      </c>
      <c r="K38" s="5" t="str">
        <f>"$table-&gt;"&amp;[Type]&amp;[Name]&amp;[Arg2]&amp;[Method1]&amp;[Method2]&amp;[Method3]&amp;[Method4]&amp;[Method5]&amp;";"</f>
        <v>$table-&gt;unsignedInteger('group03')-&gt;nullable()-&gt;index();</v>
      </c>
    </row>
    <row r="39" spans="1:11">
      <c r="A39" s="5" t="s">
        <v>442</v>
      </c>
      <c r="B39" s="5" t="s">
        <v>527</v>
      </c>
      <c r="C39" s="5" t="str">
        <f>VLOOKUP([Field],Columns[],2,0)&amp;"("</f>
        <v>unsignedInteger(</v>
      </c>
      <c r="D39" s="5" t="str">
        <f>IF(VLOOKUP([Field],Columns[],3,0)&lt;&gt;"","'"&amp;VLOOKUP([Field],Columns[],3,0)&amp;"'","")</f>
        <v>'group04'</v>
      </c>
      <c r="E39" s="8" t="str">
        <f>IF(VLOOKUP([Field],Columns[],4,0)&lt;&gt;0,", "&amp;VLOOKUP([Field],Columns[],4,0)&amp;")",")")</f>
        <v>)</v>
      </c>
      <c r="F39" s="5" t="str">
        <f>IF(VLOOKUP([Field],Columns[],5,0)=0,"","-&gt;"&amp;VLOOKUP([Field],Columns[],5,0))</f>
        <v>-&gt;nullable()</v>
      </c>
      <c r="G39" s="5" t="str">
        <f>IF(VLOOKUP([Field],Columns[],6,0)=0,"","-&gt;"&amp;VLOOKUP([Field],Columns[],6,0))</f>
        <v>-&gt;index()</v>
      </c>
      <c r="H39" s="5" t="str">
        <f>IF(VLOOKUP([Field],Columns[],7,0)=0,"","-&gt;"&amp;VLOOKUP([Field],Columns[],7,0))</f>
        <v/>
      </c>
      <c r="I39" s="5" t="str">
        <f>IF(VLOOKUP([Field],Columns[],8,0)=0,"","-&gt;"&amp;VLOOKUP([Field],Columns[],8,0))</f>
        <v/>
      </c>
      <c r="J39" s="5" t="str">
        <f>IF(VLOOKUP([Field],Columns[],9,0)=0,"","-&gt;"&amp;VLOOKUP([Field],Columns[],9,0))</f>
        <v/>
      </c>
      <c r="K39" s="5" t="str">
        <f>"$table-&gt;"&amp;[Type]&amp;[Name]&amp;[Arg2]&amp;[Method1]&amp;[Method2]&amp;[Method3]&amp;[Method4]&amp;[Method5]&amp;";"</f>
        <v>$table-&gt;unsignedInteger('group04')-&gt;nullable()-&gt;index();</v>
      </c>
    </row>
    <row r="40" spans="1:11">
      <c r="A40" s="5" t="s">
        <v>442</v>
      </c>
      <c r="B40" s="5" t="s">
        <v>528</v>
      </c>
      <c r="C40" s="5" t="str">
        <f>VLOOKUP([Field],Columns[],2,0)&amp;"("</f>
        <v>unsignedInteger(</v>
      </c>
      <c r="D40" s="5" t="str">
        <f>IF(VLOOKUP([Field],Columns[],3,0)&lt;&gt;"","'"&amp;VLOOKUP([Field],Columns[],3,0)&amp;"'","")</f>
        <v>'group05'</v>
      </c>
      <c r="E40" s="8" t="str">
        <f>IF(VLOOKUP([Field],Columns[],4,0)&lt;&gt;0,", "&amp;VLOOKUP([Field],Columns[],4,0)&amp;")",")")</f>
        <v>)</v>
      </c>
      <c r="F40" s="5" t="str">
        <f>IF(VLOOKUP([Field],Columns[],5,0)=0,"","-&gt;"&amp;VLOOKUP([Field],Columns[],5,0))</f>
        <v>-&gt;nullable()</v>
      </c>
      <c r="G40" s="5" t="str">
        <f>IF(VLOOKUP([Field],Columns[],6,0)=0,"","-&gt;"&amp;VLOOKUP([Field],Columns[],6,0))</f>
        <v>-&gt;index()</v>
      </c>
      <c r="H40" s="5" t="str">
        <f>IF(VLOOKUP([Field],Columns[],7,0)=0,"","-&gt;"&amp;VLOOKUP([Field],Columns[],7,0))</f>
        <v/>
      </c>
      <c r="I40" s="5" t="str">
        <f>IF(VLOOKUP([Field],Columns[],8,0)=0,"","-&gt;"&amp;VLOOKUP([Field],Columns[],8,0))</f>
        <v/>
      </c>
      <c r="J40" s="5" t="str">
        <f>IF(VLOOKUP([Field],Columns[],9,0)=0,"","-&gt;"&amp;VLOOKUP([Field],Columns[],9,0))</f>
        <v/>
      </c>
      <c r="K40" s="5" t="str">
        <f>"$table-&gt;"&amp;[Type]&amp;[Name]&amp;[Arg2]&amp;[Method1]&amp;[Method2]&amp;[Method3]&amp;[Method4]&amp;[Method5]&amp;";"</f>
        <v>$table-&gt;unsignedInteger('group05')-&gt;nullable()-&gt;index();</v>
      </c>
    </row>
    <row r="41" spans="1:11">
      <c r="A41" s="5" t="s">
        <v>442</v>
      </c>
      <c r="B41" s="5" t="s">
        <v>529</v>
      </c>
      <c r="C41" s="5" t="str">
        <f>VLOOKUP([Field],Columns[],2,0)&amp;"("</f>
        <v>unsignedInteger(</v>
      </c>
      <c r="D41" s="5" t="str">
        <f>IF(VLOOKUP([Field],Columns[],3,0)&lt;&gt;"","'"&amp;VLOOKUP([Field],Columns[],3,0)&amp;"'","")</f>
        <v>'group06'</v>
      </c>
      <c r="E41" s="8" t="str">
        <f>IF(VLOOKUP([Field],Columns[],4,0)&lt;&gt;0,", "&amp;VLOOKUP([Field],Columns[],4,0)&amp;")",")")</f>
        <v>)</v>
      </c>
      <c r="F41" s="5" t="str">
        <f>IF(VLOOKUP([Field],Columns[],5,0)=0,"","-&gt;"&amp;VLOOKUP([Field],Columns[],5,0))</f>
        <v>-&gt;nullable()</v>
      </c>
      <c r="G41" s="5" t="str">
        <f>IF(VLOOKUP([Field],Columns[],6,0)=0,"","-&gt;"&amp;VLOOKUP([Field],Columns[],6,0))</f>
        <v>-&gt;index()</v>
      </c>
      <c r="H41" s="5" t="str">
        <f>IF(VLOOKUP([Field],Columns[],7,0)=0,"","-&gt;"&amp;VLOOKUP([Field],Columns[],7,0))</f>
        <v/>
      </c>
      <c r="I41" s="5" t="str">
        <f>IF(VLOOKUP([Field],Columns[],8,0)=0,"","-&gt;"&amp;VLOOKUP([Field],Columns[],8,0))</f>
        <v/>
      </c>
      <c r="J41" s="5" t="str">
        <f>IF(VLOOKUP([Field],Columns[],9,0)=0,"","-&gt;"&amp;VLOOKUP([Field],Columns[],9,0))</f>
        <v/>
      </c>
      <c r="K41" s="5" t="str">
        <f>"$table-&gt;"&amp;[Type]&amp;[Name]&amp;[Arg2]&amp;[Method1]&amp;[Method2]&amp;[Method3]&amp;[Method4]&amp;[Method5]&amp;";"</f>
        <v>$table-&gt;unsignedInteger('group06')-&gt;nullable()-&gt;index();</v>
      </c>
    </row>
    <row r="42" spans="1:11">
      <c r="A42" s="5" t="s">
        <v>442</v>
      </c>
      <c r="B42" s="5" t="s">
        <v>530</v>
      </c>
      <c r="C42" s="5" t="str">
        <f>VLOOKUP([Field],Columns[],2,0)&amp;"("</f>
        <v>unsignedInteger(</v>
      </c>
      <c r="D42" s="5" t="str">
        <f>IF(VLOOKUP([Field],Columns[],3,0)&lt;&gt;"","'"&amp;VLOOKUP([Field],Columns[],3,0)&amp;"'","")</f>
        <v>'group07'</v>
      </c>
      <c r="E42" s="8" t="str">
        <f>IF(VLOOKUP([Field],Columns[],4,0)&lt;&gt;0,", "&amp;VLOOKUP([Field],Columns[],4,0)&amp;")",")")</f>
        <v>)</v>
      </c>
      <c r="F42" s="5" t="str">
        <f>IF(VLOOKUP([Field],Columns[],5,0)=0,"","-&gt;"&amp;VLOOKUP([Field],Columns[],5,0))</f>
        <v>-&gt;nullable()</v>
      </c>
      <c r="G42" s="5" t="str">
        <f>IF(VLOOKUP([Field],Columns[],6,0)=0,"","-&gt;"&amp;VLOOKUP([Field],Columns[],6,0))</f>
        <v>-&gt;index()</v>
      </c>
      <c r="H42" s="5" t="str">
        <f>IF(VLOOKUP([Field],Columns[],7,0)=0,"","-&gt;"&amp;VLOOKUP([Field],Columns[],7,0))</f>
        <v/>
      </c>
      <c r="I42" s="5" t="str">
        <f>IF(VLOOKUP([Field],Columns[],8,0)=0,"","-&gt;"&amp;VLOOKUP([Field],Columns[],8,0))</f>
        <v/>
      </c>
      <c r="J42" s="5" t="str">
        <f>IF(VLOOKUP([Field],Columns[],9,0)=0,"","-&gt;"&amp;VLOOKUP([Field],Columns[],9,0))</f>
        <v/>
      </c>
      <c r="K42" s="5" t="str">
        <f>"$table-&gt;"&amp;[Type]&amp;[Name]&amp;[Arg2]&amp;[Method1]&amp;[Method2]&amp;[Method3]&amp;[Method4]&amp;[Method5]&amp;";"</f>
        <v>$table-&gt;unsignedInteger('group07')-&gt;nullable()-&gt;index();</v>
      </c>
    </row>
    <row r="43" spans="1:11">
      <c r="A43" s="5" t="s">
        <v>442</v>
      </c>
      <c r="B43" s="5" t="s">
        <v>531</v>
      </c>
      <c r="C43" s="5" t="str">
        <f>VLOOKUP([Field],Columns[],2,0)&amp;"("</f>
        <v>unsignedInteger(</v>
      </c>
      <c r="D43" s="5" t="str">
        <f>IF(VLOOKUP([Field],Columns[],3,0)&lt;&gt;"","'"&amp;VLOOKUP([Field],Columns[],3,0)&amp;"'","")</f>
        <v>'group08'</v>
      </c>
      <c r="E43" s="8" t="str">
        <f>IF(VLOOKUP([Field],Columns[],4,0)&lt;&gt;0,", "&amp;VLOOKUP([Field],Columns[],4,0)&amp;")",")")</f>
        <v>)</v>
      </c>
      <c r="F43" s="5" t="str">
        <f>IF(VLOOKUP([Field],Columns[],5,0)=0,"","-&gt;"&amp;VLOOKUP([Field],Columns[],5,0))</f>
        <v>-&gt;nullable()</v>
      </c>
      <c r="G43" s="5" t="str">
        <f>IF(VLOOKUP([Field],Columns[],6,0)=0,"","-&gt;"&amp;VLOOKUP([Field],Columns[],6,0))</f>
        <v>-&gt;index()</v>
      </c>
      <c r="H43" s="5" t="str">
        <f>IF(VLOOKUP([Field],Columns[],7,0)=0,"","-&gt;"&amp;VLOOKUP([Field],Columns[],7,0))</f>
        <v/>
      </c>
      <c r="I43" s="5" t="str">
        <f>IF(VLOOKUP([Field],Columns[],8,0)=0,"","-&gt;"&amp;VLOOKUP([Field],Columns[],8,0))</f>
        <v/>
      </c>
      <c r="J43" s="5" t="str">
        <f>IF(VLOOKUP([Field],Columns[],9,0)=0,"","-&gt;"&amp;VLOOKUP([Field],Columns[],9,0))</f>
        <v/>
      </c>
      <c r="K43" s="5" t="str">
        <f>"$table-&gt;"&amp;[Type]&amp;[Name]&amp;[Arg2]&amp;[Method1]&amp;[Method2]&amp;[Method3]&amp;[Method4]&amp;[Method5]&amp;";"</f>
        <v>$table-&gt;unsignedInteger('group08')-&gt;nullable()-&gt;index();</v>
      </c>
    </row>
    <row r="44" spans="1:11">
      <c r="A44" s="5" t="s">
        <v>442</v>
      </c>
      <c r="B44" s="5" t="s">
        <v>532</v>
      </c>
      <c r="C44" s="5" t="str">
        <f>VLOOKUP([Field],Columns[],2,0)&amp;"("</f>
        <v>unsignedInteger(</v>
      </c>
      <c r="D44" s="5" t="str">
        <f>IF(VLOOKUP([Field],Columns[],3,0)&lt;&gt;"","'"&amp;VLOOKUP([Field],Columns[],3,0)&amp;"'","")</f>
        <v>'group09'</v>
      </c>
      <c r="E44" s="8" t="str">
        <f>IF(VLOOKUP([Field],Columns[],4,0)&lt;&gt;0,", "&amp;VLOOKUP([Field],Columns[],4,0)&amp;")",")")</f>
        <v>)</v>
      </c>
      <c r="F44" s="5" t="str">
        <f>IF(VLOOKUP([Field],Columns[],5,0)=0,"","-&gt;"&amp;VLOOKUP([Field],Columns[],5,0))</f>
        <v>-&gt;nullable()</v>
      </c>
      <c r="G44" s="5" t="str">
        <f>IF(VLOOKUP([Field],Columns[],6,0)=0,"","-&gt;"&amp;VLOOKUP([Field],Columns[],6,0))</f>
        <v>-&gt;index()</v>
      </c>
      <c r="H44" s="5" t="str">
        <f>IF(VLOOKUP([Field],Columns[],7,0)=0,"","-&gt;"&amp;VLOOKUP([Field],Columns[],7,0))</f>
        <v/>
      </c>
      <c r="I44" s="5" t="str">
        <f>IF(VLOOKUP([Field],Columns[],8,0)=0,"","-&gt;"&amp;VLOOKUP([Field],Columns[],8,0))</f>
        <v/>
      </c>
      <c r="J44" s="5" t="str">
        <f>IF(VLOOKUP([Field],Columns[],9,0)=0,"","-&gt;"&amp;VLOOKUP([Field],Columns[],9,0))</f>
        <v/>
      </c>
      <c r="K44" s="5" t="str">
        <f>"$table-&gt;"&amp;[Type]&amp;[Name]&amp;[Arg2]&amp;[Method1]&amp;[Method2]&amp;[Method3]&amp;[Method4]&amp;[Method5]&amp;";"</f>
        <v>$table-&gt;unsignedInteger('group09')-&gt;nullable()-&gt;index();</v>
      </c>
    </row>
    <row r="45" spans="1:11">
      <c r="A45" s="5" t="s">
        <v>442</v>
      </c>
      <c r="B45" s="5" t="s">
        <v>524</v>
      </c>
      <c r="C45" s="5" t="str">
        <f>VLOOKUP([Field],Columns[],2,0)&amp;"("</f>
        <v>unsignedInteger(</v>
      </c>
      <c r="D45" s="5" t="str">
        <f>IF(VLOOKUP([Field],Columns[],3,0)&lt;&gt;"","'"&amp;VLOOKUP([Field],Columns[],3,0)&amp;"'","")</f>
        <v>'group10'</v>
      </c>
      <c r="E45" s="8" t="str">
        <f>IF(VLOOKUP([Field],Columns[],4,0)&lt;&gt;0,", "&amp;VLOOKUP([Field],Columns[],4,0)&amp;")",")")</f>
        <v>)</v>
      </c>
      <c r="F45" s="5" t="str">
        <f>IF(VLOOKUP([Field],Columns[],5,0)=0,"","-&gt;"&amp;VLOOKUP([Field],Columns[],5,0))</f>
        <v>-&gt;nullable()</v>
      </c>
      <c r="G45" s="5" t="str">
        <f>IF(VLOOKUP([Field],Columns[],6,0)=0,"","-&gt;"&amp;VLOOKUP([Field],Columns[],6,0))</f>
        <v>-&gt;index()</v>
      </c>
      <c r="H45" s="5" t="str">
        <f>IF(VLOOKUP([Field],Columns[],7,0)=0,"","-&gt;"&amp;VLOOKUP([Field],Columns[],7,0))</f>
        <v/>
      </c>
      <c r="I45" s="5" t="str">
        <f>IF(VLOOKUP([Field],Columns[],8,0)=0,"","-&gt;"&amp;VLOOKUP([Field],Columns[],8,0))</f>
        <v/>
      </c>
      <c r="J45" s="5" t="str">
        <f>IF(VLOOKUP([Field],Columns[],9,0)=0,"","-&gt;"&amp;VLOOKUP([Field],Columns[],9,0))</f>
        <v/>
      </c>
      <c r="K45" s="5" t="str">
        <f>"$table-&gt;"&amp;[Type]&amp;[Name]&amp;[Arg2]&amp;[Method1]&amp;[Method2]&amp;[Method3]&amp;[Method4]&amp;[Method5]&amp;";"</f>
        <v>$table-&gt;unsignedInteger('group10')-&gt;nullable()-&gt;index();</v>
      </c>
    </row>
    <row r="46" spans="1:11">
      <c r="A46" s="5" t="s">
        <v>442</v>
      </c>
      <c r="B46" s="5" t="s">
        <v>453</v>
      </c>
      <c r="C46" s="5" t="str">
        <f>VLOOKUP([Field],Columns[],2,0)&amp;"("</f>
        <v>enum(</v>
      </c>
      <c r="D46" s="5" t="str">
        <f>IF(VLOOKUP([Field],Columns[],3,0)&lt;&gt;"","'"&amp;VLOOKUP([Field],Columns[],3,0)&amp;"'","")</f>
        <v>'status'</v>
      </c>
      <c r="E46" s="8" t="str">
        <f>IF(VLOOKUP([Field],Columns[],4,0)&lt;&gt;0,", "&amp;VLOOKUP([Field],Columns[],4,0)&amp;")",")")</f>
        <v>, ['Active','Inactive'])</v>
      </c>
      <c r="F46" s="5" t="str">
        <f>IF(VLOOKUP([Field],Columns[],5,0)=0,"","-&gt;"&amp;VLOOKUP([Field],Columns[],5,0))</f>
        <v>-&gt;default('Active')</v>
      </c>
      <c r="G46" s="5" t="str">
        <f>IF(VLOOKUP([Field],Columns[],6,0)=0,"","-&gt;"&amp;VLOOKUP([Field],Columns[],6,0))</f>
        <v>-&gt;index()</v>
      </c>
      <c r="H46" s="5" t="str">
        <f>IF(VLOOKUP([Field],Columns[],7,0)=0,"","-&gt;"&amp;VLOOKUP([Field],Columns[],7,0))</f>
        <v/>
      </c>
      <c r="I46" s="5" t="str">
        <f>IF(VLOOKUP([Field],Columns[],8,0)=0,"","-&gt;"&amp;VLOOKUP([Field],Columns[],8,0))</f>
        <v/>
      </c>
      <c r="J46" s="5" t="str">
        <f>IF(VLOOKUP([Field],Columns[],9,0)=0,"","-&gt;"&amp;VLOOKUP([Field],Columns[],9,0))</f>
        <v/>
      </c>
      <c r="K46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47" spans="1:11">
      <c r="A47" s="5" t="s">
        <v>442</v>
      </c>
      <c r="B47" s="5" t="s">
        <v>518</v>
      </c>
      <c r="C47" s="5" t="str">
        <f>VLOOKUP([Field],Columns[],2,0)&amp;"("</f>
        <v>audit(</v>
      </c>
      <c r="D47" s="5" t="str">
        <f>IF(VLOOKUP([Field],Columns[],3,0)&lt;&gt;"","'"&amp;VLOOKUP([Field],Columns[],3,0)&amp;"'","")</f>
        <v/>
      </c>
      <c r="E47" s="8" t="str">
        <f>IF(VLOOKUP([Field],Columns[],4,0)&lt;&gt;0,", "&amp;VLOOKUP([Field],Columns[],4,0)&amp;")",")")</f>
        <v>)</v>
      </c>
      <c r="F47" s="5" t="str">
        <f>IF(VLOOKUP([Field],Columns[],5,0)=0,"","-&gt;"&amp;VLOOKUP([Field],Columns[],5,0))</f>
        <v/>
      </c>
      <c r="G47" s="5" t="str">
        <f>IF(VLOOKUP([Field],Columns[],6,0)=0,"","-&gt;"&amp;VLOOKUP([Field],Columns[],6,0))</f>
        <v/>
      </c>
      <c r="H47" s="5" t="str">
        <f>IF(VLOOKUP([Field],Columns[],7,0)=0,"","-&gt;"&amp;VLOOKUP([Field],Columns[],7,0))</f>
        <v/>
      </c>
      <c r="I47" s="5" t="str">
        <f>IF(VLOOKUP([Field],Columns[],8,0)=0,"","-&gt;"&amp;VLOOKUP([Field],Columns[],8,0))</f>
        <v/>
      </c>
      <c r="J47" s="5" t="str">
        <f>IF(VLOOKUP([Field],Columns[],9,0)=0,"","-&gt;"&amp;VLOOKUP([Field],Columns[],9,0))</f>
        <v/>
      </c>
      <c r="K47" s="5" t="str">
        <f>"$table-&gt;"&amp;[Type]&amp;[Name]&amp;[Arg2]&amp;[Method1]&amp;[Method2]&amp;[Method3]&amp;[Method4]&amp;[Method5]&amp;";"</f>
        <v>$table-&gt;audit();</v>
      </c>
    </row>
    <row r="48" spans="1:11">
      <c r="A48" s="5" t="s">
        <v>442</v>
      </c>
      <c r="B48" s="5" t="s">
        <v>533</v>
      </c>
      <c r="C48" s="5" t="str">
        <f>VLOOKUP([Field],Columns[],2,0)&amp;"("</f>
        <v>foreign(</v>
      </c>
      <c r="D48" s="5" t="str">
        <f>IF(VLOOKUP([Field],Columns[],3,0)&lt;&gt;"","'"&amp;VLOOKUP([Field],Columns[],3,0)&amp;"'","")</f>
        <v>'group01'</v>
      </c>
      <c r="E48" s="8" t="str">
        <f>IF(VLOOKUP([Field],Columns[],4,0)&lt;&gt;0,", "&amp;VLOOKUP([Field],Columns[],4,0)&amp;")",")")</f>
        <v>)</v>
      </c>
      <c r="F48" s="5" t="str">
        <f>IF(VLOOKUP([Field],Columns[],5,0)=0,"","-&gt;"&amp;VLOOKUP([Field],Columns[],5,0))</f>
        <v>-&gt;references('id')</v>
      </c>
      <c r="G48" s="5" t="str">
        <f>IF(VLOOKUP([Field],Columns[],6,0)=0,"","-&gt;"&amp;VLOOKUP([Field],Columns[],6,0))</f>
        <v>-&gt;on('group_details')</v>
      </c>
      <c r="H48" s="5" t="str">
        <f>IF(VLOOKUP([Field],Columns[],7,0)=0,"","-&gt;"&amp;VLOOKUP([Field],Columns[],7,0))</f>
        <v>-&gt;onUpdate('cascade')</v>
      </c>
      <c r="I48" s="5" t="str">
        <f>IF(VLOOKUP([Field],Columns[],8,0)=0,"","-&gt;"&amp;VLOOKUP([Field],Columns[],8,0))</f>
        <v>-&gt;onDelete('set null')</v>
      </c>
      <c r="J48" s="5" t="str">
        <f>IF(VLOOKUP([Field],Columns[],9,0)=0,"","-&gt;"&amp;VLOOKUP([Field],Columns[],9,0))</f>
        <v/>
      </c>
      <c r="K48" s="5" t="str">
        <f>"$table-&gt;"&amp;[Type]&amp;[Name]&amp;[Arg2]&amp;[Method1]&amp;[Method2]&amp;[Method3]&amp;[Method4]&amp;[Method5]&amp;";"</f>
        <v>$table-&gt;foreign('group01')-&gt;references('id')-&gt;on('group_details')-&gt;onUpdate('cascade')-&gt;onDelete('set null');</v>
      </c>
    </row>
    <row r="49" spans="1:11">
      <c r="A49" s="5" t="s">
        <v>442</v>
      </c>
      <c r="B49" s="5" t="s">
        <v>534</v>
      </c>
      <c r="C49" s="5" t="str">
        <f>VLOOKUP([Field],Columns[],2,0)&amp;"("</f>
        <v>foreign(</v>
      </c>
      <c r="D49" s="5" t="str">
        <f>IF(VLOOKUP([Field],Columns[],3,0)&lt;&gt;"","'"&amp;VLOOKUP([Field],Columns[],3,0)&amp;"'","")</f>
        <v>'group02'</v>
      </c>
      <c r="E49" s="8" t="str">
        <f>IF(VLOOKUP([Field],Columns[],4,0)&lt;&gt;0,", "&amp;VLOOKUP([Field],Columns[],4,0)&amp;")",")")</f>
        <v>)</v>
      </c>
      <c r="F49" s="5" t="str">
        <f>IF(VLOOKUP([Field],Columns[],5,0)=0,"","-&gt;"&amp;VLOOKUP([Field],Columns[],5,0))</f>
        <v>-&gt;references('id')</v>
      </c>
      <c r="G49" s="5" t="str">
        <f>IF(VLOOKUP([Field],Columns[],6,0)=0,"","-&gt;"&amp;VLOOKUP([Field],Columns[],6,0))</f>
        <v>-&gt;on('group_details')</v>
      </c>
      <c r="H49" s="5" t="str">
        <f>IF(VLOOKUP([Field],Columns[],7,0)=0,"","-&gt;"&amp;VLOOKUP([Field],Columns[],7,0))</f>
        <v>-&gt;onUpdate('cascade')</v>
      </c>
      <c r="I49" s="5" t="str">
        <f>IF(VLOOKUP([Field],Columns[],8,0)=0,"","-&gt;"&amp;VLOOKUP([Field],Columns[],8,0))</f>
        <v>-&gt;onDelete('set null')</v>
      </c>
      <c r="J49" s="5" t="str">
        <f>IF(VLOOKUP([Field],Columns[],9,0)=0,"","-&gt;"&amp;VLOOKUP([Field],Columns[],9,0))</f>
        <v/>
      </c>
      <c r="K49" s="5" t="str">
        <f>"$table-&gt;"&amp;[Type]&amp;[Name]&amp;[Arg2]&amp;[Method1]&amp;[Method2]&amp;[Method3]&amp;[Method4]&amp;[Method5]&amp;";"</f>
        <v>$table-&gt;foreign('group02')-&gt;references('id')-&gt;on('group_details')-&gt;onUpdate('cascade')-&gt;onDelete('set null');</v>
      </c>
    </row>
    <row r="50" spans="1:11">
      <c r="A50" s="5" t="s">
        <v>442</v>
      </c>
      <c r="B50" s="5" t="s">
        <v>535</v>
      </c>
      <c r="C50" s="5" t="str">
        <f>VLOOKUP([Field],Columns[],2,0)&amp;"("</f>
        <v>foreign(</v>
      </c>
      <c r="D50" s="5" t="str">
        <f>IF(VLOOKUP([Field],Columns[],3,0)&lt;&gt;"","'"&amp;VLOOKUP([Field],Columns[],3,0)&amp;"'","")</f>
        <v>'group03'</v>
      </c>
      <c r="E50" s="8" t="str">
        <f>IF(VLOOKUP([Field],Columns[],4,0)&lt;&gt;0,", "&amp;VLOOKUP([Field],Columns[],4,0)&amp;")",")")</f>
        <v>)</v>
      </c>
      <c r="F50" s="5" t="str">
        <f>IF(VLOOKUP([Field],Columns[],5,0)=0,"","-&gt;"&amp;VLOOKUP([Field],Columns[],5,0))</f>
        <v>-&gt;references('id')</v>
      </c>
      <c r="G50" s="5" t="str">
        <f>IF(VLOOKUP([Field],Columns[],6,0)=0,"","-&gt;"&amp;VLOOKUP([Field],Columns[],6,0))</f>
        <v>-&gt;on('group_details')</v>
      </c>
      <c r="H50" s="5" t="str">
        <f>IF(VLOOKUP([Field],Columns[],7,0)=0,"","-&gt;"&amp;VLOOKUP([Field],Columns[],7,0))</f>
        <v>-&gt;onUpdate('cascade')</v>
      </c>
      <c r="I50" s="5" t="str">
        <f>IF(VLOOKUP([Field],Columns[],8,0)=0,"","-&gt;"&amp;VLOOKUP([Field],Columns[],8,0))</f>
        <v>-&gt;onDelete('set null')</v>
      </c>
      <c r="J50" s="5" t="str">
        <f>IF(VLOOKUP([Field],Columns[],9,0)=0,"","-&gt;"&amp;VLOOKUP([Field],Columns[],9,0))</f>
        <v/>
      </c>
      <c r="K50" s="5" t="str">
        <f>"$table-&gt;"&amp;[Type]&amp;[Name]&amp;[Arg2]&amp;[Method1]&amp;[Method2]&amp;[Method3]&amp;[Method4]&amp;[Method5]&amp;";"</f>
        <v>$table-&gt;foreign('group03')-&gt;references('id')-&gt;on('group_details')-&gt;onUpdate('cascade')-&gt;onDelete('set null');</v>
      </c>
    </row>
    <row r="51" spans="1:11">
      <c r="A51" s="5" t="s">
        <v>442</v>
      </c>
      <c r="B51" s="5" t="s">
        <v>536</v>
      </c>
      <c r="C51" s="5" t="str">
        <f>VLOOKUP([Field],Columns[],2,0)&amp;"("</f>
        <v>foreign(</v>
      </c>
      <c r="D51" s="5" t="str">
        <f>IF(VLOOKUP([Field],Columns[],3,0)&lt;&gt;"","'"&amp;VLOOKUP([Field],Columns[],3,0)&amp;"'","")</f>
        <v>'group04'</v>
      </c>
      <c r="E51" s="8" t="str">
        <f>IF(VLOOKUP([Field],Columns[],4,0)&lt;&gt;0,", "&amp;VLOOKUP([Field],Columns[],4,0)&amp;")",")")</f>
        <v>)</v>
      </c>
      <c r="F51" s="5" t="str">
        <f>IF(VLOOKUP([Field],Columns[],5,0)=0,"","-&gt;"&amp;VLOOKUP([Field],Columns[],5,0))</f>
        <v>-&gt;references('id')</v>
      </c>
      <c r="G51" s="5" t="str">
        <f>IF(VLOOKUP([Field],Columns[],6,0)=0,"","-&gt;"&amp;VLOOKUP([Field],Columns[],6,0))</f>
        <v>-&gt;on('group_details')</v>
      </c>
      <c r="H51" s="5" t="str">
        <f>IF(VLOOKUP([Field],Columns[],7,0)=0,"","-&gt;"&amp;VLOOKUP([Field],Columns[],7,0))</f>
        <v>-&gt;onUpdate('cascade')</v>
      </c>
      <c r="I51" s="5" t="str">
        <f>IF(VLOOKUP([Field],Columns[],8,0)=0,"","-&gt;"&amp;VLOOKUP([Field],Columns[],8,0))</f>
        <v>-&gt;onDelete('set null')</v>
      </c>
      <c r="J51" s="5" t="str">
        <f>IF(VLOOKUP([Field],Columns[],9,0)=0,"","-&gt;"&amp;VLOOKUP([Field],Columns[],9,0))</f>
        <v/>
      </c>
      <c r="K51" s="5" t="str">
        <f>"$table-&gt;"&amp;[Type]&amp;[Name]&amp;[Arg2]&amp;[Method1]&amp;[Method2]&amp;[Method3]&amp;[Method4]&amp;[Method5]&amp;";"</f>
        <v>$table-&gt;foreign('group04')-&gt;references('id')-&gt;on('group_details')-&gt;onUpdate('cascade')-&gt;onDelete('set null');</v>
      </c>
    </row>
    <row r="52" spans="1:11">
      <c r="A52" s="5" t="s">
        <v>442</v>
      </c>
      <c r="B52" s="5" t="s">
        <v>537</v>
      </c>
      <c r="C52" s="5" t="str">
        <f>VLOOKUP([Field],Columns[],2,0)&amp;"("</f>
        <v>foreign(</v>
      </c>
      <c r="D52" s="5" t="str">
        <f>IF(VLOOKUP([Field],Columns[],3,0)&lt;&gt;"","'"&amp;VLOOKUP([Field],Columns[],3,0)&amp;"'","")</f>
        <v>'group05'</v>
      </c>
      <c r="E52" s="8" t="str">
        <f>IF(VLOOKUP([Field],Columns[],4,0)&lt;&gt;0,", "&amp;VLOOKUP([Field],Columns[],4,0)&amp;")",")")</f>
        <v>)</v>
      </c>
      <c r="F52" s="5" t="str">
        <f>IF(VLOOKUP([Field],Columns[],5,0)=0,"","-&gt;"&amp;VLOOKUP([Field],Columns[],5,0))</f>
        <v>-&gt;references('id')</v>
      </c>
      <c r="G52" s="5" t="str">
        <f>IF(VLOOKUP([Field],Columns[],6,0)=0,"","-&gt;"&amp;VLOOKUP([Field],Columns[],6,0))</f>
        <v>-&gt;on('group_details')</v>
      </c>
      <c r="H52" s="5" t="str">
        <f>IF(VLOOKUP([Field],Columns[],7,0)=0,"","-&gt;"&amp;VLOOKUP([Field],Columns[],7,0))</f>
        <v>-&gt;onUpdate('cascade')</v>
      </c>
      <c r="I52" s="5" t="str">
        <f>IF(VLOOKUP([Field],Columns[],8,0)=0,"","-&gt;"&amp;VLOOKUP([Field],Columns[],8,0))</f>
        <v>-&gt;onDelete('set null')</v>
      </c>
      <c r="J52" s="5" t="str">
        <f>IF(VLOOKUP([Field],Columns[],9,0)=0,"","-&gt;"&amp;VLOOKUP([Field],Columns[],9,0))</f>
        <v/>
      </c>
      <c r="K52" s="5" t="str">
        <f>"$table-&gt;"&amp;[Type]&amp;[Name]&amp;[Arg2]&amp;[Method1]&amp;[Method2]&amp;[Method3]&amp;[Method4]&amp;[Method5]&amp;";"</f>
        <v>$table-&gt;foreign('group05')-&gt;references('id')-&gt;on('group_details')-&gt;onUpdate('cascade')-&gt;onDelete('set null');</v>
      </c>
    </row>
    <row r="53" spans="1:11">
      <c r="A53" s="5" t="s">
        <v>442</v>
      </c>
      <c r="B53" s="5" t="s">
        <v>538</v>
      </c>
      <c r="C53" s="5" t="str">
        <f>VLOOKUP([Field],Columns[],2,0)&amp;"("</f>
        <v>foreign(</v>
      </c>
      <c r="D53" s="5" t="str">
        <f>IF(VLOOKUP([Field],Columns[],3,0)&lt;&gt;"","'"&amp;VLOOKUP([Field],Columns[],3,0)&amp;"'","")</f>
        <v>'group06'</v>
      </c>
      <c r="E53" s="8" t="str">
        <f>IF(VLOOKUP([Field],Columns[],4,0)&lt;&gt;0,", "&amp;VLOOKUP([Field],Columns[],4,0)&amp;")",")")</f>
        <v>)</v>
      </c>
      <c r="F53" s="5" t="str">
        <f>IF(VLOOKUP([Field],Columns[],5,0)=0,"","-&gt;"&amp;VLOOKUP([Field],Columns[],5,0))</f>
        <v>-&gt;references('id')</v>
      </c>
      <c r="G53" s="5" t="str">
        <f>IF(VLOOKUP([Field],Columns[],6,0)=0,"","-&gt;"&amp;VLOOKUP([Field],Columns[],6,0))</f>
        <v>-&gt;on('group_details')</v>
      </c>
      <c r="H53" s="5" t="str">
        <f>IF(VLOOKUP([Field],Columns[],7,0)=0,"","-&gt;"&amp;VLOOKUP([Field],Columns[],7,0))</f>
        <v>-&gt;onUpdate('cascade')</v>
      </c>
      <c r="I53" s="5" t="str">
        <f>IF(VLOOKUP([Field],Columns[],8,0)=0,"","-&gt;"&amp;VLOOKUP([Field],Columns[],8,0))</f>
        <v>-&gt;onDelete('set null')</v>
      </c>
      <c r="J53" s="5" t="str">
        <f>IF(VLOOKUP([Field],Columns[],9,0)=0,"","-&gt;"&amp;VLOOKUP([Field],Columns[],9,0))</f>
        <v/>
      </c>
      <c r="K53" s="5" t="str">
        <f>"$table-&gt;"&amp;[Type]&amp;[Name]&amp;[Arg2]&amp;[Method1]&amp;[Method2]&amp;[Method3]&amp;[Method4]&amp;[Method5]&amp;";"</f>
        <v>$table-&gt;foreign('group06')-&gt;references('id')-&gt;on('group_details')-&gt;onUpdate('cascade')-&gt;onDelete('set null');</v>
      </c>
    </row>
    <row r="54" spans="1:11">
      <c r="A54" s="5" t="s">
        <v>442</v>
      </c>
      <c r="B54" s="5" t="s">
        <v>539</v>
      </c>
      <c r="C54" s="5" t="str">
        <f>VLOOKUP([Field],Columns[],2,0)&amp;"("</f>
        <v>foreign(</v>
      </c>
      <c r="D54" s="5" t="str">
        <f>IF(VLOOKUP([Field],Columns[],3,0)&lt;&gt;"","'"&amp;VLOOKUP([Field],Columns[],3,0)&amp;"'","")</f>
        <v>'group07'</v>
      </c>
      <c r="E54" s="8" t="str">
        <f>IF(VLOOKUP([Field],Columns[],4,0)&lt;&gt;0,", "&amp;VLOOKUP([Field],Columns[],4,0)&amp;")",")")</f>
        <v>)</v>
      </c>
      <c r="F54" s="5" t="str">
        <f>IF(VLOOKUP([Field],Columns[],5,0)=0,"","-&gt;"&amp;VLOOKUP([Field],Columns[],5,0))</f>
        <v>-&gt;references('id')</v>
      </c>
      <c r="G54" s="5" t="str">
        <f>IF(VLOOKUP([Field],Columns[],6,0)=0,"","-&gt;"&amp;VLOOKUP([Field],Columns[],6,0))</f>
        <v>-&gt;on('group_details')</v>
      </c>
      <c r="H54" s="5" t="str">
        <f>IF(VLOOKUP([Field],Columns[],7,0)=0,"","-&gt;"&amp;VLOOKUP([Field],Columns[],7,0))</f>
        <v>-&gt;onUpdate('cascade')</v>
      </c>
      <c r="I54" s="5" t="str">
        <f>IF(VLOOKUP([Field],Columns[],8,0)=0,"","-&gt;"&amp;VLOOKUP([Field],Columns[],8,0))</f>
        <v>-&gt;onDelete('set null')</v>
      </c>
      <c r="J54" s="5" t="str">
        <f>IF(VLOOKUP([Field],Columns[],9,0)=0,"","-&gt;"&amp;VLOOKUP([Field],Columns[],9,0))</f>
        <v/>
      </c>
      <c r="K54" s="5" t="str">
        <f>"$table-&gt;"&amp;[Type]&amp;[Name]&amp;[Arg2]&amp;[Method1]&amp;[Method2]&amp;[Method3]&amp;[Method4]&amp;[Method5]&amp;";"</f>
        <v>$table-&gt;foreign('group07')-&gt;references('id')-&gt;on('group_details')-&gt;onUpdate('cascade')-&gt;onDelete('set null');</v>
      </c>
    </row>
    <row r="55" spans="1:11">
      <c r="A55" s="5" t="s">
        <v>442</v>
      </c>
      <c r="B55" s="5" t="s">
        <v>540</v>
      </c>
      <c r="C55" s="5" t="str">
        <f>VLOOKUP([Field],Columns[],2,0)&amp;"("</f>
        <v>foreign(</v>
      </c>
      <c r="D55" s="5" t="str">
        <f>IF(VLOOKUP([Field],Columns[],3,0)&lt;&gt;"","'"&amp;VLOOKUP([Field],Columns[],3,0)&amp;"'","")</f>
        <v>'group08'</v>
      </c>
      <c r="E55" s="8" t="str">
        <f>IF(VLOOKUP([Field],Columns[],4,0)&lt;&gt;0,", "&amp;VLOOKUP([Field],Columns[],4,0)&amp;")",")")</f>
        <v>)</v>
      </c>
      <c r="F55" s="5" t="str">
        <f>IF(VLOOKUP([Field],Columns[],5,0)=0,"","-&gt;"&amp;VLOOKUP([Field],Columns[],5,0))</f>
        <v>-&gt;references('id')</v>
      </c>
      <c r="G55" s="5" t="str">
        <f>IF(VLOOKUP([Field],Columns[],6,0)=0,"","-&gt;"&amp;VLOOKUP([Field],Columns[],6,0))</f>
        <v>-&gt;on('group_details')</v>
      </c>
      <c r="H55" s="5" t="str">
        <f>IF(VLOOKUP([Field],Columns[],7,0)=0,"","-&gt;"&amp;VLOOKUP([Field],Columns[],7,0))</f>
        <v>-&gt;onUpdate('cascade')</v>
      </c>
      <c r="I55" s="5" t="str">
        <f>IF(VLOOKUP([Field],Columns[],8,0)=0,"","-&gt;"&amp;VLOOKUP([Field],Columns[],8,0))</f>
        <v>-&gt;onDelete('set null')</v>
      </c>
      <c r="J55" s="5" t="str">
        <f>IF(VLOOKUP([Field],Columns[],9,0)=0,"","-&gt;"&amp;VLOOKUP([Field],Columns[],9,0))</f>
        <v/>
      </c>
      <c r="K55" s="5" t="str">
        <f>"$table-&gt;"&amp;[Type]&amp;[Name]&amp;[Arg2]&amp;[Method1]&amp;[Method2]&amp;[Method3]&amp;[Method4]&amp;[Method5]&amp;";"</f>
        <v>$table-&gt;foreign('group08')-&gt;references('id')-&gt;on('group_details')-&gt;onUpdate('cascade')-&gt;onDelete('set null');</v>
      </c>
    </row>
    <row r="56" spans="1:11">
      <c r="A56" s="5" t="s">
        <v>442</v>
      </c>
      <c r="B56" s="5" t="s">
        <v>541</v>
      </c>
      <c r="C56" s="5" t="str">
        <f>VLOOKUP([Field],Columns[],2,0)&amp;"("</f>
        <v>foreign(</v>
      </c>
      <c r="D56" s="5" t="str">
        <f>IF(VLOOKUP([Field],Columns[],3,0)&lt;&gt;"","'"&amp;VLOOKUP([Field],Columns[],3,0)&amp;"'","")</f>
        <v>'group09'</v>
      </c>
      <c r="E56" s="8" t="str">
        <f>IF(VLOOKUP([Field],Columns[],4,0)&lt;&gt;0,", "&amp;VLOOKUP([Field],Columns[],4,0)&amp;")",")")</f>
        <v>)</v>
      </c>
      <c r="F56" s="5" t="str">
        <f>IF(VLOOKUP([Field],Columns[],5,0)=0,"","-&gt;"&amp;VLOOKUP([Field],Columns[],5,0))</f>
        <v>-&gt;references('id')</v>
      </c>
      <c r="G56" s="5" t="str">
        <f>IF(VLOOKUP([Field],Columns[],6,0)=0,"","-&gt;"&amp;VLOOKUP([Field],Columns[],6,0))</f>
        <v>-&gt;on('group_details')</v>
      </c>
      <c r="H56" s="5" t="str">
        <f>IF(VLOOKUP([Field],Columns[],7,0)=0,"","-&gt;"&amp;VLOOKUP([Field],Columns[],7,0))</f>
        <v>-&gt;onUpdate('cascade')</v>
      </c>
      <c r="I56" s="5" t="str">
        <f>IF(VLOOKUP([Field],Columns[],8,0)=0,"","-&gt;"&amp;VLOOKUP([Field],Columns[],8,0))</f>
        <v>-&gt;onDelete('set null')</v>
      </c>
      <c r="J56" s="5" t="str">
        <f>IF(VLOOKUP([Field],Columns[],9,0)=0,"","-&gt;"&amp;VLOOKUP([Field],Columns[],9,0))</f>
        <v/>
      </c>
      <c r="K56" s="5" t="str">
        <f>"$table-&gt;"&amp;[Type]&amp;[Name]&amp;[Arg2]&amp;[Method1]&amp;[Method2]&amp;[Method3]&amp;[Method4]&amp;[Method5]&amp;";"</f>
        <v>$table-&gt;foreign('group09')-&gt;references('id')-&gt;on('group_details')-&gt;onUpdate('cascade')-&gt;onDelete('set null');</v>
      </c>
    </row>
    <row r="57" spans="1:11">
      <c r="A57" s="5" t="s">
        <v>442</v>
      </c>
      <c r="B57" s="5" t="s">
        <v>542</v>
      </c>
      <c r="C57" s="5" t="str">
        <f>VLOOKUP([Field],Columns[],2,0)&amp;"("</f>
        <v>foreign(</v>
      </c>
      <c r="D57" s="5" t="str">
        <f>IF(VLOOKUP([Field],Columns[],3,0)&lt;&gt;"","'"&amp;VLOOKUP([Field],Columns[],3,0)&amp;"'","")</f>
        <v>'group10'</v>
      </c>
      <c r="E57" s="8" t="str">
        <f>IF(VLOOKUP([Field],Columns[],4,0)&lt;&gt;0,", "&amp;VLOOKUP([Field],Columns[],4,0)&amp;")",")")</f>
        <v>)</v>
      </c>
      <c r="F57" s="5" t="str">
        <f>IF(VLOOKUP([Field],Columns[],5,0)=0,"","-&gt;"&amp;VLOOKUP([Field],Columns[],5,0))</f>
        <v>-&gt;references('id')</v>
      </c>
      <c r="G57" s="5" t="str">
        <f>IF(VLOOKUP([Field],Columns[],6,0)=0,"","-&gt;"&amp;VLOOKUP([Field],Columns[],6,0))</f>
        <v>-&gt;on('group_details')</v>
      </c>
      <c r="H57" s="5" t="str">
        <f>IF(VLOOKUP([Field],Columns[],7,0)=0,"","-&gt;"&amp;VLOOKUP([Field],Columns[],7,0))</f>
        <v>-&gt;onUpdate('cascade')</v>
      </c>
      <c r="I57" s="5" t="str">
        <f>IF(VLOOKUP([Field],Columns[],8,0)=0,"","-&gt;"&amp;VLOOKUP([Field],Columns[],8,0))</f>
        <v>-&gt;onDelete('set null')</v>
      </c>
      <c r="J57" s="5" t="str">
        <f>IF(VLOOKUP([Field],Columns[],9,0)=0,"","-&gt;"&amp;VLOOKUP([Field],Columns[],9,0))</f>
        <v/>
      </c>
      <c r="K57" s="5" t="str">
        <f>"$table-&gt;"&amp;[Type]&amp;[Name]&amp;[Arg2]&amp;[Method1]&amp;[Method2]&amp;[Method3]&amp;[Method4]&amp;[Method5]&amp;";"</f>
        <v>$table-&gt;foreign('group10')-&gt;references('id')-&gt;on('group_details')-&gt;onUpdate('cascade')-&gt;onDelete('set null');</v>
      </c>
    </row>
    <row r="58" spans="1:11">
      <c r="A58" s="5" t="s">
        <v>443</v>
      </c>
      <c r="B58" s="5" t="s">
        <v>21</v>
      </c>
      <c r="C58" s="5" t="str">
        <f>VLOOKUP([Field],Columns[],2,0)&amp;"("</f>
        <v>increments(</v>
      </c>
      <c r="D58" s="5" t="str">
        <f>IF(VLOOKUP([Field],Columns[],3,0)&lt;&gt;"","'"&amp;VLOOKUP([Field],Columns[],3,0)&amp;"'","")</f>
        <v>'id'</v>
      </c>
      <c r="E58" s="8" t="str">
        <f>IF(VLOOKUP([Field],Columns[],4,0)&lt;&gt;0,", "&amp;VLOOKUP([Field],Columns[],4,0)&amp;")",")")</f>
        <v>)</v>
      </c>
      <c r="F58" s="5" t="str">
        <f>IF(VLOOKUP([Field],Columns[],5,0)=0,"","-&gt;"&amp;VLOOKUP([Field],Columns[],5,0))</f>
        <v/>
      </c>
      <c r="G58" s="5" t="str">
        <f>IF(VLOOKUP([Field],Columns[],6,0)=0,"","-&gt;"&amp;VLOOKUP([Field],Columns[],6,0))</f>
        <v/>
      </c>
      <c r="H58" s="5" t="str">
        <f>IF(VLOOKUP([Field],Columns[],7,0)=0,"","-&gt;"&amp;VLOOKUP([Field],Columns[],7,0))</f>
        <v/>
      </c>
      <c r="I58" s="5" t="str">
        <f>IF(VLOOKUP([Field],Columns[],8,0)=0,"","-&gt;"&amp;VLOOKUP([Field],Columns[],8,0))</f>
        <v/>
      </c>
      <c r="J58" s="5" t="str">
        <f>IF(VLOOKUP([Field],Columns[],9,0)=0,"","-&gt;"&amp;VLOOKUP([Field],Columns[],9,0))</f>
        <v/>
      </c>
      <c r="K58" s="5" t="str">
        <f>"$table-&gt;"&amp;[Type]&amp;[Name]&amp;[Arg2]&amp;[Method1]&amp;[Method2]&amp;[Method3]&amp;[Method4]&amp;[Method5]&amp;";"</f>
        <v>$table-&gt;increments('id');</v>
      </c>
    </row>
    <row r="59" spans="1:11">
      <c r="A59" s="5" t="s">
        <v>443</v>
      </c>
      <c r="B59" s="5" t="s">
        <v>454</v>
      </c>
      <c r="C59" s="5" t="str">
        <f>VLOOKUP([Field],Columns[],2,0)&amp;"("</f>
        <v>string(</v>
      </c>
      <c r="D59" s="5" t="str">
        <f>IF(VLOOKUP([Field],Columns[],3,0)&lt;&gt;"","'"&amp;VLOOKUP([Field],Columns[],3,0)&amp;"'","")</f>
        <v>'name'</v>
      </c>
      <c r="E59" s="8" t="str">
        <f>IF(VLOOKUP([Field],Columns[],4,0)&lt;&gt;0,", "&amp;VLOOKUP([Field],Columns[],4,0)&amp;")",")")</f>
        <v>, 64)</v>
      </c>
      <c r="F59" s="5" t="str">
        <f>IF(VLOOKUP([Field],Columns[],5,0)=0,"","-&gt;"&amp;VLOOKUP([Field],Columns[],5,0))</f>
        <v>-&gt;nullable()</v>
      </c>
      <c r="G59" s="5" t="str">
        <f>IF(VLOOKUP([Field],Columns[],6,0)=0,"","-&gt;"&amp;VLOOKUP([Field],Columns[],6,0))</f>
        <v/>
      </c>
      <c r="H59" s="5" t="str">
        <f>IF(VLOOKUP([Field],Columns[],7,0)=0,"","-&gt;"&amp;VLOOKUP([Field],Columns[],7,0))</f>
        <v/>
      </c>
      <c r="I59" s="5" t="str">
        <f>IF(VLOOKUP([Field],Columns[],8,0)=0,"","-&gt;"&amp;VLOOKUP([Field],Columns[],8,0))</f>
        <v/>
      </c>
      <c r="J59" s="5" t="str">
        <f>IF(VLOOKUP([Field],Columns[],9,0)=0,"","-&gt;"&amp;VLOOKUP([Field],Columns[],9,0))</f>
        <v/>
      </c>
      <c r="K59" s="5" t="str">
        <f>"$table-&gt;"&amp;[Type]&amp;[Name]&amp;[Arg2]&amp;[Method1]&amp;[Method2]&amp;[Method3]&amp;[Method4]&amp;[Method5]&amp;";"</f>
        <v>$table-&gt;string('name', 64)-&gt;nullable();</v>
      </c>
    </row>
    <row r="60" spans="1:11">
      <c r="A60" s="5" t="s">
        <v>443</v>
      </c>
      <c r="B60" s="5" t="s">
        <v>467</v>
      </c>
      <c r="C60" s="5" t="str">
        <f>VLOOKUP([Field],Columns[],2,0)&amp;"("</f>
        <v>unsignedInteger(</v>
      </c>
      <c r="D60" s="5" t="str">
        <f>IF(VLOOKUP([Field],Columns[],3,0)&lt;&gt;"","'"&amp;VLOOKUP([Field],Columns[],3,0)&amp;"'","")</f>
        <v>'product'</v>
      </c>
      <c r="E60" s="8" t="str">
        <f>IF(VLOOKUP([Field],Columns[],4,0)&lt;&gt;0,", "&amp;VLOOKUP([Field],Columns[],4,0)&amp;")",")")</f>
        <v>)</v>
      </c>
      <c r="F60" s="5" t="str">
        <f>IF(VLOOKUP([Field],Columns[],5,0)=0,"","-&gt;"&amp;VLOOKUP([Field],Columns[],5,0))</f>
        <v>-&gt;nullable()</v>
      </c>
      <c r="G60" s="5" t="str">
        <f>IF(VLOOKUP([Field],Columns[],6,0)=0,"","-&gt;"&amp;VLOOKUP([Field],Columns[],6,0))</f>
        <v>-&gt;index()</v>
      </c>
      <c r="H60" s="5" t="str">
        <f>IF(VLOOKUP([Field],Columns[],7,0)=0,"","-&gt;"&amp;VLOOKUP([Field],Columns[],7,0))</f>
        <v/>
      </c>
      <c r="I60" s="5" t="str">
        <f>IF(VLOOKUP([Field],Columns[],8,0)=0,"","-&gt;"&amp;VLOOKUP([Field],Columns[],8,0))</f>
        <v/>
      </c>
      <c r="J60" s="5" t="str">
        <f>IF(VLOOKUP([Field],Columns[],9,0)=0,"","-&gt;"&amp;VLOOKUP([Field],Columns[],9,0))</f>
        <v/>
      </c>
      <c r="K60" s="5" t="str">
        <f>"$table-&gt;"&amp;[Type]&amp;[Name]&amp;[Arg2]&amp;[Method1]&amp;[Method2]&amp;[Method3]&amp;[Method4]&amp;[Method5]&amp;";"</f>
        <v>$table-&gt;unsignedInteger('product')-&gt;nullable()-&gt;index();</v>
      </c>
    </row>
    <row r="61" spans="1:11" s="20" customFormat="1">
      <c r="A61" s="5" t="s">
        <v>443</v>
      </c>
      <c r="B61" s="5" t="s">
        <v>468</v>
      </c>
      <c r="C61" s="5" t="str">
        <f>VLOOKUP([Field],Columns[],2,0)&amp;"("</f>
        <v>string(</v>
      </c>
      <c r="D61" s="5" t="str">
        <f>IF(VLOOKUP([Field],Columns[],3,0)&lt;&gt;"","'"&amp;VLOOKUP([Field],Columns[],3,0)&amp;"'","")</f>
        <v>'image'</v>
      </c>
      <c r="E61" s="8" t="str">
        <f>IF(VLOOKUP([Field],Columns[],4,0)&lt;&gt;0,", "&amp;VLOOKUP([Field],Columns[],4,0)&amp;")",")")</f>
        <v>, 128)</v>
      </c>
      <c r="F61" s="5" t="str">
        <f>IF(VLOOKUP([Field],Columns[],5,0)=0,"","-&gt;"&amp;VLOOKUP([Field],Columns[],5,0))</f>
        <v>-&gt;nullable()</v>
      </c>
      <c r="G61" s="5" t="str">
        <f>IF(VLOOKUP([Field],Columns[],6,0)=0,"","-&gt;"&amp;VLOOKUP([Field],Columns[],6,0))</f>
        <v/>
      </c>
      <c r="H61" s="5" t="str">
        <f>IF(VLOOKUP([Field],Columns[],7,0)=0,"","-&gt;"&amp;VLOOKUP([Field],Columns[],7,0))</f>
        <v/>
      </c>
      <c r="I61" s="5" t="str">
        <f>IF(VLOOKUP([Field],Columns[],8,0)=0,"","-&gt;"&amp;VLOOKUP([Field],Columns[],8,0))</f>
        <v/>
      </c>
      <c r="J61" s="5" t="str">
        <f>IF(VLOOKUP([Field],Columns[],9,0)=0,"","-&gt;"&amp;VLOOKUP([Field],Columns[],9,0))</f>
        <v/>
      </c>
      <c r="K61" s="5" t="str">
        <f>"$table-&gt;"&amp;[Type]&amp;[Name]&amp;[Arg2]&amp;[Method1]&amp;[Method2]&amp;[Method3]&amp;[Method4]&amp;[Method5]&amp;";"</f>
        <v>$table-&gt;string('image', 128)-&gt;nullable();</v>
      </c>
    </row>
    <row r="62" spans="1:11">
      <c r="A62" s="5" t="s">
        <v>443</v>
      </c>
      <c r="B62" s="5" t="s">
        <v>469</v>
      </c>
      <c r="C62" s="5" t="str">
        <f>VLOOKUP([Field],Columns[],2,0)&amp;"("</f>
        <v>enum(</v>
      </c>
      <c r="D62" s="5" t="str">
        <f>IF(VLOOKUP([Field],Columns[],3,0)&lt;&gt;"","'"&amp;VLOOKUP([Field],Columns[],3,0)&amp;"'","")</f>
        <v>'default'</v>
      </c>
      <c r="E62" s="8" t="str">
        <f>IF(VLOOKUP([Field],Columns[],4,0)&lt;&gt;0,", "&amp;VLOOKUP([Field],Columns[],4,0)&amp;")",")")</f>
        <v>, ['Yes','No'])</v>
      </c>
      <c r="F62" s="5" t="str">
        <f>IF(VLOOKUP([Field],Columns[],5,0)=0,"","-&gt;"&amp;VLOOKUP([Field],Columns[],5,0))</f>
        <v>-&gt;default('Yes')</v>
      </c>
      <c r="G62" s="5" t="str">
        <f>IF(VLOOKUP([Field],Columns[],6,0)=0,"","-&gt;"&amp;VLOOKUP([Field],Columns[],6,0))</f>
        <v>-&gt;index()</v>
      </c>
      <c r="H62" s="5" t="str">
        <f>IF(VLOOKUP([Field],Columns[],7,0)=0,"","-&gt;"&amp;VLOOKUP([Field],Columns[],7,0))</f>
        <v/>
      </c>
      <c r="I62" s="5" t="str">
        <f>IF(VLOOKUP([Field],Columns[],8,0)=0,"","-&gt;"&amp;VLOOKUP([Field],Columns[],8,0))</f>
        <v/>
      </c>
      <c r="J62" s="5" t="str">
        <f>IF(VLOOKUP([Field],Columns[],9,0)=0,"","-&gt;"&amp;VLOOKUP([Field],Columns[],9,0))</f>
        <v/>
      </c>
      <c r="K62" s="5" t="str">
        <f>"$table-&gt;"&amp;[Type]&amp;[Name]&amp;[Arg2]&amp;[Method1]&amp;[Method2]&amp;[Method3]&amp;[Method4]&amp;[Method5]&amp;";"</f>
        <v>$table-&gt;enum('default', ['Yes','No'])-&gt;default('Yes')-&gt;index();</v>
      </c>
    </row>
    <row r="63" spans="1:11">
      <c r="A63" s="5" t="s">
        <v>443</v>
      </c>
      <c r="B63" s="5" t="s">
        <v>453</v>
      </c>
      <c r="C63" s="5" t="str">
        <f>VLOOKUP([Field],Columns[],2,0)&amp;"("</f>
        <v>enum(</v>
      </c>
      <c r="D63" s="5" t="str">
        <f>IF(VLOOKUP([Field],Columns[],3,0)&lt;&gt;"","'"&amp;VLOOKUP([Field],Columns[],3,0)&amp;"'","")</f>
        <v>'status'</v>
      </c>
      <c r="E63" s="8" t="str">
        <f>IF(VLOOKUP([Field],Columns[],4,0)&lt;&gt;0,", "&amp;VLOOKUP([Field],Columns[],4,0)&amp;")",")")</f>
        <v>, ['Active','Inactive'])</v>
      </c>
      <c r="F63" s="5" t="str">
        <f>IF(VLOOKUP([Field],Columns[],5,0)=0,"","-&gt;"&amp;VLOOKUP([Field],Columns[],5,0))</f>
        <v>-&gt;default('Active')</v>
      </c>
      <c r="G63" s="5" t="str">
        <f>IF(VLOOKUP([Field],Columns[],6,0)=0,"","-&gt;"&amp;VLOOKUP([Field],Columns[],6,0))</f>
        <v>-&gt;index()</v>
      </c>
      <c r="H63" s="5" t="str">
        <f>IF(VLOOKUP([Field],Columns[],7,0)=0,"","-&gt;"&amp;VLOOKUP([Field],Columns[],7,0))</f>
        <v/>
      </c>
      <c r="I63" s="5" t="str">
        <f>IF(VLOOKUP([Field],Columns[],8,0)=0,"","-&gt;"&amp;VLOOKUP([Field],Columns[],8,0))</f>
        <v/>
      </c>
      <c r="J63" s="5" t="str">
        <f>IF(VLOOKUP([Field],Columns[],9,0)=0,"","-&gt;"&amp;VLOOKUP([Field],Columns[],9,0))</f>
        <v/>
      </c>
      <c r="K63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4" spans="1:11">
      <c r="A64" s="5" t="s">
        <v>443</v>
      </c>
      <c r="B64" s="5" t="s">
        <v>518</v>
      </c>
      <c r="C64" s="5" t="str">
        <f>VLOOKUP([Field],Columns[],2,0)&amp;"("</f>
        <v>audit(</v>
      </c>
      <c r="D64" s="5" t="str">
        <f>IF(VLOOKUP([Field],Columns[],3,0)&lt;&gt;"","'"&amp;VLOOKUP([Field],Columns[],3,0)&amp;"'","")</f>
        <v/>
      </c>
      <c r="E64" s="8" t="str">
        <f>IF(VLOOKUP([Field],Columns[],4,0)&lt;&gt;0,", "&amp;VLOOKUP([Field],Columns[],4,0)&amp;")",")")</f>
        <v>)</v>
      </c>
      <c r="F64" s="5" t="str">
        <f>IF(VLOOKUP([Field],Columns[],5,0)=0,"","-&gt;"&amp;VLOOKUP([Field],Columns[],5,0))</f>
        <v/>
      </c>
      <c r="G64" s="5" t="str">
        <f>IF(VLOOKUP([Field],Columns[],6,0)=0,"","-&gt;"&amp;VLOOKUP([Field],Columns[],6,0))</f>
        <v/>
      </c>
      <c r="H64" s="5" t="str">
        <f>IF(VLOOKUP([Field],Columns[],7,0)=0,"","-&gt;"&amp;VLOOKUP([Field],Columns[],7,0))</f>
        <v/>
      </c>
      <c r="I64" s="5" t="str">
        <f>IF(VLOOKUP([Field],Columns[],8,0)=0,"","-&gt;"&amp;VLOOKUP([Field],Columns[],8,0))</f>
        <v/>
      </c>
      <c r="J64" s="5" t="str">
        <f>IF(VLOOKUP([Field],Columns[],9,0)=0,"","-&gt;"&amp;VLOOKUP([Field],Columns[],9,0))</f>
        <v/>
      </c>
      <c r="K64" s="5" t="str">
        <f>"$table-&gt;"&amp;[Type]&amp;[Name]&amp;[Arg2]&amp;[Method1]&amp;[Method2]&amp;[Method3]&amp;[Method4]&amp;[Method5]&amp;";"</f>
        <v>$table-&gt;audit();</v>
      </c>
    </row>
    <row r="65" spans="1:11">
      <c r="A65" s="5" t="s">
        <v>443</v>
      </c>
      <c r="B65" s="5" t="s">
        <v>470</v>
      </c>
      <c r="C65" s="5" t="str">
        <f>VLOOKUP([Field],Columns[],2,0)&amp;"("</f>
        <v>foreign(</v>
      </c>
      <c r="D65" s="5" t="str">
        <f>IF(VLOOKUP([Field],Columns[],3,0)&lt;&gt;"","'"&amp;VLOOKUP([Field],Columns[],3,0)&amp;"'","")</f>
        <v>'product'</v>
      </c>
      <c r="E65" s="8" t="str">
        <f>IF(VLOOKUP([Field],Columns[],4,0)&lt;&gt;0,", "&amp;VLOOKUP([Field],Columns[],4,0)&amp;")",")")</f>
        <v>)</v>
      </c>
      <c r="F65" s="5" t="str">
        <f>IF(VLOOKUP([Field],Columns[],5,0)=0,"","-&gt;"&amp;VLOOKUP([Field],Columns[],5,0))</f>
        <v>-&gt;references('id')</v>
      </c>
      <c r="G65" s="5" t="str">
        <f>IF(VLOOKUP([Field],Columns[],6,0)=0,"","-&gt;"&amp;VLOOKUP([Field],Columns[],6,0))</f>
        <v>-&gt;on('products')</v>
      </c>
      <c r="H65" s="5" t="str">
        <f>IF(VLOOKUP([Field],Columns[],7,0)=0,"","-&gt;"&amp;VLOOKUP([Field],Columns[],7,0))</f>
        <v>-&gt;onUpdate('cascade')</v>
      </c>
      <c r="I65" s="5" t="str">
        <f>IF(VLOOKUP([Field],Columns[],8,0)=0,"","-&gt;"&amp;VLOOKUP([Field],Columns[],8,0))</f>
        <v>-&gt;onDelete('cascade')</v>
      </c>
      <c r="J65" s="5" t="str">
        <f>IF(VLOOKUP([Field],Columns[],9,0)=0,"","-&gt;"&amp;VLOOKUP([Field],Columns[],9,0))</f>
        <v/>
      </c>
      <c r="K65" s="5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66" spans="1:11">
      <c r="A66" s="5" t="s">
        <v>444</v>
      </c>
      <c r="B66" s="5" t="s">
        <v>21</v>
      </c>
      <c r="C66" s="5" t="str">
        <f>VLOOKUP([Field],Columns[],2,0)&amp;"("</f>
        <v>increments(</v>
      </c>
      <c r="D66" s="5" t="str">
        <f>IF(VLOOKUP([Field],Columns[],3,0)&lt;&gt;"","'"&amp;VLOOKUP([Field],Columns[],3,0)&amp;"'","")</f>
        <v>'id'</v>
      </c>
      <c r="E66" s="8" t="str">
        <f>IF(VLOOKUP([Field],Columns[],4,0)&lt;&gt;0,", "&amp;VLOOKUP([Field],Columns[],4,0)&amp;")",")")</f>
        <v>)</v>
      </c>
      <c r="F66" s="5" t="str">
        <f>IF(VLOOKUP([Field],Columns[],5,0)=0,"","-&gt;"&amp;VLOOKUP([Field],Columns[],5,0))</f>
        <v/>
      </c>
      <c r="G66" s="5" t="str">
        <f>IF(VLOOKUP([Field],Columns[],6,0)=0,"","-&gt;"&amp;VLOOKUP([Field],Columns[],6,0))</f>
        <v/>
      </c>
      <c r="H66" s="5" t="str">
        <f>IF(VLOOKUP([Field],Columns[],7,0)=0,"","-&gt;"&amp;VLOOKUP([Field],Columns[],7,0))</f>
        <v/>
      </c>
      <c r="I66" s="5" t="str">
        <f>IF(VLOOKUP([Field],Columns[],8,0)=0,"","-&gt;"&amp;VLOOKUP([Field],Columns[],8,0))</f>
        <v/>
      </c>
      <c r="J66" s="5" t="str">
        <f>IF(VLOOKUP([Field],Columns[],9,0)=0,"","-&gt;"&amp;VLOOKUP([Field],Columns[],9,0))</f>
        <v/>
      </c>
      <c r="K66" s="5" t="str">
        <f>"$table-&gt;"&amp;[Type]&amp;[Name]&amp;[Arg2]&amp;[Method1]&amp;[Method2]&amp;[Method3]&amp;[Method4]&amp;[Method5]&amp;";"</f>
        <v>$table-&gt;increments('id');</v>
      </c>
    </row>
    <row r="67" spans="1:11">
      <c r="A67" s="5" t="s">
        <v>444</v>
      </c>
      <c r="B67" s="5" t="s">
        <v>26</v>
      </c>
      <c r="C67" s="5" t="str">
        <f>VLOOKUP([Field],Columns[],2,0)&amp;"("</f>
        <v>string(</v>
      </c>
      <c r="D67" s="5" t="str">
        <f>IF(VLOOKUP([Field],Columns[],3,0)&lt;&gt;"","'"&amp;VLOOKUP([Field],Columns[],3,0)&amp;"'","")</f>
        <v>'name'</v>
      </c>
      <c r="E67" s="8" t="str">
        <f>IF(VLOOKUP([Field],Columns[],4,0)&lt;&gt;0,", "&amp;VLOOKUP([Field],Columns[],4,0)&amp;")",")")</f>
        <v>, 64)</v>
      </c>
      <c r="F67" s="5" t="str">
        <f>IF(VLOOKUP([Field],Columns[],5,0)=0,"","-&gt;"&amp;VLOOKUP([Field],Columns[],5,0))</f>
        <v>-&gt;index()</v>
      </c>
      <c r="G67" s="5" t="str">
        <f>IF(VLOOKUP([Field],Columns[],6,0)=0,"","-&gt;"&amp;VLOOKUP([Field],Columns[],6,0))</f>
        <v/>
      </c>
      <c r="H67" s="5" t="str">
        <f>IF(VLOOKUP([Field],Columns[],7,0)=0,"","-&gt;"&amp;VLOOKUP([Field],Columns[],7,0))</f>
        <v/>
      </c>
      <c r="I67" s="5" t="str">
        <f>IF(VLOOKUP([Field],Columns[],8,0)=0,"","-&gt;"&amp;VLOOKUP([Field],Columns[],8,0))</f>
        <v/>
      </c>
      <c r="J67" s="5" t="str">
        <f>IF(VLOOKUP([Field],Columns[],9,0)=0,"","-&gt;"&amp;VLOOKUP([Field],Columns[],9,0))</f>
        <v/>
      </c>
      <c r="K67" s="5" t="str">
        <f>"$table-&gt;"&amp;[Type]&amp;[Name]&amp;[Arg2]&amp;[Method1]&amp;[Method2]&amp;[Method3]&amp;[Method4]&amp;[Method5]&amp;";"</f>
        <v>$table-&gt;string('name', 64)-&gt;index();</v>
      </c>
    </row>
    <row r="68" spans="1:11">
      <c r="A68" s="5" t="s">
        <v>444</v>
      </c>
      <c r="B68" s="5" t="s">
        <v>101</v>
      </c>
      <c r="C68" s="5" t="str">
        <f>VLOOKUP([Field],Columns[],2,0)&amp;"("</f>
        <v>string(</v>
      </c>
      <c r="D68" s="5" t="str">
        <f>IF(VLOOKUP([Field],Columns[],3,0)&lt;&gt;"","'"&amp;VLOOKUP([Field],Columns[],3,0)&amp;"'","")</f>
        <v>'email'</v>
      </c>
      <c r="E68" s="8" t="str">
        <f>IF(VLOOKUP([Field],Columns[],4,0)&lt;&gt;0,", "&amp;VLOOKUP([Field],Columns[],4,0)&amp;")",")")</f>
        <v>, 256)</v>
      </c>
      <c r="F68" s="5" t="str">
        <f>IF(VLOOKUP([Field],Columns[],5,0)=0,"","-&gt;"&amp;VLOOKUP([Field],Columns[],5,0))</f>
        <v>-&gt;nullable()</v>
      </c>
      <c r="G68" s="5" t="str">
        <f>IF(VLOOKUP([Field],Columns[],6,0)=0,"","-&gt;"&amp;VLOOKUP([Field],Columns[],6,0))</f>
        <v/>
      </c>
      <c r="H68" s="5" t="str">
        <f>IF(VLOOKUP([Field],Columns[],7,0)=0,"","-&gt;"&amp;VLOOKUP([Field],Columns[],7,0))</f>
        <v/>
      </c>
      <c r="I68" s="5" t="str">
        <f>IF(VLOOKUP([Field],Columns[],8,0)=0,"","-&gt;"&amp;VLOOKUP([Field],Columns[],8,0))</f>
        <v/>
      </c>
      <c r="J68" s="5" t="str">
        <f>IF(VLOOKUP([Field],Columns[],9,0)=0,"","-&gt;"&amp;VLOOKUP([Field],Columns[],9,0))</f>
        <v/>
      </c>
      <c r="K68" s="5" t="str">
        <f>"$table-&gt;"&amp;[Type]&amp;[Name]&amp;[Arg2]&amp;[Method1]&amp;[Method2]&amp;[Method3]&amp;[Method4]&amp;[Method5]&amp;";"</f>
        <v>$table-&gt;string('email', 256)-&gt;nullable();</v>
      </c>
    </row>
    <row r="69" spans="1:11">
      <c r="A69" s="5" t="s">
        <v>444</v>
      </c>
      <c r="B69" s="5" t="s">
        <v>471</v>
      </c>
      <c r="C69" s="5" t="str">
        <f>VLOOKUP([Field],Columns[],2,0)&amp;"("</f>
        <v>string(</v>
      </c>
      <c r="D69" s="5" t="str">
        <f>IF(VLOOKUP([Field],Columns[],3,0)&lt;&gt;"","'"&amp;VLOOKUP([Field],Columns[],3,0)&amp;"'","")</f>
        <v>'number'</v>
      </c>
      <c r="E69" s="8" t="str">
        <f>IF(VLOOKUP([Field],Columns[],4,0)&lt;&gt;0,", "&amp;VLOOKUP([Field],Columns[],4,0)&amp;")",")")</f>
        <v>, 64)</v>
      </c>
      <c r="F69" s="5" t="str">
        <f>IF(VLOOKUP([Field],Columns[],5,0)=0,"","-&gt;"&amp;VLOOKUP([Field],Columns[],5,0))</f>
        <v>-&gt;nullable()</v>
      </c>
      <c r="G69" s="5" t="str">
        <f>IF(VLOOKUP([Field],Columns[],6,0)=0,"","-&gt;"&amp;VLOOKUP([Field],Columns[],6,0))</f>
        <v/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$table-&gt;string('number', 64)-&gt;nullable();</v>
      </c>
    </row>
    <row r="70" spans="1:11">
      <c r="A70" s="5" t="s">
        <v>444</v>
      </c>
      <c r="B70" s="5" t="s">
        <v>518</v>
      </c>
      <c r="C70" s="5" t="str">
        <f>VLOOKUP([Field],Columns[],2,0)&amp;"("</f>
        <v>audit(</v>
      </c>
      <c r="D70" s="5" t="str">
        <f>IF(VLOOKUP([Field],Columns[],3,0)&lt;&gt;"","'"&amp;VLOOKUP([Field],Columns[],3,0)&amp;"'","")</f>
        <v/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/>
      </c>
      <c r="G70" s="5" t="str">
        <f>IF(VLOOKUP([Field],Columns[],6,0)=0,"","-&gt;"&amp;VLOOKUP([Field],Columns[],6,0))</f>
        <v/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$table-&gt;audit();</v>
      </c>
    </row>
    <row r="71" spans="1:11">
      <c r="A71" s="5" t="s">
        <v>445</v>
      </c>
      <c r="B71" s="5" t="s">
        <v>21</v>
      </c>
      <c r="C71" s="5" t="str">
        <f>VLOOKUP([Field],Columns[],2,0)&amp;"("</f>
        <v>increments(</v>
      </c>
      <c r="D71" s="5" t="str">
        <f>IF(VLOOKUP([Field],Columns[],3,0)&lt;&gt;"","'"&amp;VLOOKUP([Field],Columns[],3,0)&amp;"'","")</f>
        <v>'id'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/>
      </c>
      <c r="G71" s="5" t="str">
        <f>IF(VLOOKUP([Field],Columns[],6,0)=0,"","-&gt;"&amp;VLOOKUP([Field],Columns[],6,0))</f>
        <v/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$table-&gt;increments('id');</v>
      </c>
    </row>
    <row r="72" spans="1:11">
      <c r="A72" s="5" t="s">
        <v>445</v>
      </c>
      <c r="B72" s="5" t="s">
        <v>26</v>
      </c>
      <c r="C72" s="5" t="str">
        <f>VLOOKUP([Field],Columns[],2,0)&amp;"("</f>
        <v>string(</v>
      </c>
      <c r="D72" s="5" t="str">
        <f>IF(VLOOKUP([Field],Columns[],3,0)&lt;&gt;"","'"&amp;VLOOKUP([Field],Columns[],3,0)&amp;"'","")</f>
        <v>'name'</v>
      </c>
      <c r="E72" s="8" t="str">
        <f>IF(VLOOKUP([Field],Columns[],4,0)&lt;&gt;0,", "&amp;VLOOKUP([Field],Columns[],4,0)&amp;")",")")</f>
        <v>, 64)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/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$table-&gt;string('name', 64)-&gt;index();</v>
      </c>
    </row>
    <row r="73" spans="1:11">
      <c r="A73" s="5" t="s">
        <v>445</v>
      </c>
      <c r="B73" s="5" t="s">
        <v>28</v>
      </c>
      <c r="C73" s="5" t="str">
        <f>VLOOKUP([Field],Columns[],2,0)&amp;"("</f>
        <v>string(</v>
      </c>
      <c r="D73" s="5" t="str">
        <f>IF(VLOOKUP([Field],Columns[],3,0)&lt;&gt;"","'"&amp;VLOOKUP([Field],Columns[],3,0)&amp;"'","")</f>
        <v>'description'</v>
      </c>
      <c r="E73" s="8" t="str">
        <f>IF(VLOOKUP([Field],Columns[],4,0)&lt;&gt;0,", "&amp;VLOOKUP([Field],Columns[],4,0)&amp;")",")")</f>
        <v>, 1024)</v>
      </c>
      <c r="F73" s="5" t="str">
        <f>IF(VLOOKUP([Field],Columns[],5,0)=0,"","-&gt;"&amp;VLOOKUP([Field],Columns[],5,0))</f>
        <v>-&gt;nullable()</v>
      </c>
      <c r="G73" s="5" t="str">
        <f>IF(VLOOKUP([Field],Columns[],6,0)=0,"","-&gt;"&amp;VLOOKUP([Field],Columns[],6,0))</f>
        <v/>
      </c>
      <c r="H73" s="5" t="str">
        <f>IF(VLOOKUP([Field],Columns[],7,0)=0,"","-&gt;"&amp;VLOOKUP([Field],Columns[],7,0))</f>
        <v/>
      </c>
      <c r="I73" s="5" t="str">
        <f>IF(VLOOKUP([Field],Columns[],8,0)=0,"","-&gt;"&amp;VLOOKUP([Field],Columns[],8,0))</f>
        <v/>
      </c>
      <c r="J73" s="5" t="str">
        <f>IF(VLOOKUP([Field],Columns[],9,0)=0,"","-&gt;"&amp;VLOOKUP([Field],Columns[],9,0))</f>
        <v/>
      </c>
      <c r="K73" s="5" t="str">
        <f>"$table-&gt;"&amp;[Type]&amp;[Name]&amp;[Arg2]&amp;[Method1]&amp;[Method2]&amp;[Method3]&amp;[Method4]&amp;[Method5]&amp;";"</f>
        <v>$table-&gt;string('description', 1024)-&gt;nullable();</v>
      </c>
    </row>
    <row r="74" spans="1:11">
      <c r="A74" s="5" t="s">
        <v>445</v>
      </c>
      <c r="B74" s="5" t="s">
        <v>472</v>
      </c>
      <c r="C74" s="5" t="str">
        <f>VLOOKUP([Field],Columns[],2,0)&amp;"("</f>
        <v>unsignedInteger(</v>
      </c>
      <c r="D74" s="5" t="str">
        <f>IF(VLOOKUP([Field],Columns[],3,0)&lt;&gt;"","'"&amp;VLOOKUP([Field],Columns[],3,0)&amp;"'","")</f>
        <v>'author'</v>
      </c>
      <c r="E74" s="8" t="str">
        <f>IF(VLOOKUP([Field],Columns[],4,0)&lt;&gt;0,", "&amp;VLOOKUP([Field],Columns[],4,0)&amp;")",")")</f>
        <v>)</v>
      </c>
      <c r="F74" s="5" t="str">
        <f>IF(VLOOKUP([Field],Columns[],5,0)=0,"","-&gt;"&amp;VLOOKUP([Field],Columns[],5,0))</f>
        <v>-&gt;nullable()</v>
      </c>
      <c r="G74" s="5" t="str">
        <f>IF(VLOOKUP([Field],Columns[],6,0)=0,"","-&gt;"&amp;VLOOKUP([Field],Columns[],6,0))</f>
        <v>-&gt;index()</v>
      </c>
      <c r="H74" s="5" t="str">
        <f>IF(VLOOKUP([Field],Columns[],7,0)=0,"","-&gt;"&amp;VLOOKUP([Field],Columns[],7,0))</f>
        <v/>
      </c>
      <c r="I74" s="5" t="str">
        <f>IF(VLOOKUP([Field],Columns[],8,0)=0,"","-&gt;"&amp;VLOOKUP([Field],Columns[],8,0))</f>
        <v/>
      </c>
      <c r="J74" s="5" t="str">
        <f>IF(VLOOKUP([Field],Columns[],9,0)=0,"","-&gt;"&amp;VLOOKUP([Field],Columns[],9,0))</f>
        <v/>
      </c>
      <c r="K74" s="5" t="str">
        <f>"$table-&gt;"&amp;[Type]&amp;[Name]&amp;[Arg2]&amp;[Method1]&amp;[Method2]&amp;[Method3]&amp;[Method4]&amp;[Method5]&amp;";"</f>
        <v>$table-&gt;unsignedInteger('author')-&gt;nullable()-&gt;index();</v>
      </c>
    </row>
    <row r="75" spans="1:11">
      <c r="A75" s="5" t="s">
        <v>445</v>
      </c>
      <c r="B75" s="5" t="s">
        <v>453</v>
      </c>
      <c r="C75" s="5" t="str">
        <f>VLOOKUP([Field],Columns[],2,0)&amp;"("</f>
        <v>enum(</v>
      </c>
      <c r="D75" s="5" t="str">
        <f>IF(VLOOKUP([Field],Columns[],3,0)&lt;&gt;"","'"&amp;VLOOKUP([Field],Columns[],3,0)&amp;"'","")</f>
        <v>'status'</v>
      </c>
      <c r="E75" s="8" t="str">
        <f>IF(VLOOKUP([Field],Columns[],4,0)&lt;&gt;0,", "&amp;VLOOKUP([Field],Columns[],4,0)&amp;")",")")</f>
        <v>, ['Active','Inactive'])</v>
      </c>
      <c r="F75" s="5" t="str">
        <f>IF(VLOOKUP([Field],Columns[],5,0)=0,"","-&gt;"&amp;VLOOKUP([Field],Columns[],5,0))</f>
        <v>-&gt;default('Active')</v>
      </c>
      <c r="G75" s="5" t="str">
        <f>IF(VLOOKUP([Field],Columns[],6,0)=0,"","-&gt;"&amp;VLOOKUP([Field],Columns[],6,0))</f>
        <v>-&gt;index()</v>
      </c>
      <c r="H75" s="5" t="str">
        <f>IF(VLOOKUP([Field],Columns[],7,0)=0,"","-&gt;"&amp;VLOOKUP([Field],Columns[],7,0))</f>
        <v/>
      </c>
      <c r="I75" s="5" t="str">
        <f>IF(VLOOKUP([Field],Columns[],8,0)=0,"","-&gt;"&amp;VLOOKUP([Field],Columns[],8,0))</f>
        <v/>
      </c>
      <c r="J75" s="5" t="str">
        <f>IF(VLOOKUP([Field],Columns[],9,0)=0,"","-&gt;"&amp;VLOOKUP([Field],Columns[],9,0))</f>
        <v/>
      </c>
      <c r="K75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6" spans="1:11">
      <c r="A76" s="5" t="s">
        <v>445</v>
      </c>
      <c r="B76" s="5" t="s">
        <v>518</v>
      </c>
      <c r="C76" s="5" t="str">
        <f>VLOOKUP([Field],Columns[],2,0)&amp;"("</f>
        <v>audit(</v>
      </c>
      <c r="D76" s="5" t="str">
        <f>IF(VLOOKUP([Field],Columns[],3,0)&lt;&gt;"","'"&amp;VLOOKUP([Field],Columns[],3,0)&amp;"'","")</f>
        <v/>
      </c>
      <c r="E76" s="8" t="str">
        <f>IF(VLOOKUP([Field],Columns[],4,0)&lt;&gt;0,", "&amp;VLOOKUP([Field],Columns[],4,0)&amp;")",")")</f>
        <v>)</v>
      </c>
      <c r="F76" s="5" t="str">
        <f>IF(VLOOKUP([Field],Columns[],5,0)=0,"","-&gt;"&amp;VLOOKUP([Field],Columns[],5,0))</f>
        <v/>
      </c>
      <c r="G76" s="5" t="str">
        <f>IF(VLOOKUP([Field],Columns[],6,0)=0,"","-&gt;"&amp;VLOOKUP([Field],Columns[],6,0))</f>
        <v/>
      </c>
      <c r="H76" s="5" t="str">
        <f>IF(VLOOKUP([Field],Columns[],7,0)=0,"","-&gt;"&amp;VLOOKUP([Field],Columns[],7,0))</f>
        <v/>
      </c>
      <c r="I76" s="5" t="str">
        <f>IF(VLOOKUP([Field],Columns[],8,0)=0,"","-&gt;"&amp;VLOOKUP([Field],Columns[],8,0))</f>
        <v/>
      </c>
      <c r="J76" s="5" t="str">
        <f>IF(VLOOKUP([Field],Columns[],9,0)=0,"","-&gt;"&amp;VLOOKUP([Field],Columns[],9,0))</f>
        <v/>
      </c>
      <c r="K76" s="5" t="str">
        <f>"$table-&gt;"&amp;[Type]&amp;[Name]&amp;[Arg2]&amp;[Method1]&amp;[Method2]&amp;[Method3]&amp;[Method4]&amp;[Method5]&amp;";"</f>
        <v>$table-&gt;audit();</v>
      </c>
    </row>
    <row r="77" spans="1:11">
      <c r="A77" s="5" t="s">
        <v>445</v>
      </c>
      <c r="B77" s="5" t="s">
        <v>473</v>
      </c>
      <c r="C77" s="5" t="str">
        <f>VLOOKUP([Field],Columns[],2,0)&amp;"("</f>
        <v>foreign(</v>
      </c>
      <c r="D77" s="5" t="str">
        <f>IF(VLOOKUP([Field],Columns[],3,0)&lt;&gt;"","'"&amp;VLOOKUP([Field],Columns[],3,0)&amp;"'","")</f>
        <v>'author'</v>
      </c>
      <c r="E77" s="8" t="str">
        <f>IF(VLOOKUP([Field],Columns[],4,0)&lt;&gt;0,", "&amp;VLOOKUP([Field],Columns[],4,0)&amp;")",")")</f>
        <v>)</v>
      </c>
      <c r="F77" s="5" t="str">
        <f>IF(VLOOKUP([Field],Columns[],5,0)=0,"","-&gt;"&amp;VLOOKUP([Field],Columns[],5,0))</f>
        <v>-&gt;references('id')</v>
      </c>
      <c r="G77" s="5" t="str">
        <f>IF(VLOOKUP([Field],Columns[],6,0)=0,"","-&gt;"&amp;VLOOKUP([Field],Columns[],6,0))</f>
        <v>-&gt;on('visitors')</v>
      </c>
      <c r="H77" s="5" t="str">
        <f>IF(VLOOKUP([Field],Columns[],7,0)=0,"","-&gt;"&amp;VLOOKUP([Field],Columns[],7,0))</f>
        <v>-&gt;onUpdate('cascade')</v>
      </c>
      <c r="I77" s="5" t="str">
        <f>IF(VLOOKUP([Field],Columns[],8,0)=0,"","-&gt;"&amp;VLOOKUP([Field],Columns[],8,0))</f>
        <v>-&gt;onDelete('set null')</v>
      </c>
      <c r="J77" s="5" t="str">
        <f>IF(VLOOKUP([Field],Columns[],9,0)=0,"","-&gt;"&amp;VLOOKUP([Field],Columns[],9,0))</f>
        <v/>
      </c>
      <c r="K77" s="5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78" spans="1:11">
      <c r="A78" s="5" t="s">
        <v>447</v>
      </c>
      <c r="B78" s="5" t="s">
        <v>21</v>
      </c>
      <c r="C78" s="5" t="str">
        <f>VLOOKUP([Field],Columns[],2,0)&amp;"("</f>
        <v>increments(</v>
      </c>
      <c r="D78" s="5" t="str">
        <f>IF(VLOOKUP([Field],Columns[],3,0)&lt;&gt;"","'"&amp;VLOOKUP([Field],Columns[],3,0)&amp;"'","")</f>
        <v>'id'</v>
      </c>
      <c r="E78" s="8" t="str">
        <f>IF(VLOOKUP([Field],Columns[],4,0)&lt;&gt;0,", "&amp;VLOOKUP([Field],Columns[],4,0)&amp;")",")")</f>
        <v>)</v>
      </c>
      <c r="F78" s="5" t="str">
        <f>IF(VLOOKUP([Field],Columns[],5,0)=0,"","-&gt;"&amp;VLOOKUP([Field],Columns[],5,0))</f>
        <v/>
      </c>
      <c r="G78" s="5" t="str">
        <f>IF(VLOOKUP([Field],Columns[],6,0)=0,"","-&gt;"&amp;VLOOKUP([Field],Columns[],6,0))</f>
        <v/>
      </c>
      <c r="H78" s="5" t="str">
        <f>IF(VLOOKUP([Field],Columns[],7,0)=0,"","-&gt;"&amp;VLOOKUP([Field],Columns[],7,0))</f>
        <v/>
      </c>
      <c r="I78" s="5" t="str">
        <f>IF(VLOOKUP([Field],Columns[],8,0)=0,"","-&gt;"&amp;VLOOKUP([Field],Columns[],8,0))</f>
        <v/>
      </c>
      <c r="J78" s="5" t="str">
        <f>IF(VLOOKUP([Field],Columns[],9,0)=0,"","-&gt;"&amp;VLOOKUP([Field],Columns[],9,0))</f>
        <v/>
      </c>
      <c r="K78" s="5" t="str">
        <f>"$table-&gt;"&amp;[Type]&amp;[Name]&amp;[Arg2]&amp;[Method1]&amp;[Method2]&amp;[Method3]&amp;[Method4]&amp;[Method5]&amp;";"</f>
        <v>$table-&gt;increments('id');</v>
      </c>
    </row>
    <row r="79" spans="1:11">
      <c r="A79" s="5" t="s">
        <v>447</v>
      </c>
      <c r="B79" s="5" t="s">
        <v>474</v>
      </c>
      <c r="C79" s="5" t="str">
        <f>VLOOKUP([Field],Columns[],2,0)&amp;"("</f>
        <v>unsignedInteger(</v>
      </c>
      <c r="D79" s="5" t="str">
        <f>IF(VLOOKUP([Field],Columns[],3,0)&lt;&gt;"","'"&amp;VLOOKUP([Field],Columns[],3,0)&amp;"'","")</f>
        <v>'visitor'</v>
      </c>
      <c r="E79" s="8" t="str">
        <f>IF(VLOOKUP([Field],Columns[],4,0)&lt;&gt;0,", "&amp;VLOOKUP([Field],Columns[],4,0)&amp;")",")")</f>
        <v>)</v>
      </c>
      <c r="F79" s="5" t="str">
        <f>IF(VLOOKUP([Field],Columns[],5,0)=0,"","-&gt;"&amp;VLOOKUP([Field],Columns[],5,0))</f>
        <v>-&gt;nullable()</v>
      </c>
      <c r="G79" s="5" t="str">
        <f>IF(VLOOKUP([Field],Columns[],6,0)=0,"","-&gt;"&amp;VLOOKUP([Field],Columns[],6,0))</f>
        <v>-&gt;index()</v>
      </c>
      <c r="H79" s="5" t="str">
        <f>IF(VLOOKUP([Field],Columns[],7,0)=0,"","-&gt;"&amp;VLOOKUP([Field],Columns[],7,0))</f>
        <v/>
      </c>
      <c r="I79" s="5" t="str">
        <f>IF(VLOOKUP([Field],Columns[],8,0)=0,"","-&gt;"&amp;VLOOKUP([Field],Columns[],8,0))</f>
        <v/>
      </c>
      <c r="J79" s="5" t="str">
        <f>IF(VLOOKUP([Field],Columns[],9,0)=0,"","-&gt;"&amp;VLOOKUP([Field],Columns[],9,0))</f>
        <v/>
      </c>
      <c r="K79" s="5" t="str">
        <f>"$table-&gt;"&amp;[Type]&amp;[Name]&amp;[Arg2]&amp;[Method1]&amp;[Method2]&amp;[Method3]&amp;[Method4]&amp;[Method5]&amp;";"</f>
        <v>$table-&gt;unsignedInteger('visitor')-&gt;nullable()-&gt;index();</v>
      </c>
    </row>
    <row r="80" spans="1:11">
      <c r="A80" s="5" t="s">
        <v>447</v>
      </c>
      <c r="B80" s="5" t="s">
        <v>475</v>
      </c>
      <c r="C80" s="5" t="str">
        <f>VLOOKUP([Field],Columns[],2,0)&amp;"("</f>
        <v>unsignedInteger(</v>
      </c>
      <c r="D80" s="5" t="str">
        <f>IF(VLOOKUP([Field],Columns[],3,0)&lt;&gt;"","'"&amp;VLOOKUP([Field],Columns[],3,0)&amp;"'","")</f>
        <v>'wishlist'</v>
      </c>
      <c r="E80" s="8" t="str">
        <f>IF(VLOOKUP([Field],Columns[],4,0)&lt;&gt;0,", "&amp;VLOOKUP([Field],Columns[],4,0)&amp;")",")")</f>
        <v>)</v>
      </c>
      <c r="F80" s="5" t="str">
        <f>IF(VLOOKUP([Field],Columns[],5,0)=0,"","-&gt;"&amp;VLOOKUP([Field],Columns[],5,0))</f>
        <v>-&gt;nullable()</v>
      </c>
      <c r="G80" s="5" t="str">
        <f>IF(VLOOKUP([Field],Columns[],6,0)=0,"","-&gt;"&amp;VLOOKUP([Field],Columns[],6,0))</f>
        <v>-&gt;index()</v>
      </c>
      <c r="H80" s="5" t="str">
        <f>IF(VLOOKUP([Field],Columns[],7,0)=0,"","-&gt;"&amp;VLOOKUP([Field],Columns[],7,0))</f>
        <v/>
      </c>
      <c r="I80" s="5" t="str">
        <f>IF(VLOOKUP([Field],Columns[],8,0)=0,"","-&gt;"&amp;VLOOKUP([Field],Columns[],8,0))</f>
        <v/>
      </c>
      <c r="J80" s="5" t="str">
        <f>IF(VLOOKUP([Field],Columns[],9,0)=0,"","-&gt;"&amp;VLOOKUP([Field],Columns[],9,0))</f>
        <v/>
      </c>
      <c r="K80" s="5" t="str">
        <f>"$table-&gt;"&amp;[Type]&amp;[Name]&amp;[Arg2]&amp;[Method1]&amp;[Method2]&amp;[Method3]&amp;[Method4]&amp;[Method5]&amp;";"</f>
        <v>$table-&gt;unsignedInteger('wishlist')-&gt;nullable()-&gt;index();</v>
      </c>
    </row>
    <row r="81" spans="1:11">
      <c r="A81" s="5" t="s">
        <v>447</v>
      </c>
      <c r="B81" s="5" t="s">
        <v>476</v>
      </c>
      <c r="C81" s="5" t="str">
        <f>VLOOKUP([Field],Columns[],2,0)&amp;"("</f>
        <v>enum(</v>
      </c>
      <c r="D81" s="5" t="str">
        <f>IF(VLOOKUP([Field],Columns[],3,0)&lt;&gt;"","'"&amp;VLOOKUP([Field],Columns[],3,0)&amp;"'","")</f>
        <v>'viewed'</v>
      </c>
      <c r="E81" s="8" t="str">
        <f>IF(VLOOKUP([Field],Columns[],4,0)&lt;&gt;0,", "&amp;VLOOKUP([Field],Columns[],4,0)&amp;")",")")</f>
        <v>, ['Yes','No'])</v>
      </c>
      <c r="F81" s="5" t="str">
        <f>IF(VLOOKUP([Field],Columns[],5,0)=0,"","-&gt;"&amp;VLOOKUP([Field],Columns[],5,0))</f>
        <v>-&gt;default('No')</v>
      </c>
      <c r="G81" s="5" t="str">
        <f>IF(VLOOKUP([Field],Columns[],6,0)=0,"","-&gt;"&amp;VLOOKUP([Field],Columns[],6,0))</f>
        <v>-&gt;index()</v>
      </c>
      <c r="H81" s="5" t="str">
        <f>IF(VLOOKUP([Field],Columns[],7,0)=0,"","-&gt;"&amp;VLOOKUP([Field],Columns[],7,0))</f>
        <v/>
      </c>
      <c r="I81" s="5" t="str">
        <f>IF(VLOOKUP([Field],Columns[],8,0)=0,"","-&gt;"&amp;VLOOKUP([Field],Columns[],8,0))</f>
        <v/>
      </c>
      <c r="J81" s="5" t="str">
        <f>IF(VLOOKUP([Field],Columns[],9,0)=0,"","-&gt;"&amp;VLOOKUP([Field],Columns[],9,0))</f>
        <v/>
      </c>
      <c r="K81" s="5" t="str">
        <f>"$table-&gt;"&amp;[Type]&amp;[Name]&amp;[Arg2]&amp;[Method1]&amp;[Method2]&amp;[Method3]&amp;[Method4]&amp;[Method5]&amp;";"</f>
        <v>$table-&gt;enum('viewed', ['Yes','No'])-&gt;default('No')-&gt;index();</v>
      </c>
    </row>
    <row r="82" spans="1:11">
      <c r="A82" s="5" t="s">
        <v>447</v>
      </c>
      <c r="B82" s="5" t="s">
        <v>453</v>
      </c>
      <c r="C82" s="5" t="str">
        <f>VLOOKUP([Field],Columns[],2,0)&amp;"("</f>
        <v>enum(</v>
      </c>
      <c r="D82" s="5" t="str">
        <f>IF(VLOOKUP([Field],Columns[],3,0)&lt;&gt;"","'"&amp;VLOOKUP([Field],Columns[],3,0)&amp;"'","")</f>
        <v>'status'</v>
      </c>
      <c r="E82" s="8" t="str">
        <f>IF(VLOOKUP([Field],Columns[],4,0)&lt;&gt;0,", "&amp;VLOOKUP([Field],Columns[],4,0)&amp;")",")")</f>
        <v>, ['Active','Inactive'])</v>
      </c>
      <c r="F82" s="5" t="str">
        <f>IF(VLOOKUP([Field],Columns[],5,0)=0,"","-&gt;"&amp;VLOOKUP([Field],Columns[],5,0))</f>
        <v>-&gt;default('Active')</v>
      </c>
      <c r="G82" s="5" t="str">
        <f>IF(VLOOKUP([Field],Columns[],6,0)=0,"","-&gt;"&amp;VLOOKUP([Field],Columns[],6,0))</f>
        <v>-&gt;index()</v>
      </c>
      <c r="H82" s="5" t="str">
        <f>IF(VLOOKUP([Field],Columns[],7,0)=0,"","-&gt;"&amp;VLOOKUP([Field],Columns[],7,0))</f>
        <v/>
      </c>
      <c r="I82" s="5" t="str">
        <f>IF(VLOOKUP([Field],Columns[],8,0)=0,"","-&gt;"&amp;VLOOKUP([Field],Columns[],8,0))</f>
        <v/>
      </c>
      <c r="J82" s="5" t="str">
        <f>IF(VLOOKUP([Field],Columns[],9,0)=0,"","-&gt;"&amp;VLOOKUP([Field],Columns[],9,0))</f>
        <v/>
      </c>
      <c r="K82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3" spans="1:11">
      <c r="A83" s="5" t="s">
        <v>447</v>
      </c>
      <c r="B83" s="5" t="s">
        <v>518</v>
      </c>
      <c r="C83" s="5" t="str">
        <f>VLOOKUP([Field],Columns[],2,0)&amp;"("</f>
        <v>audit(</v>
      </c>
      <c r="D83" s="5" t="str">
        <f>IF(VLOOKUP([Field],Columns[],3,0)&lt;&gt;"","'"&amp;VLOOKUP([Field],Columns[],3,0)&amp;"'","")</f>
        <v/>
      </c>
      <c r="E83" s="8" t="str">
        <f>IF(VLOOKUP([Field],Columns[],4,0)&lt;&gt;0,", "&amp;VLOOKUP([Field],Columns[],4,0)&amp;")",")")</f>
        <v>)</v>
      </c>
      <c r="F83" s="5" t="str">
        <f>IF(VLOOKUP([Field],Columns[],5,0)=0,"","-&gt;"&amp;VLOOKUP([Field],Columns[],5,0))</f>
        <v/>
      </c>
      <c r="G83" s="5" t="str">
        <f>IF(VLOOKUP([Field],Columns[],6,0)=0,"","-&gt;"&amp;VLOOKUP([Field],Columns[],6,0))</f>
        <v/>
      </c>
      <c r="H83" s="5" t="str">
        <f>IF(VLOOKUP([Field],Columns[],7,0)=0,"","-&gt;"&amp;VLOOKUP([Field],Columns[],7,0))</f>
        <v/>
      </c>
      <c r="I83" s="5" t="str">
        <f>IF(VLOOKUP([Field],Columns[],8,0)=0,"","-&gt;"&amp;VLOOKUP([Field],Columns[],8,0))</f>
        <v/>
      </c>
      <c r="J83" s="5" t="str">
        <f>IF(VLOOKUP([Field],Columns[],9,0)=0,"","-&gt;"&amp;VLOOKUP([Field],Columns[],9,0))</f>
        <v/>
      </c>
      <c r="K83" s="5" t="str">
        <f>"$table-&gt;"&amp;[Type]&amp;[Name]&amp;[Arg2]&amp;[Method1]&amp;[Method2]&amp;[Method3]&amp;[Method4]&amp;[Method5]&amp;";"</f>
        <v>$table-&gt;audit();</v>
      </c>
    </row>
    <row r="84" spans="1:11">
      <c r="A84" s="5" t="s">
        <v>447</v>
      </c>
      <c r="B84" s="5" t="s">
        <v>477</v>
      </c>
      <c r="C84" s="5" t="str">
        <f>VLOOKUP([Field],Columns[],2,0)&amp;"("</f>
        <v>foreign(</v>
      </c>
      <c r="D84" s="5" t="str">
        <f>IF(VLOOKUP([Field],Columns[],3,0)&lt;&gt;"","'"&amp;VLOOKUP([Field],Columns[],3,0)&amp;"'","")</f>
        <v>'visitor'</v>
      </c>
      <c r="E84" s="8" t="str">
        <f>IF(VLOOKUP([Field],Columns[],4,0)&lt;&gt;0,", "&amp;VLOOKUP([Field],Columns[],4,0)&amp;")",")")</f>
        <v>)</v>
      </c>
      <c r="F84" s="5" t="str">
        <f>IF(VLOOKUP([Field],Columns[],5,0)=0,"","-&gt;"&amp;VLOOKUP([Field],Columns[],5,0))</f>
        <v>-&gt;references('id')</v>
      </c>
      <c r="G84" s="5" t="str">
        <f>IF(VLOOKUP([Field],Columns[],6,0)=0,"","-&gt;"&amp;VLOOKUP([Field],Columns[],6,0))</f>
        <v>-&gt;on('visitors')</v>
      </c>
      <c r="H84" s="5" t="str">
        <f>IF(VLOOKUP([Field],Columns[],7,0)=0,"","-&gt;"&amp;VLOOKUP([Field],Columns[],7,0))</f>
        <v>-&gt;onUpdate('cascade')</v>
      </c>
      <c r="I84" s="5" t="str">
        <f>IF(VLOOKUP([Field],Columns[],8,0)=0,"","-&gt;"&amp;VLOOKUP([Field],Columns[],8,0))</f>
        <v>-&gt;onDelete('set null')</v>
      </c>
      <c r="J84" s="5" t="str">
        <f>IF(VLOOKUP([Field],Columns[],9,0)=0,"","-&gt;"&amp;VLOOKUP([Field],Columns[],9,0))</f>
        <v/>
      </c>
      <c r="K84" s="5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85" spans="1:11">
      <c r="A85" s="5" t="s">
        <v>447</v>
      </c>
      <c r="B85" s="5" t="s">
        <v>478</v>
      </c>
      <c r="C85" s="5" t="str">
        <f>VLOOKUP([Field],Columns[],2,0)&amp;"("</f>
        <v>foreign(</v>
      </c>
      <c r="D85" s="5" t="str">
        <f>IF(VLOOKUP([Field],Columns[],3,0)&lt;&gt;"","'"&amp;VLOOKUP([Field],Columns[],3,0)&amp;"'","")</f>
        <v>'wishlist'</v>
      </c>
      <c r="E85" s="8" t="str">
        <f>IF(VLOOKUP([Field],Columns[],4,0)&lt;&gt;0,", "&amp;VLOOKUP([Field],Columns[],4,0)&amp;")",")")</f>
        <v>)</v>
      </c>
      <c r="F85" s="5" t="str">
        <f>IF(VLOOKUP([Field],Columns[],5,0)=0,"","-&gt;"&amp;VLOOKUP([Field],Columns[],5,0))</f>
        <v>-&gt;references('id')</v>
      </c>
      <c r="G85" s="5" t="str">
        <f>IF(VLOOKUP([Field],Columns[],6,0)=0,"","-&gt;"&amp;VLOOKUP([Field],Columns[],6,0))</f>
        <v>-&gt;on('wishlists')</v>
      </c>
      <c r="H85" s="5" t="str">
        <f>IF(VLOOKUP([Field],Columns[],7,0)=0,"","-&gt;"&amp;VLOOKUP([Field],Columns[],7,0))</f>
        <v>-&gt;onUpdate('cascade')</v>
      </c>
      <c r="I85" s="5" t="str">
        <f>IF(VLOOKUP([Field],Columns[],8,0)=0,"","-&gt;"&amp;VLOOKUP([Field],Columns[],8,0))</f>
        <v>-&gt;onDelete('cascade')</v>
      </c>
      <c r="J85" s="5" t="str">
        <f>IF(VLOOKUP([Field],Columns[],9,0)=0,"","-&gt;"&amp;VLOOKUP([Field],Columns[],9,0))</f>
        <v/>
      </c>
      <c r="K85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86" spans="1:11">
      <c r="A86" s="5" t="s">
        <v>449</v>
      </c>
      <c r="B86" s="5" t="s">
        <v>21</v>
      </c>
      <c r="C86" s="5" t="str">
        <f>VLOOKUP([Field],Columns[],2,0)&amp;"("</f>
        <v>increments(</v>
      </c>
      <c r="D86" s="5" t="str">
        <f>IF(VLOOKUP([Field],Columns[],3,0)&lt;&gt;"","'"&amp;VLOOKUP([Field],Columns[],3,0)&amp;"'","")</f>
        <v>'id'</v>
      </c>
      <c r="E86" s="8" t="str">
        <f>IF(VLOOKUP([Field],Columns[],4,0)&lt;&gt;0,", "&amp;VLOOKUP([Field],Columns[],4,0)&amp;")",")")</f>
        <v>)</v>
      </c>
      <c r="F86" s="5" t="str">
        <f>IF(VLOOKUP([Field],Columns[],5,0)=0,"","-&gt;"&amp;VLOOKUP([Field],Columns[],5,0))</f>
        <v/>
      </c>
      <c r="G86" s="5" t="str">
        <f>IF(VLOOKUP([Field],Columns[],6,0)=0,"","-&gt;"&amp;VLOOKUP([Field],Columns[],6,0))</f>
        <v/>
      </c>
      <c r="H86" s="5" t="str">
        <f>IF(VLOOKUP([Field],Columns[],7,0)=0,"","-&gt;"&amp;VLOOKUP([Field],Columns[],7,0))</f>
        <v/>
      </c>
      <c r="I86" s="5" t="str">
        <f>IF(VLOOKUP([Field],Columns[],8,0)=0,"","-&gt;"&amp;VLOOKUP([Field],Columns[],8,0))</f>
        <v/>
      </c>
      <c r="J86" s="5" t="str">
        <f>IF(VLOOKUP([Field],Columns[],9,0)=0,"","-&gt;"&amp;VLOOKUP([Field],Columns[],9,0))</f>
        <v/>
      </c>
      <c r="K86" s="5" t="str">
        <f>"$table-&gt;"&amp;[Type]&amp;[Name]&amp;[Arg2]&amp;[Method1]&amp;[Method2]&amp;[Method3]&amp;[Method4]&amp;[Method5]&amp;";"</f>
        <v>$table-&gt;increments('id');</v>
      </c>
    </row>
    <row r="87" spans="1:11">
      <c r="A87" s="5" t="s">
        <v>449</v>
      </c>
      <c r="B87" s="5" t="s">
        <v>475</v>
      </c>
      <c r="C87" s="5" t="str">
        <f>VLOOKUP([Field],Columns[],2,0)&amp;"("</f>
        <v>unsignedInteger(</v>
      </c>
      <c r="D87" s="5" t="str">
        <f>IF(VLOOKUP([Field],Columns[],3,0)&lt;&gt;"","'"&amp;VLOOKUP([Field],Columns[],3,0)&amp;"'","")</f>
        <v>'wishlist'</v>
      </c>
      <c r="E87" s="8" t="str">
        <f>IF(VLOOKUP([Field],Columns[],4,0)&lt;&gt;0,", "&amp;VLOOKUP([Field],Columns[],4,0)&amp;")",")")</f>
        <v>)</v>
      </c>
      <c r="F87" s="5" t="str">
        <f>IF(VLOOKUP([Field],Columns[],5,0)=0,"","-&gt;"&amp;VLOOKUP([Field],Columns[],5,0))</f>
        <v>-&gt;nullable()</v>
      </c>
      <c r="G87" s="5" t="str">
        <f>IF(VLOOKUP([Field],Columns[],6,0)=0,"","-&gt;"&amp;VLOOKUP([Field],Columns[],6,0))</f>
        <v>-&gt;index()</v>
      </c>
      <c r="H87" s="5" t="str">
        <f>IF(VLOOKUP([Field],Columns[],7,0)=0,"","-&gt;"&amp;VLOOKUP([Field],Columns[],7,0))</f>
        <v/>
      </c>
      <c r="I87" s="5" t="str">
        <f>IF(VLOOKUP([Field],Columns[],8,0)=0,"","-&gt;"&amp;VLOOKUP([Field],Columns[],8,0))</f>
        <v/>
      </c>
      <c r="J87" s="5" t="str">
        <f>IF(VLOOKUP([Field],Columns[],9,0)=0,"","-&gt;"&amp;VLOOKUP([Field],Columns[],9,0))</f>
        <v/>
      </c>
      <c r="K87" s="5" t="str">
        <f>"$table-&gt;"&amp;[Type]&amp;[Name]&amp;[Arg2]&amp;[Method1]&amp;[Method2]&amp;[Method3]&amp;[Method4]&amp;[Method5]&amp;";"</f>
        <v>$table-&gt;unsignedInteger('wishlist')-&gt;nullable()-&gt;index();</v>
      </c>
    </row>
    <row r="88" spans="1:11">
      <c r="A88" s="5" t="s">
        <v>449</v>
      </c>
      <c r="B88" s="5" t="s">
        <v>479</v>
      </c>
      <c r="C88" s="5" t="str">
        <f>VLOOKUP([Field],Columns[],2,0)&amp;"("</f>
        <v>string(</v>
      </c>
      <c r="D88" s="5" t="str">
        <f>IF(VLOOKUP([Field],Columns[],3,0)&lt;&gt;"","'"&amp;VLOOKUP([Field],Columns[],3,0)&amp;"'","")</f>
        <v>'note'</v>
      </c>
      <c r="E88" s="8" t="str">
        <f>IF(VLOOKUP([Field],Columns[],4,0)&lt;&gt;0,", "&amp;VLOOKUP([Field],Columns[],4,0)&amp;")",")")</f>
        <v>, 512)</v>
      </c>
      <c r="F88" s="5" t="str">
        <f>IF(VLOOKUP([Field],Columns[],5,0)=0,"","-&gt;"&amp;VLOOKUP([Field],Columns[],5,0))</f>
        <v>-&gt;nullable()</v>
      </c>
      <c r="G88" s="5" t="str">
        <f>IF(VLOOKUP([Field],Columns[],6,0)=0,"","-&gt;"&amp;VLOOKUP([Field],Columns[],6,0))</f>
        <v/>
      </c>
      <c r="H88" s="5" t="str">
        <f>IF(VLOOKUP([Field],Columns[],7,0)=0,"","-&gt;"&amp;VLOOKUP([Field],Columns[],7,0))</f>
        <v/>
      </c>
      <c r="I88" s="5" t="str">
        <f>IF(VLOOKUP([Field],Columns[],8,0)=0,"","-&gt;"&amp;VLOOKUP([Field],Columns[],8,0))</f>
        <v/>
      </c>
      <c r="J88" s="5" t="str">
        <f>IF(VLOOKUP([Field],Columns[],9,0)=0,"","-&gt;"&amp;VLOOKUP([Field],Columns[],9,0))</f>
        <v/>
      </c>
      <c r="K88" s="5" t="str">
        <f>"$table-&gt;"&amp;[Type]&amp;[Name]&amp;[Arg2]&amp;[Method1]&amp;[Method2]&amp;[Method3]&amp;[Method4]&amp;[Method5]&amp;";"</f>
        <v>$table-&gt;string('note', 512)-&gt;nullable();</v>
      </c>
    </row>
    <row r="89" spans="1:11">
      <c r="A89" s="5" t="s">
        <v>449</v>
      </c>
      <c r="B89" s="5" t="s">
        <v>480</v>
      </c>
      <c r="C89" s="5" t="str">
        <f>VLOOKUP([Field],Columns[],2,0)&amp;"("</f>
        <v>unsignedInteger(</v>
      </c>
      <c r="D89" s="5" t="str">
        <f>IF(VLOOKUP([Field],Columns[],3,0)&lt;&gt;"","'"&amp;VLOOKUP([Field],Columns[],3,0)&amp;"'","")</f>
        <v>'author'</v>
      </c>
      <c r="E89" s="8" t="str">
        <f>IF(VLOOKUP([Field],Columns[],4,0)&lt;&gt;0,", "&amp;VLOOKUP([Field],Columns[],4,0)&amp;")",")")</f>
        <v>)</v>
      </c>
      <c r="F89" s="5" t="str">
        <f>IF(VLOOKUP([Field],Columns[],5,0)=0,"","-&gt;"&amp;VLOOKUP([Field],Columns[],5,0))</f>
        <v>-&gt;nullable()</v>
      </c>
      <c r="G89" s="5" t="str">
        <f>IF(VLOOKUP([Field],Columns[],6,0)=0,"","-&gt;"&amp;VLOOKUP([Field],Columns[],6,0))</f>
        <v>-&gt;index()</v>
      </c>
      <c r="H89" s="5" t="str">
        <f>IF(VLOOKUP([Field],Columns[],7,0)=0,"","-&gt;"&amp;VLOOKUP([Field],Columns[],7,0))</f>
        <v/>
      </c>
      <c r="I89" s="5" t="str">
        <f>IF(VLOOKUP([Field],Columns[],8,0)=0,"","-&gt;"&amp;VLOOKUP([Field],Columns[],8,0))</f>
        <v/>
      </c>
      <c r="J89" s="5" t="str">
        <f>IF(VLOOKUP([Field],Columns[],9,0)=0,"","-&gt;"&amp;VLOOKUP([Field],Columns[],9,0))</f>
        <v/>
      </c>
      <c r="K89" s="5" t="str">
        <f>"$table-&gt;"&amp;[Type]&amp;[Name]&amp;[Arg2]&amp;[Method1]&amp;[Method2]&amp;[Method3]&amp;[Method4]&amp;[Method5]&amp;";"</f>
        <v>$table-&gt;unsignedInteger('author')-&gt;nullable()-&gt;index();</v>
      </c>
    </row>
    <row r="90" spans="1:11">
      <c r="A90" s="5" t="s">
        <v>449</v>
      </c>
      <c r="B90" s="5" t="s">
        <v>453</v>
      </c>
      <c r="C90" s="5" t="str">
        <f>VLOOKUP([Field],Columns[],2,0)&amp;"("</f>
        <v>enum(</v>
      </c>
      <c r="D90" s="5" t="str">
        <f>IF(VLOOKUP([Field],Columns[],3,0)&lt;&gt;"","'"&amp;VLOOKUP([Field],Columns[],3,0)&amp;"'","")</f>
        <v>'status'</v>
      </c>
      <c r="E90" s="8" t="str">
        <f>IF(VLOOKUP([Field],Columns[],4,0)&lt;&gt;0,", "&amp;VLOOKUP([Field],Columns[],4,0)&amp;")",")")</f>
        <v>, ['Active','Inactive'])</v>
      </c>
      <c r="F90" s="5" t="str">
        <f>IF(VLOOKUP([Field],Columns[],5,0)=0,"","-&gt;"&amp;VLOOKUP([Field],Columns[],5,0))</f>
        <v>-&gt;default('Active')</v>
      </c>
      <c r="G90" s="5" t="str">
        <f>IF(VLOOKUP([Field],Columns[],6,0)=0,"","-&gt;"&amp;VLOOKUP([Field],Columns[],6,0))</f>
        <v>-&gt;index()</v>
      </c>
      <c r="H90" s="5" t="str">
        <f>IF(VLOOKUP([Field],Columns[],7,0)=0,"","-&gt;"&amp;VLOOKUP([Field],Columns[],7,0))</f>
        <v/>
      </c>
      <c r="I90" s="5" t="str">
        <f>IF(VLOOKUP([Field],Columns[],8,0)=0,"","-&gt;"&amp;VLOOKUP([Field],Columns[],8,0))</f>
        <v/>
      </c>
      <c r="J90" s="5" t="str">
        <f>IF(VLOOKUP([Field],Columns[],9,0)=0,"","-&gt;"&amp;VLOOKUP([Field],Columns[],9,0))</f>
        <v/>
      </c>
      <c r="K90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1" spans="1:11">
      <c r="A91" s="5" t="s">
        <v>449</v>
      </c>
      <c r="B91" s="5" t="s">
        <v>518</v>
      </c>
      <c r="C91" s="5" t="str">
        <f>VLOOKUP([Field],Columns[],2,0)&amp;"("</f>
        <v>audit(</v>
      </c>
      <c r="D91" s="5" t="str">
        <f>IF(VLOOKUP([Field],Columns[],3,0)&lt;&gt;"","'"&amp;VLOOKUP([Field],Columns[],3,0)&amp;"'","")</f>
        <v/>
      </c>
      <c r="E91" s="8" t="str">
        <f>IF(VLOOKUP([Field],Columns[],4,0)&lt;&gt;0,", "&amp;VLOOKUP([Field],Columns[],4,0)&amp;")",")")</f>
        <v>)</v>
      </c>
      <c r="F91" s="5" t="str">
        <f>IF(VLOOKUP([Field],Columns[],5,0)=0,"","-&gt;"&amp;VLOOKUP([Field],Columns[],5,0))</f>
        <v/>
      </c>
      <c r="G91" s="5" t="str">
        <f>IF(VLOOKUP([Field],Columns[],6,0)=0,"","-&gt;"&amp;VLOOKUP([Field],Columns[],6,0))</f>
        <v/>
      </c>
      <c r="H91" s="5" t="str">
        <f>IF(VLOOKUP([Field],Columns[],7,0)=0,"","-&gt;"&amp;VLOOKUP([Field],Columns[],7,0))</f>
        <v/>
      </c>
      <c r="I91" s="5" t="str">
        <f>IF(VLOOKUP([Field],Columns[],8,0)=0,"","-&gt;"&amp;VLOOKUP([Field],Columns[],8,0))</f>
        <v/>
      </c>
      <c r="J91" s="5" t="str">
        <f>IF(VLOOKUP([Field],Columns[],9,0)=0,"","-&gt;"&amp;VLOOKUP([Field],Columns[],9,0))</f>
        <v/>
      </c>
      <c r="K91" s="5" t="str">
        <f>"$table-&gt;"&amp;[Type]&amp;[Name]&amp;[Arg2]&amp;[Method1]&amp;[Method2]&amp;[Method3]&amp;[Method4]&amp;[Method5]&amp;";"</f>
        <v>$table-&gt;audit();</v>
      </c>
    </row>
    <row r="92" spans="1:11">
      <c r="A92" s="5" t="s">
        <v>449</v>
      </c>
      <c r="B92" s="5" t="s">
        <v>478</v>
      </c>
      <c r="C92" s="5" t="str">
        <f>VLOOKUP([Field],Columns[],2,0)&amp;"("</f>
        <v>foreign(</v>
      </c>
      <c r="D92" s="5" t="str">
        <f>IF(VLOOKUP([Field],Columns[],3,0)&lt;&gt;"","'"&amp;VLOOKUP([Field],Columns[],3,0)&amp;"'","")</f>
        <v>'wishlist'</v>
      </c>
      <c r="E92" s="8" t="str">
        <f>IF(VLOOKUP([Field],Columns[],4,0)&lt;&gt;0,", "&amp;VLOOKUP([Field],Columns[],4,0)&amp;")",")")</f>
        <v>)</v>
      </c>
      <c r="F92" s="5" t="str">
        <f>IF(VLOOKUP([Field],Columns[],5,0)=0,"","-&gt;"&amp;VLOOKUP([Field],Columns[],5,0))</f>
        <v>-&gt;references('id')</v>
      </c>
      <c r="G92" s="5" t="str">
        <f>IF(VLOOKUP([Field],Columns[],6,0)=0,"","-&gt;"&amp;VLOOKUP([Field],Columns[],6,0))</f>
        <v>-&gt;on('wishlists')</v>
      </c>
      <c r="H92" s="5" t="str">
        <f>IF(VLOOKUP([Field],Columns[],7,0)=0,"","-&gt;"&amp;VLOOKUP([Field],Columns[],7,0))</f>
        <v>-&gt;onUpdate('cascade')</v>
      </c>
      <c r="I92" s="5" t="str">
        <f>IF(VLOOKUP([Field],Columns[],8,0)=0,"","-&gt;"&amp;VLOOKUP([Field],Columns[],8,0))</f>
        <v>-&gt;onDelete('cascade')</v>
      </c>
      <c r="J92" s="5" t="str">
        <f>IF(VLOOKUP([Field],Columns[],9,0)=0,"","-&gt;"&amp;VLOOKUP([Field],Columns[],9,0))</f>
        <v/>
      </c>
      <c r="K92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93" spans="1:11">
      <c r="A93" s="5" t="s">
        <v>449</v>
      </c>
      <c r="B93" s="5" t="s">
        <v>473</v>
      </c>
      <c r="C93" s="5" t="str">
        <f>VLOOKUP([Field],Columns[],2,0)&amp;"("</f>
        <v>foreign(</v>
      </c>
      <c r="D93" s="5" t="str">
        <f>IF(VLOOKUP([Field],Columns[],3,0)&lt;&gt;"","'"&amp;VLOOKUP([Field],Columns[],3,0)&amp;"'","")</f>
        <v>'author'</v>
      </c>
      <c r="E93" s="8" t="str">
        <f>IF(VLOOKUP([Field],Columns[],4,0)&lt;&gt;0,", "&amp;VLOOKUP([Field],Columns[],4,0)&amp;")",")")</f>
        <v>)</v>
      </c>
      <c r="F93" s="5" t="str">
        <f>IF(VLOOKUP([Field],Columns[],5,0)=0,"","-&gt;"&amp;VLOOKUP([Field],Columns[],5,0))</f>
        <v>-&gt;references('id')</v>
      </c>
      <c r="G93" s="5" t="str">
        <f>IF(VLOOKUP([Field],Columns[],6,0)=0,"","-&gt;"&amp;VLOOKUP([Field],Columns[],6,0))</f>
        <v>-&gt;on('visitors')</v>
      </c>
      <c r="H93" s="5" t="str">
        <f>IF(VLOOKUP([Field],Columns[],7,0)=0,"","-&gt;"&amp;VLOOKUP([Field],Columns[],7,0))</f>
        <v>-&gt;onUpdate('cascade')</v>
      </c>
      <c r="I93" s="5" t="str">
        <f>IF(VLOOKUP([Field],Columns[],8,0)=0,"","-&gt;"&amp;VLOOKUP([Field],Columns[],8,0))</f>
        <v>-&gt;onDelete('set null')</v>
      </c>
      <c r="J93" s="5" t="str">
        <f>IF(VLOOKUP([Field],Columns[],9,0)=0,"","-&gt;"&amp;VLOOKUP([Field],Columns[],9,0))</f>
        <v/>
      </c>
      <c r="K93" s="5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94" spans="1:11">
      <c r="A94" s="5" t="s">
        <v>446</v>
      </c>
      <c r="B94" s="5" t="s">
        <v>21</v>
      </c>
      <c r="C94" s="5" t="str">
        <f>VLOOKUP([Field],Columns[],2,0)&amp;"("</f>
        <v>increments(</v>
      </c>
      <c r="D94" s="5" t="str">
        <f>IF(VLOOKUP([Field],Columns[],3,0)&lt;&gt;"","'"&amp;VLOOKUP([Field],Columns[],3,0)&amp;"'","")</f>
        <v>'id'</v>
      </c>
      <c r="E94" s="8" t="str">
        <f>IF(VLOOKUP([Field],Columns[],4,0)&lt;&gt;0,", "&amp;VLOOKUP([Field],Columns[],4,0)&amp;")",")")</f>
        <v>)</v>
      </c>
      <c r="F94" s="5" t="str">
        <f>IF(VLOOKUP([Field],Columns[],5,0)=0,"","-&gt;"&amp;VLOOKUP([Field],Columns[],5,0))</f>
        <v/>
      </c>
      <c r="G94" s="5" t="str">
        <f>IF(VLOOKUP([Field],Columns[],6,0)=0,"","-&gt;"&amp;VLOOKUP([Field],Columns[],6,0))</f>
        <v/>
      </c>
      <c r="H94" s="5" t="str">
        <f>IF(VLOOKUP([Field],Columns[],7,0)=0,"","-&gt;"&amp;VLOOKUP([Field],Columns[],7,0))</f>
        <v/>
      </c>
      <c r="I94" s="5" t="str">
        <f>IF(VLOOKUP([Field],Columns[],8,0)=0,"","-&gt;"&amp;VLOOKUP([Field],Columns[],8,0))</f>
        <v/>
      </c>
      <c r="J94" s="5" t="str">
        <f>IF(VLOOKUP([Field],Columns[],9,0)=0,"","-&gt;"&amp;VLOOKUP([Field],Columns[],9,0))</f>
        <v/>
      </c>
      <c r="K94" s="5" t="str">
        <f>"$table-&gt;"&amp;[Type]&amp;[Name]&amp;[Arg2]&amp;[Method1]&amp;[Method2]&amp;[Method3]&amp;[Method4]&amp;[Method5]&amp;";"</f>
        <v>$table-&gt;increments('id');</v>
      </c>
    </row>
    <row r="95" spans="1:11">
      <c r="A95" s="5" t="s">
        <v>446</v>
      </c>
      <c r="B95" s="5" t="s">
        <v>475</v>
      </c>
      <c r="C95" s="5" t="str">
        <f>VLOOKUP([Field],Columns[],2,0)&amp;"("</f>
        <v>unsignedInteger(</v>
      </c>
      <c r="D95" s="5" t="str">
        <f>IF(VLOOKUP([Field],Columns[],3,0)&lt;&gt;"","'"&amp;VLOOKUP([Field],Columns[],3,0)&amp;"'","")</f>
        <v>'wishlist'</v>
      </c>
      <c r="E95" s="8" t="str">
        <f>IF(VLOOKUP([Field],Columns[],4,0)&lt;&gt;0,", "&amp;VLOOKUP([Field],Columns[],4,0)&amp;")",")")</f>
        <v>)</v>
      </c>
      <c r="F95" s="5" t="str">
        <f>IF(VLOOKUP([Field],Columns[],5,0)=0,"","-&gt;"&amp;VLOOKUP([Field],Columns[],5,0))</f>
        <v>-&gt;nullable()</v>
      </c>
      <c r="G95" s="5" t="str">
        <f>IF(VLOOKUP([Field],Columns[],6,0)=0,"","-&gt;"&amp;VLOOKUP([Field],Columns[],6,0))</f>
        <v>-&gt;index()</v>
      </c>
      <c r="H95" s="5" t="str">
        <f>IF(VLOOKUP([Field],Columns[],7,0)=0,"","-&gt;"&amp;VLOOKUP([Field],Columns[],7,0))</f>
        <v/>
      </c>
      <c r="I95" s="5" t="str">
        <f>IF(VLOOKUP([Field],Columns[],8,0)=0,"","-&gt;"&amp;VLOOKUP([Field],Columns[],8,0))</f>
        <v/>
      </c>
      <c r="J95" s="5" t="str">
        <f>IF(VLOOKUP([Field],Columns[],9,0)=0,"","-&gt;"&amp;VLOOKUP([Field],Columns[],9,0))</f>
        <v/>
      </c>
      <c r="K95" s="5" t="str">
        <f>"$table-&gt;"&amp;[Type]&amp;[Name]&amp;[Arg2]&amp;[Method1]&amp;[Method2]&amp;[Method3]&amp;[Method4]&amp;[Method5]&amp;";"</f>
        <v>$table-&gt;unsignedInteger('wishlist')-&gt;nullable()-&gt;index();</v>
      </c>
    </row>
    <row r="96" spans="1:11">
      <c r="A96" s="5" t="s">
        <v>446</v>
      </c>
      <c r="B96" s="5" t="s">
        <v>467</v>
      </c>
      <c r="C96" s="5" t="str">
        <f>VLOOKUP([Field],Columns[],2,0)&amp;"("</f>
        <v>unsignedInteger(</v>
      </c>
      <c r="D96" s="5" t="str">
        <f>IF(VLOOKUP([Field],Columns[],3,0)&lt;&gt;"","'"&amp;VLOOKUP([Field],Columns[],3,0)&amp;"'","")</f>
        <v>'product'</v>
      </c>
      <c r="E96" s="8" t="str">
        <f>IF(VLOOKUP([Field],Columns[],4,0)&lt;&gt;0,", "&amp;VLOOKUP([Field],Columns[],4,0)&amp;")",")")</f>
        <v>)</v>
      </c>
      <c r="F96" s="5" t="str">
        <f>IF(VLOOKUP([Field],Columns[],5,0)=0,"","-&gt;"&amp;VLOOKUP([Field],Columns[],5,0))</f>
        <v>-&gt;nullable()</v>
      </c>
      <c r="G96" s="5" t="str">
        <f>IF(VLOOKUP([Field],Columns[],6,0)=0,"","-&gt;"&amp;VLOOKUP([Field],Columns[],6,0))</f>
        <v>-&gt;index()</v>
      </c>
      <c r="H96" s="5" t="str">
        <f>IF(VLOOKUP([Field],Columns[],7,0)=0,"","-&gt;"&amp;VLOOKUP([Field],Columns[],7,0))</f>
        <v/>
      </c>
      <c r="I96" s="5" t="str">
        <f>IF(VLOOKUP([Field],Columns[],8,0)=0,"","-&gt;"&amp;VLOOKUP([Field],Columns[],8,0))</f>
        <v/>
      </c>
      <c r="J96" s="5" t="str">
        <f>IF(VLOOKUP([Field],Columns[],9,0)=0,"","-&gt;"&amp;VLOOKUP([Field],Columns[],9,0))</f>
        <v/>
      </c>
      <c r="K96" s="5" t="str">
        <f>"$table-&gt;"&amp;[Type]&amp;[Name]&amp;[Arg2]&amp;[Method1]&amp;[Method2]&amp;[Method3]&amp;[Method4]&amp;[Method5]&amp;";"</f>
        <v>$table-&gt;unsignedInteger('product')-&gt;nullable()-&gt;index();</v>
      </c>
    </row>
    <row r="97" spans="1:11">
      <c r="A97" s="5" t="s">
        <v>446</v>
      </c>
      <c r="B97" s="5" t="s">
        <v>481</v>
      </c>
      <c r="C97" s="5" t="str">
        <f>VLOOKUP([Field],Columns[],2,0)&amp;"("</f>
        <v>unsignedInteger(</v>
      </c>
      <c r="D97" s="5" t="str">
        <f>IF(VLOOKUP([Field],Columns[],3,0)&lt;&gt;"","'"&amp;VLOOKUP([Field],Columns[],3,0)&amp;"'","")</f>
        <v>'added_by'</v>
      </c>
      <c r="E97" s="8" t="str">
        <f>IF(VLOOKUP([Field],Columns[],4,0)&lt;&gt;0,", "&amp;VLOOKUP([Field],Columns[],4,0)&amp;")",")")</f>
        <v>)</v>
      </c>
      <c r="F97" s="5" t="str">
        <f>IF(VLOOKUP([Field],Columns[],5,0)=0,"","-&gt;"&amp;VLOOKUP([Field],Columns[],5,0))</f>
        <v>-&gt;nullable()</v>
      </c>
      <c r="G97" s="5" t="str">
        <f>IF(VLOOKUP([Field],Columns[],6,0)=0,"","-&gt;"&amp;VLOOKUP([Field],Columns[],6,0))</f>
        <v>-&gt;index()</v>
      </c>
      <c r="H97" s="5" t="str">
        <f>IF(VLOOKUP([Field],Columns[],7,0)=0,"","-&gt;"&amp;VLOOKUP([Field],Columns[],7,0))</f>
        <v/>
      </c>
      <c r="I97" s="5" t="str">
        <f>IF(VLOOKUP([Field],Columns[],8,0)=0,"","-&gt;"&amp;VLOOKUP([Field],Columns[],8,0))</f>
        <v/>
      </c>
      <c r="J97" s="5" t="str">
        <f>IF(VLOOKUP([Field],Columns[],9,0)=0,"","-&gt;"&amp;VLOOKUP([Field],Columns[],9,0))</f>
        <v/>
      </c>
      <c r="K97" s="5" t="str">
        <f>"$table-&gt;"&amp;[Type]&amp;[Name]&amp;[Arg2]&amp;[Method1]&amp;[Method2]&amp;[Method3]&amp;[Method4]&amp;[Method5]&amp;";"</f>
        <v>$table-&gt;unsignedInteger('added_by')-&gt;nullable()-&gt;index();</v>
      </c>
    </row>
    <row r="98" spans="1:11">
      <c r="A98" s="5" t="s">
        <v>446</v>
      </c>
      <c r="B98" s="5" t="s">
        <v>482</v>
      </c>
      <c r="C98" s="5" t="str">
        <f>VLOOKUP([Field],Columns[],2,0)&amp;"("</f>
        <v>timestamp(</v>
      </c>
      <c r="D98" s="5" t="str">
        <f>IF(VLOOKUP([Field],Columns[],3,0)&lt;&gt;"","'"&amp;VLOOKUP([Field],Columns[],3,0)&amp;"'","")</f>
        <v>'added_on'</v>
      </c>
      <c r="E98" s="8" t="str">
        <f>IF(VLOOKUP([Field],Columns[],4,0)&lt;&gt;0,", "&amp;VLOOKUP([Field],Columns[],4,0)&amp;")",")")</f>
        <v>)</v>
      </c>
      <c r="F98" s="5" t="str">
        <f>IF(VLOOKUP([Field],Columns[],5,0)=0,"","-&gt;"&amp;VLOOKUP([Field],Columns[],5,0))</f>
        <v>-&gt;default(DB::raw('CURRENT_TIMESTAMP'))</v>
      </c>
      <c r="G98" s="5" t="str">
        <f>IF(VLOOKUP([Field],Columns[],6,0)=0,"","-&gt;"&amp;VLOOKUP([Field],Columns[],6,0))</f>
        <v/>
      </c>
      <c r="H98" s="5" t="str">
        <f>IF(VLOOKUP([Field],Columns[],7,0)=0,"","-&gt;"&amp;VLOOKUP([Field],Columns[],7,0))</f>
        <v/>
      </c>
      <c r="I98" s="5" t="str">
        <f>IF(VLOOKUP([Field],Columns[],8,0)=0,"","-&gt;"&amp;VLOOKUP([Field],Columns[],8,0))</f>
        <v/>
      </c>
      <c r="J98" s="5" t="str">
        <f>IF(VLOOKUP([Field],Columns[],9,0)=0,"","-&gt;"&amp;VLOOKUP([Field],Columns[],9,0))</f>
        <v/>
      </c>
      <c r="K98" s="5" t="str">
        <f>"$table-&gt;"&amp;[Type]&amp;[Name]&amp;[Arg2]&amp;[Method1]&amp;[Method2]&amp;[Method3]&amp;[Method4]&amp;[Method5]&amp;";"</f>
        <v>$table-&gt;timestamp('added_on')-&gt;default(DB::raw('CURRENT_TIMESTAMP'));</v>
      </c>
    </row>
    <row r="99" spans="1:11">
      <c r="A99" s="5" t="s">
        <v>446</v>
      </c>
      <c r="B99" s="5" t="s">
        <v>483</v>
      </c>
      <c r="C99" s="5" t="str">
        <f>VLOOKUP([Field],Columns[],2,0)&amp;"("</f>
        <v>unsignedInteger(</v>
      </c>
      <c r="D99" s="5" t="str">
        <f>IF(VLOOKUP([Field],Columns[],3,0)&lt;&gt;"","'"&amp;VLOOKUP([Field],Columns[],3,0)&amp;"'","")</f>
        <v>'removed_by'</v>
      </c>
      <c r="E99" s="8" t="str">
        <f>IF(VLOOKUP([Field],Columns[],4,0)&lt;&gt;0,", "&amp;VLOOKUP([Field],Columns[],4,0)&amp;")",")")</f>
        <v>)</v>
      </c>
      <c r="F99" s="5" t="str">
        <f>IF(VLOOKUP([Field],Columns[],5,0)=0,"","-&gt;"&amp;VLOOKUP([Field],Columns[],5,0))</f>
        <v>-&gt;nullable()</v>
      </c>
      <c r="G99" s="5" t="str">
        <f>IF(VLOOKUP([Field],Columns[],6,0)=0,"","-&gt;"&amp;VLOOKUP([Field],Columns[],6,0))</f>
        <v>-&gt;index()</v>
      </c>
      <c r="H99" s="5" t="str">
        <f>IF(VLOOKUP([Field],Columns[],7,0)=0,"","-&gt;"&amp;VLOOKUP([Field],Columns[],7,0))</f>
        <v/>
      </c>
      <c r="I99" s="5" t="str">
        <f>IF(VLOOKUP([Field],Columns[],8,0)=0,"","-&gt;"&amp;VLOOKUP([Field],Columns[],8,0))</f>
        <v/>
      </c>
      <c r="J99" s="5" t="str">
        <f>IF(VLOOKUP([Field],Columns[],9,0)=0,"","-&gt;"&amp;VLOOKUP([Field],Columns[],9,0))</f>
        <v/>
      </c>
      <c r="K99" s="5" t="str">
        <f>"$table-&gt;"&amp;[Type]&amp;[Name]&amp;[Arg2]&amp;[Method1]&amp;[Method2]&amp;[Method3]&amp;[Method4]&amp;[Method5]&amp;";"</f>
        <v>$table-&gt;unsignedInteger('removed_by')-&gt;nullable()-&gt;index();</v>
      </c>
    </row>
    <row r="100" spans="1:11">
      <c r="A100" s="5" t="s">
        <v>446</v>
      </c>
      <c r="B100" s="5" t="s">
        <v>484</v>
      </c>
      <c r="C100" s="5" t="str">
        <f>VLOOKUP([Field],Columns[],2,0)&amp;"("</f>
        <v>timestamp(</v>
      </c>
      <c r="D100" s="5" t="str">
        <f>IF(VLOOKUP([Field],Columns[],3,0)&lt;&gt;"","'"&amp;VLOOKUP([Field],Columns[],3,0)&amp;"'","")</f>
        <v>'removed_on'</v>
      </c>
      <c r="E100" s="8" t="str">
        <f>IF(VLOOKUP([Field],Columns[],4,0)&lt;&gt;0,", "&amp;VLOOKUP([Field],Columns[],4,0)&amp;")",")")</f>
        <v>)</v>
      </c>
      <c r="F100" s="5" t="str">
        <f>IF(VLOOKUP([Field],Columns[],5,0)=0,"","-&gt;"&amp;VLOOKUP([Field],Columns[],5,0))</f>
        <v>-&gt;default(DB::raw('CURRENT_TIMESTAMP ON UPDATE CURRENT_TIMESTAMP'))</v>
      </c>
      <c r="G100" s="5" t="str">
        <f>IF(VLOOKUP([Field],Columns[],6,0)=0,"","-&gt;"&amp;VLOOKUP([Field],Columns[],6,0))</f>
        <v/>
      </c>
      <c r="H100" s="5" t="str">
        <f>IF(VLOOKUP([Field],Columns[],7,0)=0,"","-&gt;"&amp;VLOOKUP([Field],Columns[],7,0))</f>
        <v/>
      </c>
      <c r="I100" s="5" t="str">
        <f>IF(VLOOKUP([Field],Columns[],8,0)=0,"","-&gt;"&amp;VLOOKUP([Field],Columns[],8,0))</f>
        <v/>
      </c>
      <c r="J100" s="5" t="str">
        <f>IF(VLOOKUP([Field],Columns[],9,0)=0,"","-&gt;"&amp;VLOOKUP([Field],Columns[],9,0))</f>
        <v/>
      </c>
      <c r="K100" s="5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101" spans="1:11">
      <c r="A101" s="5" t="s">
        <v>446</v>
      </c>
      <c r="B101" s="5" t="s">
        <v>485</v>
      </c>
      <c r="C101" s="5" t="str">
        <f>VLOOKUP([Field],Columns[],2,0)&amp;"("</f>
        <v>enum(</v>
      </c>
      <c r="D101" s="5" t="str">
        <f>IF(VLOOKUP([Field],Columns[],3,0)&lt;&gt;"","'"&amp;VLOOKUP([Field],Columns[],3,0)&amp;"'","")</f>
        <v>'product_status'</v>
      </c>
      <c r="E101" s="8" t="str">
        <f>IF(VLOOKUP([Field],Columns[],4,0)&lt;&gt;0,", "&amp;VLOOKUP([Field],Columns[],4,0)&amp;")",")")</f>
        <v>, ['Active','Inactive'])</v>
      </c>
      <c r="F101" s="5" t="str">
        <f>IF(VLOOKUP([Field],Columns[],5,0)=0,"","-&gt;"&amp;VLOOKUP([Field],Columns[],5,0))</f>
        <v>-&gt;default('Active')</v>
      </c>
      <c r="G101" s="5" t="str">
        <f>IF(VLOOKUP([Field],Columns[],6,0)=0,"","-&gt;"&amp;VLOOKUP([Field],Columns[],6,0))</f>
        <v>-&gt;index()</v>
      </c>
      <c r="H101" s="5" t="str">
        <f>IF(VLOOKUP([Field],Columns[],7,0)=0,"","-&gt;"&amp;VLOOKUP([Field],Columns[],7,0))</f>
        <v/>
      </c>
      <c r="I101" s="5" t="str">
        <f>IF(VLOOKUP([Field],Columns[],8,0)=0,"","-&gt;"&amp;VLOOKUP([Field],Columns[],8,0))</f>
        <v/>
      </c>
      <c r="J101" s="5" t="str">
        <f>IF(VLOOKUP([Field],Columns[],9,0)=0,"","-&gt;"&amp;VLOOKUP([Field],Columns[],9,0))</f>
        <v/>
      </c>
      <c r="K101" s="5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102" spans="1:11">
      <c r="A102" s="5" t="s">
        <v>446</v>
      </c>
      <c r="B102" s="5" t="s">
        <v>453</v>
      </c>
      <c r="C102" s="5" t="str">
        <f>VLOOKUP([Field],Columns[],2,0)&amp;"("</f>
        <v>enum(</v>
      </c>
      <c r="D102" s="5" t="str">
        <f>IF(VLOOKUP([Field],Columns[],3,0)&lt;&gt;"","'"&amp;VLOOKUP([Field],Columns[],3,0)&amp;"'","")</f>
        <v>'status'</v>
      </c>
      <c r="E102" s="8" t="str">
        <f>IF(VLOOKUP([Field],Columns[],4,0)&lt;&gt;0,", "&amp;VLOOKUP([Field],Columns[],4,0)&amp;")",")")</f>
        <v>, ['Active','Inactive'])</v>
      </c>
      <c r="F102" s="5" t="str">
        <f>IF(VLOOKUP([Field],Columns[],5,0)=0,"","-&gt;"&amp;VLOOKUP([Field],Columns[],5,0))</f>
        <v>-&gt;default('Active')</v>
      </c>
      <c r="G102" s="5" t="str">
        <f>IF(VLOOKUP([Field],Columns[],6,0)=0,"","-&gt;"&amp;VLOOKUP([Field],Columns[],6,0))</f>
        <v>-&gt;index()</v>
      </c>
      <c r="H102" s="5" t="str">
        <f>IF(VLOOKUP([Field],Columns[],7,0)=0,"","-&gt;"&amp;VLOOKUP([Field],Columns[],7,0))</f>
        <v/>
      </c>
      <c r="I102" s="5" t="str">
        <f>IF(VLOOKUP([Field],Columns[],8,0)=0,"","-&gt;"&amp;VLOOKUP([Field],Columns[],8,0))</f>
        <v/>
      </c>
      <c r="J102" s="5" t="str">
        <f>IF(VLOOKUP([Field],Columns[],9,0)=0,"","-&gt;"&amp;VLOOKUP([Field],Columns[],9,0))</f>
        <v/>
      </c>
      <c r="K102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03" spans="1:11">
      <c r="A103" s="5" t="s">
        <v>446</v>
      </c>
      <c r="B103" s="5" t="s">
        <v>518</v>
      </c>
      <c r="C103" s="5" t="str">
        <f>VLOOKUP([Field],Columns[],2,0)&amp;"("</f>
        <v>audit(</v>
      </c>
      <c r="D103" s="5" t="str">
        <f>IF(VLOOKUP([Field],Columns[],3,0)&lt;&gt;"","'"&amp;VLOOKUP([Field],Columns[],3,0)&amp;"'","")</f>
        <v/>
      </c>
      <c r="E103" s="8" t="str">
        <f>IF(VLOOKUP([Field],Columns[],4,0)&lt;&gt;0,", "&amp;VLOOKUP([Field],Columns[],4,0)&amp;")",")")</f>
        <v>)</v>
      </c>
      <c r="F103" s="5" t="str">
        <f>IF(VLOOKUP([Field],Columns[],5,0)=0,"","-&gt;"&amp;VLOOKUP([Field],Columns[],5,0))</f>
        <v/>
      </c>
      <c r="G103" s="5" t="str">
        <f>IF(VLOOKUP([Field],Columns[],6,0)=0,"","-&gt;"&amp;VLOOKUP([Field],Columns[],6,0))</f>
        <v/>
      </c>
      <c r="H103" s="5" t="str">
        <f>IF(VLOOKUP([Field],Columns[],7,0)=0,"","-&gt;"&amp;VLOOKUP([Field],Columns[],7,0))</f>
        <v/>
      </c>
      <c r="I103" s="5" t="str">
        <f>IF(VLOOKUP([Field],Columns[],8,0)=0,"","-&gt;"&amp;VLOOKUP([Field],Columns[],8,0))</f>
        <v/>
      </c>
      <c r="J103" s="5" t="str">
        <f>IF(VLOOKUP([Field],Columns[],9,0)=0,"","-&gt;"&amp;VLOOKUP([Field],Columns[],9,0))</f>
        <v/>
      </c>
      <c r="K103" s="5" t="str">
        <f>"$table-&gt;"&amp;[Type]&amp;[Name]&amp;[Arg2]&amp;[Method1]&amp;[Method2]&amp;[Method3]&amp;[Method4]&amp;[Method5]&amp;";"</f>
        <v>$table-&gt;audit();</v>
      </c>
    </row>
    <row r="104" spans="1:11">
      <c r="A104" s="5" t="s">
        <v>446</v>
      </c>
      <c r="B104" s="5" t="s">
        <v>478</v>
      </c>
      <c r="C104" s="5" t="str">
        <f>VLOOKUP([Field],Columns[],2,0)&amp;"("</f>
        <v>foreign(</v>
      </c>
      <c r="D104" s="5" t="str">
        <f>IF(VLOOKUP([Field],Columns[],3,0)&lt;&gt;"","'"&amp;VLOOKUP([Field],Columns[],3,0)&amp;"'","")</f>
        <v>'wishlist'</v>
      </c>
      <c r="E104" s="8" t="str">
        <f>IF(VLOOKUP([Field],Columns[],4,0)&lt;&gt;0,", "&amp;VLOOKUP([Field],Columns[],4,0)&amp;")",")")</f>
        <v>)</v>
      </c>
      <c r="F104" s="5" t="str">
        <f>IF(VLOOKUP([Field],Columns[],5,0)=0,"","-&gt;"&amp;VLOOKUP([Field],Columns[],5,0))</f>
        <v>-&gt;references('id')</v>
      </c>
      <c r="G104" s="5" t="str">
        <f>IF(VLOOKUP([Field],Columns[],6,0)=0,"","-&gt;"&amp;VLOOKUP([Field],Columns[],6,0))</f>
        <v>-&gt;on('wishlists')</v>
      </c>
      <c r="H104" s="5" t="str">
        <f>IF(VLOOKUP([Field],Columns[],7,0)=0,"","-&gt;"&amp;VLOOKUP([Field],Columns[],7,0))</f>
        <v>-&gt;onUpdate('cascade')</v>
      </c>
      <c r="I104" s="5" t="str">
        <f>IF(VLOOKUP([Field],Columns[],8,0)=0,"","-&gt;"&amp;VLOOKUP([Field],Columns[],8,0))</f>
        <v>-&gt;onDelete('cascade')</v>
      </c>
      <c r="J104" s="5" t="str">
        <f>IF(VLOOKUP([Field],Columns[],9,0)=0,"","-&gt;"&amp;VLOOKUP([Field],Columns[],9,0))</f>
        <v/>
      </c>
      <c r="K104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105" spans="1:11">
      <c r="A105" s="5" t="s">
        <v>446</v>
      </c>
      <c r="B105" s="5" t="s">
        <v>470</v>
      </c>
      <c r="C105" s="5" t="str">
        <f>VLOOKUP([Field],Columns[],2,0)&amp;"("</f>
        <v>foreign(</v>
      </c>
      <c r="D105" s="5" t="str">
        <f>IF(VLOOKUP([Field],Columns[],3,0)&lt;&gt;"","'"&amp;VLOOKUP([Field],Columns[],3,0)&amp;"'","")</f>
        <v>'product'</v>
      </c>
      <c r="E105" s="8" t="str">
        <f>IF(VLOOKUP([Field],Columns[],4,0)&lt;&gt;0,", "&amp;VLOOKUP([Field],Columns[],4,0)&amp;")",")")</f>
        <v>)</v>
      </c>
      <c r="F105" s="5" t="str">
        <f>IF(VLOOKUP([Field],Columns[],5,0)=0,"","-&gt;"&amp;VLOOKUP([Field],Columns[],5,0))</f>
        <v>-&gt;references('id')</v>
      </c>
      <c r="G105" s="5" t="str">
        <f>IF(VLOOKUP([Field],Columns[],6,0)=0,"","-&gt;"&amp;VLOOKUP([Field],Columns[],6,0))</f>
        <v>-&gt;on('products')</v>
      </c>
      <c r="H105" s="5" t="str">
        <f>IF(VLOOKUP([Field],Columns[],7,0)=0,"","-&gt;"&amp;VLOOKUP([Field],Columns[],7,0))</f>
        <v>-&gt;onUpdate('cascade')</v>
      </c>
      <c r="I105" s="5" t="str">
        <f>IF(VLOOKUP([Field],Columns[],8,0)=0,"","-&gt;"&amp;VLOOKUP([Field],Columns[],8,0))</f>
        <v>-&gt;onDelete('cascade')</v>
      </c>
      <c r="J105" s="5" t="str">
        <f>IF(VLOOKUP([Field],Columns[],9,0)=0,"","-&gt;"&amp;VLOOKUP([Field],Columns[],9,0))</f>
        <v/>
      </c>
      <c r="K105" s="5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106" spans="1:11">
      <c r="A106" s="5" t="s">
        <v>446</v>
      </c>
      <c r="B106" s="5" t="s">
        <v>486</v>
      </c>
      <c r="C106" s="5" t="str">
        <f>VLOOKUP([Field],Columns[],2,0)&amp;"("</f>
        <v>foreign(</v>
      </c>
      <c r="D106" s="5" t="str">
        <f>IF(VLOOKUP([Field],Columns[],3,0)&lt;&gt;"","'"&amp;VLOOKUP([Field],Columns[],3,0)&amp;"'","")</f>
        <v>'added_by'</v>
      </c>
      <c r="E106" s="8" t="str">
        <f>IF(VLOOKUP([Field],Columns[],4,0)&lt;&gt;0,", "&amp;VLOOKUP([Field],Columns[],4,0)&amp;")",")")</f>
        <v>)</v>
      </c>
      <c r="F106" s="5" t="str">
        <f>IF(VLOOKUP([Field],Columns[],5,0)=0,"","-&gt;"&amp;VLOOKUP([Field],Columns[],5,0))</f>
        <v>-&gt;references('id')</v>
      </c>
      <c r="G106" s="5" t="str">
        <f>IF(VLOOKUP([Field],Columns[],6,0)=0,"","-&gt;"&amp;VLOOKUP([Field],Columns[],6,0))</f>
        <v>-&gt;on('visitors')</v>
      </c>
      <c r="H106" s="5" t="str">
        <f>IF(VLOOKUP([Field],Columns[],7,0)=0,"","-&gt;"&amp;VLOOKUP([Field],Columns[],7,0))</f>
        <v>-&gt;onUpdate('cascade')</v>
      </c>
      <c r="I106" s="5" t="str">
        <f>IF(VLOOKUP([Field],Columns[],8,0)=0,"","-&gt;"&amp;VLOOKUP([Field],Columns[],8,0))</f>
        <v>-&gt;onDelete('set null')</v>
      </c>
      <c r="J106" s="5" t="str">
        <f>IF(VLOOKUP([Field],Columns[],9,0)=0,"","-&gt;"&amp;VLOOKUP([Field],Columns[],9,0))</f>
        <v/>
      </c>
      <c r="K106" s="5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107" spans="1:11">
      <c r="A107" s="5" t="s">
        <v>446</v>
      </c>
      <c r="B107" s="5" t="s">
        <v>487</v>
      </c>
      <c r="C107" s="5" t="str">
        <f>VLOOKUP([Field],Columns[],2,0)&amp;"("</f>
        <v>foreign(</v>
      </c>
      <c r="D107" s="5" t="str">
        <f>IF(VLOOKUP([Field],Columns[],3,0)&lt;&gt;"","'"&amp;VLOOKUP([Field],Columns[],3,0)&amp;"'","")</f>
        <v>'removed_by'</v>
      </c>
      <c r="E107" s="8" t="str">
        <f>IF(VLOOKUP([Field],Columns[],4,0)&lt;&gt;0,", "&amp;VLOOKUP([Field],Columns[],4,0)&amp;")",")")</f>
        <v>)</v>
      </c>
      <c r="F107" s="5" t="str">
        <f>IF(VLOOKUP([Field],Columns[],5,0)=0,"","-&gt;"&amp;VLOOKUP([Field],Columns[],5,0))</f>
        <v>-&gt;references('id')</v>
      </c>
      <c r="G107" s="5" t="str">
        <f>IF(VLOOKUP([Field],Columns[],6,0)=0,"","-&gt;"&amp;VLOOKUP([Field],Columns[],6,0))</f>
        <v>-&gt;on('visitors')</v>
      </c>
      <c r="H107" s="5" t="str">
        <f>IF(VLOOKUP([Field],Columns[],7,0)=0,"","-&gt;"&amp;VLOOKUP([Field],Columns[],7,0))</f>
        <v>-&gt;onUpdate('cascade')</v>
      </c>
      <c r="I107" s="5" t="str">
        <f>IF(VLOOKUP([Field],Columns[],8,0)=0,"","-&gt;"&amp;VLOOKUP([Field],Columns[],8,0))</f>
        <v>-&gt;onDelete('set null')</v>
      </c>
      <c r="J107" s="5" t="str">
        <f>IF(VLOOKUP([Field],Columns[],9,0)=0,"","-&gt;"&amp;VLOOKUP([Field],Columns[],9,0))</f>
        <v/>
      </c>
      <c r="K107" s="5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108" spans="1:11">
      <c r="A108" s="5" t="s">
        <v>450</v>
      </c>
      <c r="B108" s="5" t="s">
        <v>21</v>
      </c>
      <c r="C108" s="5" t="str">
        <f>VLOOKUP([Field],Columns[],2,0)&amp;"("</f>
        <v>increments(</v>
      </c>
      <c r="D108" s="5" t="str">
        <f>IF(VLOOKUP([Field],Columns[],3,0)&lt;&gt;"","'"&amp;VLOOKUP([Field],Columns[],3,0)&amp;"'","")</f>
        <v>'id'</v>
      </c>
      <c r="E108" s="8" t="str">
        <f>IF(VLOOKUP([Field],Columns[],4,0)&lt;&gt;0,", "&amp;VLOOKUP([Field],Columns[],4,0)&amp;")",")")</f>
        <v>)</v>
      </c>
      <c r="F108" s="5" t="str">
        <f>IF(VLOOKUP([Field],Columns[],5,0)=0,"","-&gt;"&amp;VLOOKUP([Field],Columns[],5,0))</f>
        <v/>
      </c>
      <c r="G108" s="5" t="str">
        <f>IF(VLOOKUP([Field],Columns[],6,0)=0,"","-&gt;"&amp;VLOOKUP([Field],Columns[],6,0))</f>
        <v/>
      </c>
      <c r="H108" s="5" t="str">
        <f>IF(VLOOKUP([Field],Columns[],7,0)=0,"","-&gt;"&amp;VLOOKUP([Field],Columns[],7,0))</f>
        <v/>
      </c>
      <c r="I108" s="5" t="str">
        <f>IF(VLOOKUP([Field],Columns[],8,0)=0,"","-&gt;"&amp;VLOOKUP([Field],Columns[],8,0))</f>
        <v/>
      </c>
      <c r="J108" s="5" t="str">
        <f>IF(VLOOKUP([Field],Columns[],9,0)=0,"","-&gt;"&amp;VLOOKUP([Field],Columns[],9,0))</f>
        <v/>
      </c>
      <c r="K108" s="5" t="str">
        <f>"$table-&gt;"&amp;[Type]&amp;[Name]&amp;[Arg2]&amp;[Method1]&amp;[Method2]&amp;[Method3]&amp;[Method4]&amp;[Method5]&amp;";"</f>
        <v>$table-&gt;increments('id');</v>
      </c>
    </row>
    <row r="109" spans="1:11">
      <c r="A109" s="5" t="s">
        <v>450</v>
      </c>
      <c r="B109" s="5" t="s">
        <v>488</v>
      </c>
      <c r="C109" s="5" t="str">
        <f>VLOOKUP([Field],Columns[],2,0)&amp;"("</f>
        <v>unsignedInteger(</v>
      </c>
      <c r="D109" s="5" t="str">
        <f>IF(VLOOKUP([Field],Columns[],3,0)&lt;&gt;"","'"&amp;VLOOKUP([Field],Columns[],3,0)&amp;"'","")</f>
        <v>'wishlist_product'</v>
      </c>
      <c r="E109" s="8" t="str">
        <f>IF(VLOOKUP([Field],Columns[],4,0)&lt;&gt;0,", "&amp;VLOOKUP([Field],Columns[],4,0)&amp;")",")")</f>
        <v>)</v>
      </c>
      <c r="F109" s="5" t="str">
        <f>IF(VLOOKUP([Field],Columns[],5,0)=0,"","-&gt;"&amp;VLOOKUP([Field],Columns[],5,0))</f>
        <v>-&gt;nullable()</v>
      </c>
      <c r="G109" s="5" t="str">
        <f>IF(VLOOKUP([Field],Columns[],6,0)=0,"","-&gt;"&amp;VLOOKUP([Field],Columns[],6,0))</f>
        <v>-&gt;index()</v>
      </c>
      <c r="H109" s="5" t="str">
        <f>IF(VLOOKUP([Field],Columns[],7,0)=0,"","-&gt;"&amp;VLOOKUP([Field],Columns[],7,0))</f>
        <v/>
      </c>
      <c r="I109" s="5" t="str">
        <f>IF(VLOOKUP([Field],Columns[],8,0)=0,"","-&gt;"&amp;VLOOKUP([Field],Columns[],8,0))</f>
        <v/>
      </c>
      <c r="J109" s="5" t="str">
        <f>IF(VLOOKUP([Field],Columns[],9,0)=0,"","-&gt;"&amp;VLOOKUP([Field],Columns[],9,0))</f>
        <v/>
      </c>
      <c r="K109" s="5" t="str">
        <f>"$table-&gt;"&amp;[Type]&amp;[Name]&amp;[Arg2]&amp;[Method1]&amp;[Method2]&amp;[Method3]&amp;[Method4]&amp;[Method5]&amp;";"</f>
        <v>$table-&gt;unsignedInteger('wishlist_product')-&gt;nullable()-&gt;index();</v>
      </c>
    </row>
    <row r="110" spans="1:11">
      <c r="A110" s="5" t="s">
        <v>450</v>
      </c>
      <c r="B110" s="5" t="s">
        <v>479</v>
      </c>
      <c r="C110" s="5" t="str">
        <f>VLOOKUP([Field],Columns[],2,0)&amp;"("</f>
        <v>string(</v>
      </c>
      <c r="D110" s="5" t="str">
        <f>IF(VLOOKUP([Field],Columns[],3,0)&lt;&gt;"","'"&amp;VLOOKUP([Field],Columns[],3,0)&amp;"'","")</f>
        <v>'note'</v>
      </c>
      <c r="E110" s="8" t="str">
        <f>IF(VLOOKUP([Field],Columns[],4,0)&lt;&gt;0,", "&amp;VLOOKUP([Field],Columns[],4,0)&amp;")",")")</f>
        <v>, 512)</v>
      </c>
      <c r="F110" s="5" t="str">
        <f>IF(VLOOKUP([Field],Columns[],5,0)=0,"","-&gt;"&amp;VLOOKUP([Field],Columns[],5,0))</f>
        <v>-&gt;nullable()</v>
      </c>
      <c r="G110" s="5" t="str">
        <f>IF(VLOOKUP([Field],Columns[],6,0)=0,"","-&gt;"&amp;VLOOKUP([Field],Columns[],6,0))</f>
        <v/>
      </c>
      <c r="H110" s="5" t="str">
        <f>IF(VLOOKUP([Field],Columns[],7,0)=0,"","-&gt;"&amp;VLOOKUP([Field],Columns[],7,0))</f>
        <v/>
      </c>
      <c r="I110" s="5" t="str">
        <f>IF(VLOOKUP([Field],Columns[],8,0)=0,"","-&gt;"&amp;VLOOKUP([Field],Columns[],8,0))</f>
        <v/>
      </c>
      <c r="J110" s="5" t="str">
        <f>IF(VLOOKUP([Field],Columns[],9,0)=0,"","-&gt;"&amp;VLOOKUP([Field],Columns[],9,0))</f>
        <v/>
      </c>
      <c r="K110" s="5" t="str">
        <f>"$table-&gt;"&amp;[Type]&amp;[Name]&amp;[Arg2]&amp;[Method1]&amp;[Method2]&amp;[Method3]&amp;[Method4]&amp;[Method5]&amp;";"</f>
        <v>$table-&gt;string('note', 512)-&gt;nullable();</v>
      </c>
    </row>
    <row r="111" spans="1:11">
      <c r="A111" s="5" t="s">
        <v>450</v>
      </c>
      <c r="B111" s="5" t="s">
        <v>480</v>
      </c>
      <c r="C111" s="5" t="str">
        <f>VLOOKUP([Field],Columns[],2,0)&amp;"("</f>
        <v>unsignedInteger(</v>
      </c>
      <c r="D111" s="5" t="str">
        <f>IF(VLOOKUP([Field],Columns[],3,0)&lt;&gt;"","'"&amp;VLOOKUP([Field],Columns[],3,0)&amp;"'","")</f>
        <v>'author'</v>
      </c>
      <c r="E111" s="8" t="str">
        <f>IF(VLOOKUP([Field],Columns[],4,0)&lt;&gt;0,", "&amp;VLOOKUP([Field],Columns[],4,0)&amp;")",")")</f>
        <v>)</v>
      </c>
      <c r="F111" s="5" t="str">
        <f>IF(VLOOKUP([Field],Columns[],5,0)=0,"","-&gt;"&amp;VLOOKUP([Field],Columns[],5,0))</f>
        <v>-&gt;nullable()</v>
      </c>
      <c r="G111" s="5" t="str">
        <f>IF(VLOOKUP([Field],Columns[],6,0)=0,"","-&gt;"&amp;VLOOKUP([Field],Columns[],6,0))</f>
        <v>-&gt;index()</v>
      </c>
      <c r="H111" s="5" t="str">
        <f>IF(VLOOKUP([Field],Columns[],7,0)=0,"","-&gt;"&amp;VLOOKUP([Field],Columns[],7,0))</f>
        <v/>
      </c>
      <c r="I111" s="5" t="str">
        <f>IF(VLOOKUP([Field],Columns[],8,0)=0,"","-&gt;"&amp;VLOOKUP([Field],Columns[],8,0))</f>
        <v/>
      </c>
      <c r="J111" s="5" t="str">
        <f>IF(VLOOKUP([Field],Columns[],9,0)=0,"","-&gt;"&amp;VLOOKUP([Field],Columns[],9,0))</f>
        <v/>
      </c>
      <c r="K111" s="5" t="str">
        <f>"$table-&gt;"&amp;[Type]&amp;[Name]&amp;[Arg2]&amp;[Method1]&amp;[Method2]&amp;[Method3]&amp;[Method4]&amp;[Method5]&amp;";"</f>
        <v>$table-&gt;unsignedInteger('author')-&gt;nullable()-&gt;index();</v>
      </c>
    </row>
    <row r="112" spans="1:11">
      <c r="A112" s="5" t="s">
        <v>450</v>
      </c>
      <c r="B112" s="5" t="s">
        <v>453</v>
      </c>
      <c r="C112" s="5" t="str">
        <f>VLOOKUP([Field],Columns[],2,0)&amp;"("</f>
        <v>enum(</v>
      </c>
      <c r="D112" s="5" t="str">
        <f>IF(VLOOKUP([Field],Columns[],3,0)&lt;&gt;"","'"&amp;VLOOKUP([Field],Columns[],3,0)&amp;"'","")</f>
        <v>'status'</v>
      </c>
      <c r="E112" s="8" t="str">
        <f>IF(VLOOKUP([Field],Columns[],4,0)&lt;&gt;0,", "&amp;VLOOKUP([Field],Columns[],4,0)&amp;")",")")</f>
        <v>, ['Active','Inactive'])</v>
      </c>
      <c r="F112" s="5" t="str">
        <f>IF(VLOOKUP([Field],Columns[],5,0)=0,"","-&gt;"&amp;VLOOKUP([Field],Columns[],5,0))</f>
        <v>-&gt;default('Active')</v>
      </c>
      <c r="G112" s="5" t="str">
        <f>IF(VLOOKUP([Field],Columns[],6,0)=0,"","-&gt;"&amp;VLOOKUP([Field],Columns[],6,0))</f>
        <v>-&gt;index()</v>
      </c>
      <c r="H112" s="5" t="str">
        <f>IF(VLOOKUP([Field],Columns[],7,0)=0,"","-&gt;"&amp;VLOOKUP([Field],Columns[],7,0))</f>
        <v/>
      </c>
      <c r="I112" s="5" t="str">
        <f>IF(VLOOKUP([Field],Columns[],8,0)=0,"","-&gt;"&amp;VLOOKUP([Field],Columns[],8,0))</f>
        <v/>
      </c>
      <c r="J112" s="5" t="str">
        <f>IF(VLOOKUP([Field],Columns[],9,0)=0,"","-&gt;"&amp;VLOOKUP([Field],Columns[],9,0))</f>
        <v/>
      </c>
      <c r="K112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3" spans="1:11">
      <c r="A113" s="5" t="s">
        <v>450</v>
      </c>
      <c r="B113" s="5" t="s">
        <v>518</v>
      </c>
      <c r="C113" s="5" t="str">
        <f>VLOOKUP([Field],Columns[],2,0)&amp;"("</f>
        <v>audit(</v>
      </c>
      <c r="D113" s="5" t="str">
        <f>IF(VLOOKUP([Field],Columns[],3,0)&lt;&gt;"","'"&amp;VLOOKUP([Field],Columns[],3,0)&amp;"'","")</f>
        <v/>
      </c>
      <c r="E113" s="8" t="str">
        <f>IF(VLOOKUP([Field],Columns[],4,0)&lt;&gt;0,", "&amp;VLOOKUP([Field],Columns[],4,0)&amp;")",")")</f>
        <v>)</v>
      </c>
      <c r="F113" s="5" t="str">
        <f>IF(VLOOKUP([Field],Columns[],5,0)=0,"","-&gt;"&amp;VLOOKUP([Field],Columns[],5,0))</f>
        <v/>
      </c>
      <c r="G113" s="5" t="str">
        <f>IF(VLOOKUP([Field],Columns[],6,0)=0,"","-&gt;"&amp;VLOOKUP([Field],Columns[],6,0))</f>
        <v/>
      </c>
      <c r="H113" s="5" t="str">
        <f>IF(VLOOKUP([Field],Columns[],7,0)=0,"","-&gt;"&amp;VLOOKUP([Field],Columns[],7,0))</f>
        <v/>
      </c>
      <c r="I113" s="5" t="str">
        <f>IF(VLOOKUP([Field],Columns[],8,0)=0,"","-&gt;"&amp;VLOOKUP([Field],Columns[],8,0))</f>
        <v/>
      </c>
      <c r="J113" s="5" t="str">
        <f>IF(VLOOKUP([Field],Columns[],9,0)=0,"","-&gt;"&amp;VLOOKUP([Field],Columns[],9,0))</f>
        <v/>
      </c>
      <c r="K113" s="5" t="str">
        <f>"$table-&gt;"&amp;[Type]&amp;[Name]&amp;[Arg2]&amp;[Method1]&amp;[Method2]&amp;[Method3]&amp;[Method4]&amp;[Method5]&amp;";"</f>
        <v>$table-&gt;audit();</v>
      </c>
    </row>
    <row r="114" spans="1:11">
      <c r="A114" s="5" t="s">
        <v>450</v>
      </c>
      <c r="B114" s="5" t="s">
        <v>489</v>
      </c>
      <c r="C114" s="5" t="str">
        <f>VLOOKUP([Field],Columns[],2,0)&amp;"("</f>
        <v>foreign(</v>
      </c>
      <c r="D114" s="5" t="str">
        <f>IF(VLOOKUP([Field],Columns[],3,0)&lt;&gt;"","'"&amp;VLOOKUP([Field],Columns[],3,0)&amp;"'","")</f>
        <v>'wishlist_product'</v>
      </c>
      <c r="E114" s="8" t="str">
        <f>IF(VLOOKUP([Field],Columns[],4,0)&lt;&gt;0,", "&amp;VLOOKUP([Field],Columns[],4,0)&amp;")",")")</f>
        <v>)</v>
      </c>
      <c r="F114" s="5" t="str">
        <f>IF(VLOOKUP([Field],Columns[],5,0)=0,"","-&gt;"&amp;VLOOKUP([Field],Columns[],5,0))</f>
        <v>-&gt;references('id')</v>
      </c>
      <c r="G114" s="5" t="str">
        <f>IF(VLOOKUP([Field],Columns[],6,0)=0,"","-&gt;"&amp;VLOOKUP([Field],Columns[],6,0))</f>
        <v>-&gt;on('wishlist_products')</v>
      </c>
      <c r="H114" s="5" t="str">
        <f>IF(VLOOKUP([Field],Columns[],7,0)=0,"","-&gt;"&amp;VLOOKUP([Field],Columns[],7,0))</f>
        <v>-&gt;onUpdate('cascade')</v>
      </c>
      <c r="I114" s="5" t="str">
        <f>IF(VLOOKUP([Field],Columns[],8,0)=0,"","-&gt;"&amp;VLOOKUP([Field],Columns[],8,0))</f>
        <v>-&gt;onDelete('cascade')</v>
      </c>
      <c r="J114" s="5" t="str">
        <f>IF(VLOOKUP([Field],Columns[],9,0)=0,"","-&gt;"&amp;VLOOKUP([Field],Columns[],9,0))</f>
        <v/>
      </c>
      <c r="K114" s="5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115" spans="1:11">
      <c r="A115" s="5" t="s">
        <v>450</v>
      </c>
      <c r="B115" s="5" t="s">
        <v>473</v>
      </c>
      <c r="C115" s="5" t="str">
        <f>VLOOKUP([Field],Columns[],2,0)&amp;"("</f>
        <v>foreign(</v>
      </c>
      <c r="D115" s="5" t="str">
        <f>IF(VLOOKUP([Field],Columns[],3,0)&lt;&gt;"","'"&amp;VLOOKUP([Field],Columns[],3,0)&amp;"'","")</f>
        <v>'author'</v>
      </c>
      <c r="E115" s="8" t="str">
        <f>IF(VLOOKUP([Field],Columns[],4,0)&lt;&gt;0,", "&amp;VLOOKUP([Field],Columns[],4,0)&amp;")",")")</f>
        <v>)</v>
      </c>
      <c r="F115" s="5" t="str">
        <f>IF(VLOOKUP([Field],Columns[],5,0)=0,"","-&gt;"&amp;VLOOKUP([Field],Columns[],5,0))</f>
        <v>-&gt;references('id')</v>
      </c>
      <c r="G115" s="5" t="str">
        <f>IF(VLOOKUP([Field],Columns[],6,0)=0,"","-&gt;"&amp;VLOOKUP([Field],Columns[],6,0))</f>
        <v>-&gt;on('visitors')</v>
      </c>
      <c r="H115" s="5" t="str">
        <f>IF(VLOOKUP([Field],Columns[],7,0)=0,"","-&gt;"&amp;VLOOKUP([Field],Columns[],7,0))</f>
        <v>-&gt;onUpdate('cascade')</v>
      </c>
      <c r="I115" s="5" t="str">
        <f>IF(VLOOKUP([Field],Columns[],8,0)=0,"","-&gt;"&amp;VLOOKUP([Field],Columns[],8,0))</f>
        <v>-&gt;onDelete('set null')</v>
      </c>
      <c r="J115" s="5" t="str">
        <f>IF(VLOOKUP([Field],Columns[],9,0)=0,"","-&gt;"&amp;VLOOKUP([Field],Columns[],9,0))</f>
        <v/>
      </c>
      <c r="K115" s="5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116" spans="1:11">
      <c r="A116" s="5" t="s">
        <v>448</v>
      </c>
      <c r="B116" s="5" t="s">
        <v>21</v>
      </c>
      <c r="C116" s="5" t="str">
        <f>VLOOKUP([Field],Columns[],2,0)&amp;"("</f>
        <v>increments(</v>
      </c>
      <c r="D116" s="5" t="str">
        <f>IF(VLOOKUP([Field],Columns[],3,0)&lt;&gt;"","'"&amp;VLOOKUP([Field],Columns[],3,0)&amp;"'","")</f>
        <v>'id'</v>
      </c>
      <c r="E116" s="8" t="str">
        <f>IF(VLOOKUP([Field],Columns[],4,0)&lt;&gt;0,", "&amp;VLOOKUP([Field],Columns[],4,0)&amp;")",")")</f>
        <v>)</v>
      </c>
      <c r="F116" s="5" t="str">
        <f>IF(VLOOKUP([Field],Columns[],5,0)=0,"","-&gt;"&amp;VLOOKUP([Field],Columns[],5,0))</f>
        <v/>
      </c>
      <c r="G116" s="5" t="str">
        <f>IF(VLOOKUP([Field],Columns[],6,0)=0,"","-&gt;"&amp;VLOOKUP([Field],Columns[],6,0))</f>
        <v/>
      </c>
      <c r="H116" s="5" t="str">
        <f>IF(VLOOKUP([Field],Columns[],7,0)=0,"","-&gt;"&amp;VLOOKUP([Field],Columns[],7,0))</f>
        <v/>
      </c>
      <c r="I116" s="5" t="str">
        <f>IF(VLOOKUP([Field],Columns[],8,0)=0,"","-&gt;"&amp;VLOOKUP([Field],Columns[],8,0))</f>
        <v/>
      </c>
      <c r="J116" s="5" t="str">
        <f>IF(VLOOKUP([Field],Columns[],9,0)=0,"","-&gt;"&amp;VLOOKUP([Field],Columns[],9,0))</f>
        <v/>
      </c>
      <c r="K116" s="5" t="str">
        <f>"$table-&gt;"&amp;[Type]&amp;[Name]&amp;[Arg2]&amp;[Method1]&amp;[Method2]&amp;[Method3]&amp;[Method4]&amp;[Method5]&amp;";"</f>
        <v>$table-&gt;increments('id');</v>
      </c>
    </row>
    <row r="117" spans="1:11">
      <c r="A117" s="5" t="s">
        <v>448</v>
      </c>
      <c r="B117" s="5" t="s">
        <v>475</v>
      </c>
      <c r="C117" s="5" t="str">
        <f>VLOOKUP([Field],Columns[],2,0)&amp;"("</f>
        <v>unsignedInteger(</v>
      </c>
      <c r="D117" s="5" t="str">
        <f>IF(VLOOKUP([Field],Columns[],3,0)&lt;&gt;"","'"&amp;VLOOKUP([Field],Columns[],3,0)&amp;"'","")</f>
        <v>'wishlist'</v>
      </c>
      <c r="E117" s="8" t="str">
        <f>IF(VLOOKUP([Field],Columns[],4,0)&lt;&gt;0,", "&amp;VLOOKUP([Field],Columns[],4,0)&amp;")",")")</f>
        <v>)</v>
      </c>
      <c r="F117" s="5" t="str">
        <f>IF(VLOOKUP([Field],Columns[],5,0)=0,"","-&gt;"&amp;VLOOKUP([Field],Columns[],5,0))</f>
        <v>-&gt;nullable()</v>
      </c>
      <c r="G117" s="5" t="str">
        <f>IF(VLOOKUP([Field],Columns[],6,0)=0,"","-&gt;"&amp;VLOOKUP([Field],Columns[],6,0))</f>
        <v>-&gt;index()</v>
      </c>
      <c r="H117" s="5" t="str">
        <f>IF(VLOOKUP([Field],Columns[],7,0)=0,"","-&gt;"&amp;VLOOKUP([Field],Columns[],7,0))</f>
        <v/>
      </c>
      <c r="I117" s="5" t="str">
        <f>IF(VLOOKUP([Field],Columns[],8,0)=0,"","-&gt;"&amp;VLOOKUP([Field],Columns[],8,0))</f>
        <v/>
      </c>
      <c r="J117" s="5" t="str">
        <f>IF(VLOOKUP([Field],Columns[],9,0)=0,"","-&gt;"&amp;VLOOKUP([Field],Columns[],9,0))</f>
        <v/>
      </c>
      <c r="K117" s="5" t="str">
        <f>"$table-&gt;"&amp;[Type]&amp;[Name]&amp;[Arg2]&amp;[Method1]&amp;[Method2]&amp;[Method3]&amp;[Method4]&amp;[Method5]&amp;";"</f>
        <v>$table-&gt;unsignedInteger('wishlist')-&gt;nullable()-&gt;index();</v>
      </c>
    </row>
    <row r="118" spans="1:11">
      <c r="A118" s="5" t="s">
        <v>448</v>
      </c>
      <c r="B118" s="5" t="s">
        <v>453</v>
      </c>
      <c r="C118" s="5" t="str">
        <f>VLOOKUP([Field],Columns[],2,0)&amp;"("</f>
        <v>enum(</v>
      </c>
      <c r="D118" s="5" t="str">
        <f>IF(VLOOKUP([Field],Columns[],3,0)&lt;&gt;"","'"&amp;VLOOKUP([Field],Columns[],3,0)&amp;"'","")</f>
        <v>'status'</v>
      </c>
      <c r="E118" s="8" t="str">
        <f>IF(VLOOKUP([Field],Columns[],4,0)&lt;&gt;0,", "&amp;VLOOKUP([Field],Columns[],4,0)&amp;")",")")</f>
        <v>, ['Active','Inactive'])</v>
      </c>
      <c r="F118" s="5" t="str">
        <f>IF(VLOOKUP([Field],Columns[],5,0)=0,"","-&gt;"&amp;VLOOKUP([Field],Columns[],5,0))</f>
        <v>-&gt;default('Active')</v>
      </c>
      <c r="G118" s="5" t="str">
        <f>IF(VLOOKUP([Field],Columns[],6,0)=0,"","-&gt;"&amp;VLOOKUP([Field],Columns[],6,0))</f>
        <v>-&gt;index()</v>
      </c>
      <c r="H118" s="5" t="str">
        <f>IF(VLOOKUP([Field],Columns[],7,0)=0,"","-&gt;"&amp;VLOOKUP([Field],Columns[],7,0))</f>
        <v/>
      </c>
      <c r="I118" s="5" t="str">
        <f>IF(VLOOKUP([Field],Columns[],8,0)=0,"","-&gt;"&amp;VLOOKUP([Field],Columns[],8,0))</f>
        <v/>
      </c>
      <c r="J118" s="5" t="str">
        <f>IF(VLOOKUP([Field],Columns[],9,0)=0,"","-&gt;"&amp;VLOOKUP([Field],Columns[],9,0))</f>
        <v/>
      </c>
      <c r="K118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9" spans="1:11">
      <c r="A119" s="5" t="s">
        <v>448</v>
      </c>
      <c r="B119" s="5" t="s">
        <v>476</v>
      </c>
      <c r="C119" s="5" t="str">
        <f>VLOOKUP([Field],Columns[],2,0)&amp;"("</f>
        <v>enum(</v>
      </c>
      <c r="D119" s="5" t="str">
        <f>IF(VLOOKUP([Field],Columns[],3,0)&lt;&gt;"","'"&amp;VLOOKUP([Field],Columns[],3,0)&amp;"'","")</f>
        <v>'viewed'</v>
      </c>
      <c r="E119" s="8" t="str">
        <f>IF(VLOOKUP([Field],Columns[],4,0)&lt;&gt;0,", "&amp;VLOOKUP([Field],Columns[],4,0)&amp;")",")")</f>
        <v>, ['Yes','No'])</v>
      </c>
      <c r="F119" s="5" t="str">
        <f>IF(VLOOKUP([Field],Columns[],5,0)=0,"","-&gt;"&amp;VLOOKUP([Field],Columns[],5,0))</f>
        <v>-&gt;default('No')</v>
      </c>
      <c r="G119" s="5" t="str">
        <f>IF(VLOOKUP([Field],Columns[],6,0)=0,"","-&gt;"&amp;VLOOKUP([Field],Columns[],6,0))</f>
        <v>-&gt;index()</v>
      </c>
      <c r="H119" s="5" t="str">
        <f>IF(VLOOKUP([Field],Columns[],7,0)=0,"","-&gt;"&amp;VLOOKUP([Field],Columns[],7,0))</f>
        <v/>
      </c>
      <c r="I119" s="5" t="str">
        <f>IF(VLOOKUP([Field],Columns[],8,0)=0,"","-&gt;"&amp;VLOOKUP([Field],Columns[],8,0))</f>
        <v/>
      </c>
      <c r="J119" s="5" t="str">
        <f>IF(VLOOKUP([Field],Columns[],9,0)=0,"","-&gt;"&amp;VLOOKUP([Field],Columns[],9,0))</f>
        <v/>
      </c>
      <c r="K119" s="5" t="str">
        <f>"$table-&gt;"&amp;[Type]&amp;[Name]&amp;[Arg2]&amp;[Method1]&amp;[Method2]&amp;[Method3]&amp;[Method4]&amp;[Method5]&amp;";"</f>
        <v>$table-&gt;enum('viewed', ['Yes','No'])-&gt;default('No')-&gt;index();</v>
      </c>
    </row>
    <row r="120" spans="1:11">
      <c r="A120" s="5" t="s">
        <v>448</v>
      </c>
      <c r="B120" s="5" t="s">
        <v>518</v>
      </c>
      <c r="C120" s="5" t="str">
        <f>VLOOKUP([Field],Columns[],2,0)&amp;"("</f>
        <v>audit(</v>
      </c>
      <c r="D120" s="5" t="str">
        <f>IF(VLOOKUP([Field],Columns[],3,0)&lt;&gt;"","'"&amp;VLOOKUP([Field],Columns[],3,0)&amp;"'","")</f>
        <v/>
      </c>
      <c r="E120" s="8" t="str">
        <f>IF(VLOOKUP([Field],Columns[],4,0)&lt;&gt;0,", "&amp;VLOOKUP([Field],Columns[],4,0)&amp;")",")")</f>
        <v>)</v>
      </c>
      <c r="F120" s="5" t="str">
        <f>IF(VLOOKUP([Field],Columns[],5,0)=0,"","-&gt;"&amp;VLOOKUP([Field],Columns[],5,0))</f>
        <v/>
      </c>
      <c r="G120" s="5" t="str">
        <f>IF(VLOOKUP([Field],Columns[],6,0)=0,"","-&gt;"&amp;VLOOKUP([Field],Columns[],6,0))</f>
        <v/>
      </c>
      <c r="H120" s="5" t="str">
        <f>IF(VLOOKUP([Field],Columns[],7,0)=0,"","-&gt;"&amp;VLOOKUP([Field],Columns[],7,0))</f>
        <v/>
      </c>
      <c r="I120" s="5" t="str">
        <f>IF(VLOOKUP([Field],Columns[],8,0)=0,"","-&gt;"&amp;VLOOKUP([Field],Columns[],8,0))</f>
        <v/>
      </c>
      <c r="J120" s="5" t="str">
        <f>IF(VLOOKUP([Field],Columns[],9,0)=0,"","-&gt;"&amp;VLOOKUP([Field],Columns[],9,0))</f>
        <v/>
      </c>
      <c r="K120" s="5" t="str">
        <f>"$table-&gt;"&amp;[Type]&amp;[Name]&amp;[Arg2]&amp;[Method1]&amp;[Method2]&amp;[Method3]&amp;[Method4]&amp;[Method5]&amp;";"</f>
        <v>$table-&gt;audit();</v>
      </c>
    </row>
    <row r="121" spans="1:11">
      <c r="A121" s="5" t="s">
        <v>448</v>
      </c>
      <c r="B121" s="5" t="s">
        <v>478</v>
      </c>
      <c r="C121" s="5" t="str">
        <f>VLOOKUP([Field],Columns[],2,0)&amp;"("</f>
        <v>foreign(</v>
      </c>
      <c r="D121" s="5" t="str">
        <f>IF(VLOOKUP([Field],Columns[],3,0)&lt;&gt;"","'"&amp;VLOOKUP([Field],Columns[],3,0)&amp;"'","")</f>
        <v>'wishlist'</v>
      </c>
      <c r="E121" s="8" t="str">
        <f>IF(VLOOKUP([Field],Columns[],4,0)&lt;&gt;0,", "&amp;VLOOKUP([Field],Columns[],4,0)&amp;")",")")</f>
        <v>)</v>
      </c>
      <c r="F121" s="5" t="str">
        <f>IF(VLOOKUP([Field],Columns[],5,0)=0,"","-&gt;"&amp;VLOOKUP([Field],Columns[],5,0))</f>
        <v>-&gt;references('id')</v>
      </c>
      <c r="G121" s="5" t="str">
        <f>IF(VLOOKUP([Field],Columns[],6,0)=0,"","-&gt;"&amp;VLOOKUP([Field],Columns[],6,0))</f>
        <v>-&gt;on('wishlists')</v>
      </c>
      <c r="H121" s="5" t="str">
        <f>IF(VLOOKUP([Field],Columns[],7,0)=0,"","-&gt;"&amp;VLOOKUP([Field],Columns[],7,0))</f>
        <v>-&gt;onUpdate('cascade')</v>
      </c>
      <c r="I121" s="5" t="str">
        <f>IF(VLOOKUP([Field],Columns[],8,0)=0,"","-&gt;"&amp;VLOOKUP([Field],Columns[],8,0))</f>
        <v>-&gt;onDelete('cascade')</v>
      </c>
      <c r="J121" s="5" t="str">
        <f>IF(VLOOKUP([Field],Columns[],9,0)=0,"","-&gt;"&amp;VLOOKUP([Field],Columns[],9,0))</f>
        <v/>
      </c>
      <c r="K121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6" spans="1:11" s="20" customFormat="1">
      <c r="A306"/>
      <c r="B306"/>
      <c r="C306"/>
      <c r="D306"/>
      <c r="E306"/>
      <c r="F306"/>
      <c r="G306"/>
      <c r="H306"/>
      <c r="I306"/>
      <c r="J306"/>
      <c r="K306"/>
    </row>
    <row r="332" spans="1:11" s="20" customFormat="1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>
      <c r="A360"/>
      <c r="B360"/>
      <c r="C360"/>
      <c r="D360"/>
      <c r="E360"/>
      <c r="F360"/>
      <c r="G360"/>
      <c r="H360"/>
      <c r="I360"/>
      <c r="J360"/>
      <c r="K360"/>
    </row>
  </sheetData>
  <dataConsolidate/>
  <dataValidations count="2">
    <dataValidation type="list" allowBlank="1" showInputMessage="1" showErrorMessage="1" sqref="B2:B121">
      <formula1>AvailableFields</formula1>
    </dataValidation>
    <dataValidation type="list" allowBlank="1" showInputMessage="1" showErrorMessage="1" sqref="A2:A121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6"/>
  <sheetViews>
    <sheetView topLeftCell="B1" workbookViewId="0">
      <selection activeCell="D1" sqref="D1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153</v>
      </c>
      <c r="B1" s="26" t="s">
        <v>151</v>
      </c>
      <c r="C1" s="26" t="s">
        <v>82</v>
      </c>
      <c r="D1" s="27" t="s">
        <v>133</v>
      </c>
      <c r="E1" s="27" t="s">
        <v>134</v>
      </c>
      <c r="F1" s="27" t="s">
        <v>135</v>
      </c>
      <c r="G1" s="27" t="s">
        <v>136</v>
      </c>
      <c r="H1" s="27" t="s">
        <v>137</v>
      </c>
      <c r="I1" s="27" t="s">
        <v>138</v>
      </c>
      <c r="J1" s="27" t="s">
        <v>139</v>
      </c>
      <c r="K1" s="27" t="s">
        <v>140</v>
      </c>
      <c r="L1" s="27" t="s">
        <v>141</v>
      </c>
      <c r="M1" s="27" t="s">
        <v>142</v>
      </c>
      <c r="N1" s="27" t="s">
        <v>143</v>
      </c>
      <c r="O1" s="27" t="s">
        <v>144</v>
      </c>
      <c r="P1" s="27" t="s">
        <v>145</v>
      </c>
      <c r="Q1" s="27" t="s">
        <v>146</v>
      </c>
      <c r="R1" s="27" t="s">
        <v>147</v>
      </c>
    </row>
    <row r="2" spans="1:18">
      <c r="A2" s="15" t="str">
        <f>[Table Name]&amp;"-"&amp;(COUNTIF($B$1:TableData[[#This Row],[Table Name]],TableData[[#This Row],[Table Name]])-1)</f>
        <v>Groups-0</v>
      </c>
      <c r="B2" s="13" t="s">
        <v>86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26</v>
      </c>
      <c r="E2" s="13" t="s">
        <v>28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31" t="str">
        <f>[Table Name]&amp;"-"&amp;(COUNTIF($B$1:TableData[[#This Row],[Table Name]],TableData[[#This Row],[Table Name]])-1)</f>
        <v>Roles-0</v>
      </c>
      <c r="B3" s="32" t="s">
        <v>88</v>
      </c>
      <c r="C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" s="14" t="s">
        <v>26</v>
      </c>
      <c r="E3" s="14" t="s">
        <v>28</v>
      </c>
      <c r="F3" s="14" t="s">
        <v>30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>
      <c r="A4" s="31" t="str">
        <f>[Table Name]&amp;"-"&amp;(COUNTIF($B$1:TableData[[#This Row],[Table Name]],TableData[[#This Row],[Table Name]])-1)</f>
        <v>Group Roles-0</v>
      </c>
      <c r="B4" s="14" t="s">
        <v>98</v>
      </c>
      <c r="C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14" t="s">
        <v>75</v>
      </c>
      <c r="E4" s="14" t="s">
        <v>76</v>
      </c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>
      <c r="A5" s="31" t="str">
        <f>[Table Name]&amp;"-"&amp;(COUNTIF($B$1:TableData[[#This Row],[Table Name]],TableData[[#This Row],[Table Name]])-1)</f>
        <v>Resource Roles-0</v>
      </c>
      <c r="B5" s="14" t="s">
        <v>99</v>
      </c>
      <c r="C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5" s="14" t="s">
        <v>23</v>
      </c>
      <c r="E5" s="14" t="s">
        <v>76</v>
      </c>
      <c r="F5" s="14" t="s">
        <v>125</v>
      </c>
      <c r="G5" s="14" t="s">
        <v>124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>
      <c r="A6" s="15" t="str">
        <f>[Table Name]&amp;"-"&amp;(COUNTIF($B$1:TableData[[#This Row],[Table Name]],TableData[[#This Row],[Table Name]])-1)</f>
        <v>Form Upload-0</v>
      </c>
      <c r="B6" s="14" t="s">
        <v>236</v>
      </c>
      <c r="C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14" t="s">
        <v>26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3"/>
      <c r="P6" s="13"/>
      <c r="Q6" s="13"/>
      <c r="R6" s="13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2"/>
  <sheetViews>
    <sheetView topLeftCell="A16" workbookViewId="0">
      <selection activeCell="F32" sqref="F32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9" width="11.28515625" customWidth="1"/>
    <col min="10" max="10" width="53.28515625" bestFit="1" customWidth="1"/>
    <col min="11" max="21" width="11.28515625" customWidth="1"/>
  </cols>
  <sheetData>
    <row r="1" spans="1:10">
      <c r="A1" s="19" t="s">
        <v>1</v>
      </c>
      <c r="B1" s="20" t="s">
        <v>151</v>
      </c>
      <c r="C1" s="19" t="s">
        <v>117</v>
      </c>
      <c r="D1" s="19" t="s">
        <v>148</v>
      </c>
      <c r="E1" s="20" t="s">
        <v>278</v>
      </c>
      <c r="F1" s="20" t="s">
        <v>279</v>
      </c>
      <c r="G1" s="20" t="s">
        <v>281</v>
      </c>
      <c r="H1" s="19" t="s">
        <v>132</v>
      </c>
      <c r="I1" t="s">
        <v>233</v>
      </c>
      <c r="J1" t="s">
        <v>234</v>
      </c>
    </row>
    <row r="2" spans="1:10">
      <c r="A2" s="4" t="s">
        <v>87</v>
      </c>
      <c r="B2" s="4" t="s">
        <v>85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152</v>
      </c>
      <c r="F2" s="1" t="s">
        <v>280</v>
      </c>
      <c r="G2" s="11">
        <v>2</v>
      </c>
      <c r="H2" s="6" t="str">
        <f t="shared" ref="H2:H42" si="0">"query"</f>
        <v>query</v>
      </c>
      <c r="I2" s="11">
        <v>50000</v>
      </c>
      <c r="J2" s="6" t="str">
        <f>IF(ISNUMBER([Last ID]),"ALTER TABLE `" &amp; [Table Name] &amp; "`  AUTO_INCREMENT=" &amp; [Last ID]+1,"")</f>
        <v>ALTER TABLE `users`  AUTO_INCREMENT=50001</v>
      </c>
    </row>
    <row r="3" spans="1:10">
      <c r="A3" s="1" t="s">
        <v>86</v>
      </c>
      <c r="B3" s="1" t="s">
        <v>71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152</v>
      </c>
      <c r="F3" s="1" t="s">
        <v>280</v>
      </c>
      <c r="G3" s="11">
        <v>2</v>
      </c>
      <c r="H3" s="9" t="str">
        <f t="shared" si="0"/>
        <v>query</v>
      </c>
      <c r="I3" s="11">
        <v>50000</v>
      </c>
      <c r="J3" s="8" t="str">
        <f>IF(ISNUMBER([Last ID]),"ALTER TABLE `" &amp; [Table Name] &amp; "`  AUTO_INCREMENT=" &amp; [Last ID]+1,"")</f>
        <v>ALTER TABLE `groups`  AUTO_INCREMENT=50001</v>
      </c>
    </row>
    <row r="4" spans="1:10">
      <c r="A4" s="1" t="s">
        <v>88</v>
      </c>
      <c r="B4" s="1" t="s">
        <v>73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152</v>
      </c>
      <c r="F4" s="1" t="s">
        <v>280</v>
      </c>
      <c r="G4" s="11">
        <v>2</v>
      </c>
      <c r="H4" s="9" t="str">
        <f t="shared" si="0"/>
        <v>query</v>
      </c>
      <c r="I4" s="11">
        <v>50000</v>
      </c>
      <c r="J4" s="8" t="str">
        <f>IF(ISNUMBER([Last ID]),"ALTER TABLE `" &amp; [Table Name] &amp; "`  AUTO_INCREMENT=" &amp; [Last ID]+1,"")</f>
        <v>ALTER TABLE `roles`  AUTO_INCREMENT=50001</v>
      </c>
    </row>
    <row r="5" spans="1:10">
      <c r="A5" s="1" t="s">
        <v>98</v>
      </c>
      <c r="B5" s="1" t="s">
        <v>74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152</v>
      </c>
      <c r="F5" s="1" t="s">
        <v>280</v>
      </c>
      <c r="G5" s="11">
        <v>2</v>
      </c>
      <c r="H5" s="9" t="str">
        <f t="shared" si="0"/>
        <v>query</v>
      </c>
      <c r="I5" s="11">
        <v>50000</v>
      </c>
      <c r="J5" s="8" t="str">
        <f>IF(ISNUMBER([Last ID]),"ALTER TABLE `" &amp; [Table Name] &amp; "`  AUTO_INCREMENT=" &amp; [Last ID]+1,"")</f>
        <v>ALTER TABLE `group_roles`  AUTO_INCREMENT=50001</v>
      </c>
    </row>
    <row r="6" spans="1:10">
      <c r="A6" s="1" t="s">
        <v>97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282</v>
      </c>
      <c r="F6" s="1" t="s">
        <v>285</v>
      </c>
      <c r="G6" s="11">
        <v>3</v>
      </c>
      <c r="H6" s="9" t="str">
        <f t="shared" si="0"/>
        <v>query</v>
      </c>
      <c r="I6" s="11">
        <v>50000</v>
      </c>
      <c r="J6" s="8" t="str">
        <f>IF(ISNUMBER([Last ID]),"ALTER TABLE `" &amp; [Table Name] &amp; "`  AUTO_INCREMENT=" &amp; [Last ID]+1,"")</f>
        <v>ALTER TABLE `resources`  AUTO_INCREMENT=50001</v>
      </c>
    </row>
    <row r="7" spans="1:10">
      <c r="A7" s="1" t="s">
        <v>99</v>
      </c>
      <c r="B7" s="1" t="s">
        <v>94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152</v>
      </c>
      <c r="F7" s="1" t="s">
        <v>280</v>
      </c>
      <c r="G7" s="11">
        <v>2</v>
      </c>
      <c r="H7" s="9" t="str">
        <f t="shared" si="0"/>
        <v>query</v>
      </c>
      <c r="I7" s="11">
        <v>50000</v>
      </c>
      <c r="J7" s="8" t="str">
        <f>IF(ISNUMBER([Last ID]),"ALTER TABLE `" &amp; [Table Name] &amp; "`  AUTO_INCREMENT=" &amp; [Last ID]+1,"")</f>
        <v>ALTER TABLE `resource_roles`  AUTO_INCREMENT=50001</v>
      </c>
    </row>
    <row r="8" spans="1:10">
      <c r="A8" s="2" t="s">
        <v>154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328</v>
      </c>
      <c r="F8" s="1" t="s">
        <v>329</v>
      </c>
      <c r="G8" s="11">
        <v>3</v>
      </c>
      <c r="H8" s="9" t="str">
        <f t="shared" si="0"/>
        <v>query</v>
      </c>
      <c r="I8" s="11">
        <v>50000</v>
      </c>
      <c r="J8" s="6" t="str">
        <f>IF(ISNUMBER([Last ID]),"ALTER TABLE `" &amp; [Table Name] &amp; "`  AUTO_INCREMENT=" &amp; [Last ID]+1,"")</f>
        <v>ALTER TABLE `resource_scopes`  AUTO_INCREMENT=50001</v>
      </c>
    </row>
    <row r="9" spans="1:10">
      <c r="A9" s="1" t="s">
        <v>156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286</v>
      </c>
      <c r="F9" s="1" t="s">
        <v>287</v>
      </c>
      <c r="G9" s="11">
        <v>6</v>
      </c>
      <c r="H9" s="9" t="str">
        <f t="shared" si="0"/>
        <v>query</v>
      </c>
      <c r="I9" s="11">
        <v>50000</v>
      </c>
      <c r="J9" s="8" t="str">
        <f>IF(ISNUMBER([Last ID]),"ALTER TABLE `" &amp; [Table Name] &amp; "`  AUTO_INCREMENT=" &amp; [Last ID]+1,"")</f>
        <v>ALTER TABLE `resource_relations`  AUTO_INCREMENT=50001</v>
      </c>
    </row>
    <row r="10" spans="1:10">
      <c r="A10" s="2" t="s">
        <v>150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289</v>
      </c>
      <c r="F10" s="1" t="s">
        <v>290</v>
      </c>
      <c r="G10" s="11">
        <v>4</v>
      </c>
      <c r="H10" s="9" t="str">
        <f t="shared" si="0"/>
        <v>query</v>
      </c>
      <c r="I10" s="11">
        <v>50000</v>
      </c>
      <c r="J10" s="6" t="str">
        <f>IF(ISNUMBER([Last ID]),"ALTER TABLE `" &amp; [Table Name] &amp; "`  AUTO_INCREMENT=" &amp; [Last ID]+1,"")</f>
        <v>ALTER TABLE `resource_forms`  AUTO_INCREMENT=50001</v>
      </c>
    </row>
    <row r="11" spans="1:10">
      <c r="A11" s="2" t="s">
        <v>129</v>
      </c>
      <c r="B11" s="2" t="s">
        <v>60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292</v>
      </c>
      <c r="F11" s="1" t="s">
        <v>293</v>
      </c>
      <c r="G11" s="11">
        <v>4</v>
      </c>
      <c r="H11" s="9" t="str">
        <f t="shared" si="0"/>
        <v>query</v>
      </c>
      <c r="I11" s="11">
        <v>50000</v>
      </c>
      <c r="J11" s="6" t="str">
        <f>IF(ISNUMBER([Last ID]),"ALTER TABLE `" &amp; [Table Name] &amp; "`  AUTO_INCREMENT=" &amp; [Last ID]+1,"")</f>
        <v>ALTER TABLE `resource_form_fields`  AUTO_INCREMENT=50001</v>
      </c>
    </row>
    <row r="12" spans="1:10">
      <c r="A12" s="2" t="s">
        <v>166</v>
      </c>
      <c r="B12" s="2" t="s">
        <v>62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292</v>
      </c>
      <c r="F12" s="1" t="s">
        <v>299</v>
      </c>
      <c r="G12" s="11">
        <v>3</v>
      </c>
      <c r="H12" s="9" t="str">
        <f t="shared" si="0"/>
        <v>query</v>
      </c>
      <c r="I12" s="11">
        <v>50000</v>
      </c>
      <c r="J12" s="6" t="str">
        <f>IF(ISNUMBER([Last ID]),"ALTER TABLE `" &amp; [Table Name] &amp; "`  AUTO_INCREMENT=" &amp; [Last ID]+1,"")</f>
        <v>ALTER TABLE `resource_form_field_data`  AUTO_INCREMENT=50001</v>
      </c>
    </row>
    <row r="13" spans="1:10">
      <c r="A13" s="4" t="s">
        <v>163</v>
      </c>
      <c r="B13" s="4" t="s">
        <v>157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292</v>
      </c>
      <c r="F13" s="1" t="s">
        <v>303</v>
      </c>
      <c r="G13" s="11">
        <v>2</v>
      </c>
      <c r="H13" s="9" t="str">
        <f t="shared" si="0"/>
        <v>query</v>
      </c>
      <c r="I13" s="11">
        <v>50000</v>
      </c>
      <c r="J13" s="6" t="str">
        <f>IF(ISNUMBER([Last ID]),"ALTER TABLE `" &amp; [Table Name] &amp; "`  AUTO_INCREMENT=" &amp; [Last ID]+1,"")</f>
        <v>ALTER TABLE `resource_form_field_options`  AUTO_INCREMENT=50001</v>
      </c>
    </row>
    <row r="14" spans="1:10">
      <c r="A14" s="2" t="s">
        <v>268</v>
      </c>
      <c r="B14" s="4" t="s">
        <v>61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309</v>
      </c>
      <c r="F14" s="1" t="s">
        <v>310</v>
      </c>
      <c r="G14" s="11">
        <v>1</v>
      </c>
      <c r="H14" s="9" t="str">
        <f t="shared" si="0"/>
        <v>query</v>
      </c>
      <c r="I14" s="11">
        <v>50000</v>
      </c>
      <c r="J14" s="6" t="str">
        <f>IF(ISNUMBER([Last ID]),"ALTER TABLE `" &amp; [Table Name] &amp; "`  AUTO_INCREMENT=" &amp; [Last ID]+1,"")</f>
        <v>ALTER TABLE `resource_form_field_attrs`  AUTO_INCREMENT=50001</v>
      </c>
    </row>
    <row r="15" spans="1:10">
      <c r="A15" s="4" t="s">
        <v>214</v>
      </c>
      <c r="B15" s="4" t="s">
        <v>212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419</v>
      </c>
      <c r="F15" s="1" t="s">
        <v>420</v>
      </c>
      <c r="G15" s="11">
        <v>1</v>
      </c>
      <c r="H15" s="9" t="str">
        <f t="shared" si="0"/>
        <v>query</v>
      </c>
      <c r="I15" s="11">
        <v>50000</v>
      </c>
      <c r="J15" s="6" t="str">
        <f>IF(ISNUMBER([Last ID]),"ALTER TABLE `" &amp; [Table Name] &amp; "`  AUTO_INCREMENT=" &amp; [Last ID]+1,"")</f>
        <v>ALTER TABLE `resource_form_field_dynamic`  AUTO_INCREMENT=50001</v>
      </c>
    </row>
    <row r="16" spans="1:10">
      <c r="A16" s="2" t="s">
        <v>164</v>
      </c>
      <c r="B16" s="4" t="s">
        <v>63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311</v>
      </c>
      <c r="F16" s="1" t="s">
        <v>312</v>
      </c>
      <c r="G16" s="11">
        <v>1</v>
      </c>
      <c r="H16" s="9" t="str">
        <f t="shared" si="0"/>
        <v>query</v>
      </c>
      <c r="I16" s="11">
        <v>50000</v>
      </c>
      <c r="J16" s="6" t="str">
        <f>IF(ISNUMBER([Last ID]),"ALTER TABLE `" &amp; [Table Name] &amp; "`  AUTO_INCREMENT=" &amp; [Last ID]+1,"")</f>
        <v>ALTER TABLE `resource_form_field_validations`  AUTO_INCREMENT=50001</v>
      </c>
    </row>
    <row r="17" spans="1:10">
      <c r="A17" s="4" t="s">
        <v>201</v>
      </c>
      <c r="B17" s="4" t="s">
        <v>196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415</v>
      </c>
      <c r="F17" s="1" t="s">
        <v>416</v>
      </c>
      <c r="G17" s="11">
        <v>1</v>
      </c>
      <c r="H17" s="9" t="str">
        <f t="shared" si="0"/>
        <v>query</v>
      </c>
      <c r="I17" s="11">
        <v>50000</v>
      </c>
      <c r="J17" s="6" t="str">
        <f>IF(ISNUMBER([Last ID]),"ALTER TABLE `" &amp; [Table Name] &amp; "`  AUTO_INCREMENT=" &amp; [Last ID]+1,"")</f>
        <v>ALTER TABLE `resource_form_field_depends`  AUTO_INCREMENT=50001</v>
      </c>
    </row>
    <row r="18" spans="1:10">
      <c r="A18" s="4" t="s">
        <v>181</v>
      </c>
      <c r="B18" s="4" t="s">
        <v>179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292</v>
      </c>
      <c r="F18" s="1" t="s">
        <v>308</v>
      </c>
      <c r="G18" s="11">
        <v>2</v>
      </c>
      <c r="H18" s="9" t="str">
        <f t="shared" si="0"/>
        <v>query</v>
      </c>
      <c r="I18" s="11">
        <v>50000</v>
      </c>
      <c r="J18" s="6" t="str">
        <f>IF(ISNUMBER([Last ID]),"ALTER TABLE `" &amp; [Table Name] &amp; "`  AUTO_INCREMENT=" &amp; [Last ID]+1,"")</f>
        <v>ALTER TABLE `resource_form_layout`  AUTO_INCREMENT=50001</v>
      </c>
    </row>
    <row r="19" spans="1:10">
      <c r="A19" s="4" t="s">
        <v>423</v>
      </c>
      <c r="B19" s="4" t="s">
        <v>422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431</v>
      </c>
      <c r="F19" s="1" t="s">
        <v>432</v>
      </c>
      <c r="G19" s="33">
        <v>1</v>
      </c>
      <c r="H19" s="7" t="str">
        <f t="shared" si="0"/>
        <v>query</v>
      </c>
      <c r="I19" s="11">
        <v>50000</v>
      </c>
      <c r="J19" s="8" t="str">
        <f>IF(ISNUMBER([Last ID]),"ALTER TABLE `" &amp; [Table Name] &amp; "`  AUTO_INCREMENT=" &amp; [Last ID]+1,"")</f>
        <v>ALTER TABLE `resource_form_data_map`  AUTO_INCREMENT=50001</v>
      </c>
    </row>
    <row r="20" spans="1:10">
      <c r="A20" s="4" t="s">
        <v>165</v>
      </c>
      <c r="B20" s="4" t="s">
        <v>77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331</v>
      </c>
      <c r="F20" s="1" t="s">
        <v>329</v>
      </c>
      <c r="G20" s="11">
        <v>2</v>
      </c>
      <c r="H20" s="9" t="str">
        <f t="shared" si="0"/>
        <v>query</v>
      </c>
      <c r="I20" s="11">
        <v>50000</v>
      </c>
      <c r="J20" s="6" t="str">
        <f>IF(ISNUMBER([Last ID]),"ALTER TABLE `" &amp; [Table Name] &amp; "`  AUTO_INCREMENT=" &amp; [Last ID]+1,"")</f>
        <v>ALTER TABLE `resource_form_defaults`  AUTO_INCREMENT=50001</v>
      </c>
    </row>
    <row r="21" spans="1:10">
      <c r="A21" s="4" t="s">
        <v>190</v>
      </c>
      <c r="B21" s="4" t="s">
        <v>188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344</v>
      </c>
      <c r="F21" s="1" t="s">
        <v>345</v>
      </c>
      <c r="G21" s="11">
        <v>5</v>
      </c>
      <c r="H21" s="9" t="str">
        <f t="shared" si="0"/>
        <v>query</v>
      </c>
      <c r="I21" s="11">
        <v>50000</v>
      </c>
      <c r="J21" s="6" t="str">
        <f>IF(ISNUMBER([Last ID]),"ALTER TABLE `" &amp; [Table Name] &amp; "`  AUTO_INCREMENT=" &amp; [Last ID]+1,"")</f>
        <v>ALTER TABLE `resource_form_collection`  AUTO_INCREMENT=50001</v>
      </c>
    </row>
    <row r="22" spans="1:10">
      <c r="A22" s="2" t="s">
        <v>236</v>
      </c>
      <c r="B22" s="2" t="s">
        <v>230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152</v>
      </c>
      <c r="F22" s="1" t="s">
        <v>280</v>
      </c>
      <c r="G22" s="11">
        <v>2</v>
      </c>
      <c r="H22" s="9" t="str">
        <f t="shared" si="0"/>
        <v>query</v>
      </c>
      <c r="I22" s="11">
        <v>50000</v>
      </c>
      <c r="J22" s="6" t="str">
        <f>IF(ISNUMBER([Last ID]),"ALTER TABLE `" &amp; [Table Name] &amp; "`  AUTO_INCREMENT=" &amp; [Last ID]+1,"")</f>
        <v>ALTER TABLE `resource_form_upload`  AUTO_INCREMENT=50001</v>
      </c>
    </row>
    <row r="23" spans="1:10">
      <c r="A23" s="2" t="s">
        <v>155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167</v>
      </c>
      <c r="F23" s="1" t="s">
        <v>394</v>
      </c>
      <c r="G23" s="11">
        <v>3</v>
      </c>
      <c r="H23" s="9" t="str">
        <f t="shared" si="0"/>
        <v>query</v>
      </c>
      <c r="I23" s="11">
        <v>50000</v>
      </c>
      <c r="J23" s="8" t="str">
        <f>IF(ISNUMBER([Last ID]),"ALTER TABLE `" &amp; [Table Name] &amp; "`  AUTO_INCREMENT=" &amp; [Last ID]+1,"")</f>
        <v>ALTER TABLE `resource_lists`  AUTO_INCREMENT=50001</v>
      </c>
    </row>
    <row r="24" spans="1:10">
      <c r="A24" s="2" t="s">
        <v>168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363</v>
      </c>
      <c r="F24" s="1" t="s">
        <v>364</v>
      </c>
      <c r="G24" s="11">
        <v>1</v>
      </c>
      <c r="H24" s="9" t="str">
        <f t="shared" si="0"/>
        <v>query</v>
      </c>
      <c r="I24" s="11">
        <v>50000</v>
      </c>
      <c r="J24" s="8" t="str">
        <f>IF(ISNUMBER([Last ID]),"ALTER TABLE `" &amp; [Table Name] &amp; "`  AUTO_INCREMENT=" &amp; [Last ID]+1,"")</f>
        <v>ALTER TABLE `resource_list_scopes`  AUTO_INCREMENT=50001</v>
      </c>
    </row>
    <row r="25" spans="1:10">
      <c r="A25" s="2" t="s">
        <v>269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363</v>
      </c>
      <c r="F25" s="1" t="s">
        <v>365</v>
      </c>
      <c r="G25" s="11">
        <v>1</v>
      </c>
      <c r="H25" s="9" t="str">
        <f t="shared" si="0"/>
        <v>query</v>
      </c>
      <c r="I25" s="11">
        <v>50000</v>
      </c>
      <c r="J25" s="8" t="str">
        <f>IF(ISNUMBER([Last ID]),"ALTER TABLE `" &amp; [Table Name] &amp; "`  AUTO_INCREMENT=" &amp; [Last ID]+1,"")</f>
        <v>ALTER TABLE `resource_list_relations`  AUTO_INCREMENT=50001</v>
      </c>
    </row>
    <row r="26" spans="1:10">
      <c r="A26" s="2" t="s">
        <v>174</v>
      </c>
      <c r="B26" s="4" t="s">
        <v>172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374</v>
      </c>
      <c r="F26" s="1" t="s">
        <v>375</v>
      </c>
      <c r="G26" s="11">
        <v>2</v>
      </c>
      <c r="H26" s="9" t="str">
        <f t="shared" si="0"/>
        <v>query</v>
      </c>
      <c r="I26" s="11">
        <v>50000</v>
      </c>
      <c r="J26" s="8" t="str">
        <f>IF(ISNUMBER([Last ID]),"ALTER TABLE `" &amp; [Table Name] &amp; "`  AUTO_INCREMENT=" &amp; [Last ID]+1,"")</f>
        <v>ALTER TABLE `resource_list_layout`  AUTO_INCREMENT=50001</v>
      </c>
    </row>
    <row r="27" spans="1:10">
      <c r="A27" s="2" t="s">
        <v>195</v>
      </c>
      <c r="B27" s="4" t="s">
        <v>194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371</v>
      </c>
      <c r="F27" s="1" t="s">
        <v>372</v>
      </c>
      <c r="G27" s="11">
        <v>2</v>
      </c>
      <c r="H27" s="9" t="str">
        <f t="shared" si="0"/>
        <v>query</v>
      </c>
      <c r="I27" s="11">
        <v>50000</v>
      </c>
      <c r="J27" s="8" t="str">
        <f>IF(ISNUMBER([Last ID]),"ALTER TABLE `" &amp; [Table Name] &amp; "`  AUTO_INCREMENT=" &amp; [Last ID]+1,"")</f>
        <v>ALTER TABLE `resource_list_search`  AUTO_INCREMENT=50001</v>
      </c>
    </row>
    <row r="28" spans="1:10">
      <c r="A28" s="4" t="s">
        <v>171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169</v>
      </c>
      <c r="F28" s="1" t="s">
        <v>329</v>
      </c>
      <c r="G28" s="11">
        <v>3</v>
      </c>
      <c r="H28" s="9" t="str">
        <f t="shared" si="0"/>
        <v>query</v>
      </c>
      <c r="I28" s="11">
        <v>50000</v>
      </c>
      <c r="J28" s="6" t="str">
        <f>IF(ISNUMBER([Last ID]),"ALTER TABLE `" &amp; [Table Name] &amp; "`  AUTO_INCREMENT=" &amp; [Last ID]+1,"")</f>
        <v>ALTER TABLE `resource_data`  AUTO_INCREMENT=50001</v>
      </c>
    </row>
    <row r="29" spans="1:10">
      <c r="A29" s="4" t="s">
        <v>193</v>
      </c>
      <c r="B29" s="4" t="s">
        <v>175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382</v>
      </c>
      <c r="F29" s="1" t="s">
        <v>364</v>
      </c>
      <c r="G29" s="11">
        <v>1</v>
      </c>
      <c r="H29" s="9" t="str">
        <f t="shared" si="0"/>
        <v>query</v>
      </c>
      <c r="I29" s="11">
        <v>50000</v>
      </c>
      <c r="J29" s="6" t="str">
        <f>IF(ISNUMBER([Last ID]),"ALTER TABLE `" &amp; [Table Name] &amp; "`  AUTO_INCREMENT=" &amp; [Last ID]+1,"")</f>
        <v>ALTER TABLE `resource_data_scopes`  AUTO_INCREMENT=50001</v>
      </c>
    </row>
    <row r="30" spans="1:10">
      <c r="A30" s="2" t="s">
        <v>170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382</v>
      </c>
      <c r="F30" s="1" t="s">
        <v>365</v>
      </c>
      <c r="G30" s="11">
        <v>1</v>
      </c>
      <c r="H30" s="9" t="str">
        <f t="shared" si="0"/>
        <v>query</v>
      </c>
      <c r="I30" s="11">
        <v>50000</v>
      </c>
      <c r="J30" s="6" t="str">
        <f>IF(ISNUMBER([Last ID]),"ALTER TABLE `" &amp; [Table Name] &amp; "`  AUTO_INCREMENT=" &amp; [Last ID]+1,"")</f>
        <v>ALTER TABLE `resource_data_relations`  AUTO_INCREMENT=50001</v>
      </c>
    </row>
    <row r="31" spans="1:10">
      <c r="A31" s="4" t="s">
        <v>184</v>
      </c>
      <c r="B31" s="4" t="s">
        <v>182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389</v>
      </c>
      <c r="F31" s="1" t="s">
        <v>942</v>
      </c>
      <c r="G31" s="11">
        <v>3</v>
      </c>
      <c r="H31" s="9" t="str">
        <f t="shared" si="0"/>
        <v>query</v>
      </c>
      <c r="I31" s="11">
        <v>50000</v>
      </c>
      <c r="J31" s="6" t="str">
        <f>IF(ISNUMBER([Last ID]),"ALTER TABLE `" &amp; [Table Name] &amp; "`  AUTO_INCREMENT=" &amp; [Last ID]+1,"")</f>
        <v>ALTER TABLE `resource_data_view_sections`  AUTO_INCREMENT=50001</v>
      </c>
    </row>
    <row r="32" spans="1:10">
      <c r="A32" s="4" t="s">
        <v>185</v>
      </c>
      <c r="B32" s="4" t="s">
        <v>183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387</v>
      </c>
      <c r="F32" s="1" t="s">
        <v>388</v>
      </c>
      <c r="G32" s="11">
        <v>2</v>
      </c>
      <c r="H32" s="9" t="str">
        <f t="shared" si="0"/>
        <v>query</v>
      </c>
      <c r="I32" s="11">
        <v>50000</v>
      </c>
      <c r="J32" s="6" t="str">
        <f>IF(ISNUMBER([Last ID]),"ALTER TABLE `" &amp; [Table Name] &amp; "`  AUTO_INCREMENT=" &amp; [Last ID]+1,"")</f>
        <v>ALTER TABLE `resource_data_view_section_items`  AUTO_INCREMENT=50001</v>
      </c>
    </row>
    <row r="33" spans="1:10">
      <c r="A33" s="2" t="s">
        <v>113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114</v>
      </c>
      <c r="F33" s="1" t="s">
        <v>315</v>
      </c>
      <c r="G33" s="11">
        <v>3</v>
      </c>
      <c r="H33" s="9" t="str">
        <f t="shared" si="0"/>
        <v>query</v>
      </c>
      <c r="I33" s="11">
        <v>50000</v>
      </c>
      <c r="J33" s="6" t="str">
        <f>IF(ISNUMBER([Last ID]),"ALTER TABLE `" &amp; [Table Name] &amp; "`  AUTO_INCREMENT=" &amp; [Last ID]+1,"")</f>
        <v>ALTER TABLE `resource_actions`  AUTO_INCREMENT=50001</v>
      </c>
    </row>
    <row r="34" spans="1:10">
      <c r="A34" s="2" t="s">
        <v>270</v>
      </c>
      <c r="B34" s="2" t="s">
        <v>59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114</v>
      </c>
      <c r="F34" s="1" t="s">
        <v>316</v>
      </c>
      <c r="G34" s="11">
        <v>1</v>
      </c>
      <c r="H34" s="9" t="str">
        <f t="shared" si="0"/>
        <v>query</v>
      </c>
      <c r="I34" s="11">
        <v>50000</v>
      </c>
      <c r="J34" s="6" t="str">
        <f>IF(ISNUMBER([Last ID]),"ALTER TABLE `" &amp; [Table Name] &amp; "`  AUTO_INCREMENT=" &amp; [Last ID]+1,"")</f>
        <v>ALTER TABLE `resource_action_methods`  AUTO_INCREMENT=50001</v>
      </c>
    </row>
    <row r="35" spans="1:10">
      <c r="A35" s="2" t="s">
        <v>271</v>
      </c>
      <c r="B35" s="2" t="s">
        <v>58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391</v>
      </c>
      <c r="F35" s="1" t="s">
        <v>310</v>
      </c>
      <c r="G35" s="11">
        <v>1</v>
      </c>
      <c r="H35" s="9" t="str">
        <f t="shared" si="0"/>
        <v>query</v>
      </c>
      <c r="I35" s="11">
        <v>50000</v>
      </c>
      <c r="J35" s="6" t="str">
        <f>IF(ISNUMBER([Last ID]),"ALTER TABLE `" &amp; [Table Name] &amp; "`  AUTO_INCREMENT=" &amp; [Last ID]+1,"")</f>
        <v>ALTER TABLE `resource_action_attrs`  AUTO_INCREMENT=50001</v>
      </c>
    </row>
    <row r="36" spans="1:10">
      <c r="A36" s="2" t="s">
        <v>272</v>
      </c>
      <c r="B36" s="4" t="s">
        <v>69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324</v>
      </c>
      <c r="F36" s="1" t="s">
        <v>325</v>
      </c>
      <c r="G36" s="11">
        <v>1</v>
      </c>
      <c r="H36" s="9" t="str">
        <f t="shared" si="0"/>
        <v>query</v>
      </c>
      <c r="I36" s="11">
        <v>50000</v>
      </c>
      <c r="J36" s="6" t="str">
        <f>IF(ISNUMBER([Last ID]),"ALTER TABLE `" &amp; [Table Name] &amp; "`  AUTO_INCREMENT=" &amp; [Last ID]+1,"")</f>
        <v>ALTER TABLE `resource_action_lists`  AUTO_INCREMENT=50001</v>
      </c>
    </row>
    <row r="37" spans="1:10">
      <c r="A37" s="2" t="s">
        <v>273</v>
      </c>
      <c r="B37" s="4" t="s">
        <v>70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324</v>
      </c>
      <c r="F37" s="1" t="s">
        <v>326</v>
      </c>
      <c r="G37" s="11">
        <v>1</v>
      </c>
      <c r="H37" s="9" t="str">
        <f t="shared" si="0"/>
        <v>query</v>
      </c>
      <c r="I37" s="11">
        <v>50000</v>
      </c>
      <c r="J37" s="8" t="str">
        <f>IF(ISNUMBER([Last ID]),"ALTER TABLE `" &amp; [Table Name] &amp; "`  AUTO_INCREMENT=" &amp; [Last ID]+1,"")</f>
        <v>ALTER TABLE `resource_action_data`  AUTO_INCREMENT=50001</v>
      </c>
    </row>
    <row r="38" spans="1:10">
      <c r="A38" s="2" t="s">
        <v>435</v>
      </c>
      <c r="B38" s="2" t="s">
        <v>7</v>
      </c>
      <c r="C38" s="2" t="str">
        <f>VLOOKUP([Table Name],Tables[],4,0)</f>
        <v>Milestone\Appframe\Model</v>
      </c>
      <c r="D38" s="2" t="str">
        <f>VLOOKUP([Table Name],Tables[],5,0)</f>
        <v>ResourceDefault</v>
      </c>
      <c r="E38" s="1" t="s">
        <v>440</v>
      </c>
      <c r="F38" s="1" t="s">
        <v>441</v>
      </c>
      <c r="G38" s="11">
        <v>1</v>
      </c>
      <c r="H38" s="9" t="str">
        <f t="shared" si="0"/>
        <v>query</v>
      </c>
      <c r="I38" s="11">
        <v>50000</v>
      </c>
      <c r="J38" s="6" t="str">
        <f>IF(ISNUMBER([Last ID]),"ALTER TABLE `" &amp; [Table Name] &amp; "`  AUTO_INCREMENT=" &amp; [Last ID]+1,"")</f>
        <v>ALTER TABLE `resource_defaults`  AUTO_INCREMENT=50001</v>
      </c>
    </row>
    <row r="39" spans="1:10">
      <c r="A39" s="4" t="s">
        <v>210</v>
      </c>
      <c r="B39" s="4" t="s">
        <v>204</v>
      </c>
      <c r="C39" s="2" t="str">
        <f>VLOOKUP([Table Name],Tables[],4,0)</f>
        <v>Milestone\Appframe\Model</v>
      </c>
      <c r="D39" s="2" t="str">
        <f>VLOOKUP([Table Name],Tables[],5,0)</f>
        <v>ResourceMetric</v>
      </c>
      <c r="E39" s="1" t="s">
        <v>152</v>
      </c>
      <c r="F39" s="1" t="s">
        <v>280</v>
      </c>
      <c r="G39" s="11">
        <v>2</v>
      </c>
      <c r="H39" s="9" t="str">
        <f t="shared" si="0"/>
        <v>query</v>
      </c>
      <c r="I39" s="11">
        <v>50000</v>
      </c>
      <c r="J39" s="8" t="str">
        <f>IF(ISNUMBER([Last ID]),"ALTER TABLE `" &amp; [Table Name] &amp; "`  AUTO_INCREMENT=" &amp; [Last ID]+1,"")</f>
        <v>ALTER TABLE `resource_metrics`  AUTO_INCREMENT=50001</v>
      </c>
    </row>
    <row r="40" spans="1:10">
      <c r="A40" s="1" t="s">
        <v>211</v>
      </c>
      <c r="B40" s="5" t="s">
        <v>205</v>
      </c>
      <c r="C40" s="4" t="str">
        <f>VLOOKUP([Table Name],Tables[],4,0)</f>
        <v>Milestone\Appframe\Model</v>
      </c>
      <c r="D40" s="4" t="str">
        <f>VLOOKUP([Table Name],Tables[],5,0)</f>
        <v>ResourceDashboard</v>
      </c>
      <c r="E40" s="1" t="s">
        <v>152</v>
      </c>
      <c r="F40" s="1" t="s">
        <v>280</v>
      </c>
      <c r="G40" s="11">
        <v>2</v>
      </c>
      <c r="H40" s="9" t="str">
        <f t="shared" si="0"/>
        <v>query</v>
      </c>
      <c r="I40" s="11">
        <v>50000</v>
      </c>
      <c r="J40" s="8" t="str">
        <f>IF(ISNUMBER([Last ID]),"ALTER TABLE `" &amp; [Table Name] &amp; "`  AUTO_INCREMENT=" &amp; [Last ID]+1,"")</f>
        <v>ALTER TABLE `resource_dashboard`  AUTO_INCREMENT=50001</v>
      </c>
    </row>
    <row r="41" spans="1:10">
      <c r="A41" s="5" t="s">
        <v>208</v>
      </c>
      <c r="B41" s="5" t="s">
        <v>206</v>
      </c>
      <c r="C41" s="4" t="str">
        <f>VLOOKUP([Table Name],Tables[],4,0)</f>
        <v>Milestone\Appframe\Model</v>
      </c>
      <c r="D41" s="4" t="str">
        <f>VLOOKUP([Table Name],Tables[],5,0)</f>
        <v>ResourceDashboardSection</v>
      </c>
      <c r="E41" s="1" t="s">
        <v>152</v>
      </c>
      <c r="F41" s="1" t="s">
        <v>280</v>
      </c>
      <c r="G41" s="11">
        <v>2</v>
      </c>
      <c r="H41" s="7" t="str">
        <f t="shared" si="0"/>
        <v>query</v>
      </c>
      <c r="I41" s="11">
        <v>50000</v>
      </c>
      <c r="J41" s="8" t="str">
        <f>IF(ISNUMBER([Last ID]),"ALTER TABLE `" &amp; [Table Name] &amp; "`  AUTO_INCREMENT=" &amp; [Last ID]+1,"")</f>
        <v>ALTER TABLE `resource_dashboard_sections`  AUTO_INCREMENT=50001</v>
      </c>
    </row>
    <row r="42" spans="1:10">
      <c r="A42" s="5" t="s">
        <v>209</v>
      </c>
      <c r="B42" s="5" t="s">
        <v>207</v>
      </c>
      <c r="C42" s="4" t="str">
        <f>VLOOKUP([Table Name],Tables[],4,0)</f>
        <v>Milestone\Appframe\Model</v>
      </c>
      <c r="D42" s="4" t="str">
        <f>VLOOKUP([Table Name],Tables[],5,0)</f>
        <v>ResourceDashboardSectionItem</v>
      </c>
      <c r="E42" s="1" t="s">
        <v>152</v>
      </c>
      <c r="F42" s="1" t="s">
        <v>280</v>
      </c>
      <c r="G42" s="11">
        <v>2</v>
      </c>
      <c r="H42" s="7" t="str">
        <f t="shared" si="0"/>
        <v>query</v>
      </c>
      <c r="I42" s="11">
        <v>50000</v>
      </c>
      <c r="J42" s="8" t="str">
        <f>IF(ISNUMBER([Last ID]),"ALTER TABLE `" &amp; [Table Name] &amp; "`  AUTO_INCREMENT=" &amp; [Last ID]+1,"")</f>
        <v>ALTER TABLE `resource_dashboard_section_items`  AUTO_INCREMENT=50001</v>
      </c>
    </row>
  </sheetData>
  <dataValidations count="2">
    <dataValidation type="list" allowBlank="1" showInputMessage="1" showErrorMessage="1" sqref="B2:B42">
      <formula1>TableNames</formula1>
    </dataValidation>
    <dataValidation type="list" allowBlank="1" showInputMessage="1" showErrorMessage="1" sqref="H2:H4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workbookViewId="0">
      <selection activeCell="B8" sqref="B8:R8"/>
    </sheetView>
  </sheetViews>
  <sheetFormatPr defaultRowHeight="15"/>
  <cols>
    <col min="1" max="16384" width="9.140625" style="20"/>
  </cols>
  <sheetData>
    <row r="1" spans="1:20" s="28" customFormat="1" ht="15" customHeight="1">
      <c r="A1" s="105" t="s">
        <v>273</v>
      </c>
      <c r="B1" s="105"/>
      <c r="C1" s="105"/>
      <c r="D1" s="105"/>
      <c r="E1" s="106" t="str">
        <f>"\"&amp;VLOOKUP($A$1,SeedMap[],3,0)&amp;"\"&amp;VLOOKUP($A$1,SeedMap[],4,0)&amp;"::"&amp;VLOOKUP($A$1,SeedMap[],8,0)&amp;"()"</f>
        <v>\Milestone\Appframe\Model\ResourceActionData::query()</v>
      </c>
      <c r="F1" s="106"/>
      <c r="G1" s="106"/>
      <c r="H1" s="106"/>
      <c r="I1" s="107" t="s">
        <v>84</v>
      </c>
      <c r="J1" s="107"/>
      <c r="K1" s="107"/>
      <c r="L1" s="107"/>
      <c r="M1" s="107"/>
      <c r="N1" s="107"/>
      <c r="O1" s="107"/>
      <c r="P1" s="107"/>
      <c r="Q1" s="107"/>
      <c r="R1" s="107"/>
      <c r="S1" s="23" t="str">
        <f>""</f>
        <v/>
      </c>
      <c r="T1" s="10"/>
    </row>
    <row r="2" spans="1:20" s="28" customFormat="1" ht="15" customHeight="1">
      <c r="A2" s="105"/>
      <c r="B2" s="105"/>
      <c r="C2" s="105"/>
      <c r="D2" s="105"/>
      <c r="E2" s="106" t="str">
        <f>VLOOKUP($A$1,SeedMap[],5,0)</f>
        <v>ActionListNData</v>
      </c>
      <c r="F2" s="106"/>
      <c r="G2" s="106"/>
      <c r="H2" s="106"/>
      <c r="I2" s="107" t="s">
        <v>83</v>
      </c>
      <c r="J2" s="107"/>
      <c r="K2" s="107"/>
      <c r="L2" s="107"/>
      <c r="M2" s="107"/>
      <c r="N2" s="107"/>
      <c r="O2" s="107"/>
      <c r="P2" s="107"/>
      <c r="Q2" s="107"/>
      <c r="R2" s="107"/>
      <c r="S2" s="23" t="str">
        <f>";"</f>
        <v>;</v>
      </c>
      <c r="T2" s="10"/>
    </row>
    <row r="3" spans="1:20" s="28" customFormat="1" ht="15" customHeight="1">
      <c r="A3" s="105"/>
      <c r="B3" s="105"/>
      <c r="C3" s="105"/>
      <c r="D3" s="105"/>
      <c r="E3" s="106" t="str">
        <f>VLOOKUP($A$1,SeedMap[],6,0)</f>
        <v>[[Primary Data]:[Data]]</v>
      </c>
      <c r="F3" s="106"/>
      <c r="G3" s="106"/>
      <c r="H3" s="106"/>
      <c r="I3" s="107" t="s">
        <v>149</v>
      </c>
      <c r="J3" s="107"/>
      <c r="K3" s="107"/>
      <c r="L3" s="107"/>
      <c r="M3" s="107"/>
      <c r="N3" s="107"/>
      <c r="O3" s="107"/>
      <c r="P3" s="107"/>
      <c r="Q3" s="107"/>
      <c r="R3" s="107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1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resource_action</v>
      </c>
      <c r="E5" s="25" t="str">
        <f t="shared" ca="1" si="1"/>
        <v>resource_data</v>
      </c>
      <c r="F5" s="25" t="str">
        <f t="shared" ca="1" si="1"/>
        <v/>
      </c>
      <c r="G5" s="25" t="str">
        <f t="shared" ca="1" si="1"/>
        <v/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02" t="str">
        <f>$I$1</f>
        <v>$_ = \DB::statement('SELECT @@GLOBAL.foreign_key_checks');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"/>
      <c r="T6" s="10"/>
    </row>
    <row r="7" spans="1:20">
      <c r="A7" s="24"/>
      <c r="B7" s="103" t="str">
        <f>$I$2</f>
        <v>\DB::statement('set foreign_key_checks = 0');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</row>
    <row r="8" spans="1:20">
      <c r="A8" s="24"/>
      <c r="B8" s="104" t="str">
        <f>$E$1</f>
        <v>\Milestone\Appframe\Model\ResourceActionData::query()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2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'50001', </v>
      </c>
      <c r="D9" s="52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'resource_action' =&gt; '50024', </v>
      </c>
      <c r="E9" s="52" t="str">
        <f t="shared" ca="1" si="2"/>
        <v xml:space="preserve">'resource_data' =&gt; '50003', </v>
      </c>
      <c r="F9" s="52" t="str">
        <f t="shared" ca="1" si="2"/>
        <v/>
      </c>
      <c r="G9" s="52" t="str">
        <f t="shared" ca="1" si="2"/>
        <v/>
      </c>
      <c r="H9" s="52" t="str">
        <f t="shared" ca="1" si="2"/>
        <v/>
      </c>
      <c r="I9" s="52" t="str">
        <f t="shared" ca="1" si="2"/>
        <v/>
      </c>
      <c r="J9" s="52" t="str">
        <f t="shared" ca="1" si="2"/>
        <v/>
      </c>
      <c r="K9" s="52" t="str">
        <f t="shared" ca="1" si="2"/>
        <v/>
      </c>
      <c r="L9" s="52" t="str">
        <f t="shared" ca="1" si="2"/>
        <v/>
      </c>
      <c r="M9" s="52" t="str">
        <f t="shared" ca="1" si="2"/>
        <v/>
      </c>
      <c r="N9" s="52" t="str">
        <f t="shared" ca="1" si="2"/>
        <v/>
      </c>
      <c r="O9" s="52" t="str">
        <f t="shared" ca="1" si="2"/>
        <v/>
      </c>
      <c r="P9" s="52" t="str">
        <f t="shared" ca="1" si="2"/>
        <v/>
      </c>
      <c r="Q9" s="52" t="str">
        <f t="shared" ca="1" si="2"/>
        <v/>
      </c>
      <c r="R9" s="52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2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'50002', </v>
      </c>
      <c r="D10" s="52" t="str">
        <f t="shared" ca="1" si="2"/>
        <v xml:space="preserve">'resource_action' =&gt; '50025', </v>
      </c>
      <c r="E10" s="52" t="str">
        <f t="shared" ca="1" si="2"/>
        <v xml:space="preserve">'resource_data' =&gt; '50003', </v>
      </c>
      <c r="F10" s="52" t="str">
        <f t="shared" ca="1" si="2"/>
        <v/>
      </c>
      <c r="G10" s="52" t="str">
        <f t="shared" ca="1" si="2"/>
        <v/>
      </c>
      <c r="H10" s="52" t="str">
        <f t="shared" ca="1" si="2"/>
        <v/>
      </c>
      <c r="I10" s="52" t="str">
        <f t="shared" ca="1" si="2"/>
        <v/>
      </c>
      <c r="J10" s="52" t="str">
        <f t="shared" ca="1" si="2"/>
        <v/>
      </c>
      <c r="K10" s="52" t="str">
        <f t="shared" ca="1" si="2"/>
        <v/>
      </c>
      <c r="L10" s="52" t="str">
        <f t="shared" ca="1" si="2"/>
        <v/>
      </c>
      <c r="M10" s="52" t="str">
        <f t="shared" ca="1" si="2"/>
        <v/>
      </c>
      <c r="N10" s="52" t="str">
        <f t="shared" ca="1" si="2"/>
        <v/>
      </c>
      <c r="O10" s="52" t="str">
        <f t="shared" ca="1" si="2"/>
        <v/>
      </c>
      <c r="P10" s="52" t="str">
        <f t="shared" ca="1" si="2"/>
        <v/>
      </c>
      <c r="Q10" s="52" t="str">
        <f t="shared" ca="1" si="2"/>
        <v/>
      </c>
      <c r="R10" s="52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2" t="str">
        <f t="shared" ca="1" si="4"/>
        <v xml:space="preserve">'id' =&gt; '50003', </v>
      </c>
      <c r="D11" s="52" t="str">
        <f t="shared" ca="1" si="2"/>
        <v xml:space="preserve">'resource_action' =&gt; '50028', </v>
      </c>
      <c r="E11" s="52" t="str">
        <f t="shared" ca="1" si="2"/>
        <v xml:space="preserve">'resource_data' =&gt; '50003', </v>
      </c>
      <c r="F11" s="52" t="str">
        <f t="shared" ca="1" si="2"/>
        <v/>
      </c>
      <c r="G11" s="52" t="str">
        <f t="shared" ca="1" si="2"/>
        <v/>
      </c>
      <c r="H11" s="52" t="str">
        <f t="shared" ca="1" si="2"/>
        <v/>
      </c>
      <c r="I11" s="52" t="str">
        <f t="shared" ca="1" si="2"/>
        <v/>
      </c>
      <c r="J11" s="52" t="str">
        <f t="shared" ca="1" si="2"/>
        <v/>
      </c>
      <c r="K11" s="52" t="str">
        <f t="shared" ca="1" si="2"/>
        <v/>
      </c>
      <c r="L11" s="52" t="str">
        <f t="shared" ca="1" si="2"/>
        <v/>
      </c>
      <c r="M11" s="52" t="str">
        <f t="shared" ca="1" si="2"/>
        <v/>
      </c>
      <c r="N11" s="52" t="str">
        <f t="shared" ca="1" si="2"/>
        <v/>
      </c>
      <c r="O11" s="52" t="str">
        <f t="shared" ca="1" si="2"/>
        <v/>
      </c>
      <c r="P11" s="52" t="str">
        <f t="shared" ca="1" si="2"/>
        <v/>
      </c>
      <c r="Q11" s="52" t="str">
        <f t="shared" ca="1" si="2"/>
        <v/>
      </c>
      <c r="R11" s="52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2" t="str">
        <f t="shared" ca="1" si="4"/>
        <v xml:space="preserve">'id' =&gt; '50004', </v>
      </c>
      <c r="D12" s="52" t="str">
        <f t="shared" ca="1" si="2"/>
        <v xml:space="preserve">'resource_action' =&gt; '50027', </v>
      </c>
      <c r="E12" s="52" t="str">
        <f t="shared" ca="1" si="2"/>
        <v xml:space="preserve">'resource_data' =&gt; '50003', </v>
      </c>
      <c r="F12" s="52" t="str">
        <f t="shared" ca="1" si="2"/>
        <v/>
      </c>
      <c r="G12" s="52" t="str">
        <f t="shared" ca="1" si="2"/>
        <v/>
      </c>
      <c r="H12" s="52" t="str">
        <f t="shared" ca="1" si="2"/>
        <v/>
      </c>
      <c r="I12" s="52" t="str">
        <f t="shared" ca="1" si="2"/>
        <v/>
      </c>
      <c r="J12" s="52" t="str">
        <f t="shared" ca="1" si="2"/>
        <v/>
      </c>
      <c r="K12" s="52" t="str">
        <f t="shared" ca="1" si="2"/>
        <v/>
      </c>
      <c r="L12" s="52" t="str">
        <f t="shared" ca="1" si="2"/>
        <v/>
      </c>
      <c r="M12" s="52" t="str">
        <f t="shared" ca="1" si="2"/>
        <v/>
      </c>
      <c r="N12" s="52" t="str">
        <f t="shared" ca="1" si="2"/>
        <v/>
      </c>
      <c r="O12" s="52" t="str">
        <f t="shared" ca="1" si="2"/>
        <v/>
      </c>
      <c r="P12" s="52" t="str">
        <f t="shared" ca="1" si="2"/>
        <v/>
      </c>
      <c r="Q12" s="52" t="str">
        <f t="shared" ca="1" si="2"/>
        <v/>
      </c>
      <c r="R12" s="52" t="str">
        <f t="shared" ca="1" si="5"/>
        <v>])</v>
      </c>
    </row>
    <row r="13" spans="1:20">
      <c r="A13" s="21">
        <v>5</v>
      </c>
      <c r="B13" s="22" t="str">
        <f t="shared" ca="1" si="3"/>
        <v>;</v>
      </c>
      <c r="C13" s="52" t="str">
        <f t="shared" ca="1" si="4"/>
        <v/>
      </c>
      <c r="D13" s="52" t="str">
        <f t="shared" ca="1" si="2"/>
        <v/>
      </c>
      <c r="E13" s="52" t="str">
        <f t="shared" ca="1" si="2"/>
        <v/>
      </c>
      <c r="F13" s="52" t="str">
        <f t="shared" ca="1" si="2"/>
        <v/>
      </c>
      <c r="G13" s="52" t="str">
        <f t="shared" ca="1" si="2"/>
        <v/>
      </c>
      <c r="H13" s="52" t="str">
        <f t="shared" ca="1" si="2"/>
        <v/>
      </c>
      <c r="I13" s="52" t="str">
        <f t="shared" ca="1" si="2"/>
        <v/>
      </c>
      <c r="J13" s="52" t="str">
        <f t="shared" ca="1" si="2"/>
        <v/>
      </c>
      <c r="K13" s="52" t="str">
        <f t="shared" ca="1" si="2"/>
        <v/>
      </c>
      <c r="L13" s="52" t="str">
        <f t="shared" ca="1" si="2"/>
        <v/>
      </c>
      <c r="M13" s="52" t="str">
        <f t="shared" ca="1" si="2"/>
        <v/>
      </c>
      <c r="N13" s="52" t="str">
        <f t="shared" ca="1" si="2"/>
        <v/>
      </c>
      <c r="O13" s="52" t="str">
        <f t="shared" ca="1" si="2"/>
        <v/>
      </c>
      <c r="P13" s="52" t="str">
        <f t="shared" ca="1" si="2"/>
        <v/>
      </c>
      <c r="Q13" s="52" t="str">
        <f t="shared" ca="1" si="2"/>
        <v/>
      </c>
      <c r="R13" s="52" t="str">
        <f t="shared" ca="1" si="5"/>
        <v/>
      </c>
    </row>
    <row r="14" spans="1:20">
      <c r="A14" s="21">
        <v>6</v>
      </c>
      <c r="B14" s="22" t="str">
        <f t="shared" ca="1" si="3"/>
        <v>\DB::statement('set foreign_key_checks = ' . $_);</v>
      </c>
      <c r="C14" s="52" t="str">
        <f t="shared" ca="1" si="4"/>
        <v/>
      </c>
      <c r="D14" s="52" t="str">
        <f t="shared" ca="1" si="2"/>
        <v/>
      </c>
      <c r="E14" s="52" t="str">
        <f t="shared" ca="1" si="2"/>
        <v/>
      </c>
      <c r="F14" s="52" t="str">
        <f t="shared" ca="1" si="2"/>
        <v/>
      </c>
      <c r="G14" s="52" t="str">
        <f t="shared" ca="1" si="2"/>
        <v/>
      </c>
      <c r="H14" s="52" t="str">
        <f t="shared" ca="1" si="2"/>
        <v/>
      </c>
      <c r="I14" s="52" t="str">
        <f t="shared" ca="1" si="2"/>
        <v/>
      </c>
      <c r="J14" s="52" t="str">
        <f t="shared" ca="1" si="2"/>
        <v/>
      </c>
      <c r="K14" s="52" t="str">
        <f t="shared" ca="1" si="2"/>
        <v/>
      </c>
      <c r="L14" s="52" t="str">
        <f t="shared" ca="1" si="2"/>
        <v/>
      </c>
      <c r="M14" s="52" t="str">
        <f t="shared" ca="1" si="2"/>
        <v/>
      </c>
      <c r="N14" s="52" t="str">
        <f t="shared" ca="1" si="2"/>
        <v/>
      </c>
      <c r="O14" s="52" t="str">
        <f t="shared" ca="1" si="2"/>
        <v/>
      </c>
      <c r="P14" s="52" t="str">
        <f t="shared" ca="1" si="2"/>
        <v/>
      </c>
      <c r="Q14" s="52" t="str">
        <f t="shared" ca="1" si="2"/>
        <v/>
      </c>
      <c r="R14" s="52" t="str">
        <f t="shared" ca="1" si="5"/>
        <v/>
      </c>
    </row>
    <row r="15" spans="1:20">
      <c r="A15" s="21">
        <v>7</v>
      </c>
      <c r="B15" s="22" t="str">
        <f t="shared" ca="1" si="3"/>
        <v/>
      </c>
      <c r="C15" s="52" t="str">
        <f t="shared" ca="1" si="4"/>
        <v/>
      </c>
      <c r="D15" s="52" t="str">
        <f t="shared" ca="1" si="2"/>
        <v/>
      </c>
      <c r="E15" s="52" t="str">
        <f t="shared" ca="1" si="2"/>
        <v/>
      </c>
      <c r="F15" s="52" t="str">
        <f t="shared" ca="1" si="2"/>
        <v/>
      </c>
      <c r="G15" s="52" t="str">
        <f t="shared" ca="1" si="2"/>
        <v/>
      </c>
      <c r="H15" s="52" t="str">
        <f t="shared" ca="1" si="2"/>
        <v/>
      </c>
      <c r="I15" s="52" t="str">
        <f t="shared" ca="1" si="2"/>
        <v/>
      </c>
      <c r="J15" s="52" t="str">
        <f t="shared" ca="1" si="2"/>
        <v/>
      </c>
      <c r="K15" s="52" t="str">
        <f t="shared" ca="1" si="2"/>
        <v/>
      </c>
      <c r="L15" s="52" t="str">
        <f t="shared" ca="1" si="2"/>
        <v/>
      </c>
      <c r="M15" s="52" t="str">
        <f t="shared" ca="1" si="2"/>
        <v/>
      </c>
      <c r="N15" s="52" t="str">
        <f t="shared" ca="1" si="2"/>
        <v/>
      </c>
      <c r="O15" s="52" t="str">
        <f t="shared" ca="1" si="2"/>
        <v/>
      </c>
      <c r="P15" s="52" t="str">
        <f t="shared" ca="1" si="2"/>
        <v/>
      </c>
      <c r="Q15" s="52" t="str">
        <f t="shared" ca="1" si="2"/>
        <v/>
      </c>
      <c r="R15" s="52" t="str">
        <f t="shared" ca="1" si="5"/>
        <v/>
      </c>
    </row>
    <row r="16" spans="1:20">
      <c r="A16" s="21">
        <v>8</v>
      </c>
      <c r="B16" s="22" t="str">
        <f t="shared" ca="1" si="3"/>
        <v/>
      </c>
      <c r="C16" s="52" t="str">
        <f t="shared" ca="1" si="4"/>
        <v/>
      </c>
      <c r="D16" s="52" t="str">
        <f t="shared" ca="1" si="2"/>
        <v/>
      </c>
      <c r="E16" s="52" t="str">
        <f t="shared" ca="1" si="2"/>
        <v/>
      </c>
      <c r="F16" s="52" t="str">
        <f t="shared" ca="1" si="2"/>
        <v/>
      </c>
      <c r="G16" s="52" t="str">
        <f t="shared" ca="1" si="2"/>
        <v/>
      </c>
      <c r="H16" s="52" t="str">
        <f t="shared" ca="1" si="2"/>
        <v/>
      </c>
      <c r="I16" s="52" t="str">
        <f t="shared" ca="1" si="2"/>
        <v/>
      </c>
      <c r="J16" s="52" t="str">
        <f t="shared" ca="1" si="2"/>
        <v/>
      </c>
      <c r="K16" s="52" t="str">
        <f t="shared" ca="1" si="2"/>
        <v/>
      </c>
      <c r="L16" s="52" t="str">
        <f t="shared" ca="1" si="2"/>
        <v/>
      </c>
      <c r="M16" s="52" t="str">
        <f t="shared" ca="1" si="2"/>
        <v/>
      </c>
      <c r="N16" s="52" t="str">
        <f t="shared" ca="1" si="2"/>
        <v/>
      </c>
      <c r="O16" s="52" t="str">
        <f t="shared" ca="1" si="2"/>
        <v/>
      </c>
      <c r="P16" s="52" t="str">
        <f t="shared" ca="1" si="2"/>
        <v/>
      </c>
      <c r="Q16" s="52" t="str">
        <f t="shared" ca="1" si="2"/>
        <v/>
      </c>
      <c r="R16" s="52" t="str">
        <f t="shared" ca="1" si="5"/>
        <v/>
      </c>
    </row>
    <row r="17" spans="1:18">
      <c r="A17" s="21">
        <v>9</v>
      </c>
      <c r="B17" s="22" t="str">
        <f t="shared" ca="1" si="3"/>
        <v/>
      </c>
      <c r="C17" s="52" t="str">
        <f t="shared" ca="1" si="4"/>
        <v/>
      </c>
      <c r="D17" s="52" t="str">
        <f t="shared" ca="1" si="2"/>
        <v/>
      </c>
      <c r="E17" s="52" t="str">
        <f t="shared" ca="1" si="2"/>
        <v/>
      </c>
      <c r="F17" s="52" t="str">
        <f t="shared" ca="1" si="2"/>
        <v/>
      </c>
      <c r="G17" s="52" t="str">
        <f t="shared" ca="1" si="2"/>
        <v/>
      </c>
      <c r="H17" s="52" t="str">
        <f t="shared" ca="1" si="2"/>
        <v/>
      </c>
      <c r="I17" s="52" t="str">
        <f t="shared" ca="1" si="2"/>
        <v/>
      </c>
      <c r="J17" s="52" t="str">
        <f t="shared" ca="1" si="2"/>
        <v/>
      </c>
      <c r="K17" s="52" t="str">
        <f t="shared" ca="1" si="2"/>
        <v/>
      </c>
      <c r="L17" s="52" t="str">
        <f t="shared" ca="1" si="2"/>
        <v/>
      </c>
      <c r="M17" s="52" t="str">
        <f t="shared" ca="1" si="2"/>
        <v/>
      </c>
      <c r="N17" s="52" t="str">
        <f t="shared" ca="1" si="2"/>
        <v/>
      </c>
      <c r="O17" s="52" t="str">
        <f t="shared" ca="1" si="2"/>
        <v/>
      </c>
      <c r="P17" s="52" t="str">
        <f t="shared" ca="1" si="2"/>
        <v/>
      </c>
      <c r="Q17" s="52" t="str">
        <f t="shared" ca="1" si="2"/>
        <v/>
      </c>
      <c r="R17" s="52" t="str">
        <f t="shared" ca="1" si="5"/>
        <v/>
      </c>
    </row>
    <row r="18" spans="1:18">
      <c r="A18" s="21">
        <v>10</v>
      </c>
      <c r="B18" s="22" t="str">
        <f t="shared" ca="1" si="3"/>
        <v/>
      </c>
      <c r="C18" s="52" t="str">
        <f t="shared" ca="1" si="4"/>
        <v/>
      </c>
      <c r="D18" s="52" t="str">
        <f t="shared" ca="1" si="2"/>
        <v/>
      </c>
      <c r="E18" s="52" t="str">
        <f t="shared" ca="1" si="2"/>
        <v/>
      </c>
      <c r="F18" s="52" t="str">
        <f t="shared" ca="1" si="2"/>
        <v/>
      </c>
      <c r="G18" s="52" t="str">
        <f t="shared" ca="1" si="2"/>
        <v/>
      </c>
      <c r="H18" s="52" t="str">
        <f t="shared" ca="1" si="2"/>
        <v/>
      </c>
      <c r="I18" s="52" t="str">
        <f t="shared" ca="1" si="2"/>
        <v/>
      </c>
      <c r="J18" s="52" t="str">
        <f t="shared" ca="1" si="2"/>
        <v/>
      </c>
      <c r="K18" s="52" t="str">
        <f t="shared" ca="1" si="2"/>
        <v/>
      </c>
      <c r="L18" s="52" t="str">
        <f t="shared" ca="1" si="2"/>
        <v/>
      </c>
      <c r="M18" s="52" t="str">
        <f t="shared" ca="1" si="2"/>
        <v/>
      </c>
      <c r="N18" s="52" t="str">
        <f t="shared" ca="1" si="2"/>
        <v/>
      </c>
      <c r="O18" s="52" t="str">
        <f t="shared" ca="1" si="2"/>
        <v/>
      </c>
      <c r="P18" s="52" t="str">
        <f t="shared" ca="1" si="2"/>
        <v/>
      </c>
      <c r="Q18" s="52" t="str">
        <f t="shared" ca="1" si="2"/>
        <v/>
      </c>
      <c r="R18" s="52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2" t="str">
        <f t="shared" ca="1" si="4"/>
        <v/>
      </c>
      <c r="D19" s="52" t="str">
        <f t="shared" ca="1" si="2"/>
        <v/>
      </c>
      <c r="E19" s="52" t="str">
        <f t="shared" ca="1" si="2"/>
        <v/>
      </c>
      <c r="F19" s="52" t="str">
        <f t="shared" ca="1" si="2"/>
        <v/>
      </c>
      <c r="G19" s="52" t="str">
        <f t="shared" ca="1" si="2"/>
        <v/>
      </c>
      <c r="H19" s="52" t="str">
        <f t="shared" ca="1" si="2"/>
        <v/>
      </c>
      <c r="I19" s="52" t="str">
        <f t="shared" ca="1" si="2"/>
        <v/>
      </c>
      <c r="J19" s="52" t="str">
        <f t="shared" ca="1" si="2"/>
        <v/>
      </c>
      <c r="K19" s="52" t="str">
        <f t="shared" ca="1" si="2"/>
        <v/>
      </c>
      <c r="L19" s="52" t="str">
        <f t="shared" ca="1" si="2"/>
        <v/>
      </c>
      <c r="M19" s="52" t="str">
        <f t="shared" ca="1" si="2"/>
        <v/>
      </c>
      <c r="N19" s="52" t="str">
        <f t="shared" ca="1" si="2"/>
        <v/>
      </c>
      <c r="O19" s="52" t="str">
        <f t="shared" ca="1" si="2"/>
        <v/>
      </c>
      <c r="P19" s="52" t="str">
        <f t="shared" ca="1" si="2"/>
        <v/>
      </c>
      <c r="Q19" s="52" t="str">
        <f t="shared" ca="1" si="2"/>
        <v/>
      </c>
      <c r="R19" s="52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2" t="str">
        <f t="shared" ca="1" si="4"/>
        <v/>
      </c>
      <c r="D20" s="52" t="str">
        <f t="shared" ca="1" si="2"/>
        <v/>
      </c>
      <c r="E20" s="52" t="str">
        <f t="shared" ca="1" si="2"/>
        <v/>
      </c>
      <c r="F20" s="52" t="str">
        <f t="shared" ca="1" si="2"/>
        <v/>
      </c>
      <c r="G20" s="52" t="str">
        <f t="shared" ca="1" si="2"/>
        <v/>
      </c>
      <c r="H20" s="52" t="str">
        <f t="shared" ca="1" si="2"/>
        <v/>
      </c>
      <c r="I20" s="52" t="str">
        <f t="shared" ca="1" si="2"/>
        <v/>
      </c>
      <c r="J20" s="52" t="str">
        <f t="shared" ca="1" si="2"/>
        <v/>
      </c>
      <c r="K20" s="52" t="str">
        <f t="shared" ca="1" si="2"/>
        <v/>
      </c>
      <c r="L20" s="52" t="str">
        <f t="shared" ca="1" si="2"/>
        <v/>
      </c>
      <c r="M20" s="52" t="str">
        <f t="shared" ca="1" si="2"/>
        <v/>
      </c>
      <c r="N20" s="52" t="str">
        <f t="shared" ca="1" si="2"/>
        <v/>
      </c>
      <c r="O20" s="52" t="str">
        <f t="shared" ca="1" si="2"/>
        <v/>
      </c>
      <c r="P20" s="52" t="str">
        <f t="shared" ca="1" si="2"/>
        <v/>
      </c>
      <c r="Q20" s="52" t="str">
        <f t="shared" ca="1" si="2"/>
        <v/>
      </c>
      <c r="R20" s="52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2" t="str">
        <f t="shared" ca="1" si="4"/>
        <v/>
      </c>
      <c r="D21" s="52" t="str">
        <f t="shared" ca="1" si="2"/>
        <v/>
      </c>
      <c r="E21" s="52" t="str">
        <f t="shared" ca="1" si="2"/>
        <v/>
      </c>
      <c r="F21" s="52" t="str">
        <f t="shared" ca="1" si="2"/>
        <v/>
      </c>
      <c r="G21" s="52" t="str">
        <f t="shared" ca="1" si="2"/>
        <v/>
      </c>
      <c r="H21" s="52" t="str">
        <f t="shared" ca="1" si="2"/>
        <v/>
      </c>
      <c r="I21" s="52" t="str">
        <f t="shared" ca="1" si="2"/>
        <v/>
      </c>
      <c r="J21" s="52" t="str">
        <f t="shared" ca="1" si="2"/>
        <v/>
      </c>
      <c r="K21" s="52" t="str">
        <f t="shared" ca="1" si="2"/>
        <v/>
      </c>
      <c r="L21" s="52" t="str">
        <f t="shared" ca="1" si="2"/>
        <v/>
      </c>
      <c r="M21" s="52" t="str">
        <f t="shared" ca="1" si="2"/>
        <v/>
      </c>
      <c r="N21" s="52" t="str">
        <f t="shared" ca="1" si="2"/>
        <v/>
      </c>
      <c r="O21" s="52" t="str">
        <f t="shared" ca="1" si="2"/>
        <v/>
      </c>
      <c r="P21" s="52" t="str">
        <f t="shared" ca="1" si="2"/>
        <v/>
      </c>
      <c r="Q21" s="52" t="str">
        <f t="shared" ca="1" si="2"/>
        <v/>
      </c>
      <c r="R21" s="52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2" t="str">
        <f t="shared" ca="1" si="4"/>
        <v/>
      </c>
      <c r="D22" s="52" t="str">
        <f t="shared" ca="1" si="2"/>
        <v/>
      </c>
      <c r="E22" s="52" t="str">
        <f t="shared" ca="1" si="2"/>
        <v/>
      </c>
      <c r="F22" s="52" t="str">
        <f t="shared" ca="1" si="2"/>
        <v/>
      </c>
      <c r="G22" s="52" t="str">
        <f t="shared" ca="1" si="2"/>
        <v/>
      </c>
      <c r="H22" s="52" t="str">
        <f t="shared" ca="1" si="2"/>
        <v/>
      </c>
      <c r="I22" s="52" t="str">
        <f t="shared" ca="1" si="2"/>
        <v/>
      </c>
      <c r="J22" s="52" t="str">
        <f t="shared" ca="1" si="2"/>
        <v/>
      </c>
      <c r="K22" s="52" t="str">
        <f t="shared" ca="1" si="2"/>
        <v/>
      </c>
      <c r="L22" s="52" t="str">
        <f t="shared" ca="1" si="2"/>
        <v/>
      </c>
      <c r="M22" s="52" t="str">
        <f t="shared" ca="1" si="2"/>
        <v/>
      </c>
      <c r="N22" s="52" t="str">
        <f t="shared" ca="1" si="2"/>
        <v/>
      </c>
      <c r="O22" s="52" t="str">
        <f t="shared" ca="1" si="2"/>
        <v/>
      </c>
      <c r="P22" s="52" t="str">
        <f t="shared" ca="1" si="2"/>
        <v/>
      </c>
      <c r="Q22" s="52" t="str">
        <f t="shared" ca="1" si="2"/>
        <v/>
      </c>
      <c r="R22" s="52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2" t="str">
        <f t="shared" ca="1" si="4"/>
        <v/>
      </c>
      <c r="D23" s="52" t="str">
        <f t="shared" ca="1" si="2"/>
        <v/>
      </c>
      <c r="E23" s="52" t="str">
        <f t="shared" ca="1" si="2"/>
        <v/>
      </c>
      <c r="F23" s="52" t="str">
        <f t="shared" ca="1" si="2"/>
        <v/>
      </c>
      <c r="G23" s="52" t="str">
        <f t="shared" ca="1" si="2"/>
        <v/>
      </c>
      <c r="H23" s="52" t="str">
        <f t="shared" ca="1" si="2"/>
        <v/>
      </c>
      <c r="I23" s="52" t="str">
        <f t="shared" ca="1" si="2"/>
        <v/>
      </c>
      <c r="J23" s="52" t="str">
        <f t="shared" ca="1" si="2"/>
        <v/>
      </c>
      <c r="K23" s="52" t="str">
        <f t="shared" ca="1" si="2"/>
        <v/>
      </c>
      <c r="L23" s="52" t="str">
        <f t="shared" ca="1" si="2"/>
        <v/>
      </c>
      <c r="M23" s="52" t="str">
        <f t="shared" ca="1" si="2"/>
        <v/>
      </c>
      <c r="N23" s="52" t="str">
        <f t="shared" ca="1" si="2"/>
        <v/>
      </c>
      <c r="O23" s="52" t="str">
        <f t="shared" ca="1" si="2"/>
        <v/>
      </c>
      <c r="P23" s="52" t="str">
        <f t="shared" ca="1" si="2"/>
        <v/>
      </c>
      <c r="Q23" s="52" t="str">
        <f t="shared" ca="1" si="2"/>
        <v/>
      </c>
      <c r="R23" s="52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2" t="str">
        <f t="shared" ca="1" si="4"/>
        <v/>
      </c>
      <c r="D24" s="52" t="str">
        <f t="shared" ca="1" si="2"/>
        <v/>
      </c>
      <c r="E24" s="52" t="str">
        <f t="shared" ca="1" si="2"/>
        <v/>
      </c>
      <c r="F24" s="52" t="str">
        <f t="shared" ca="1" si="2"/>
        <v/>
      </c>
      <c r="G24" s="52" t="str">
        <f t="shared" ca="1" si="2"/>
        <v/>
      </c>
      <c r="H24" s="52" t="str">
        <f t="shared" ca="1" si="2"/>
        <v/>
      </c>
      <c r="I24" s="52" t="str">
        <f t="shared" ca="1" si="2"/>
        <v/>
      </c>
      <c r="J24" s="52" t="str">
        <f t="shared" ca="1" si="2"/>
        <v/>
      </c>
      <c r="K24" s="52" t="str">
        <f t="shared" ca="1" si="2"/>
        <v/>
      </c>
      <c r="L24" s="52" t="str">
        <f t="shared" ca="1" si="2"/>
        <v/>
      </c>
      <c r="M24" s="52" t="str">
        <f t="shared" ca="1" si="2"/>
        <v/>
      </c>
      <c r="N24" s="52" t="str">
        <f t="shared" ca="1" si="2"/>
        <v/>
      </c>
      <c r="O24" s="52" t="str">
        <f t="shared" ca="1" si="2"/>
        <v/>
      </c>
      <c r="P24" s="52" t="str">
        <f t="shared" ca="1" si="2"/>
        <v/>
      </c>
      <c r="Q24" s="52" t="str">
        <f t="shared" ca="1" si="2"/>
        <v/>
      </c>
      <c r="R24" s="52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2" t="str">
        <f t="shared" ca="1" si="4"/>
        <v/>
      </c>
      <c r="D25" s="52" t="str">
        <f t="shared" ca="1" si="4"/>
        <v/>
      </c>
      <c r="E25" s="52" t="str">
        <f t="shared" ca="1" si="4"/>
        <v/>
      </c>
      <c r="F25" s="52" t="str">
        <f t="shared" ca="1" si="4"/>
        <v/>
      </c>
      <c r="G25" s="52" t="str">
        <f t="shared" ca="1" si="4"/>
        <v/>
      </c>
      <c r="H25" s="52" t="str">
        <f t="shared" ca="1" si="4"/>
        <v/>
      </c>
      <c r="I25" s="52" t="str">
        <f t="shared" ca="1" si="4"/>
        <v/>
      </c>
      <c r="J25" s="52" t="str">
        <f t="shared" ca="1" si="4"/>
        <v/>
      </c>
      <c r="K25" s="52" t="str">
        <f t="shared" ca="1" si="4"/>
        <v/>
      </c>
      <c r="L25" s="52" t="str">
        <f t="shared" ca="1" si="4"/>
        <v/>
      </c>
      <c r="M25" s="52" t="str">
        <f t="shared" ca="1" si="4"/>
        <v/>
      </c>
      <c r="N25" s="52" t="str">
        <f t="shared" ca="1" si="4"/>
        <v/>
      </c>
      <c r="O25" s="52" t="str">
        <f t="shared" ca="1" si="4"/>
        <v/>
      </c>
      <c r="P25" s="52" t="str">
        <f t="shared" ca="1" si="4"/>
        <v/>
      </c>
      <c r="Q25" s="52" t="str">
        <f t="shared" ca="1" si="4"/>
        <v/>
      </c>
      <c r="R25" s="52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2" t="str">
        <f t="shared" ca="1" si="4"/>
        <v/>
      </c>
      <c r="D26" s="52" t="str">
        <f t="shared" ca="1" si="4"/>
        <v/>
      </c>
      <c r="E26" s="52" t="str">
        <f t="shared" ca="1" si="4"/>
        <v/>
      </c>
      <c r="F26" s="52" t="str">
        <f t="shared" ca="1" si="4"/>
        <v/>
      </c>
      <c r="G26" s="52" t="str">
        <f t="shared" ca="1" si="4"/>
        <v/>
      </c>
      <c r="H26" s="52" t="str">
        <f t="shared" ca="1" si="4"/>
        <v/>
      </c>
      <c r="I26" s="52" t="str">
        <f t="shared" ca="1" si="4"/>
        <v/>
      </c>
      <c r="J26" s="52" t="str">
        <f t="shared" ca="1" si="4"/>
        <v/>
      </c>
      <c r="K26" s="52" t="str">
        <f t="shared" ca="1" si="4"/>
        <v/>
      </c>
      <c r="L26" s="52" t="str">
        <f t="shared" ca="1" si="4"/>
        <v/>
      </c>
      <c r="M26" s="52" t="str">
        <f t="shared" ca="1" si="4"/>
        <v/>
      </c>
      <c r="N26" s="52" t="str">
        <f t="shared" ca="1" si="4"/>
        <v/>
      </c>
      <c r="O26" s="52" t="str">
        <f t="shared" ca="1" si="4"/>
        <v/>
      </c>
      <c r="P26" s="52" t="str">
        <f t="shared" ca="1" si="4"/>
        <v/>
      </c>
      <c r="Q26" s="52" t="str">
        <f t="shared" ca="1" si="4"/>
        <v/>
      </c>
      <c r="R26" s="52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2" t="str">
        <f t="shared" ca="1" si="4"/>
        <v/>
      </c>
      <c r="D27" s="52" t="str">
        <f t="shared" ca="1" si="4"/>
        <v/>
      </c>
      <c r="E27" s="52" t="str">
        <f t="shared" ca="1" si="4"/>
        <v/>
      </c>
      <c r="F27" s="52" t="str">
        <f t="shared" ca="1" si="4"/>
        <v/>
      </c>
      <c r="G27" s="52" t="str">
        <f t="shared" ca="1" si="4"/>
        <v/>
      </c>
      <c r="H27" s="52" t="str">
        <f t="shared" ca="1" si="4"/>
        <v/>
      </c>
      <c r="I27" s="52" t="str">
        <f t="shared" ca="1" si="4"/>
        <v/>
      </c>
      <c r="J27" s="52" t="str">
        <f t="shared" ca="1" si="4"/>
        <v/>
      </c>
      <c r="K27" s="52" t="str">
        <f t="shared" ca="1" si="4"/>
        <v/>
      </c>
      <c r="L27" s="52" t="str">
        <f t="shared" ca="1" si="4"/>
        <v/>
      </c>
      <c r="M27" s="52" t="str">
        <f t="shared" ca="1" si="4"/>
        <v/>
      </c>
      <c r="N27" s="52" t="str">
        <f t="shared" ca="1" si="4"/>
        <v/>
      </c>
      <c r="O27" s="52" t="str">
        <f t="shared" ca="1" si="4"/>
        <v/>
      </c>
      <c r="P27" s="52" t="str">
        <f t="shared" ca="1" si="4"/>
        <v/>
      </c>
      <c r="Q27" s="52" t="str">
        <f t="shared" ca="1" si="4"/>
        <v/>
      </c>
      <c r="R27" s="52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2" t="str">
        <f t="shared" ca="1" si="4"/>
        <v/>
      </c>
      <c r="D28" s="52" t="str">
        <f t="shared" ca="1" si="4"/>
        <v/>
      </c>
      <c r="E28" s="52" t="str">
        <f t="shared" ca="1" si="4"/>
        <v/>
      </c>
      <c r="F28" s="52" t="str">
        <f t="shared" ca="1" si="4"/>
        <v/>
      </c>
      <c r="G28" s="52" t="str">
        <f t="shared" ca="1" si="4"/>
        <v/>
      </c>
      <c r="H28" s="52" t="str">
        <f t="shared" ca="1" si="4"/>
        <v/>
      </c>
      <c r="I28" s="52" t="str">
        <f t="shared" ca="1" si="4"/>
        <v/>
      </c>
      <c r="J28" s="52" t="str">
        <f t="shared" ca="1" si="4"/>
        <v/>
      </c>
      <c r="K28" s="52" t="str">
        <f t="shared" ca="1" si="4"/>
        <v/>
      </c>
      <c r="L28" s="52" t="str">
        <f t="shared" ca="1" si="4"/>
        <v/>
      </c>
      <c r="M28" s="52" t="str">
        <f t="shared" ca="1" si="4"/>
        <v/>
      </c>
      <c r="N28" s="52" t="str">
        <f t="shared" ca="1" si="4"/>
        <v/>
      </c>
      <c r="O28" s="52" t="str">
        <f t="shared" ca="1" si="4"/>
        <v/>
      </c>
      <c r="P28" s="52" t="str">
        <f t="shared" ca="1" si="4"/>
        <v/>
      </c>
      <c r="Q28" s="52" t="str">
        <f t="shared" ca="1" si="4"/>
        <v/>
      </c>
      <c r="R28" s="52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2" t="str">
        <f t="shared" ca="1" si="4"/>
        <v/>
      </c>
      <c r="D29" s="52" t="str">
        <f t="shared" ca="1" si="4"/>
        <v/>
      </c>
      <c r="E29" s="52" t="str">
        <f t="shared" ca="1" si="4"/>
        <v/>
      </c>
      <c r="F29" s="52" t="str">
        <f t="shared" ca="1" si="4"/>
        <v/>
      </c>
      <c r="G29" s="52" t="str">
        <f t="shared" ca="1" si="4"/>
        <v/>
      </c>
      <c r="H29" s="52" t="str">
        <f t="shared" ca="1" si="4"/>
        <v/>
      </c>
      <c r="I29" s="52" t="str">
        <f t="shared" ca="1" si="4"/>
        <v/>
      </c>
      <c r="J29" s="52" t="str">
        <f t="shared" ca="1" si="4"/>
        <v/>
      </c>
      <c r="K29" s="52" t="str">
        <f t="shared" ca="1" si="4"/>
        <v/>
      </c>
      <c r="L29" s="52" t="str">
        <f t="shared" ca="1" si="4"/>
        <v/>
      </c>
      <c r="M29" s="52" t="str">
        <f t="shared" ca="1" si="4"/>
        <v/>
      </c>
      <c r="N29" s="52" t="str">
        <f t="shared" ca="1" si="4"/>
        <v/>
      </c>
      <c r="O29" s="52" t="str">
        <f t="shared" ca="1" si="4"/>
        <v/>
      </c>
      <c r="P29" s="52" t="str">
        <f t="shared" ca="1" si="4"/>
        <v/>
      </c>
      <c r="Q29" s="52" t="str">
        <f t="shared" ca="1" si="4"/>
        <v/>
      </c>
      <c r="R29" s="52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2" t="str">
        <f t="shared" ca="1" si="4"/>
        <v/>
      </c>
      <c r="D30" s="52" t="str">
        <f t="shared" ca="1" si="4"/>
        <v/>
      </c>
      <c r="E30" s="52" t="str">
        <f t="shared" ca="1" si="4"/>
        <v/>
      </c>
      <c r="F30" s="52" t="str">
        <f t="shared" ca="1" si="4"/>
        <v/>
      </c>
      <c r="G30" s="52" t="str">
        <f t="shared" ca="1" si="4"/>
        <v/>
      </c>
      <c r="H30" s="52" t="str">
        <f t="shared" ca="1" si="4"/>
        <v/>
      </c>
      <c r="I30" s="52" t="str">
        <f t="shared" ca="1" si="4"/>
        <v/>
      </c>
      <c r="J30" s="52" t="str">
        <f t="shared" ca="1" si="4"/>
        <v/>
      </c>
      <c r="K30" s="52" t="str">
        <f t="shared" ca="1" si="4"/>
        <v/>
      </c>
      <c r="L30" s="52" t="str">
        <f t="shared" ca="1" si="4"/>
        <v/>
      </c>
      <c r="M30" s="52" t="str">
        <f t="shared" ca="1" si="4"/>
        <v/>
      </c>
      <c r="N30" s="52" t="str">
        <f t="shared" ca="1" si="4"/>
        <v/>
      </c>
      <c r="O30" s="52" t="str">
        <f t="shared" ca="1" si="4"/>
        <v/>
      </c>
      <c r="P30" s="52" t="str">
        <f t="shared" ca="1" si="4"/>
        <v/>
      </c>
      <c r="Q30" s="52" t="str">
        <f t="shared" ca="1" si="4"/>
        <v/>
      </c>
      <c r="R30" s="52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2" t="str">
        <f t="shared" ca="1" si="4"/>
        <v/>
      </c>
      <c r="D31" s="52" t="str">
        <f t="shared" ca="1" si="4"/>
        <v/>
      </c>
      <c r="E31" s="52" t="str">
        <f t="shared" ca="1" si="4"/>
        <v/>
      </c>
      <c r="F31" s="52" t="str">
        <f t="shared" ca="1" si="4"/>
        <v/>
      </c>
      <c r="G31" s="52" t="str">
        <f t="shared" ca="1" si="4"/>
        <v/>
      </c>
      <c r="H31" s="52" t="str">
        <f t="shared" ca="1" si="4"/>
        <v/>
      </c>
      <c r="I31" s="52" t="str">
        <f t="shared" ca="1" si="4"/>
        <v/>
      </c>
      <c r="J31" s="52" t="str">
        <f t="shared" ca="1" si="4"/>
        <v/>
      </c>
      <c r="K31" s="52" t="str">
        <f t="shared" ca="1" si="4"/>
        <v/>
      </c>
      <c r="L31" s="52" t="str">
        <f t="shared" ca="1" si="4"/>
        <v/>
      </c>
      <c r="M31" s="52" t="str">
        <f t="shared" ca="1" si="4"/>
        <v/>
      </c>
      <c r="N31" s="52" t="str">
        <f t="shared" ca="1" si="4"/>
        <v/>
      </c>
      <c r="O31" s="52" t="str">
        <f t="shared" ca="1" si="4"/>
        <v/>
      </c>
      <c r="P31" s="52" t="str">
        <f t="shared" ca="1" si="4"/>
        <v/>
      </c>
      <c r="Q31" s="52" t="str">
        <f t="shared" ca="1" si="4"/>
        <v/>
      </c>
      <c r="R31" s="52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2" t="str">
        <f t="shared" ca="1" si="4"/>
        <v/>
      </c>
      <c r="D32" s="52" t="str">
        <f t="shared" ca="1" si="4"/>
        <v/>
      </c>
      <c r="E32" s="52" t="str">
        <f t="shared" ca="1" si="4"/>
        <v/>
      </c>
      <c r="F32" s="52" t="str">
        <f t="shared" ca="1" si="4"/>
        <v/>
      </c>
      <c r="G32" s="52" t="str">
        <f t="shared" ca="1" si="4"/>
        <v/>
      </c>
      <c r="H32" s="52" t="str">
        <f t="shared" ca="1" si="4"/>
        <v/>
      </c>
      <c r="I32" s="52" t="str">
        <f t="shared" ca="1" si="4"/>
        <v/>
      </c>
      <c r="J32" s="52" t="str">
        <f t="shared" ca="1" si="4"/>
        <v/>
      </c>
      <c r="K32" s="52" t="str">
        <f t="shared" ca="1" si="4"/>
        <v/>
      </c>
      <c r="L32" s="52" t="str">
        <f t="shared" ca="1" si="4"/>
        <v/>
      </c>
      <c r="M32" s="52" t="str">
        <f t="shared" ca="1" si="4"/>
        <v/>
      </c>
      <c r="N32" s="52" t="str">
        <f t="shared" ca="1" si="4"/>
        <v/>
      </c>
      <c r="O32" s="52" t="str">
        <f t="shared" ca="1" si="4"/>
        <v/>
      </c>
      <c r="P32" s="52" t="str">
        <f t="shared" ca="1" si="4"/>
        <v/>
      </c>
      <c r="Q32" s="52" t="str">
        <f t="shared" ca="1" si="4"/>
        <v/>
      </c>
      <c r="R32" s="52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2" t="str">
        <f t="shared" ca="1" si="4"/>
        <v/>
      </c>
      <c r="D33" s="52" t="str">
        <f t="shared" ca="1" si="4"/>
        <v/>
      </c>
      <c r="E33" s="52" t="str">
        <f t="shared" ca="1" si="4"/>
        <v/>
      </c>
      <c r="F33" s="52" t="str">
        <f t="shared" ca="1" si="4"/>
        <v/>
      </c>
      <c r="G33" s="52" t="str">
        <f t="shared" ca="1" si="4"/>
        <v/>
      </c>
      <c r="H33" s="52" t="str">
        <f t="shared" ca="1" si="4"/>
        <v/>
      </c>
      <c r="I33" s="52" t="str">
        <f t="shared" ca="1" si="4"/>
        <v/>
      </c>
      <c r="J33" s="52" t="str">
        <f t="shared" ca="1" si="4"/>
        <v/>
      </c>
      <c r="K33" s="52" t="str">
        <f t="shared" ca="1" si="4"/>
        <v/>
      </c>
      <c r="L33" s="52" t="str">
        <f t="shared" ca="1" si="4"/>
        <v/>
      </c>
      <c r="M33" s="52" t="str">
        <f t="shared" ca="1" si="4"/>
        <v/>
      </c>
      <c r="N33" s="52" t="str">
        <f t="shared" ca="1" si="4"/>
        <v/>
      </c>
      <c r="O33" s="52" t="str">
        <f t="shared" ca="1" si="4"/>
        <v/>
      </c>
      <c r="P33" s="52" t="str">
        <f t="shared" ca="1" si="4"/>
        <v/>
      </c>
      <c r="Q33" s="52" t="str">
        <f t="shared" ca="1" si="4"/>
        <v/>
      </c>
      <c r="R33" s="52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2" t="str">
        <f t="shared" ca="1" si="4"/>
        <v/>
      </c>
      <c r="D34" s="52" t="str">
        <f t="shared" ca="1" si="4"/>
        <v/>
      </c>
      <c r="E34" s="52" t="str">
        <f t="shared" ca="1" si="4"/>
        <v/>
      </c>
      <c r="F34" s="52" t="str">
        <f t="shared" ca="1" si="4"/>
        <v/>
      </c>
      <c r="G34" s="52" t="str">
        <f t="shared" ca="1" si="4"/>
        <v/>
      </c>
      <c r="H34" s="52" t="str">
        <f t="shared" ca="1" si="4"/>
        <v/>
      </c>
      <c r="I34" s="52" t="str">
        <f t="shared" ca="1" si="4"/>
        <v/>
      </c>
      <c r="J34" s="52" t="str">
        <f t="shared" ca="1" si="4"/>
        <v/>
      </c>
      <c r="K34" s="52" t="str">
        <f t="shared" ca="1" si="4"/>
        <v/>
      </c>
      <c r="L34" s="52" t="str">
        <f t="shared" ca="1" si="4"/>
        <v/>
      </c>
      <c r="M34" s="52" t="str">
        <f t="shared" ca="1" si="4"/>
        <v/>
      </c>
      <c r="N34" s="52" t="str">
        <f t="shared" ca="1" si="4"/>
        <v/>
      </c>
      <c r="O34" s="52" t="str">
        <f t="shared" ca="1" si="4"/>
        <v/>
      </c>
      <c r="P34" s="52" t="str">
        <f t="shared" ca="1" si="4"/>
        <v/>
      </c>
      <c r="Q34" s="52" t="str">
        <f t="shared" ca="1" si="4"/>
        <v/>
      </c>
      <c r="R34" s="52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2" t="str">
        <f t="shared" ca="1" si="4"/>
        <v/>
      </c>
      <c r="D35" s="52" t="str">
        <f t="shared" ca="1" si="4"/>
        <v/>
      </c>
      <c r="E35" s="52" t="str">
        <f t="shared" ca="1" si="4"/>
        <v/>
      </c>
      <c r="F35" s="52" t="str">
        <f t="shared" ca="1" si="4"/>
        <v/>
      </c>
      <c r="G35" s="52" t="str">
        <f t="shared" ca="1" si="4"/>
        <v/>
      </c>
      <c r="H35" s="52" t="str">
        <f t="shared" ca="1" si="4"/>
        <v/>
      </c>
      <c r="I35" s="52" t="str">
        <f t="shared" ca="1" si="4"/>
        <v/>
      </c>
      <c r="J35" s="52" t="str">
        <f t="shared" ca="1" si="4"/>
        <v/>
      </c>
      <c r="K35" s="52" t="str">
        <f t="shared" ca="1" si="4"/>
        <v/>
      </c>
      <c r="L35" s="52" t="str">
        <f t="shared" ca="1" si="4"/>
        <v/>
      </c>
      <c r="M35" s="52" t="str">
        <f t="shared" ca="1" si="4"/>
        <v/>
      </c>
      <c r="N35" s="52" t="str">
        <f t="shared" ca="1" si="4"/>
        <v/>
      </c>
      <c r="O35" s="52" t="str">
        <f t="shared" ca="1" si="4"/>
        <v/>
      </c>
      <c r="P35" s="52" t="str">
        <f t="shared" ca="1" si="4"/>
        <v/>
      </c>
      <c r="Q35" s="52" t="str">
        <f t="shared" ca="1" si="4"/>
        <v/>
      </c>
      <c r="R35" s="52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2" t="str">
        <f t="shared" ca="1" si="4"/>
        <v/>
      </c>
      <c r="D36" s="52" t="str">
        <f t="shared" ca="1" si="4"/>
        <v/>
      </c>
      <c r="E36" s="52" t="str">
        <f t="shared" ca="1" si="4"/>
        <v/>
      </c>
      <c r="F36" s="52" t="str">
        <f t="shared" ca="1" si="4"/>
        <v/>
      </c>
      <c r="G36" s="52" t="str">
        <f t="shared" ca="1" si="4"/>
        <v/>
      </c>
      <c r="H36" s="52" t="str">
        <f t="shared" ca="1" si="4"/>
        <v/>
      </c>
      <c r="I36" s="52" t="str">
        <f t="shared" ca="1" si="4"/>
        <v/>
      </c>
      <c r="J36" s="52" t="str">
        <f t="shared" ca="1" si="4"/>
        <v/>
      </c>
      <c r="K36" s="52" t="str">
        <f t="shared" ca="1" si="4"/>
        <v/>
      </c>
      <c r="L36" s="52" t="str">
        <f t="shared" ca="1" si="4"/>
        <v/>
      </c>
      <c r="M36" s="52" t="str">
        <f t="shared" ca="1" si="4"/>
        <v/>
      </c>
      <c r="N36" s="52" t="str">
        <f t="shared" ca="1" si="4"/>
        <v/>
      </c>
      <c r="O36" s="52" t="str">
        <f t="shared" ca="1" si="4"/>
        <v/>
      </c>
      <c r="P36" s="52" t="str">
        <f t="shared" ca="1" si="4"/>
        <v/>
      </c>
      <c r="Q36" s="52" t="str">
        <f t="shared" ca="1" si="4"/>
        <v/>
      </c>
      <c r="R36" s="52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2" t="str">
        <f t="shared" ca="1" si="4"/>
        <v/>
      </c>
      <c r="D37" s="52" t="str">
        <f t="shared" ca="1" si="4"/>
        <v/>
      </c>
      <c r="E37" s="52" t="str">
        <f t="shared" ca="1" si="4"/>
        <v/>
      </c>
      <c r="F37" s="52" t="str">
        <f t="shared" ca="1" si="4"/>
        <v/>
      </c>
      <c r="G37" s="52" t="str">
        <f t="shared" ca="1" si="4"/>
        <v/>
      </c>
      <c r="H37" s="52" t="str">
        <f t="shared" ca="1" si="4"/>
        <v/>
      </c>
      <c r="I37" s="52" t="str">
        <f t="shared" ca="1" si="4"/>
        <v/>
      </c>
      <c r="J37" s="52" t="str">
        <f t="shared" ca="1" si="4"/>
        <v/>
      </c>
      <c r="K37" s="52" t="str">
        <f t="shared" ca="1" si="4"/>
        <v/>
      </c>
      <c r="L37" s="52" t="str">
        <f t="shared" ca="1" si="4"/>
        <v/>
      </c>
      <c r="M37" s="52" t="str">
        <f t="shared" ca="1" si="4"/>
        <v/>
      </c>
      <c r="N37" s="52" t="str">
        <f t="shared" ca="1" si="4"/>
        <v/>
      </c>
      <c r="O37" s="52" t="str">
        <f t="shared" ca="1" si="4"/>
        <v/>
      </c>
      <c r="P37" s="52" t="str">
        <f t="shared" ca="1" si="4"/>
        <v/>
      </c>
      <c r="Q37" s="52" t="str">
        <f t="shared" ca="1" si="4"/>
        <v/>
      </c>
      <c r="R37" s="52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2" t="str">
        <f t="shared" ca="1" si="4"/>
        <v/>
      </c>
      <c r="D38" s="52" t="str">
        <f t="shared" ca="1" si="4"/>
        <v/>
      </c>
      <c r="E38" s="52" t="str">
        <f t="shared" ca="1" si="4"/>
        <v/>
      </c>
      <c r="F38" s="52" t="str">
        <f t="shared" ca="1" si="4"/>
        <v/>
      </c>
      <c r="G38" s="52" t="str">
        <f t="shared" ca="1" si="4"/>
        <v/>
      </c>
      <c r="H38" s="52" t="str">
        <f t="shared" ca="1" si="4"/>
        <v/>
      </c>
      <c r="I38" s="52" t="str">
        <f t="shared" ca="1" si="4"/>
        <v/>
      </c>
      <c r="J38" s="52" t="str">
        <f t="shared" ca="1" si="4"/>
        <v/>
      </c>
      <c r="K38" s="52" t="str">
        <f t="shared" ca="1" si="4"/>
        <v/>
      </c>
      <c r="L38" s="52" t="str">
        <f t="shared" ca="1" si="4"/>
        <v/>
      </c>
      <c r="M38" s="52" t="str">
        <f t="shared" ca="1" si="4"/>
        <v/>
      </c>
      <c r="N38" s="52" t="str">
        <f t="shared" ca="1" si="4"/>
        <v/>
      </c>
      <c r="O38" s="52" t="str">
        <f t="shared" ca="1" si="4"/>
        <v/>
      </c>
      <c r="P38" s="52" t="str">
        <f t="shared" ca="1" si="4"/>
        <v/>
      </c>
      <c r="Q38" s="52" t="str">
        <f t="shared" ca="1" si="4"/>
        <v/>
      </c>
      <c r="R38" s="52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2" t="str">
        <f t="shared" ca="1" si="4"/>
        <v/>
      </c>
      <c r="D39" s="52" t="str">
        <f t="shared" ca="1" si="4"/>
        <v/>
      </c>
      <c r="E39" s="52" t="str">
        <f t="shared" ca="1" si="4"/>
        <v/>
      </c>
      <c r="F39" s="52" t="str">
        <f t="shared" ca="1" si="4"/>
        <v/>
      </c>
      <c r="G39" s="52" t="str">
        <f t="shared" ca="1" si="4"/>
        <v/>
      </c>
      <c r="H39" s="52" t="str">
        <f t="shared" ca="1" si="4"/>
        <v/>
      </c>
      <c r="I39" s="52" t="str">
        <f t="shared" ca="1" si="4"/>
        <v/>
      </c>
      <c r="J39" s="52" t="str">
        <f t="shared" ca="1" si="4"/>
        <v/>
      </c>
      <c r="K39" s="52" t="str">
        <f t="shared" ca="1" si="4"/>
        <v/>
      </c>
      <c r="L39" s="52" t="str">
        <f t="shared" ca="1" si="4"/>
        <v/>
      </c>
      <c r="M39" s="52" t="str">
        <f t="shared" ca="1" si="4"/>
        <v/>
      </c>
      <c r="N39" s="52" t="str">
        <f t="shared" ca="1" si="4"/>
        <v/>
      </c>
      <c r="O39" s="52" t="str">
        <f t="shared" ca="1" si="4"/>
        <v/>
      </c>
      <c r="P39" s="52" t="str">
        <f t="shared" ca="1" si="4"/>
        <v/>
      </c>
      <c r="Q39" s="52" t="str">
        <f t="shared" ca="1" si="4"/>
        <v/>
      </c>
      <c r="R39" s="52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2" t="str">
        <f t="shared" ca="1" si="4"/>
        <v/>
      </c>
      <c r="D40" s="52" t="str">
        <f t="shared" ca="1" si="4"/>
        <v/>
      </c>
      <c r="E40" s="52" t="str">
        <f t="shared" ca="1" si="4"/>
        <v/>
      </c>
      <c r="F40" s="52" t="str">
        <f t="shared" ca="1" si="4"/>
        <v/>
      </c>
      <c r="G40" s="52" t="str">
        <f t="shared" ca="1" si="4"/>
        <v/>
      </c>
      <c r="H40" s="52" t="str">
        <f t="shared" ca="1" si="4"/>
        <v/>
      </c>
      <c r="I40" s="52" t="str">
        <f t="shared" ca="1" si="4"/>
        <v/>
      </c>
      <c r="J40" s="52" t="str">
        <f t="shared" ca="1" si="4"/>
        <v/>
      </c>
      <c r="K40" s="52" t="str">
        <f t="shared" ca="1" si="4"/>
        <v/>
      </c>
      <c r="L40" s="52" t="str">
        <f t="shared" ca="1" si="4"/>
        <v/>
      </c>
      <c r="M40" s="52" t="str">
        <f t="shared" ca="1" si="4"/>
        <v/>
      </c>
      <c r="N40" s="52" t="str">
        <f t="shared" ca="1" si="4"/>
        <v/>
      </c>
      <c r="O40" s="52" t="str">
        <f t="shared" ca="1" si="4"/>
        <v/>
      </c>
      <c r="P40" s="52" t="str">
        <f t="shared" ca="1" si="4"/>
        <v/>
      </c>
      <c r="Q40" s="52" t="str">
        <f t="shared" ca="1" si="4"/>
        <v/>
      </c>
      <c r="R40" s="52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2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2" t="str">
        <f t="shared" ca="1" si="6"/>
        <v/>
      </c>
      <c r="E41" s="52" t="str">
        <f t="shared" ca="1" si="6"/>
        <v/>
      </c>
      <c r="F41" s="52" t="str">
        <f t="shared" ca="1" si="6"/>
        <v/>
      </c>
      <c r="G41" s="52" t="str">
        <f t="shared" ca="1" si="6"/>
        <v/>
      </c>
      <c r="H41" s="52" t="str">
        <f t="shared" ca="1" si="6"/>
        <v/>
      </c>
      <c r="I41" s="52" t="str">
        <f t="shared" ca="1" si="6"/>
        <v/>
      </c>
      <c r="J41" s="52" t="str">
        <f t="shared" ca="1" si="6"/>
        <v/>
      </c>
      <c r="K41" s="52" t="str">
        <f t="shared" ca="1" si="6"/>
        <v/>
      </c>
      <c r="L41" s="52" t="str">
        <f t="shared" ca="1" si="6"/>
        <v/>
      </c>
      <c r="M41" s="52" t="str">
        <f t="shared" ca="1" si="6"/>
        <v/>
      </c>
      <c r="N41" s="52" t="str">
        <f t="shared" ca="1" si="6"/>
        <v/>
      </c>
      <c r="O41" s="52" t="str">
        <f t="shared" ca="1" si="6"/>
        <v/>
      </c>
      <c r="P41" s="52" t="str">
        <f t="shared" ca="1" si="6"/>
        <v/>
      </c>
      <c r="Q41" s="52" t="str">
        <f t="shared" ca="1" si="6"/>
        <v/>
      </c>
      <c r="R41" s="52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2" t="str">
        <f t="shared" ca="1" si="6"/>
        <v/>
      </c>
      <c r="D42" s="52" t="str">
        <f t="shared" ca="1" si="6"/>
        <v/>
      </c>
      <c r="E42" s="52" t="str">
        <f t="shared" ca="1" si="6"/>
        <v/>
      </c>
      <c r="F42" s="52" t="str">
        <f t="shared" ca="1" si="6"/>
        <v/>
      </c>
      <c r="G42" s="52" t="str">
        <f t="shared" ca="1" si="6"/>
        <v/>
      </c>
      <c r="H42" s="52" t="str">
        <f t="shared" ca="1" si="6"/>
        <v/>
      </c>
      <c r="I42" s="52" t="str">
        <f t="shared" ca="1" si="6"/>
        <v/>
      </c>
      <c r="J42" s="52" t="str">
        <f t="shared" ca="1" si="6"/>
        <v/>
      </c>
      <c r="K42" s="52" t="str">
        <f t="shared" ca="1" si="6"/>
        <v/>
      </c>
      <c r="L42" s="52" t="str">
        <f t="shared" ca="1" si="6"/>
        <v/>
      </c>
      <c r="M42" s="52" t="str">
        <f t="shared" ca="1" si="6"/>
        <v/>
      </c>
      <c r="N42" s="52" t="str">
        <f t="shared" ca="1" si="6"/>
        <v/>
      </c>
      <c r="O42" s="52" t="str">
        <f t="shared" ca="1" si="6"/>
        <v/>
      </c>
      <c r="P42" s="52" t="str">
        <f t="shared" ca="1" si="6"/>
        <v/>
      </c>
      <c r="Q42" s="52" t="str">
        <f t="shared" ca="1" si="6"/>
        <v/>
      </c>
      <c r="R42" s="52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2" t="str">
        <f t="shared" ca="1" si="6"/>
        <v/>
      </c>
      <c r="D43" s="52" t="str">
        <f t="shared" ca="1" si="6"/>
        <v/>
      </c>
      <c r="E43" s="52" t="str">
        <f t="shared" ca="1" si="6"/>
        <v/>
      </c>
      <c r="F43" s="52" t="str">
        <f t="shared" ca="1" si="6"/>
        <v/>
      </c>
      <c r="G43" s="52" t="str">
        <f t="shared" ca="1" si="6"/>
        <v/>
      </c>
      <c r="H43" s="52" t="str">
        <f t="shared" ca="1" si="6"/>
        <v/>
      </c>
      <c r="I43" s="52" t="str">
        <f t="shared" ca="1" si="6"/>
        <v/>
      </c>
      <c r="J43" s="52" t="str">
        <f t="shared" ca="1" si="6"/>
        <v/>
      </c>
      <c r="K43" s="52" t="str">
        <f t="shared" ca="1" si="6"/>
        <v/>
      </c>
      <c r="L43" s="52" t="str">
        <f t="shared" ca="1" si="6"/>
        <v/>
      </c>
      <c r="M43" s="52" t="str">
        <f t="shared" ca="1" si="6"/>
        <v/>
      </c>
      <c r="N43" s="52" t="str">
        <f t="shared" ca="1" si="6"/>
        <v/>
      </c>
      <c r="O43" s="52" t="str">
        <f t="shared" ca="1" si="6"/>
        <v/>
      </c>
      <c r="P43" s="52" t="str">
        <f t="shared" ca="1" si="6"/>
        <v/>
      </c>
      <c r="Q43" s="52" t="str">
        <f t="shared" ca="1" si="6"/>
        <v/>
      </c>
      <c r="R43" s="52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2" t="str">
        <f t="shared" ca="1" si="6"/>
        <v/>
      </c>
      <c r="D44" s="52" t="str">
        <f t="shared" ca="1" si="6"/>
        <v/>
      </c>
      <c r="E44" s="52" t="str">
        <f t="shared" ca="1" si="6"/>
        <v/>
      </c>
      <c r="F44" s="52" t="str">
        <f t="shared" ca="1" si="6"/>
        <v/>
      </c>
      <c r="G44" s="52" t="str">
        <f t="shared" ca="1" si="6"/>
        <v/>
      </c>
      <c r="H44" s="52" t="str">
        <f t="shared" ca="1" si="6"/>
        <v/>
      </c>
      <c r="I44" s="52" t="str">
        <f t="shared" ca="1" si="6"/>
        <v/>
      </c>
      <c r="J44" s="52" t="str">
        <f t="shared" ca="1" si="6"/>
        <v/>
      </c>
      <c r="K44" s="52" t="str">
        <f t="shared" ca="1" si="6"/>
        <v/>
      </c>
      <c r="L44" s="52" t="str">
        <f t="shared" ca="1" si="6"/>
        <v/>
      </c>
      <c r="M44" s="52" t="str">
        <f t="shared" ca="1" si="6"/>
        <v/>
      </c>
      <c r="N44" s="52" t="str">
        <f t="shared" ca="1" si="6"/>
        <v/>
      </c>
      <c r="O44" s="52" t="str">
        <f t="shared" ca="1" si="6"/>
        <v/>
      </c>
      <c r="P44" s="52" t="str">
        <f t="shared" ca="1" si="6"/>
        <v/>
      </c>
      <c r="Q44" s="52" t="str">
        <f t="shared" ca="1" si="6"/>
        <v/>
      </c>
      <c r="R44" s="52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2" t="str">
        <f t="shared" ca="1" si="6"/>
        <v/>
      </c>
      <c r="D45" s="52" t="str">
        <f t="shared" ca="1" si="6"/>
        <v/>
      </c>
      <c r="E45" s="52" t="str">
        <f t="shared" ca="1" si="6"/>
        <v/>
      </c>
      <c r="F45" s="52" t="str">
        <f t="shared" ca="1" si="6"/>
        <v/>
      </c>
      <c r="G45" s="52" t="str">
        <f t="shared" ca="1" si="6"/>
        <v/>
      </c>
      <c r="H45" s="52" t="str">
        <f t="shared" ca="1" si="6"/>
        <v/>
      </c>
      <c r="I45" s="52" t="str">
        <f t="shared" ca="1" si="6"/>
        <v/>
      </c>
      <c r="J45" s="52" t="str">
        <f t="shared" ca="1" si="6"/>
        <v/>
      </c>
      <c r="K45" s="52" t="str">
        <f t="shared" ca="1" si="6"/>
        <v/>
      </c>
      <c r="L45" s="52" t="str">
        <f t="shared" ca="1" si="6"/>
        <v/>
      </c>
      <c r="M45" s="52" t="str">
        <f t="shared" ca="1" si="6"/>
        <v/>
      </c>
      <c r="N45" s="52" t="str">
        <f t="shared" ca="1" si="6"/>
        <v/>
      </c>
      <c r="O45" s="52" t="str">
        <f t="shared" ca="1" si="6"/>
        <v/>
      </c>
      <c r="P45" s="52" t="str">
        <f t="shared" ca="1" si="6"/>
        <v/>
      </c>
      <c r="Q45" s="52" t="str">
        <f t="shared" ca="1" si="6"/>
        <v/>
      </c>
      <c r="R45" s="52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2" t="str">
        <f t="shared" ca="1" si="6"/>
        <v/>
      </c>
      <c r="D46" s="52" t="str">
        <f t="shared" ca="1" si="6"/>
        <v/>
      </c>
      <c r="E46" s="52" t="str">
        <f t="shared" ca="1" si="6"/>
        <v/>
      </c>
      <c r="F46" s="52" t="str">
        <f t="shared" ca="1" si="6"/>
        <v/>
      </c>
      <c r="G46" s="52" t="str">
        <f t="shared" ca="1" si="6"/>
        <v/>
      </c>
      <c r="H46" s="52" t="str">
        <f t="shared" ca="1" si="6"/>
        <v/>
      </c>
      <c r="I46" s="52" t="str">
        <f t="shared" ca="1" si="6"/>
        <v/>
      </c>
      <c r="J46" s="52" t="str">
        <f t="shared" ca="1" si="6"/>
        <v/>
      </c>
      <c r="K46" s="52" t="str">
        <f t="shared" ca="1" si="6"/>
        <v/>
      </c>
      <c r="L46" s="52" t="str">
        <f t="shared" ca="1" si="6"/>
        <v/>
      </c>
      <c r="M46" s="52" t="str">
        <f t="shared" ca="1" si="6"/>
        <v/>
      </c>
      <c r="N46" s="52" t="str">
        <f t="shared" ca="1" si="6"/>
        <v/>
      </c>
      <c r="O46" s="52" t="str">
        <f t="shared" ca="1" si="6"/>
        <v/>
      </c>
      <c r="P46" s="52" t="str">
        <f t="shared" ca="1" si="6"/>
        <v/>
      </c>
      <c r="Q46" s="52" t="str">
        <f t="shared" ca="1" si="6"/>
        <v/>
      </c>
      <c r="R46" s="52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2" t="str">
        <f t="shared" ca="1" si="6"/>
        <v/>
      </c>
      <c r="D47" s="52" t="str">
        <f t="shared" ca="1" si="6"/>
        <v/>
      </c>
      <c r="E47" s="52" t="str">
        <f t="shared" ca="1" si="6"/>
        <v/>
      </c>
      <c r="F47" s="52" t="str">
        <f t="shared" ca="1" si="6"/>
        <v/>
      </c>
      <c r="G47" s="52" t="str">
        <f t="shared" ca="1" si="6"/>
        <v/>
      </c>
      <c r="H47" s="52" t="str">
        <f t="shared" ca="1" si="6"/>
        <v/>
      </c>
      <c r="I47" s="52" t="str">
        <f t="shared" ca="1" si="6"/>
        <v/>
      </c>
      <c r="J47" s="52" t="str">
        <f t="shared" ca="1" si="6"/>
        <v/>
      </c>
      <c r="K47" s="52" t="str">
        <f t="shared" ca="1" si="6"/>
        <v/>
      </c>
      <c r="L47" s="52" t="str">
        <f t="shared" ca="1" si="6"/>
        <v/>
      </c>
      <c r="M47" s="52" t="str">
        <f t="shared" ca="1" si="6"/>
        <v/>
      </c>
      <c r="N47" s="52" t="str">
        <f t="shared" ca="1" si="6"/>
        <v/>
      </c>
      <c r="O47" s="52" t="str">
        <f t="shared" ca="1" si="6"/>
        <v/>
      </c>
      <c r="P47" s="52" t="str">
        <f t="shared" ca="1" si="6"/>
        <v/>
      </c>
      <c r="Q47" s="52" t="str">
        <f t="shared" ca="1" si="6"/>
        <v/>
      </c>
      <c r="R47" s="52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2" t="str">
        <f t="shared" ca="1" si="6"/>
        <v/>
      </c>
      <c r="D48" s="52" t="str">
        <f t="shared" ca="1" si="6"/>
        <v/>
      </c>
      <c r="E48" s="52" t="str">
        <f t="shared" ca="1" si="6"/>
        <v/>
      </c>
      <c r="F48" s="52" t="str">
        <f t="shared" ca="1" si="6"/>
        <v/>
      </c>
      <c r="G48" s="52" t="str">
        <f t="shared" ca="1" si="6"/>
        <v/>
      </c>
      <c r="H48" s="52" t="str">
        <f t="shared" ca="1" si="6"/>
        <v/>
      </c>
      <c r="I48" s="52" t="str">
        <f t="shared" ca="1" si="6"/>
        <v/>
      </c>
      <c r="J48" s="52" t="str">
        <f t="shared" ca="1" si="6"/>
        <v/>
      </c>
      <c r="K48" s="52" t="str">
        <f t="shared" ca="1" si="6"/>
        <v/>
      </c>
      <c r="L48" s="52" t="str">
        <f t="shared" ca="1" si="6"/>
        <v/>
      </c>
      <c r="M48" s="52" t="str">
        <f t="shared" ca="1" si="6"/>
        <v/>
      </c>
      <c r="N48" s="52" t="str">
        <f t="shared" ca="1" si="6"/>
        <v/>
      </c>
      <c r="O48" s="52" t="str">
        <f t="shared" ca="1" si="6"/>
        <v/>
      </c>
      <c r="P48" s="52" t="str">
        <f t="shared" ca="1" si="6"/>
        <v/>
      </c>
      <c r="Q48" s="52" t="str">
        <f t="shared" ca="1" si="6"/>
        <v/>
      </c>
      <c r="R48" s="52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2" t="str">
        <f t="shared" ca="1" si="6"/>
        <v/>
      </c>
      <c r="D49" s="52" t="str">
        <f t="shared" ca="1" si="6"/>
        <v/>
      </c>
      <c r="E49" s="52" t="str">
        <f t="shared" ca="1" si="6"/>
        <v/>
      </c>
      <c r="F49" s="52" t="str">
        <f t="shared" ca="1" si="6"/>
        <v/>
      </c>
      <c r="G49" s="52" t="str">
        <f t="shared" ca="1" si="6"/>
        <v/>
      </c>
      <c r="H49" s="52" t="str">
        <f t="shared" ca="1" si="6"/>
        <v/>
      </c>
      <c r="I49" s="52" t="str">
        <f t="shared" ca="1" si="6"/>
        <v/>
      </c>
      <c r="J49" s="52" t="str">
        <f t="shared" ca="1" si="6"/>
        <v/>
      </c>
      <c r="K49" s="52" t="str">
        <f t="shared" ca="1" si="6"/>
        <v/>
      </c>
      <c r="L49" s="52" t="str">
        <f t="shared" ca="1" si="6"/>
        <v/>
      </c>
      <c r="M49" s="52" t="str">
        <f t="shared" ca="1" si="6"/>
        <v/>
      </c>
      <c r="N49" s="52" t="str">
        <f t="shared" ca="1" si="6"/>
        <v/>
      </c>
      <c r="O49" s="52" t="str">
        <f t="shared" ca="1" si="6"/>
        <v/>
      </c>
      <c r="P49" s="52" t="str">
        <f t="shared" ca="1" si="6"/>
        <v/>
      </c>
      <c r="Q49" s="52" t="str">
        <f t="shared" ca="1" si="6"/>
        <v/>
      </c>
      <c r="R49" s="52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2" t="str">
        <f t="shared" ca="1" si="6"/>
        <v/>
      </c>
      <c r="D50" s="52" t="str">
        <f t="shared" ca="1" si="6"/>
        <v/>
      </c>
      <c r="E50" s="52" t="str">
        <f t="shared" ca="1" si="6"/>
        <v/>
      </c>
      <c r="F50" s="52" t="str">
        <f t="shared" ca="1" si="6"/>
        <v/>
      </c>
      <c r="G50" s="52" t="str">
        <f t="shared" ca="1" si="6"/>
        <v/>
      </c>
      <c r="H50" s="52" t="str">
        <f t="shared" ca="1" si="6"/>
        <v/>
      </c>
      <c r="I50" s="52" t="str">
        <f t="shared" ca="1" si="6"/>
        <v/>
      </c>
      <c r="J50" s="52" t="str">
        <f t="shared" ca="1" si="6"/>
        <v/>
      </c>
      <c r="K50" s="52" t="str">
        <f t="shared" ca="1" si="6"/>
        <v/>
      </c>
      <c r="L50" s="52" t="str">
        <f t="shared" ca="1" si="6"/>
        <v/>
      </c>
      <c r="M50" s="52" t="str">
        <f t="shared" ca="1" si="6"/>
        <v/>
      </c>
      <c r="N50" s="52" t="str">
        <f t="shared" ca="1" si="6"/>
        <v/>
      </c>
      <c r="O50" s="52" t="str">
        <f t="shared" ca="1" si="6"/>
        <v/>
      </c>
      <c r="P50" s="52" t="str">
        <f t="shared" ca="1" si="6"/>
        <v/>
      </c>
      <c r="Q50" s="52" t="str">
        <f t="shared" ca="1" si="6"/>
        <v/>
      </c>
      <c r="R50" s="52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2" t="str">
        <f t="shared" ca="1" si="6"/>
        <v/>
      </c>
      <c r="D51" s="52" t="str">
        <f t="shared" ca="1" si="6"/>
        <v/>
      </c>
      <c r="E51" s="52" t="str">
        <f t="shared" ca="1" si="6"/>
        <v/>
      </c>
      <c r="F51" s="52" t="str">
        <f t="shared" ca="1" si="6"/>
        <v/>
      </c>
      <c r="G51" s="52" t="str">
        <f t="shared" ca="1" si="6"/>
        <v/>
      </c>
      <c r="H51" s="52" t="str">
        <f t="shared" ca="1" si="6"/>
        <v/>
      </c>
      <c r="I51" s="52" t="str">
        <f t="shared" ca="1" si="6"/>
        <v/>
      </c>
      <c r="J51" s="52" t="str">
        <f t="shared" ca="1" si="6"/>
        <v/>
      </c>
      <c r="K51" s="52" t="str">
        <f t="shared" ca="1" si="6"/>
        <v/>
      </c>
      <c r="L51" s="52" t="str">
        <f t="shared" ca="1" si="6"/>
        <v/>
      </c>
      <c r="M51" s="52" t="str">
        <f t="shared" ca="1" si="6"/>
        <v/>
      </c>
      <c r="N51" s="52" t="str">
        <f t="shared" ca="1" si="6"/>
        <v/>
      </c>
      <c r="O51" s="52" t="str">
        <f t="shared" ca="1" si="6"/>
        <v/>
      </c>
      <c r="P51" s="52" t="str">
        <f t="shared" ca="1" si="6"/>
        <v/>
      </c>
      <c r="Q51" s="52" t="str">
        <f t="shared" ca="1" si="6"/>
        <v/>
      </c>
      <c r="R51" s="52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2" t="str">
        <f t="shared" ca="1" si="6"/>
        <v/>
      </c>
      <c r="D52" s="52" t="str">
        <f t="shared" ca="1" si="6"/>
        <v/>
      </c>
      <c r="E52" s="52" t="str">
        <f t="shared" ca="1" si="6"/>
        <v/>
      </c>
      <c r="F52" s="52" t="str">
        <f t="shared" ca="1" si="6"/>
        <v/>
      </c>
      <c r="G52" s="52" t="str">
        <f t="shared" ca="1" si="6"/>
        <v/>
      </c>
      <c r="H52" s="52" t="str">
        <f t="shared" ca="1" si="6"/>
        <v/>
      </c>
      <c r="I52" s="52" t="str">
        <f t="shared" ca="1" si="6"/>
        <v/>
      </c>
      <c r="J52" s="52" t="str">
        <f t="shared" ca="1" si="6"/>
        <v/>
      </c>
      <c r="K52" s="52" t="str">
        <f t="shared" ca="1" si="6"/>
        <v/>
      </c>
      <c r="L52" s="52" t="str">
        <f t="shared" ca="1" si="6"/>
        <v/>
      </c>
      <c r="M52" s="52" t="str">
        <f t="shared" ca="1" si="6"/>
        <v/>
      </c>
      <c r="N52" s="52" t="str">
        <f t="shared" ca="1" si="6"/>
        <v/>
      </c>
      <c r="O52" s="52" t="str">
        <f t="shared" ca="1" si="6"/>
        <v/>
      </c>
      <c r="P52" s="52" t="str">
        <f t="shared" ca="1" si="6"/>
        <v/>
      </c>
      <c r="Q52" s="52" t="str">
        <f t="shared" ca="1" si="6"/>
        <v/>
      </c>
      <c r="R52" s="52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2" t="str">
        <f t="shared" ca="1" si="6"/>
        <v/>
      </c>
      <c r="D53" s="52" t="str">
        <f t="shared" ca="1" si="6"/>
        <v/>
      </c>
      <c r="E53" s="52" t="str">
        <f t="shared" ca="1" si="6"/>
        <v/>
      </c>
      <c r="F53" s="52" t="str">
        <f t="shared" ca="1" si="6"/>
        <v/>
      </c>
      <c r="G53" s="52" t="str">
        <f t="shared" ca="1" si="6"/>
        <v/>
      </c>
      <c r="H53" s="52" t="str">
        <f t="shared" ca="1" si="6"/>
        <v/>
      </c>
      <c r="I53" s="52" t="str">
        <f t="shared" ca="1" si="6"/>
        <v/>
      </c>
      <c r="J53" s="52" t="str">
        <f t="shared" ca="1" si="6"/>
        <v/>
      </c>
      <c r="K53" s="52" t="str">
        <f t="shared" ca="1" si="6"/>
        <v/>
      </c>
      <c r="L53" s="52" t="str">
        <f t="shared" ca="1" si="6"/>
        <v/>
      </c>
      <c r="M53" s="52" t="str">
        <f t="shared" ca="1" si="6"/>
        <v/>
      </c>
      <c r="N53" s="52" t="str">
        <f t="shared" ca="1" si="6"/>
        <v/>
      </c>
      <c r="O53" s="52" t="str">
        <f t="shared" ca="1" si="6"/>
        <v/>
      </c>
      <c r="P53" s="52" t="str">
        <f t="shared" ca="1" si="6"/>
        <v/>
      </c>
      <c r="Q53" s="52" t="str">
        <f t="shared" ca="1" si="6"/>
        <v/>
      </c>
      <c r="R53" s="52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2" t="str">
        <f t="shared" ca="1" si="6"/>
        <v/>
      </c>
      <c r="D54" s="52" t="str">
        <f t="shared" ca="1" si="6"/>
        <v/>
      </c>
      <c r="E54" s="52" t="str">
        <f t="shared" ca="1" si="6"/>
        <v/>
      </c>
      <c r="F54" s="52" t="str">
        <f t="shared" ca="1" si="6"/>
        <v/>
      </c>
      <c r="G54" s="52" t="str">
        <f t="shared" ca="1" si="6"/>
        <v/>
      </c>
      <c r="H54" s="52" t="str">
        <f t="shared" ca="1" si="6"/>
        <v/>
      </c>
      <c r="I54" s="52" t="str">
        <f t="shared" ca="1" si="6"/>
        <v/>
      </c>
      <c r="J54" s="52" t="str">
        <f t="shared" ca="1" si="6"/>
        <v/>
      </c>
      <c r="K54" s="52" t="str">
        <f t="shared" ca="1" si="6"/>
        <v/>
      </c>
      <c r="L54" s="52" t="str">
        <f t="shared" ca="1" si="6"/>
        <v/>
      </c>
      <c r="M54" s="52" t="str">
        <f t="shared" ca="1" si="6"/>
        <v/>
      </c>
      <c r="N54" s="52" t="str">
        <f t="shared" ca="1" si="6"/>
        <v/>
      </c>
      <c r="O54" s="52" t="str">
        <f t="shared" ca="1" si="6"/>
        <v/>
      </c>
      <c r="P54" s="52" t="str">
        <f t="shared" ca="1" si="6"/>
        <v/>
      </c>
      <c r="Q54" s="52" t="str">
        <f t="shared" ca="1" si="6"/>
        <v/>
      </c>
      <c r="R54" s="52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2" t="str">
        <f t="shared" ca="1" si="6"/>
        <v/>
      </c>
      <c r="D55" s="52" t="str">
        <f t="shared" ca="1" si="6"/>
        <v/>
      </c>
      <c r="E55" s="52" t="str">
        <f t="shared" ca="1" si="6"/>
        <v/>
      </c>
      <c r="F55" s="52" t="str">
        <f t="shared" ca="1" si="6"/>
        <v/>
      </c>
      <c r="G55" s="52" t="str">
        <f t="shared" ca="1" si="6"/>
        <v/>
      </c>
      <c r="H55" s="52" t="str">
        <f t="shared" ca="1" si="6"/>
        <v/>
      </c>
      <c r="I55" s="52" t="str">
        <f t="shared" ca="1" si="6"/>
        <v/>
      </c>
      <c r="J55" s="52" t="str">
        <f t="shared" ca="1" si="6"/>
        <v/>
      </c>
      <c r="K55" s="52" t="str">
        <f t="shared" ca="1" si="6"/>
        <v/>
      </c>
      <c r="L55" s="52" t="str">
        <f t="shared" ca="1" si="6"/>
        <v/>
      </c>
      <c r="M55" s="52" t="str">
        <f t="shared" ca="1" si="6"/>
        <v/>
      </c>
      <c r="N55" s="52" t="str">
        <f t="shared" ca="1" si="6"/>
        <v/>
      </c>
      <c r="O55" s="52" t="str">
        <f t="shared" ca="1" si="6"/>
        <v/>
      </c>
      <c r="P55" s="52" t="str">
        <f t="shared" ca="1" si="6"/>
        <v/>
      </c>
      <c r="Q55" s="52" t="str">
        <f t="shared" ca="1" si="6"/>
        <v/>
      </c>
      <c r="R55" s="52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2" t="str">
        <f t="shared" ca="1" si="6"/>
        <v/>
      </c>
      <c r="D56" s="52" t="str">
        <f t="shared" ca="1" si="6"/>
        <v/>
      </c>
      <c r="E56" s="52" t="str">
        <f t="shared" ca="1" si="6"/>
        <v/>
      </c>
      <c r="F56" s="52" t="str">
        <f t="shared" ca="1" si="6"/>
        <v/>
      </c>
      <c r="G56" s="52" t="str">
        <f t="shared" ca="1" si="6"/>
        <v/>
      </c>
      <c r="H56" s="52" t="str">
        <f t="shared" ca="1" si="6"/>
        <v/>
      </c>
      <c r="I56" s="52" t="str">
        <f t="shared" ca="1" si="6"/>
        <v/>
      </c>
      <c r="J56" s="52" t="str">
        <f t="shared" ca="1" si="6"/>
        <v/>
      </c>
      <c r="K56" s="52" t="str">
        <f t="shared" ca="1" si="6"/>
        <v/>
      </c>
      <c r="L56" s="52" t="str">
        <f t="shared" ca="1" si="6"/>
        <v/>
      </c>
      <c r="M56" s="52" t="str">
        <f t="shared" ca="1" si="6"/>
        <v/>
      </c>
      <c r="N56" s="52" t="str">
        <f t="shared" ca="1" si="6"/>
        <v/>
      </c>
      <c r="O56" s="52" t="str">
        <f t="shared" ca="1" si="6"/>
        <v/>
      </c>
      <c r="P56" s="52" t="str">
        <f t="shared" ca="1" si="6"/>
        <v/>
      </c>
      <c r="Q56" s="52" t="str">
        <f t="shared" ca="1" si="6"/>
        <v/>
      </c>
      <c r="R56" s="52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2" t="str">
        <f t="shared" ca="1" si="6"/>
        <v/>
      </c>
      <c r="D57" s="52" t="str">
        <f t="shared" ca="1" si="6"/>
        <v/>
      </c>
      <c r="E57" s="52" t="str">
        <f t="shared" ca="1" si="6"/>
        <v/>
      </c>
      <c r="F57" s="52" t="str">
        <f t="shared" ca="1" si="6"/>
        <v/>
      </c>
      <c r="G57" s="52" t="str">
        <f t="shared" ca="1" si="6"/>
        <v/>
      </c>
      <c r="H57" s="52" t="str">
        <f t="shared" ca="1" si="6"/>
        <v/>
      </c>
      <c r="I57" s="52" t="str">
        <f t="shared" ca="1" si="6"/>
        <v/>
      </c>
      <c r="J57" s="52" t="str">
        <f t="shared" ca="1" si="6"/>
        <v/>
      </c>
      <c r="K57" s="52" t="str">
        <f t="shared" ca="1" si="6"/>
        <v/>
      </c>
      <c r="L57" s="52" t="str">
        <f t="shared" ca="1" si="6"/>
        <v/>
      </c>
      <c r="M57" s="52" t="str">
        <f t="shared" ca="1" si="6"/>
        <v/>
      </c>
      <c r="N57" s="52" t="str">
        <f t="shared" ca="1" si="6"/>
        <v/>
      </c>
      <c r="O57" s="52" t="str">
        <f t="shared" ca="1" si="6"/>
        <v/>
      </c>
      <c r="P57" s="52" t="str">
        <f t="shared" ca="1" si="6"/>
        <v/>
      </c>
      <c r="Q57" s="52" t="str">
        <f t="shared" ca="1" si="6"/>
        <v/>
      </c>
      <c r="R57" s="52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2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2" t="str">
        <f t="shared" ca="1" si="7"/>
        <v/>
      </c>
      <c r="E58" s="52" t="str">
        <f t="shared" ca="1" si="7"/>
        <v/>
      </c>
      <c r="F58" s="52" t="str">
        <f t="shared" ca="1" si="7"/>
        <v/>
      </c>
      <c r="G58" s="52" t="str">
        <f t="shared" ca="1" si="7"/>
        <v/>
      </c>
      <c r="H58" s="52" t="str">
        <f t="shared" ca="1" si="7"/>
        <v/>
      </c>
      <c r="I58" s="52" t="str">
        <f t="shared" ca="1" si="7"/>
        <v/>
      </c>
      <c r="J58" s="52" t="str">
        <f t="shared" ca="1" si="7"/>
        <v/>
      </c>
      <c r="K58" s="52" t="str">
        <f t="shared" ca="1" si="7"/>
        <v/>
      </c>
      <c r="L58" s="52" t="str">
        <f t="shared" ca="1" si="7"/>
        <v/>
      </c>
      <c r="M58" s="52" t="str">
        <f t="shared" ca="1" si="7"/>
        <v/>
      </c>
      <c r="N58" s="52" t="str">
        <f t="shared" ca="1" si="7"/>
        <v/>
      </c>
      <c r="O58" s="52" t="str">
        <f t="shared" ca="1" si="7"/>
        <v/>
      </c>
      <c r="P58" s="52" t="str">
        <f t="shared" ca="1" si="7"/>
        <v/>
      </c>
      <c r="Q58" s="52" t="str">
        <f t="shared" ca="1" si="7"/>
        <v/>
      </c>
      <c r="R58" s="52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2" t="str">
        <f t="shared" ca="1" si="7"/>
        <v/>
      </c>
      <c r="D59" s="52" t="str">
        <f t="shared" ca="1" si="7"/>
        <v/>
      </c>
      <c r="E59" s="52" t="str">
        <f t="shared" ca="1" si="7"/>
        <v/>
      </c>
      <c r="F59" s="52" t="str">
        <f t="shared" ca="1" si="7"/>
        <v/>
      </c>
      <c r="G59" s="52" t="str">
        <f t="shared" ca="1" si="7"/>
        <v/>
      </c>
      <c r="H59" s="52" t="str">
        <f t="shared" ca="1" si="7"/>
        <v/>
      </c>
      <c r="I59" s="52" t="str">
        <f t="shared" ca="1" si="7"/>
        <v/>
      </c>
      <c r="J59" s="52" t="str">
        <f t="shared" ca="1" si="7"/>
        <v/>
      </c>
      <c r="K59" s="52" t="str">
        <f t="shared" ca="1" si="7"/>
        <v/>
      </c>
      <c r="L59" s="52" t="str">
        <f t="shared" ca="1" si="7"/>
        <v/>
      </c>
      <c r="M59" s="52" t="str">
        <f t="shared" ca="1" si="7"/>
        <v/>
      </c>
      <c r="N59" s="52" t="str">
        <f t="shared" ca="1" si="7"/>
        <v/>
      </c>
      <c r="O59" s="52" t="str">
        <f t="shared" ca="1" si="7"/>
        <v/>
      </c>
      <c r="P59" s="52" t="str">
        <f t="shared" ca="1" si="7"/>
        <v/>
      </c>
      <c r="Q59" s="52" t="str">
        <f t="shared" ca="1" si="7"/>
        <v/>
      </c>
      <c r="R59" s="52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2" t="str">
        <f t="shared" ca="1" si="7"/>
        <v/>
      </c>
      <c r="D60" s="52" t="str">
        <f t="shared" ca="1" si="7"/>
        <v/>
      </c>
      <c r="E60" s="52" t="str">
        <f t="shared" ca="1" si="7"/>
        <v/>
      </c>
      <c r="F60" s="52" t="str">
        <f t="shared" ca="1" si="7"/>
        <v/>
      </c>
      <c r="G60" s="52" t="str">
        <f t="shared" ca="1" si="7"/>
        <v/>
      </c>
      <c r="H60" s="52" t="str">
        <f t="shared" ca="1" si="7"/>
        <v/>
      </c>
      <c r="I60" s="52" t="str">
        <f t="shared" ca="1" si="7"/>
        <v/>
      </c>
      <c r="J60" s="52" t="str">
        <f t="shared" ca="1" si="7"/>
        <v/>
      </c>
      <c r="K60" s="52" t="str">
        <f t="shared" ca="1" si="7"/>
        <v/>
      </c>
      <c r="L60" s="52" t="str">
        <f t="shared" ca="1" si="7"/>
        <v/>
      </c>
      <c r="M60" s="52" t="str">
        <f t="shared" ca="1" si="7"/>
        <v/>
      </c>
      <c r="N60" s="52" t="str">
        <f t="shared" ca="1" si="7"/>
        <v/>
      </c>
      <c r="O60" s="52" t="str">
        <f t="shared" ca="1" si="7"/>
        <v/>
      </c>
      <c r="P60" s="52" t="str">
        <f t="shared" ca="1" si="7"/>
        <v/>
      </c>
      <c r="Q60" s="52" t="str">
        <f t="shared" ca="1" si="7"/>
        <v/>
      </c>
      <c r="R60" s="52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2" t="str">
        <f t="shared" ca="1" si="7"/>
        <v/>
      </c>
      <c r="D61" s="52" t="str">
        <f t="shared" ca="1" si="7"/>
        <v/>
      </c>
      <c r="E61" s="52" t="str">
        <f t="shared" ca="1" si="7"/>
        <v/>
      </c>
      <c r="F61" s="52" t="str">
        <f t="shared" ca="1" si="7"/>
        <v/>
      </c>
      <c r="G61" s="52" t="str">
        <f t="shared" ca="1" si="7"/>
        <v/>
      </c>
      <c r="H61" s="52" t="str">
        <f t="shared" ca="1" si="7"/>
        <v/>
      </c>
      <c r="I61" s="52" t="str">
        <f t="shared" ca="1" si="7"/>
        <v/>
      </c>
      <c r="J61" s="52" t="str">
        <f t="shared" ca="1" si="7"/>
        <v/>
      </c>
      <c r="K61" s="52" t="str">
        <f t="shared" ca="1" si="7"/>
        <v/>
      </c>
      <c r="L61" s="52" t="str">
        <f t="shared" ca="1" si="7"/>
        <v/>
      </c>
      <c r="M61" s="52" t="str">
        <f t="shared" ca="1" si="7"/>
        <v/>
      </c>
      <c r="N61" s="52" t="str">
        <f t="shared" ca="1" si="7"/>
        <v/>
      </c>
      <c r="O61" s="52" t="str">
        <f t="shared" ca="1" si="7"/>
        <v/>
      </c>
      <c r="P61" s="52" t="str">
        <f t="shared" ca="1" si="7"/>
        <v/>
      </c>
      <c r="Q61" s="52" t="str">
        <f t="shared" ca="1" si="7"/>
        <v/>
      </c>
      <c r="R61" s="52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2" t="str">
        <f t="shared" ca="1" si="7"/>
        <v/>
      </c>
      <c r="D62" s="52" t="str">
        <f t="shared" ca="1" si="7"/>
        <v/>
      </c>
      <c r="E62" s="52" t="str">
        <f t="shared" ca="1" si="7"/>
        <v/>
      </c>
      <c r="F62" s="52" t="str">
        <f t="shared" ca="1" si="7"/>
        <v/>
      </c>
      <c r="G62" s="52" t="str">
        <f t="shared" ca="1" si="7"/>
        <v/>
      </c>
      <c r="H62" s="52" t="str">
        <f t="shared" ca="1" si="7"/>
        <v/>
      </c>
      <c r="I62" s="52" t="str">
        <f t="shared" ca="1" si="7"/>
        <v/>
      </c>
      <c r="J62" s="52" t="str">
        <f t="shared" ca="1" si="7"/>
        <v/>
      </c>
      <c r="K62" s="52" t="str">
        <f t="shared" ca="1" si="7"/>
        <v/>
      </c>
      <c r="L62" s="52" t="str">
        <f t="shared" ca="1" si="7"/>
        <v/>
      </c>
      <c r="M62" s="52" t="str">
        <f t="shared" ca="1" si="7"/>
        <v/>
      </c>
      <c r="N62" s="52" t="str">
        <f t="shared" ca="1" si="7"/>
        <v/>
      </c>
      <c r="O62" s="52" t="str">
        <f t="shared" ca="1" si="7"/>
        <v/>
      </c>
      <c r="P62" s="52" t="str">
        <f t="shared" ca="1" si="7"/>
        <v/>
      </c>
      <c r="Q62" s="52" t="str">
        <f t="shared" ca="1" si="7"/>
        <v/>
      </c>
      <c r="R62" s="52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2" t="str">
        <f t="shared" ca="1" si="7"/>
        <v/>
      </c>
      <c r="D63" s="52" t="str">
        <f t="shared" ca="1" si="7"/>
        <v/>
      </c>
      <c r="E63" s="52" t="str">
        <f t="shared" ca="1" si="7"/>
        <v/>
      </c>
      <c r="F63" s="52" t="str">
        <f t="shared" ca="1" si="7"/>
        <v/>
      </c>
      <c r="G63" s="52" t="str">
        <f t="shared" ca="1" si="7"/>
        <v/>
      </c>
      <c r="H63" s="52" t="str">
        <f t="shared" ca="1" si="7"/>
        <v/>
      </c>
      <c r="I63" s="52" t="str">
        <f t="shared" ca="1" si="7"/>
        <v/>
      </c>
      <c r="J63" s="52" t="str">
        <f t="shared" ca="1" si="7"/>
        <v/>
      </c>
      <c r="K63" s="52" t="str">
        <f t="shared" ca="1" si="7"/>
        <v/>
      </c>
      <c r="L63" s="52" t="str">
        <f t="shared" ca="1" si="7"/>
        <v/>
      </c>
      <c r="M63" s="52" t="str">
        <f t="shared" ca="1" si="7"/>
        <v/>
      </c>
      <c r="N63" s="52" t="str">
        <f t="shared" ca="1" si="7"/>
        <v/>
      </c>
      <c r="O63" s="52" t="str">
        <f t="shared" ca="1" si="7"/>
        <v/>
      </c>
      <c r="P63" s="52" t="str">
        <f t="shared" ca="1" si="7"/>
        <v/>
      </c>
      <c r="Q63" s="52" t="str">
        <f t="shared" ca="1" si="7"/>
        <v/>
      </c>
      <c r="R63" s="52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2" t="str">
        <f t="shared" ca="1" si="7"/>
        <v/>
      </c>
      <c r="D64" s="52" t="str">
        <f t="shared" ca="1" si="7"/>
        <v/>
      </c>
      <c r="E64" s="52" t="str">
        <f t="shared" ca="1" si="7"/>
        <v/>
      </c>
      <c r="F64" s="52" t="str">
        <f t="shared" ca="1" si="7"/>
        <v/>
      </c>
      <c r="G64" s="52" t="str">
        <f t="shared" ca="1" si="7"/>
        <v/>
      </c>
      <c r="H64" s="52" t="str">
        <f t="shared" ca="1" si="7"/>
        <v/>
      </c>
      <c r="I64" s="52" t="str">
        <f t="shared" ca="1" si="7"/>
        <v/>
      </c>
      <c r="J64" s="52" t="str">
        <f t="shared" ca="1" si="7"/>
        <v/>
      </c>
      <c r="K64" s="52" t="str">
        <f t="shared" ca="1" si="7"/>
        <v/>
      </c>
      <c r="L64" s="52" t="str">
        <f t="shared" ca="1" si="7"/>
        <v/>
      </c>
      <c r="M64" s="52" t="str">
        <f t="shared" ca="1" si="7"/>
        <v/>
      </c>
      <c r="N64" s="52" t="str">
        <f t="shared" ca="1" si="7"/>
        <v/>
      </c>
      <c r="O64" s="52" t="str">
        <f t="shared" ca="1" si="7"/>
        <v/>
      </c>
      <c r="P64" s="52" t="str">
        <f t="shared" ca="1" si="7"/>
        <v/>
      </c>
      <c r="Q64" s="52" t="str">
        <f t="shared" ca="1" si="7"/>
        <v/>
      </c>
      <c r="R64" s="52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2" t="str">
        <f t="shared" ca="1" si="7"/>
        <v/>
      </c>
      <c r="D65" s="52" t="str">
        <f t="shared" ca="1" si="7"/>
        <v/>
      </c>
      <c r="E65" s="52" t="str">
        <f t="shared" ca="1" si="7"/>
        <v/>
      </c>
      <c r="F65" s="52" t="str">
        <f t="shared" ca="1" si="7"/>
        <v/>
      </c>
      <c r="G65" s="52" t="str">
        <f t="shared" ca="1" si="7"/>
        <v/>
      </c>
      <c r="H65" s="52" t="str">
        <f t="shared" ca="1" si="7"/>
        <v/>
      </c>
      <c r="I65" s="52" t="str">
        <f t="shared" ca="1" si="7"/>
        <v/>
      </c>
      <c r="J65" s="52" t="str">
        <f t="shared" ca="1" si="7"/>
        <v/>
      </c>
      <c r="K65" s="52" t="str">
        <f t="shared" ca="1" si="7"/>
        <v/>
      </c>
      <c r="L65" s="52" t="str">
        <f t="shared" ca="1" si="7"/>
        <v/>
      </c>
      <c r="M65" s="52" t="str">
        <f t="shared" ca="1" si="7"/>
        <v/>
      </c>
      <c r="N65" s="52" t="str">
        <f t="shared" ca="1" si="7"/>
        <v/>
      </c>
      <c r="O65" s="52" t="str">
        <f t="shared" ca="1" si="7"/>
        <v/>
      </c>
      <c r="P65" s="52" t="str">
        <f t="shared" ca="1" si="7"/>
        <v/>
      </c>
      <c r="Q65" s="52" t="str">
        <f t="shared" ca="1" si="7"/>
        <v/>
      </c>
      <c r="R65" s="52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2" t="str">
        <f t="shared" ca="1" si="7"/>
        <v/>
      </c>
      <c r="D66" s="52" t="str">
        <f t="shared" ca="1" si="7"/>
        <v/>
      </c>
      <c r="E66" s="52" t="str">
        <f t="shared" ca="1" si="7"/>
        <v/>
      </c>
      <c r="F66" s="52" t="str">
        <f t="shared" ca="1" si="7"/>
        <v/>
      </c>
      <c r="G66" s="52" t="str">
        <f t="shared" ca="1" si="7"/>
        <v/>
      </c>
      <c r="H66" s="52" t="str">
        <f t="shared" ca="1" si="7"/>
        <v/>
      </c>
      <c r="I66" s="52" t="str">
        <f t="shared" ca="1" si="7"/>
        <v/>
      </c>
      <c r="J66" s="52" t="str">
        <f t="shared" ca="1" si="7"/>
        <v/>
      </c>
      <c r="K66" s="52" t="str">
        <f t="shared" ca="1" si="7"/>
        <v/>
      </c>
      <c r="L66" s="52" t="str">
        <f t="shared" ca="1" si="7"/>
        <v/>
      </c>
      <c r="M66" s="52" t="str">
        <f t="shared" ca="1" si="7"/>
        <v/>
      </c>
      <c r="N66" s="52" t="str">
        <f t="shared" ca="1" si="7"/>
        <v/>
      </c>
      <c r="O66" s="52" t="str">
        <f t="shared" ca="1" si="7"/>
        <v/>
      </c>
      <c r="P66" s="52" t="str">
        <f t="shared" ca="1" si="7"/>
        <v/>
      </c>
      <c r="Q66" s="52" t="str">
        <f t="shared" ca="1" si="7"/>
        <v/>
      </c>
      <c r="R66" s="52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2" t="str">
        <f t="shared" ca="1" si="7"/>
        <v/>
      </c>
      <c r="D67" s="52" t="str">
        <f t="shared" ca="1" si="7"/>
        <v/>
      </c>
      <c r="E67" s="52" t="str">
        <f t="shared" ca="1" si="7"/>
        <v/>
      </c>
      <c r="F67" s="52" t="str">
        <f t="shared" ca="1" si="7"/>
        <v/>
      </c>
      <c r="G67" s="52" t="str">
        <f t="shared" ca="1" si="7"/>
        <v/>
      </c>
      <c r="H67" s="52" t="str">
        <f t="shared" ca="1" si="7"/>
        <v/>
      </c>
      <c r="I67" s="52" t="str">
        <f t="shared" ca="1" si="7"/>
        <v/>
      </c>
      <c r="J67" s="52" t="str">
        <f t="shared" ca="1" si="7"/>
        <v/>
      </c>
      <c r="K67" s="52" t="str">
        <f t="shared" ca="1" si="7"/>
        <v/>
      </c>
      <c r="L67" s="52" t="str">
        <f t="shared" ca="1" si="7"/>
        <v/>
      </c>
      <c r="M67" s="52" t="str">
        <f t="shared" ca="1" si="7"/>
        <v/>
      </c>
      <c r="N67" s="52" t="str">
        <f t="shared" ca="1" si="7"/>
        <v/>
      </c>
      <c r="O67" s="52" t="str">
        <f t="shared" ca="1" si="7"/>
        <v/>
      </c>
      <c r="P67" s="52" t="str">
        <f t="shared" ca="1" si="7"/>
        <v/>
      </c>
      <c r="Q67" s="52" t="str">
        <f t="shared" ca="1" si="7"/>
        <v/>
      </c>
      <c r="R67" s="52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2" t="str">
        <f t="shared" ca="1" si="7"/>
        <v/>
      </c>
      <c r="D68" s="52" t="str">
        <f t="shared" ca="1" si="7"/>
        <v/>
      </c>
      <c r="E68" s="52" t="str">
        <f t="shared" ca="1" si="7"/>
        <v/>
      </c>
      <c r="F68" s="52" t="str">
        <f t="shared" ca="1" si="7"/>
        <v/>
      </c>
      <c r="G68" s="52" t="str">
        <f t="shared" ca="1" si="7"/>
        <v/>
      </c>
      <c r="H68" s="52" t="str">
        <f t="shared" ca="1" si="7"/>
        <v/>
      </c>
      <c r="I68" s="52" t="str">
        <f t="shared" ca="1" si="7"/>
        <v/>
      </c>
      <c r="J68" s="52" t="str">
        <f t="shared" ca="1" si="7"/>
        <v/>
      </c>
      <c r="K68" s="52" t="str">
        <f t="shared" ca="1" si="7"/>
        <v/>
      </c>
      <c r="L68" s="52" t="str">
        <f t="shared" ca="1" si="7"/>
        <v/>
      </c>
      <c r="M68" s="52" t="str">
        <f t="shared" ca="1" si="7"/>
        <v/>
      </c>
      <c r="N68" s="52" t="str">
        <f t="shared" ca="1" si="7"/>
        <v/>
      </c>
      <c r="O68" s="52" t="str">
        <f t="shared" ca="1" si="7"/>
        <v/>
      </c>
      <c r="P68" s="52" t="str">
        <f t="shared" ca="1" si="7"/>
        <v/>
      </c>
      <c r="Q68" s="52" t="str">
        <f t="shared" ca="1" si="7"/>
        <v/>
      </c>
      <c r="R68" s="52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2" t="str">
        <f t="shared" ca="1" si="7"/>
        <v/>
      </c>
      <c r="D69" s="52" t="str">
        <f t="shared" ca="1" si="7"/>
        <v/>
      </c>
      <c r="E69" s="52" t="str">
        <f t="shared" ca="1" si="7"/>
        <v/>
      </c>
      <c r="F69" s="52" t="str">
        <f t="shared" ca="1" si="7"/>
        <v/>
      </c>
      <c r="G69" s="52" t="str">
        <f t="shared" ca="1" si="7"/>
        <v/>
      </c>
      <c r="H69" s="52" t="str">
        <f t="shared" ca="1" si="7"/>
        <v/>
      </c>
      <c r="I69" s="52" t="str">
        <f t="shared" ca="1" si="7"/>
        <v/>
      </c>
      <c r="J69" s="52" t="str">
        <f t="shared" ca="1" si="7"/>
        <v/>
      </c>
      <c r="K69" s="52" t="str">
        <f t="shared" ca="1" si="7"/>
        <v/>
      </c>
      <c r="L69" s="52" t="str">
        <f t="shared" ca="1" si="7"/>
        <v/>
      </c>
      <c r="M69" s="52" t="str">
        <f t="shared" ca="1" si="7"/>
        <v/>
      </c>
      <c r="N69" s="52" t="str">
        <f t="shared" ca="1" si="7"/>
        <v/>
      </c>
      <c r="O69" s="52" t="str">
        <f t="shared" ca="1" si="7"/>
        <v/>
      </c>
      <c r="P69" s="52" t="str">
        <f t="shared" ca="1" si="7"/>
        <v/>
      </c>
      <c r="Q69" s="52" t="str">
        <f t="shared" ca="1" si="7"/>
        <v/>
      </c>
      <c r="R69" s="52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2" t="str">
        <f t="shared" ca="1" si="7"/>
        <v/>
      </c>
      <c r="D70" s="52" t="str">
        <f t="shared" ca="1" si="7"/>
        <v/>
      </c>
      <c r="E70" s="52" t="str">
        <f t="shared" ca="1" si="7"/>
        <v/>
      </c>
      <c r="F70" s="52" t="str">
        <f t="shared" ca="1" si="7"/>
        <v/>
      </c>
      <c r="G70" s="52" t="str">
        <f t="shared" ca="1" si="7"/>
        <v/>
      </c>
      <c r="H70" s="52" t="str">
        <f t="shared" ca="1" si="7"/>
        <v/>
      </c>
      <c r="I70" s="52" t="str">
        <f t="shared" ca="1" si="7"/>
        <v/>
      </c>
      <c r="J70" s="52" t="str">
        <f t="shared" ca="1" si="7"/>
        <v/>
      </c>
      <c r="K70" s="52" t="str">
        <f t="shared" ca="1" si="7"/>
        <v/>
      </c>
      <c r="L70" s="52" t="str">
        <f t="shared" ca="1" si="7"/>
        <v/>
      </c>
      <c r="M70" s="52" t="str">
        <f t="shared" ca="1" si="7"/>
        <v/>
      </c>
      <c r="N70" s="52" t="str">
        <f t="shared" ca="1" si="7"/>
        <v/>
      </c>
      <c r="O70" s="52" t="str">
        <f t="shared" ca="1" si="7"/>
        <v/>
      </c>
      <c r="P70" s="52" t="str">
        <f t="shared" ca="1" si="7"/>
        <v/>
      </c>
      <c r="Q70" s="52" t="str">
        <f t="shared" ca="1" si="7"/>
        <v/>
      </c>
      <c r="R70" s="52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2" t="str">
        <f t="shared" ca="1" si="7"/>
        <v/>
      </c>
      <c r="D71" s="52" t="str">
        <f t="shared" ca="1" si="7"/>
        <v/>
      </c>
      <c r="E71" s="52" t="str">
        <f t="shared" ca="1" si="7"/>
        <v/>
      </c>
      <c r="F71" s="52" t="str">
        <f t="shared" ca="1" si="7"/>
        <v/>
      </c>
      <c r="G71" s="52" t="str">
        <f t="shared" ca="1" si="7"/>
        <v/>
      </c>
      <c r="H71" s="52" t="str">
        <f t="shared" ca="1" si="7"/>
        <v/>
      </c>
      <c r="I71" s="52" t="str">
        <f t="shared" ca="1" si="7"/>
        <v/>
      </c>
      <c r="J71" s="52" t="str">
        <f t="shared" ca="1" si="7"/>
        <v/>
      </c>
      <c r="K71" s="52" t="str">
        <f t="shared" ca="1" si="7"/>
        <v/>
      </c>
      <c r="L71" s="52" t="str">
        <f t="shared" ca="1" si="7"/>
        <v/>
      </c>
      <c r="M71" s="52" t="str">
        <f t="shared" ca="1" si="7"/>
        <v/>
      </c>
      <c r="N71" s="52" t="str">
        <f t="shared" ca="1" si="7"/>
        <v/>
      </c>
      <c r="O71" s="52" t="str">
        <f t="shared" ca="1" si="7"/>
        <v/>
      </c>
      <c r="P71" s="52" t="str">
        <f t="shared" ca="1" si="7"/>
        <v/>
      </c>
      <c r="Q71" s="52" t="str">
        <f t="shared" ca="1" si="7"/>
        <v/>
      </c>
      <c r="R71" s="52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2" t="str">
        <f t="shared" ca="1" si="7"/>
        <v/>
      </c>
      <c r="D72" s="52" t="str">
        <f t="shared" ca="1" si="7"/>
        <v/>
      </c>
      <c r="E72" s="52" t="str">
        <f t="shared" ca="1" si="7"/>
        <v/>
      </c>
      <c r="F72" s="52" t="str">
        <f t="shared" ca="1" si="7"/>
        <v/>
      </c>
      <c r="G72" s="52" t="str">
        <f t="shared" ca="1" si="7"/>
        <v/>
      </c>
      <c r="H72" s="52" t="str">
        <f t="shared" ca="1" si="7"/>
        <v/>
      </c>
      <c r="I72" s="52" t="str">
        <f t="shared" ca="1" si="7"/>
        <v/>
      </c>
      <c r="J72" s="52" t="str">
        <f t="shared" ca="1" si="7"/>
        <v/>
      </c>
      <c r="K72" s="52" t="str">
        <f t="shared" ca="1" si="7"/>
        <v/>
      </c>
      <c r="L72" s="52" t="str">
        <f t="shared" ca="1" si="7"/>
        <v/>
      </c>
      <c r="M72" s="52" t="str">
        <f t="shared" ca="1" si="7"/>
        <v/>
      </c>
      <c r="N72" s="52" t="str">
        <f t="shared" ca="1" si="7"/>
        <v/>
      </c>
      <c r="O72" s="52" t="str">
        <f t="shared" ca="1" si="7"/>
        <v/>
      </c>
      <c r="P72" s="52" t="str">
        <f t="shared" ca="1" si="7"/>
        <v/>
      </c>
      <c r="Q72" s="52" t="str">
        <f t="shared" ca="1" si="7"/>
        <v/>
      </c>
      <c r="R72" s="52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2" t="str">
        <f t="shared" ca="1" si="7"/>
        <v/>
      </c>
      <c r="D73" s="52" t="str">
        <f t="shared" ca="1" si="7"/>
        <v/>
      </c>
      <c r="E73" s="52" t="str">
        <f t="shared" ca="1" si="7"/>
        <v/>
      </c>
      <c r="F73" s="52" t="str">
        <f t="shared" ca="1" si="7"/>
        <v/>
      </c>
      <c r="G73" s="52" t="str">
        <f t="shared" ca="1" si="7"/>
        <v/>
      </c>
      <c r="H73" s="52" t="str">
        <f t="shared" ca="1" si="7"/>
        <v/>
      </c>
      <c r="I73" s="52" t="str">
        <f t="shared" ca="1" si="7"/>
        <v/>
      </c>
      <c r="J73" s="52" t="str">
        <f t="shared" ca="1" si="7"/>
        <v/>
      </c>
      <c r="K73" s="52" t="str">
        <f t="shared" ca="1" si="7"/>
        <v/>
      </c>
      <c r="L73" s="52" t="str">
        <f t="shared" ca="1" si="7"/>
        <v/>
      </c>
      <c r="M73" s="52" t="str">
        <f t="shared" ca="1" si="7"/>
        <v/>
      </c>
      <c r="N73" s="52" t="str">
        <f t="shared" ca="1" si="7"/>
        <v/>
      </c>
      <c r="O73" s="52" t="str">
        <f t="shared" ca="1" si="7"/>
        <v/>
      </c>
      <c r="P73" s="52" t="str">
        <f t="shared" ca="1" si="7"/>
        <v/>
      </c>
      <c r="Q73" s="52" t="str">
        <f t="shared" ca="1" si="7"/>
        <v/>
      </c>
      <c r="R73" s="52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2" t="str">
        <f t="shared" ca="1" si="7"/>
        <v/>
      </c>
      <c r="D74" s="52" t="str">
        <f t="shared" ca="1" si="7"/>
        <v/>
      </c>
      <c r="E74" s="52" t="str">
        <f t="shared" ca="1" si="7"/>
        <v/>
      </c>
      <c r="F74" s="52" t="str">
        <f t="shared" ca="1" si="7"/>
        <v/>
      </c>
      <c r="G74" s="52" t="str">
        <f t="shared" ca="1" si="7"/>
        <v/>
      </c>
      <c r="H74" s="52" t="str">
        <f t="shared" ca="1" si="7"/>
        <v/>
      </c>
      <c r="I74" s="52" t="str">
        <f t="shared" ca="1" si="7"/>
        <v/>
      </c>
      <c r="J74" s="52" t="str">
        <f t="shared" ca="1" si="7"/>
        <v/>
      </c>
      <c r="K74" s="52" t="str">
        <f t="shared" ca="1" si="7"/>
        <v/>
      </c>
      <c r="L74" s="52" t="str">
        <f t="shared" ca="1" si="7"/>
        <v/>
      </c>
      <c r="M74" s="52" t="str">
        <f t="shared" ca="1" si="7"/>
        <v/>
      </c>
      <c r="N74" s="52" t="str">
        <f t="shared" ca="1" si="7"/>
        <v/>
      </c>
      <c r="O74" s="52" t="str">
        <f t="shared" ca="1" si="7"/>
        <v/>
      </c>
      <c r="P74" s="52" t="str">
        <f t="shared" ca="1" si="7"/>
        <v/>
      </c>
      <c r="Q74" s="52" t="str">
        <f t="shared" ca="1" si="7"/>
        <v/>
      </c>
      <c r="R74" s="52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2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2" t="str">
        <f t="shared" ca="1" si="10"/>
        <v/>
      </c>
      <c r="E75" s="52" t="str">
        <f t="shared" ca="1" si="10"/>
        <v/>
      </c>
      <c r="F75" s="52" t="str">
        <f t="shared" ca="1" si="10"/>
        <v/>
      </c>
      <c r="G75" s="52" t="str">
        <f t="shared" ca="1" si="10"/>
        <v/>
      </c>
      <c r="H75" s="52" t="str">
        <f t="shared" ca="1" si="10"/>
        <v/>
      </c>
      <c r="I75" s="52" t="str">
        <f t="shared" ca="1" si="10"/>
        <v/>
      </c>
      <c r="J75" s="52" t="str">
        <f t="shared" ca="1" si="10"/>
        <v/>
      </c>
      <c r="K75" s="52" t="str">
        <f t="shared" ca="1" si="10"/>
        <v/>
      </c>
      <c r="L75" s="52" t="str">
        <f t="shared" ca="1" si="10"/>
        <v/>
      </c>
      <c r="M75" s="52" t="str">
        <f t="shared" ca="1" si="10"/>
        <v/>
      </c>
      <c r="N75" s="52" t="str">
        <f t="shared" ca="1" si="10"/>
        <v/>
      </c>
      <c r="O75" s="52" t="str">
        <f t="shared" ca="1" si="10"/>
        <v/>
      </c>
      <c r="P75" s="52" t="str">
        <f t="shared" ca="1" si="10"/>
        <v/>
      </c>
      <c r="Q75" s="52" t="str">
        <f t="shared" ca="1" si="10"/>
        <v/>
      </c>
      <c r="R75" s="52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2" t="str">
        <f t="shared" ca="1" si="10"/>
        <v/>
      </c>
      <c r="D76" s="52" t="str">
        <f t="shared" ca="1" si="10"/>
        <v/>
      </c>
      <c r="E76" s="52" t="str">
        <f t="shared" ca="1" si="10"/>
        <v/>
      </c>
      <c r="F76" s="52" t="str">
        <f t="shared" ca="1" si="10"/>
        <v/>
      </c>
      <c r="G76" s="52" t="str">
        <f t="shared" ca="1" si="10"/>
        <v/>
      </c>
      <c r="H76" s="52" t="str">
        <f t="shared" ca="1" si="10"/>
        <v/>
      </c>
      <c r="I76" s="52" t="str">
        <f t="shared" ca="1" si="10"/>
        <v/>
      </c>
      <c r="J76" s="52" t="str">
        <f t="shared" ca="1" si="10"/>
        <v/>
      </c>
      <c r="K76" s="52" t="str">
        <f t="shared" ca="1" si="10"/>
        <v/>
      </c>
      <c r="L76" s="52" t="str">
        <f t="shared" ca="1" si="10"/>
        <v/>
      </c>
      <c r="M76" s="52" t="str">
        <f t="shared" ca="1" si="10"/>
        <v/>
      </c>
      <c r="N76" s="52" t="str">
        <f t="shared" ca="1" si="10"/>
        <v/>
      </c>
      <c r="O76" s="52" t="str">
        <f t="shared" ca="1" si="10"/>
        <v/>
      </c>
      <c r="P76" s="52" t="str">
        <f t="shared" ca="1" si="10"/>
        <v/>
      </c>
      <c r="Q76" s="52" t="str">
        <f t="shared" ca="1" si="10"/>
        <v/>
      </c>
      <c r="R76" s="52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2" t="str">
        <f t="shared" ca="1" si="10"/>
        <v/>
      </c>
      <c r="D77" s="52" t="str">
        <f t="shared" ca="1" si="10"/>
        <v/>
      </c>
      <c r="E77" s="52" t="str">
        <f t="shared" ca="1" si="10"/>
        <v/>
      </c>
      <c r="F77" s="52" t="str">
        <f t="shared" ca="1" si="10"/>
        <v/>
      </c>
      <c r="G77" s="52" t="str">
        <f t="shared" ca="1" si="10"/>
        <v/>
      </c>
      <c r="H77" s="52" t="str">
        <f t="shared" ca="1" si="10"/>
        <v/>
      </c>
      <c r="I77" s="52" t="str">
        <f t="shared" ca="1" si="10"/>
        <v/>
      </c>
      <c r="J77" s="52" t="str">
        <f t="shared" ca="1" si="10"/>
        <v/>
      </c>
      <c r="K77" s="52" t="str">
        <f t="shared" ca="1" si="10"/>
        <v/>
      </c>
      <c r="L77" s="52" t="str">
        <f t="shared" ca="1" si="10"/>
        <v/>
      </c>
      <c r="M77" s="52" t="str">
        <f t="shared" ca="1" si="10"/>
        <v/>
      </c>
      <c r="N77" s="52" t="str">
        <f t="shared" ca="1" si="10"/>
        <v/>
      </c>
      <c r="O77" s="52" t="str">
        <f t="shared" ca="1" si="10"/>
        <v/>
      </c>
      <c r="P77" s="52" t="str">
        <f t="shared" ca="1" si="10"/>
        <v/>
      </c>
      <c r="Q77" s="52" t="str">
        <f t="shared" ca="1" si="10"/>
        <v/>
      </c>
      <c r="R77" s="52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2" t="str">
        <f t="shared" ca="1" si="10"/>
        <v/>
      </c>
      <c r="D78" s="52" t="str">
        <f t="shared" ca="1" si="10"/>
        <v/>
      </c>
      <c r="E78" s="52" t="str">
        <f t="shared" ca="1" si="10"/>
        <v/>
      </c>
      <c r="F78" s="52" t="str">
        <f t="shared" ca="1" si="10"/>
        <v/>
      </c>
      <c r="G78" s="52" t="str">
        <f t="shared" ca="1" si="10"/>
        <v/>
      </c>
      <c r="H78" s="52" t="str">
        <f t="shared" ca="1" si="10"/>
        <v/>
      </c>
      <c r="I78" s="52" t="str">
        <f t="shared" ca="1" si="10"/>
        <v/>
      </c>
      <c r="J78" s="52" t="str">
        <f t="shared" ca="1" si="10"/>
        <v/>
      </c>
      <c r="K78" s="52" t="str">
        <f t="shared" ca="1" si="10"/>
        <v/>
      </c>
      <c r="L78" s="52" t="str">
        <f t="shared" ca="1" si="10"/>
        <v/>
      </c>
      <c r="M78" s="52" t="str">
        <f t="shared" ca="1" si="10"/>
        <v/>
      </c>
      <c r="N78" s="52" t="str">
        <f t="shared" ca="1" si="10"/>
        <v/>
      </c>
      <c r="O78" s="52" t="str">
        <f t="shared" ca="1" si="10"/>
        <v/>
      </c>
      <c r="P78" s="52" t="str">
        <f t="shared" ca="1" si="10"/>
        <v/>
      </c>
      <c r="Q78" s="52" t="str">
        <f t="shared" ca="1" si="10"/>
        <v/>
      </c>
      <c r="R78" s="52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2" t="str">
        <f t="shared" ca="1" si="10"/>
        <v/>
      </c>
      <c r="D79" s="52" t="str">
        <f t="shared" ca="1" si="10"/>
        <v/>
      </c>
      <c r="E79" s="52" t="str">
        <f t="shared" ca="1" si="10"/>
        <v/>
      </c>
      <c r="F79" s="52" t="str">
        <f t="shared" ca="1" si="10"/>
        <v/>
      </c>
      <c r="G79" s="52" t="str">
        <f t="shared" ca="1" si="10"/>
        <v/>
      </c>
      <c r="H79" s="52" t="str">
        <f t="shared" ca="1" si="10"/>
        <v/>
      </c>
      <c r="I79" s="52" t="str">
        <f t="shared" ca="1" si="10"/>
        <v/>
      </c>
      <c r="J79" s="52" t="str">
        <f t="shared" ca="1" si="10"/>
        <v/>
      </c>
      <c r="K79" s="52" t="str">
        <f t="shared" ca="1" si="10"/>
        <v/>
      </c>
      <c r="L79" s="52" t="str">
        <f t="shared" ca="1" si="10"/>
        <v/>
      </c>
      <c r="M79" s="52" t="str">
        <f t="shared" ca="1" si="10"/>
        <v/>
      </c>
      <c r="N79" s="52" t="str">
        <f t="shared" ca="1" si="10"/>
        <v/>
      </c>
      <c r="O79" s="52" t="str">
        <f t="shared" ca="1" si="10"/>
        <v/>
      </c>
      <c r="P79" s="52" t="str">
        <f t="shared" ca="1" si="10"/>
        <v/>
      </c>
      <c r="Q79" s="52" t="str">
        <f t="shared" ca="1" si="10"/>
        <v/>
      </c>
      <c r="R79" s="52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2" t="str">
        <f t="shared" ca="1" si="10"/>
        <v/>
      </c>
      <c r="D80" s="52" t="str">
        <f t="shared" ca="1" si="10"/>
        <v/>
      </c>
      <c r="E80" s="52" t="str">
        <f t="shared" ca="1" si="10"/>
        <v/>
      </c>
      <c r="F80" s="52" t="str">
        <f t="shared" ca="1" si="10"/>
        <v/>
      </c>
      <c r="G80" s="52" t="str">
        <f t="shared" ca="1" si="10"/>
        <v/>
      </c>
      <c r="H80" s="52" t="str">
        <f t="shared" ca="1" si="10"/>
        <v/>
      </c>
      <c r="I80" s="52" t="str">
        <f t="shared" ca="1" si="10"/>
        <v/>
      </c>
      <c r="J80" s="52" t="str">
        <f t="shared" ca="1" si="10"/>
        <v/>
      </c>
      <c r="K80" s="52" t="str">
        <f t="shared" ca="1" si="10"/>
        <v/>
      </c>
      <c r="L80" s="52" t="str">
        <f t="shared" ca="1" si="10"/>
        <v/>
      </c>
      <c r="M80" s="52" t="str">
        <f t="shared" ca="1" si="10"/>
        <v/>
      </c>
      <c r="N80" s="52" t="str">
        <f t="shared" ca="1" si="10"/>
        <v/>
      </c>
      <c r="O80" s="52" t="str">
        <f t="shared" ca="1" si="10"/>
        <v/>
      </c>
      <c r="P80" s="52" t="str">
        <f t="shared" ca="1" si="10"/>
        <v/>
      </c>
      <c r="Q80" s="52" t="str">
        <f t="shared" ca="1" si="10"/>
        <v/>
      </c>
      <c r="R80" s="52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2" t="str">
        <f t="shared" ca="1" si="10"/>
        <v/>
      </c>
      <c r="D81" s="52" t="str">
        <f t="shared" ca="1" si="10"/>
        <v/>
      </c>
      <c r="E81" s="52" t="str">
        <f t="shared" ca="1" si="10"/>
        <v/>
      </c>
      <c r="F81" s="52" t="str">
        <f t="shared" ca="1" si="10"/>
        <v/>
      </c>
      <c r="G81" s="52" t="str">
        <f t="shared" ca="1" si="10"/>
        <v/>
      </c>
      <c r="H81" s="52" t="str">
        <f t="shared" ca="1" si="10"/>
        <v/>
      </c>
      <c r="I81" s="52" t="str">
        <f t="shared" ca="1" si="10"/>
        <v/>
      </c>
      <c r="J81" s="52" t="str">
        <f t="shared" ca="1" si="10"/>
        <v/>
      </c>
      <c r="K81" s="52" t="str">
        <f t="shared" ca="1" si="10"/>
        <v/>
      </c>
      <c r="L81" s="52" t="str">
        <f t="shared" ca="1" si="10"/>
        <v/>
      </c>
      <c r="M81" s="52" t="str">
        <f t="shared" ca="1" si="10"/>
        <v/>
      </c>
      <c r="N81" s="52" t="str">
        <f t="shared" ca="1" si="10"/>
        <v/>
      </c>
      <c r="O81" s="52" t="str">
        <f t="shared" ca="1" si="10"/>
        <v/>
      </c>
      <c r="P81" s="52" t="str">
        <f t="shared" ca="1" si="10"/>
        <v/>
      </c>
      <c r="Q81" s="52" t="str">
        <f t="shared" ca="1" si="10"/>
        <v/>
      </c>
      <c r="R81" s="52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2" t="str">
        <f t="shared" ca="1" si="10"/>
        <v/>
      </c>
      <c r="D82" s="52" t="str">
        <f t="shared" ca="1" si="10"/>
        <v/>
      </c>
      <c r="E82" s="52" t="str">
        <f t="shared" ca="1" si="10"/>
        <v/>
      </c>
      <c r="F82" s="52" t="str">
        <f t="shared" ca="1" si="10"/>
        <v/>
      </c>
      <c r="G82" s="52" t="str">
        <f t="shared" ca="1" si="10"/>
        <v/>
      </c>
      <c r="H82" s="52" t="str">
        <f t="shared" ca="1" si="10"/>
        <v/>
      </c>
      <c r="I82" s="52" t="str">
        <f t="shared" ca="1" si="10"/>
        <v/>
      </c>
      <c r="J82" s="52" t="str">
        <f t="shared" ca="1" si="10"/>
        <v/>
      </c>
      <c r="K82" s="52" t="str">
        <f t="shared" ca="1" si="10"/>
        <v/>
      </c>
      <c r="L82" s="52" t="str">
        <f t="shared" ca="1" si="10"/>
        <v/>
      </c>
      <c r="M82" s="52" t="str">
        <f t="shared" ca="1" si="10"/>
        <v/>
      </c>
      <c r="N82" s="52" t="str">
        <f t="shared" ca="1" si="10"/>
        <v/>
      </c>
      <c r="O82" s="52" t="str">
        <f t="shared" ca="1" si="10"/>
        <v/>
      </c>
      <c r="P82" s="52" t="str">
        <f t="shared" ca="1" si="10"/>
        <v/>
      </c>
      <c r="Q82" s="52" t="str">
        <f t="shared" ca="1" si="10"/>
        <v/>
      </c>
      <c r="R82" s="52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2" t="str">
        <f t="shared" ca="1" si="10"/>
        <v/>
      </c>
      <c r="D83" s="52" t="str">
        <f t="shared" ca="1" si="10"/>
        <v/>
      </c>
      <c r="E83" s="52" t="str">
        <f t="shared" ca="1" si="10"/>
        <v/>
      </c>
      <c r="F83" s="52" t="str">
        <f t="shared" ca="1" si="10"/>
        <v/>
      </c>
      <c r="G83" s="52" t="str">
        <f t="shared" ca="1" si="10"/>
        <v/>
      </c>
      <c r="H83" s="52" t="str">
        <f t="shared" ca="1" si="10"/>
        <v/>
      </c>
      <c r="I83" s="52" t="str">
        <f t="shared" ca="1" si="10"/>
        <v/>
      </c>
      <c r="J83" s="52" t="str">
        <f t="shared" ca="1" si="10"/>
        <v/>
      </c>
      <c r="K83" s="52" t="str">
        <f t="shared" ca="1" si="10"/>
        <v/>
      </c>
      <c r="L83" s="52" t="str">
        <f t="shared" ca="1" si="10"/>
        <v/>
      </c>
      <c r="M83" s="52" t="str">
        <f t="shared" ca="1" si="10"/>
        <v/>
      </c>
      <c r="N83" s="52" t="str">
        <f t="shared" ca="1" si="10"/>
        <v/>
      </c>
      <c r="O83" s="52" t="str">
        <f t="shared" ca="1" si="10"/>
        <v/>
      </c>
      <c r="P83" s="52" t="str">
        <f t="shared" ca="1" si="10"/>
        <v/>
      </c>
      <c r="Q83" s="52" t="str">
        <f t="shared" ca="1" si="10"/>
        <v/>
      </c>
      <c r="R83" s="52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2" t="str">
        <f t="shared" ca="1" si="10"/>
        <v/>
      </c>
      <c r="D84" s="52" t="str">
        <f t="shared" ca="1" si="10"/>
        <v/>
      </c>
      <c r="E84" s="52" t="str">
        <f t="shared" ca="1" si="10"/>
        <v/>
      </c>
      <c r="F84" s="52" t="str">
        <f t="shared" ca="1" si="10"/>
        <v/>
      </c>
      <c r="G84" s="52" t="str">
        <f t="shared" ca="1" si="10"/>
        <v/>
      </c>
      <c r="H84" s="52" t="str">
        <f t="shared" ca="1" si="10"/>
        <v/>
      </c>
      <c r="I84" s="52" t="str">
        <f t="shared" ca="1" si="10"/>
        <v/>
      </c>
      <c r="J84" s="52" t="str">
        <f t="shared" ca="1" si="10"/>
        <v/>
      </c>
      <c r="K84" s="52" t="str">
        <f t="shared" ca="1" si="10"/>
        <v/>
      </c>
      <c r="L84" s="52" t="str">
        <f t="shared" ca="1" si="10"/>
        <v/>
      </c>
      <c r="M84" s="52" t="str">
        <f t="shared" ca="1" si="10"/>
        <v/>
      </c>
      <c r="N84" s="52" t="str">
        <f t="shared" ca="1" si="10"/>
        <v/>
      </c>
      <c r="O84" s="52" t="str">
        <f t="shared" ca="1" si="10"/>
        <v/>
      </c>
      <c r="P84" s="52" t="str">
        <f t="shared" ca="1" si="10"/>
        <v/>
      </c>
      <c r="Q84" s="52" t="str">
        <f t="shared" ca="1" si="10"/>
        <v/>
      </c>
      <c r="R84" s="52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2" t="str">
        <f t="shared" ca="1" si="10"/>
        <v/>
      </c>
      <c r="D85" s="52" t="str">
        <f t="shared" ca="1" si="10"/>
        <v/>
      </c>
      <c r="E85" s="52" t="str">
        <f t="shared" ca="1" si="10"/>
        <v/>
      </c>
      <c r="F85" s="52" t="str">
        <f t="shared" ca="1" si="10"/>
        <v/>
      </c>
      <c r="G85" s="52" t="str">
        <f t="shared" ca="1" si="10"/>
        <v/>
      </c>
      <c r="H85" s="52" t="str">
        <f t="shared" ca="1" si="10"/>
        <v/>
      </c>
      <c r="I85" s="52" t="str">
        <f t="shared" ca="1" si="10"/>
        <v/>
      </c>
      <c r="J85" s="52" t="str">
        <f t="shared" ca="1" si="10"/>
        <v/>
      </c>
      <c r="K85" s="52" t="str">
        <f t="shared" ca="1" si="10"/>
        <v/>
      </c>
      <c r="L85" s="52" t="str">
        <f t="shared" ca="1" si="10"/>
        <v/>
      </c>
      <c r="M85" s="52" t="str">
        <f t="shared" ca="1" si="10"/>
        <v/>
      </c>
      <c r="N85" s="52" t="str">
        <f t="shared" ca="1" si="10"/>
        <v/>
      </c>
      <c r="O85" s="52" t="str">
        <f t="shared" ca="1" si="10"/>
        <v/>
      </c>
      <c r="P85" s="52" t="str">
        <f t="shared" ca="1" si="10"/>
        <v/>
      </c>
      <c r="Q85" s="52" t="str">
        <f t="shared" ca="1" si="10"/>
        <v/>
      </c>
      <c r="R85" s="52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2" t="str">
        <f t="shared" ca="1" si="10"/>
        <v/>
      </c>
      <c r="D86" s="52" t="str">
        <f t="shared" ca="1" si="10"/>
        <v/>
      </c>
      <c r="E86" s="52" t="str">
        <f t="shared" ca="1" si="10"/>
        <v/>
      </c>
      <c r="F86" s="52" t="str">
        <f t="shared" ca="1" si="10"/>
        <v/>
      </c>
      <c r="G86" s="52" t="str">
        <f t="shared" ca="1" si="10"/>
        <v/>
      </c>
      <c r="H86" s="52" t="str">
        <f t="shared" ca="1" si="10"/>
        <v/>
      </c>
      <c r="I86" s="52" t="str">
        <f t="shared" ca="1" si="10"/>
        <v/>
      </c>
      <c r="J86" s="52" t="str">
        <f t="shared" ca="1" si="10"/>
        <v/>
      </c>
      <c r="K86" s="52" t="str">
        <f t="shared" ca="1" si="10"/>
        <v/>
      </c>
      <c r="L86" s="52" t="str">
        <f t="shared" ca="1" si="10"/>
        <v/>
      </c>
      <c r="M86" s="52" t="str">
        <f t="shared" ca="1" si="10"/>
        <v/>
      </c>
      <c r="N86" s="52" t="str">
        <f t="shared" ca="1" si="10"/>
        <v/>
      </c>
      <c r="O86" s="52" t="str">
        <f t="shared" ca="1" si="10"/>
        <v/>
      </c>
      <c r="P86" s="52" t="str">
        <f t="shared" ca="1" si="10"/>
        <v/>
      </c>
      <c r="Q86" s="52" t="str">
        <f t="shared" ca="1" si="10"/>
        <v/>
      </c>
      <c r="R86" s="52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2" t="str">
        <f t="shared" ca="1" si="10"/>
        <v/>
      </c>
      <c r="D87" s="52" t="str">
        <f t="shared" ca="1" si="10"/>
        <v/>
      </c>
      <c r="E87" s="52" t="str">
        <f t="shared" ca="1" si="10"/>
        <v/>
      </c>
      <c r="F87" s="52" t="str">
        <f t="shared" ca="1" si="10"/>
        <v/>
      </c>
      <c r="G87" s="52" t="str">
        <f t="shared" ca="1" si="10"/>
        <v/>
      </c>
      <c r="H87" s="52" t="str">
        <f t="shared" ca="1" si="10"/>
        <v/>
      </c>
      <c r="I87" s="52" t="str">
        <f t="shared" ca="1" si="10"/>
        <v/>
      </c>
      <c r="J87" s="52" t="str">
        <f t="shared" ca="1" si="10"/>
        <v/>
      </c>
      <c r="K87" s="52" t="str">
        <f t="shared" ca="1" si="10"/>
        <v/>
      </c>
      <c r="L87" s="52" t="str">
        <f t="shared" ca="1" si="10"/>
        <v/>
      </c>
      <c r="M87" s="52" t="str">
        <f t="shared" ca="1" si="10"/>
        <v/>
      </c>
      <c r="N87" s="52" t="str">
        <f t="shared" ca="1" si="10"/>
        <v/>
      </c>
      <c r="O87" s="52" t="str">
        <f t="shared" ca="1" si="10"/>
        <v/>
      </c>
      <c r="P87" s="52" t="str">
        <f t="shared" ca="1" si="10"/>
        <v/>
      </c>
      <c r="Q87" s="52" t="str">
        <f t="shared" ca="1" si="10"/>
        <v/>
      </c>
      <c r="R87" s="52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2" t="str">
        <f t="shared" ca="1" si="10"/>
        <v/>
      </c>
      <c r="D88" s="52" t="str">
        <f t="shared" ca="1" si="10"/>
        <v/>
      </c>
      <c r="E88" s="52" t="str">
        <f t="shared" ca="1" si="10"/>
        <v/>
      </c>
      <c r="F88" s="52" t="str">
        <f t="shared" ca="1" si="10"/>
        <v/>
      </c>
      <c r="G88" s="52" t="str">
        <f t="shared" ca="1" si="10"/>
        <v/>
      </c>
      <c r="H88" s="52" t="str">
        <f t="shared" ca="1" si="10"/>
        <v/>
      </c>
      <c r="I88" s="52" t="str">
        <f t="shared" ca="1" si="10"/>
        <v/>
      </c>
      <c r="J88" s="52" t="str">
        <f t="shared" ca="1" si="10"/>
        <v/>
      </c>
      <c r="K88" s="52" t="str">
        <f t="shared" ca="1" si="10"/>
        <v/>
      </c>
      <c r="L88" s="52" t="str">
        <f t="shared" ca="1" si="10"/>
        <v/>
      </c>
      <c r="M88" s="52" t="str">
        <f t="shared" ca="1" si="10"/>
        <v/>
      </c>
      <c r="N88" s="52" t="str">
        <f t="shared" ca="1" si="10"/>
        <v/>
      </c>
      <c r="O88" s="52" t="str">
        <f t="shared" ca="1" si="10"/>
        <v/>
      </c>
      <c r="P88" s="52" t="str">
        <f t="shared" ca="1" si="10"/>
        <v/>
      </c>
      <c r="Q88" s="52" t="str">
        <f t="shared" ca="1" si="10"/>
        <v/>
      </c>
      <c r="R88" s="52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2" t="str">
        <f t="shared" ca="1" si="10"/>
        <v/>
      </c>
      <c r="D89" s="52" t="str">
        <f t="shared" ca="1" si="10"/>
        <v/>
      </c>
      <c r="E89" s="52" t="str">
        <f t="shared" ca="1" si="10"/>
        <v/>
      </c>
      <c r="F89" s="52" t="str">
        <f t="shared" ca="1" si="10"/>
        <v/>
      </c>
      <c r="G89" s="52" t="str">
        <f t="shared" ca="1" si="10"/>
        <v/>
      </c>
      <c r="H89" s="52" t="str">
        <f t="shared" ca="1" si="10"/>
        <v/>
      </c>
      <c r="I89" s="52" t="str">
        <f t="shared" ca="1" si="10"/>
        <v/>
      </c>
      <c r="J89" s="52" t="str">
        <f t="shared" ca="1" si="10"/>
        <v/>
      </c>
      <c r="K89" s="52" t="str">
        <f t="shared" ca="1" si="10"/>
        <v/>
      </c>
      <c r="L89" s="52" t="str">
        <f t="shared" ca="1" si="10"/>
        <v/>
      </c>
      <c r="M89" s="52" t="str">
        <f t="shared" ca="1" si="10"/>
        <v/>
      </c>
      <c r="N89" s="52" t="str">
        <f t="shared" ca="1" si="10"/>
        <v/>
      </c>
      <c r="O89" s="52" t="str">
        <f t="shared" ca="1" si="10"/>
        <v/>
      </c>
      <c r="P89" s="52" t="str">
        <f t="shared" ca="1" si="10"/>
        <v/>
      </c>
      <c r="Q89" s="52" t="str">
        <f t="shared" ca="1" si="10"/>
        <v/>
      </c>
      <c r="R89" s="52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2" t="str">
        <f t="shared" ca="1" si="10"/>
        <v/>
      </c>
      <c r="D90" s="52" t="str">
        <f t="shared" ca="1" si="10"/>
        <v/>
      </c>
      <c r="E90" s="52" t="str">
        <f t="shared" ca="1" si="10"/>
        <v/>
      </c>
      <c r="F90" s="52" t="str">
        <f t="shared" ca="1" si="10"/>
        <v/>
      </c>
      <c r="G90" s="52" t="str">
        <f t="shared" ca="1" si="10"/>
        <v/>
      </c>
      <c r="H90" s="52" t="str">
        <f t="shared" ca="1" si="10"/>
        <v/>
      </c>
      <c r="I90" s="52" t="str">
        <f t="shared" ca="1" si="10"/>
        <v/>
      </c>
      <c r="J90" s="52" t="str">
        <f t="shared" ca="1" si="10"/>
        <v/>
      </c>
      <c r="K90" s="52" t="str">
        <f t="shared" ca="1" si="10"/>
        <v/>
      </c>
      <c r="L90" s="52" t="str">
        <f t="shared" ca="1" si="10"/>
        <v/>
      </c>
      <c r="M90" s="52" t="str">
        <f t="shared" ca="1" si="10"/>
        <v/>
      </c>
      <c r="N90" s="52" t="str">
        <f t="shared" ca="1" si="10"/>
        <v/>
      </c>
      <c r="O90" s="52" t="str">
        <f t="shared" ca="1" si="10"/>
        <v/>
      </c>
      <c r="P90" s="52" t="str">
        <f t="shared" ca="1" si="10"/>
        <v/>
      </c>
      <c r="Q90" s="52" t="str">
        <f t="shared" ca="1" si="10"/>
        <v/>
      </c>
      <c r="R90" s="52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2" t="str">
        <f t="shared" ca="1" si="10"/>
        <v/>
      </c>
      <c r="D91" s="52" t="str">
        <f t="shared" ca="1" si="10"/>
        <v/>
      </c>
      <c r="E91" s="52" t="str">
        <f t="shared" ca="1" si="10"/>
        <v/>
      </c>
      <c r="F91" s="52" t="str">
        <f t="shared" ca="1" si="10"/>
        <v/>
      </c>
      <c r="G91" s="52" t="str">
        <f t="shared" ca="1" si="10"/>
        <v/>
      </c>
      <c r="H91" s="52" t="str">
        <f t="shared" ca="1" si="10"/>
        <v/>
      </c>
      <c r="I91" s="52" t="str">
        <f t="shared" ca="1" si="10"/>
        <v/>
      </c>
      <c r="J91" s="52" t="str">
        <f t="shared" ca="1" si="10"/>
        <v/>
      </c>
      <c r="K91" s="52" t="str">
        <f t="shared" ca="1" si="10"/>
        <v/>
      </c>
      <c r="L91" s="52" t="str">
        <f t="shared" ca="1" si="10"/>
        <v/>
      </c>
      <c r="M91" s="52" t="str">
        <f t="shared" ca="1" si="10"/>
        <v/>
      </c>
      <c r="N91" s="52" t="str">
        <f t="shared" ca="1" si="10"/>
        <v/>
      </c>
      <c r="O91" s="52" t="str">
        <f t="shared" ca="1" si="10"/>
        <v/>
      </c>
      <c r="P91" s="52" t="str">
        <f t="shared" ca="1" si="10"/>
        <v/>
      </c>
      <c r="Q91" s="52" t="str">
        <f t="shared" ca="1" si="10"/>
        <v/>
      </c>
      <c r="R91" s="52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2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2" t="str">
        <f t="shared" ca="1" si="11"/>
        <v/>
      </c>
      <c r="E92" s="52" t="str">
        <f t="shared" ca="1" si="11"/>
        <v/>
      </c>
      <c r="F92" s="52" t="str">
        <f t="shared" ca="1" si="11"/>
        <v/>
      </c>
      <c r="G92" s="52" t="str">
        <f t="shared" ca="1" si="11"/>
        <v/>
      </c>
      <c r="H92" s="52" t="str">
        <f t="shared" ca="1" si="11"/>
        <v/>
      </c>
      <c r="I92" s="52" t="str">
        <f t="shared" ca="1" si="11"/>
        <v/>
      </c>
      <c r="J92" s="52" t="str">
        <f t="shared" ca="1" si="11"/>
        <v/>
      </c>
      <c r="K92" s="52" t="str">
        <f t="shared" ca="1" si="11"/>
        <v/>
      </c>
      <c r="L92" s="52" t="str">
        <f t="shared" ca="1" si="11"/>
        <v/>
      </c>
      <c r="M92" s="52" t="str">
        <f t="shared" ca="1" si="11"/>
        <v/>
      </c>
      <c r="N92" s="52" t="str">
        <f t="shared" ca="1" si="11"/>
        <v/>
      </c>
      <c r="O92" s="52" t="str">
        <f t="shared" ca="1" si="11"/>
        <v/>
      </c>
      <c r="P92" s="52" t="str">
        <f t="shared" ca="1" si="11"/>
        <v/>
      </c>
      <c r="Q92" s="52" t="str">
        <f t="shared" ca="1" si="11"/>
        <v/>
      </c>
      <c r="R92" s="52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2" t="str">
        <f t="shared" ca="1" si="11"/>
        <v/>
      </c>
      <c r="D93" s="52" t="str">
        <f t="shared" ca="1" si="11"/>
        <v/>
      </c>
      <c r="E93" s="52" t="str">
        <f t="shared" ca="1" si="11"/>
        <v/>
      </c>
      <c r="F93" s="52" t="str">
        <f t="shared" ca="1" si="11"/>
        <v/>
      </c>
      <c r="G93" s="52" t="str">
        <f t="shared" ca="1" si="11"/>
        <v/>
      </c>
      <c r="H93" s="52" t="str">
        <f t="shared" ca="1" si="11"/>
        <v/>
      </c>
      <c r="I93" s="52" t="str">
        <f t="shared" ca="1" si="11"/>
        <v/>
      </c>
      <c r="J93" s="52" t="str">
        <f t="shared" ca="1" si="11"/>
        <v/>
      </c>
      <c r="K93" s="52" t="str">
        <f t="shared" ca="1" si="11"/>
        <v/>
      </c>
      <c r="L93" s="52" t="str">
        <f t="shared" ca="1" si="11"/>
        <v/>
      </c>
      <c r="M93" s="52" t="str">
        <f t="shared" ca="1" si="11"/>
        <v/>
      </c>
      <c r="N93" s="52" t="str">
        <f t="shared" ca="1" si="11"/>
        <v/>
      </c>
      <c r="O93" s="52" t="str">
        <f t="shared" ca="1" si="11"/>
        <v/>
      </c>
      <c r="P93" s="52" t="str">
        <f t="shared" ca="1" si="11"/>
        <v/>
      </c>
      <c r="Q93" s="52" t="str">
        <f t="shared" ca="1" si="11"/>
        <v/>
      </c>
      <c r="R93" s="52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2" t="str">
        <f t="shared" ca="1" si="11"/>
        <v/>
      </c>
      <c r="D94" s="52" t="str">
        <f t="shared" ca="1" si="11"/>
        <v/>
      </c>
      <c r="E94" s="52" t="str">
        <f t="shared" ca="1" si="11"/>
        <v/>
      </c>
      <c r="F94" s="52" t="str">
        <f t="shared" ca="1" si="11"/>
        <v/>
      </c>
      <c r="G94" s="52" t="str">
        <f t="shared" ca="1" si="11"/>
        <v/>
      </c>
      <c r="H94" s="52" t="str">
        <f t="shared" ca="1" si="11"/>
        <v/>
      </c>
      <c r="I94" s="52" t="str">
        <f t="shared" ca="1" si="11"/>
        <v/>
      </c>
      <c r="J94" s="52" t="str">
        <f t="shared" ca="1" si="11"/>
        <v/>
      </c>
      <c r="K94" s="52" t="str">
        <f t="shared" ca="1" si="11"/>
        <v/>
      </c>
      <c r="L94" s="52" t="str">
        <f t="shared" ca="1" si="11"/>
        <v/>
      </c>
      <c r="M94" s="52" t="str">
        <f t="shared" ca="1" si="11"/>
        <v/>
      </c>
      <c r="N94" s="52" t="str">
        <f t="shared" ca="1" si="11"/>
        <v/>
      </c>
      <c r="O94" s="52" t="str">
        <f t="shared" ca="1" si="11"/>
        <v/>
      </c>
      <c r="P94" s="52" t="str">
        <f t="shared" ca="1" si="11"/>
        <v/>
      </c>
      <c r="Q94" s="52" t="str">
        <f t="shared" ca="1" si="11"/>
        <v/>
      </c>
      <c r="R94" s="52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2" t="str">
        <f t="shared" ca="1" si="11"/>
        <v/>
      </c>
      <c r="D95" s="52" t="str">
        <f t="shared" ca="1" si="11"/>
        <v/>
      </c>
      <c r="E95" s="52" t="str">
        <f t="shared" ca="1" si="11"/>
        <v/>
      </c>
      <c r="F95" s="52" t="str">
        <f t="shared" ca="1" si="11"/>
        <v/>
      </c>
      <c r="G95" s="52" t="str">
        <f t="shared" ca="1" si="11"/>
        <v/>
      </c>
      <c r="H95" s="52" t="str">
        <f t="shared" ca="1" si="11"/>
        <v/>
      </c>
      <c r="I95" s="52" t="str">
        <f t="shared" ca="1" si="11"/>
        <v/>
      </c>
      <c r="J95" s="52" t="str">
        <f t="shared" ca="1" si="11"/>
        <v/>
      </c>
      <c r="K95" s="52" t="str">
        <f t="shared" ca="1" si="11"/>
        <v/>
      </c>
      <c r="L95" s="52" t="str">
        <f t="shared" ca="1" si="11"/>
        <v/>
      </c>
      <c r="M95" s="52" t="str">
        <f t="shared" ca="1" si="11"/>
        <v/>
      </c>
      <c r="N95" s="52" t="str">
        <f t="shared" ca="1" si="11"/>
        <v/>
      </c>
      <c r="O95" s="52" t="str">
        <f t="shared" ca="1" si="11"/>
        <v/>
      </c>
      <c r="P95" s="52" t="str">
        <f t="shared" ca="1" si="11"/>
        <v/>
      </c>
      <c r="Q95" s="52" t="str">
        <f t="shared" ca="1" si="11"/>
        <v/>
      </c>
      <c r="R95" s="52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2" t="str">
        <f t="shared" ca="1" si="11"/>
        <v/>
      </c>
      <c r="D96" s="52" t="str">
        <f t="shared" ca="1" si="11"/>
        <v/>
      </c>
      <c r="E96" s="52" t="str">
        <f t="shared" ca="1" si="11"/>
        <v/>
      </c>
      <c r="F96" s="52" t="str">
        <f t="shared" ca="1" si="11"/>
        <v/>
      </c>
      <c r="G96" s="52" t="str">
        <f t="shared" ca="1" si="11"/>
        <v/>
      </c>
      <c r="H96" s="52" t="str">
        <f t="shared" ca="1" si="11"/>
        <v/>
      </c>
      <c r="I96" s="52" t="str">
        <f t="shared" ca="1" si="11"/>
        <v/>
      </c>
      <c r="J96" s="52" t="str">
        <f t="shared" ca="1" si="11"/>
        <v/>
      </c>
      <c r="K96" s="52" t="str">
        <f t="shared" ca="1" si="11"/>
        <v/>
      </c>
      <c r="L96" s="52" t="str">
        <f t="shared" ca="1" si="11"/>
        <v/>
      </c>
      <c r="M96" s="52" t="str">
        <f t="shared" ca="1" si="11"/>
        <v/>
      </c>
      <c r="N96" s="52" t="str">
        <f t="shared" ca="1" si="11"/>
        <v/>
      </c>
      <c r="O96" s="52" t="str">
        <f t="shared" ca="1" si="11"/>
        <v/>
      </c>
      <c r="P96" s="52" t="str">
        <f t="shared" ca="1" si="11"/>
        <v/>
      </c>
      <c r="Q96" s="52" t="str">
        <f t="shared" ca="1" si="11"/>
        <v/>
      </c>
      <c r="R96" s="52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2" t="str">
        <f t="shared" ca="1" si="11"/>
        <v/>
      </c>
      <c r="D97" s="52" t="str">
        <f t="shared" ca="1" si="11"/>
        <v/>
      </c>
      <c r="E97" s="52" t="str">
        <f t="shared" ca="1" si="11"/>
        <v/>
      </c>
      <c r="F97" s="52" t="str">
        <f t="shared" ca="1" si="11"/>
        <v/>
      </c>
      <c r="G97" s="52" t="str">
        <f t="shared" ca="1" si="11"/>
        <v/>
      </c>
      <c r="H97" s="52" t="str">
        <f t="shared" ca="1" si="11"/>
        <v/>
      </c>
      <c r="I97" s="52" t="str">
        <f t="shared" ca="1" si="11"/>
        <v/>
      </c>
      <c r="J97" s="52" t="str">
        <f t="shared" ca="1" si="11"/>
        <v/>
      </c>
      <c r="K97" s="52" t="str">
        <f t="shared" ca="1" si="11"/>
        <v/>
      </c>
      <c r="L97" s="52" t="str">
        <f t="shared" ca="1" si="11"/>
        <v/>
      </c>
      <c r="M97" s="52" t="str">
        <f t="shared" ca="1" si="11"/>
        <v/>
      </c>
      <c r="N97" s="52" t="str">
        <f t="shared" ca="1" si="11"/>
        <v/>
      </c>
      <c r="O97" s="52" t="str">
        <f t="shared" ca="1" si="11"/>
        <v/>
      </c>
      <c r="P97" s="52" t="str">
        <f t="shared" ca="1" si="11"/>
        <v/>
      </c>
      <c r="Q97" s="52" t="str">
        <f t="shared" ca="1" si="11"/>
        <v/>
      </c>
      <c r="R97" s="52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2" t="str">
        <f t="shared" ca="1" si="11"/>
        <v/>
      </c>
      <c r="D98" s="52" t="str">
        <f t="shared" ca="1" si="11"/>
        <v/>
      </c>
      <c r="E98" s="52" t="str">
        <f t="shared" ca="1" si="11"/>
        <v/>
      </c>
      <c r="F98" s="52" t="str">
        <f t="shared" ca="1" si="11"/>
        <v/>
      </c>
      <c r="G98" s="52" t="str">
        <f t="shared" ca="1" si="11"/>
        <v/>
      </c>
      <c r="H98" s="52" t="str">
        <f t="shared" ca="1" si="11"/>
        <v/>
      </c>
      <c r="I98" s="52" t="str">
        <f t="shared" ca="1" si="11"/>
        <v/>
      </c>
      <c r="J98" s="52" t="str">
        <f t="shared" ca="1" si="11"/>
        <v/>
      </c>
      <c r="K98" s="52" t="str">
        <f t="shared" ca="1" si="11"/>
        <v/>
      </c>
      <c r="L98" s="52" t="str">
        <f t="shared" ca="1" si="11"/>
        <v/>
      </c>
      <c r="M98" s="52" t="str">
        <f t="shared" ca="1" si="11"/>
        <v/>
      </c>
      <c r="N98" s="52" t="str">
        <f t="shared" ca="1" si="11"/>
        <v/>
      </c>
      <c r="O98" s="52" t="str">
        <f t="shared" ca="1" si="11"/>
        <v/>
      </c>
      <c r="P98" s="52" t="str">
        <f t="shared" ca="1" si="11"/>
        <v/>
      </c>
      <c r="Q98" s="52" t="str">
        <f t="shared" ca="1" si="11"/>
        <v/>
      </c>
      <c r="R98" s="52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2" t="str">
        <f t="shared" ca="1" si="11"/>
        <v/>
      </c>
      <c r="D99" s="52" t="str">
        <f t="shared" ca="1" si="11"/>
        <v/>
      </c>
      <c r="E99" s="52" t="str">
        <f t="shared" ca="1" si="11"/>
        <v/>
      </c>
      <c r="F99" s="52" t="str">
        <f t="shared" ca="1" si="11"/>
        <v/>
      </c>
      <c r="G99" s="52" t="str">
        <f t="shared" ca="1" si="11"/>
        <v/>
      </c>
      <c r="H99" s="52" t="str">
        <f t="shared" ca="1" si="11"/>
        <v/>
      </c>
      <c r="I99" s="52" t="str">
        <f t="shared" ca="1" si="11"/>
        <v/>
      </c>
      <c r="J99" s="52" t="str">
        <f t="shared" ca="1" si="11"/>
        <v/>
      </c>
      <c r="K99" s="52" t="str">
        <f t="shared" ca="1" si="11"/>
        <v/>
      </c>
      <c r="L99" s="52" t="str">
        <f t="shared" ca="1" si="11"/>
        <v/>
      </c>
      <c r="M99" s="52" t="str">
        <f t="shared" ca="1" si="11"/>
        <v/>
      </c>
      <c r="N99" s="52" t="str">
        <f t="shared" ca="1" si="11"/>
        <v/>
      </c>
      <c r="O99" s="52" t="str">
        <f t="shared" ca="1" si="11"/>
        <v/>
      </c>
      <c r="P99" s="52" t="str">
        <f t="shared" ca="1" si="11"/>
        <v/>
      </c>
      <c r="Q99" s="52" t="str">
        <f t="shared" ca="1" si="11"/>
        <v/>
      </c>
      <c r="R99" s="52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2" t="str">
        <f t="shared" ca="1" si="11"/>
        <v/>
      </c>
      <c r="D100" s="52" t="str">
        <f t="shared" ca="1" si="11"/>
        <v/>
      </c>
      <c r="E100" s="52" t="str">
        <f t="shared" ca="1" si="11"/>
        <v/>
      </c>
      <c r="F100" s="52" t="str">
        <f t="shared" ca="1" si="11"/>
        <v/>
      </c>
      <c r="G100" s="52" t="str">
        <f t="shared" ca="1" si="11"/>
        <v/>
      </c>
      <c r="H100" s="52" t="str">
        <f t="shared" ca="1" si="11"/>
        <v/>
      </c>
      <c r="I100" s="52" t="str">
        <f t="shared" ca="1" si="11"/>
        <v/>
      </c>
      <c r="J100" s="52" t="str">
        <f t="shared" ca="1" si="11"/>
        <v/>
      </c>
      <c r="K100" s="52" t="str">
        <f t="shared" ca="1" si="11"/>
        <v/>
      </c>
      <c r="L100" s="52" t="str">
        <f t="shared" ca="1" si="11"/>
        <v/>
      </c>
      <c r="M100" s="52" t="str">
        <f t="shared" ca="1" si="11"/>
        <v/>
      </c>
      <c r="N100" s="52" t="str">
        <f t="shared" ca="1" si="11"/>
        <v/>
      </c>
      <c r="O100" s="52" t="str">
        <f t="shared" ca="1" si="11"/>
        <v/>
      </c>
      <c r="P100" s="52" t="str">
        <f t="shared" ca="1" si="11"/>
        <v/>
      </c>
      <c r="Q100" s="52" t="str">
        <f t="shared" ca="1" si="11"/>
        <v/>
      </c>
      <c r="R100" s="52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2" t="str">
        <f t="shared" ca="1" si="11"/>
        <v/>
      </c>
      <c r="D101" s="52" t="str">
        <f t="shared" ca="1" si="11"/>
        <v/>
      </c>
      <c r="E101" s="52" t="str">
        <f t="shared" ca="1" si="11"/>
        <v/>
      </c>
      <c r="F101" s="52" t="str">
        <f t="shared" ca="1" si="11"/>
        <v/>
      </c>
      <c r="G101" s="52" t="str">
        <f t="shared" ca="1" si="11"/>
        <v/>
      </c>
      <c r="H101" s="52" t="str">
        <f t="shared" ca="1" si="11"/>
        <v/>
      </c>
      <c r="I101" s="52" t="str">
        <f t="shared" ca="1" si="11"/>
        <v/>
      </c>
      <c r="J101" s="52" t="str">
        <f t="shared" ca="1" si="11"/>
        <v/>
      </c>
      <c r="K101" s="52" t="str">
        <f t="shared" ca="1" si="11"/>
        <v/>
      </c>
      <c r="L101" s="52" t="str">
        <f t="shared" ca="1" si="11"/>
        <v/>
      </c>
      <c r="M101" s="52" t="str">
        <f t="shared" ca="1" si="11"/>
        <v/>
      </c>
      <c r="N101" s="52" t="str">
        <f t="shared" ca="1" si="11"/>
        <v/>
      </c>
      <c r="O101" s="52" t="str">
        <f t="shared" ca="1" si="11"/>
        <v/>
      </c>
      <c r="P101" s="52" t="str">
        <f t="shared" ca="1" si="11"/>
        <v/>
      </c>
      <c r="Q101" s="52" t="str">
        <f t="shared" ca="1" si="11"/>
        <v/>
      </c>
      <c r="R101" s="52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2" t="str">
        <f t="shared" ca="1" si="11"/>
        <v/>
      </c>
      <c r="D102" s="52" t="str">
        <f t="shared" ca="1" si="11"/>
        <v/>
      </c>
      <c r="E102" s="52" t="str">
        <f t="shared" ca="1" si="11"/>
        <v/>
      </c>
      <c r="F102" s="52" t="str">
        <f t="shared" ca="1" si="11"/>
        <v/>
      </c>
      <c r="G102" s="52" t="str">
        <f t="shared" ca="1" si="11"/>
        <v/>
      </c>
      <c r="H102" s="52" t="str">
        <f t="shared" ca="1" si="11"/>
        <v/>
      </c>
      <c r="I102" s="52" t="str">
        <f t="shared" ca="1" si="11"/>
        <v/>
      </c>
      <c r="J102" s="52" t="str">
        <f t="shared" ca="1" si="11"/>
        <v/>
      </c>
      <c r="K102" s="52" t="str">
        <f t="shared" ca="1" si="11"/>
        <v/>
      </c>
      <c r="L102" s="52" t="str">
        <f t="shared" ca="1" si="11"/>
        <v/>
      </c>
      <c r="M102" s="52" t="str">
        <f t="shared" ca="1" si="11"/>
        <v/>
      </c>
      <c r="N102" s="52" t="str">
        <f t="shared" ca="1" si="11"/>
        <v/>
      </c>
      <c r="O102" s="52" t="str">
        <f t="shared" ca="1" si="11"/>
        <v/>
      </c>
      <c r="P102" s="52" t="str">
        <f t="shared" ca="1" si="11"/>
        <v/>
      </c>
      <c r="Q102" s="52" t="str">
        <f t="shared" ca="1" si="11"/>
        <v/>
      </c>
      <c r="R102" s="52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2" t="str">
        <f t="shared" ca="1" si="11"/>
        <v/>
      </c>
      <c r="D103" s="52" t="str">
        <f t="shared" ca="1" si="11"/>
        <v/>
      </c>
      <c r="E103" s="52" t="str">
        <f t="shared" ca="1" si="11"/>
        <v/>
      </c>
      <c r="F103" s="52" t="str">
        <f t="shared" ca="1" si="11"/>
        <v/>
      </c>
      <c r="G103" s="52" t="str">
        <f t="shared" ca="1" si="11"/>
        <v/>
      </c>
      <c r="H103" s="52" t="str">
        <f t="shared" ca="1" si="11"/>
        <v/>
      </c>
      <c r="I103" s="52" t="str">
        <f t="shared" ca="1" si="11"/>
        <v/>
      </c>
      <c r="J103" s="52" t="str">
        <f t="shared" ca="1" si="11"/>
        <v/>
      </c>
      <c r="K103" s="52" t="str">
        <f t="shared" ca="1" si="11"/>
        <v/>
      </c>
      <c r="L103" s="52" t="str">
        <f t="shared" ca="1" si="11"/>
        <v/>
      </c>
      <c r="M103" s="52" t="str">
        <f t="shared" ca="1" si="11"/>
        <v/>
      </c>
      <c r="N103" s="52" t="str">
        <f t="shared" ca="1" si="11"/>
        <v/>
      </c>
      <c r="O103" s="52" t="str">
        <f t="shared" ca="1" si="11"/>
        <v/>
      </c>
      <c r="P103" s="52" t="str">
        <f t="shared" ca="1" si="11"/>
        <v/>
      </c>
      <c r="Q103" s="52" t="str">
        <f t="shared" ca="1" si="11"/>
        <v/>
      </c>
      <c r="R103" s="52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2" t="str">
        <f t="shared" ca="1" si="11"/>
        <v/>
      </c>
      <c r="D104" s="52" t="str">
        <f t="shared" ca="1" si="11"/>
        <v/>
      </c>
      <c r="E104" s="52" t="str">
        <f t="shared" ca="1" si="11"/>
        <v/>
      </c>
      <c r="F104" s="52" t="str">
        <f t="shared" ca="1" si="11"/>
        <v/>
      </c>
      <c r="G104" s="52" t="str">
        <f t="shared" ca="1" si="11"/>
        <v/>
      </c>
      <c r="H104" s="52" t="str">
        <f t="shared" ca="1" si="11"/>
        <v/>
      </c>
      <c r="I104" s="52" t="str">
        <f t="shared" ca="1" si="11"/>
        <v/>
      </c>
      <c r="J104" s="52" t="str">
        <f t="shared" ca="1" si="11"/>
        <v/>
      </c>
      <c r="K104" s="52" t="str">
        <f t="shared" ca="1" si="11"/>
        <v/>
      </c>
      <c r="L104" s="52" t="str">
        <f t="shared" ca="1" si="11"/>
        <v/>
      </c>
      <c r="M104" s="52" t="str">
        <f t="shared" ca="1" si="11"/>
        <v/>
      </c>
      <c r="N104" s="52" t="str">
        <f t="shared" ca="1" si="11"/>
        <v/>
      </c>
      <c r="O104" s="52" t="str">
        <f t="shared" ca="1" si="11"/>
        <v/>
      </c>
      <c r="P104" s="52" t="str">
        <f t="shared" ca="1" si="11"/>
        <v/>
      </c>
      <c r="Q104" s="52" t="str">
        <f t="shared" ca="1" si="11"/>
        <v/>
      </c>
      <c r="R104" s="52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2" t="str">
        <f t="shared" ca="1" si="11"/>
        <v/>
      </c>
      <c r="D105" s="52" t="str">
        <f t="shared" ca="1" si="11"/>
        <v/>
      </c>
      <c r="E105" s="52" t="str">
        <f t="shared" ca="1" si="11"/>
        <v/>
      </c>
      <c r="F105" s="52" t="str">
        <f t="shared" ca="1" si="11"/>
        <v/>
      </c>
      <c r="G105" s="52" t="str">
        <f t="shared" ca="1" si="11"/>
        <v/>
      </c>
      <c r="H105" s="52" t="str">
        <f t="shared" ca="1" si="11"/>
        <v/>
      </c>
      <c r="I105" s="52" t="str">
        <f t="shared" ca="1" si="11"/>
        <v/>
      </c>
      <c r="J105" s="52" t="str">
        <f t="shared" ca="1" si="11"/>
        <v/>
      </c>
      <c r="K105" s="52" t="str">
        <f t="shared" ca="1" si="11"/>
        <v/>
      </c>
      <c r="L105" s="52" t="str">
        <f t="shared" ca="1" si="11"/>
        <v/>
      </c>
      <c r="M105" s="52" t="str">
        <f t="shared" ca="1" si="11"/>
        <v/>
      </c>
      <c r="N105" s="52" t="str">
        <f t="shared" ca="1" si="11"/>
        <v/>
      </c>
      <c r="O105" s="52" t="str">
        <f t="shared" ca="1" si="11"/>
        <v/>
      </c>
      <c r="P105" s="52" t="str">
        <f t="shared" ca="1" si="11"/>
        <v/>
      </c>
      <c r="Q105" s="52" t="str">
        <f t="shared" ca="1" si="11"/>
        <v/>
      </c>
      <c r="R105" s="52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2" t="str">
        <f t="shared" ca="1" si="11"/>
        <v/>
      </c>
      <c r="D106" s="52" t="str">
        <f t="shared" ca="1" si="11"/>
        <v/>
      </c>
      <c r="E106" s="52" t="str">
        <f t="shared" ca="1" si="11"/>
        <v/>
      </c>
      <c r="F106" s="52" t="str">
        <f t="shared" ca="1" si="11"/>
        <v/>
      </c>
      <c r="G106" s="52" t="str">
        <f t="shared" ca="1" si="11"/>
        <v/>
      </c>
      <c r="H106" s="52" t="str">
        <f t="shared" ca="1" si="11"/>
        <v/>
      </c>
      <c r="I106" s="52" t="str">
        <f t="shared" ca="1" si="11"/>
        <v/>
      </c>
      <c r="J106" s="52" t="str">
        <f t="shared" ca="1" si="11"/>
        <v/>
      </c>
      <c r="K106" s="52" t="str">
        <f t="shared" ca="1" si="11"/>
        <v/>
      </c>
      <c r="L106" s="52" t="str">
        <f t="shared" ca="1" si="11"/>
        <v/>
      </c>
      <c r="M106" s="52" t="str">
        <f t="shared" ca="1" si="11"/>
        <v/>
      </c>
      <c r="N106" s="52" t="str">
        <f t="shared" ca="1" si="11"/>
        <v/>
      </c>
      <c r="O106" s="52" t="str">
        <f t="shared" ca="1" si="11"/>
        <v/>
      </c>
      <c r="P106" s="52" t="str">
        <f t="shared" ca="1" si="11"/>
        <v/>
      </c>
      <c r="Q106" s="52" t="str">
        <f t="shared" ca="1" si="11"/>
        <v/>
      </c>
      <c r="R106" s="52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2" t="str">
        <f t="shared" ca="1" si="11"/>
        <v/>
      </c>
      <c r="D107" s="52" t="str">
        <f t="shared" ca="1" si="11"/>
        <v/>
      </c>
      <c r="E107" s="52" t="str">
        <f t="shared" ca="1" si="11"/>
        <v/>
      </c>
      <c r="F107" s="52" t="str">
        <f t="shared" ca="1" si="11"/>
        <v/>
      </c>
      <c r="G107" s="52" t="str">
        <f t="shared" ca="1" si="11"/>
        <v/>
      </c>
      <c r="H107" s="52" t="str">
        <f t="shared" ca="1" si="11"/>
        <v/>
      </c>
      <c r="I107" s="52" t="str">
        <f t="shared" ca="1" si="11"/>
        <v/>
      </c>
      <c r="J107" s="52" t="str">
        <f t="shared" ca="1" si="11"/>
        <v/>
      </c>
      <c r="K107" s="52" t="str">
        <f t="shared" ca="1" si="11"/>
        <v/>
      </c>
      <c r="L107" s="52" t="str">
        <f t="shared" ca="1" si="11"/>
        <v/>
      </c>
      <c r="M107" s="52" t="str">
        <f t="shared" ca="1" si="11"/>
        <v/>
      </c>
      <c r="N107" s="52" t="str">
        <f t="shared" ca="1" si="11"/>
        <v/>
      </c>
      <c r="O107" s="52" t="str">
        <f t="shared" ca="1" si="11"/>
        <v/>
      </c>
      <c r="P107" s="52" t="str">
        <f t="shared" ca="1" si="11"/>
        <v/>
      </c>
      <c r="Q107" s="52" t="str">
        <f t="shared" ca="1" si="11"/>
        <v/>
      </c>
      <c r="R107" s="52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2" t="str">
        <f t="shared" ca="1" si="11"/>
        <v/>
      </c>
      <c r="D108" s="52" t="str">
        <f t="shared" ca="1" si="11"/>
        <v/>
      </c>
      <c r="E108" s="52" t="str">
        <f t="shared" ca="1" si="11"/>
        <v/>
      </c>
      <c r="F108" s="52" t="str">
        <f t="shared" ca="1" si="11"/>
        <v/>
      </c>
      <c r="G108" s="52" t="str">
        <f t="shared" ca="1" si="11"/>
        <v/>
      </c>
      <c r="H108" s="52" t="str">
        <f t="shared" ca="1" si="11"/>
        <v/>
      </c>
      <c r="I108" s="52" t="str">
        <f t="shared" ca="1" si="11"/>
        <v/>
      </c>
      <c r="J108" s="52" t="str">
        <f t="shared" ca="1" si="11"/>
        <v/>
      </c>
      <c r="K108" s="52" t="str">
        <f t="shared" ca="1" si="11"/>
        <v/>
      </c>
      <c r="L108" s="52" t="str">
        <f t="shared" ca="1" si="11"/>
        <v/>
      </c>
      <c r="M108" s="52" t="str">
        <f t="shared" ca="1" si="11"/>
        <v/>
      </c>
      <c r="N108" s="52" t="str">
        <f t="shared" ca="1" si="11"/>
        <v/>
      </c>
      <c r="O108" s="52" t="str">
        <f t="shared" ca="1" si="11"/>
        <v/>
      </c>
      <c r="P108" s="52" t="str">
        <f t="shared" ca="1" si="11"/>
        <v/>
      </c>
      <c r="Q108" s="52" t="str">
        <f t="shared" ca="1" si="11"/>
        <v/>
      </c>
      <c r="R108" s="52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2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2" t="str">
        <f t="shared" ca="1" si="12"/>
        <v/>
      </c>
      <c r="E109" s="52" t="str">
        <f t="shared" ca="1" si="12"/>
        <v/>
      </c>
      <c r="F109" s="52" t="str">
        <f t="shared" ca="1" si="12"/>
        <v/>
      </c>
      <c r="G109" s="52" t="str">
        <f t="shared" ca="1" si="12"/>
        <v/>
      </c>
      <c r="H109" s="52" t="str">
        <f t="shared" ca="1" si="12"/>
        <v/>
      </c>
      <c r="I109" s="52" t="str">
        <f t="shared" ca="1" si="12"/>
        <v/>
      </c>
      <c r="J109" s="52" t="str">
        <f t="shared" ca="1" si="12"/>
        <v/>
      </c>
      <c r="K109" s="52" t="str">
        <f t="shared" ca="1" si="12"/>
        <v/>
      </c>
      <c r="L109" s="52" t="str">
        <f t="shared" ca="1" si="12"/>
        <v/>
      </c>
      <c r="M109" s="52" t="str">
        <f t="shared" ca="1" si="12"/>
        <v/>
      </c>
      <c r="N109" s="52" t="str">
        <f t="shared" ca="1" si="12"/>
        <v/>
      </c>
      <c r="O109" s="52" t="str">
        <f t="shared" ca="1" si="12"/>
        <v/>
      </c>
      <c r="P109" s="52" t="str">
        <f t="shared" ca="1" si="12"/>
        <v/>
      </c>
      <c r="Q109" s="52" t="str">
        <f t="shared" ca="1" si="12"/>
        <v/>
      </c>
      <c r="R109" s="52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2" t="str">
        <f t="shared" ca="1" si="12"/>
        <v/>
      </c>
      <c r="D110" s="52" t="str">
        <f t="shared" ca="1" si="12"/>
        <v/>
      </c>
      <c r="E110" s="52" t="str">
        <f t="shared" ca="1" si="12"/>
        <v/>
      </c>
      <c r="F110" s="52" t="str">
        <f t="shared" ca="1" si="12"/>
        <v/>
      </c>
      <c r="G110" s="52" t="str">
        <f t="shared" ca="1" si="12"/>
        <v/>
      </c>
      <c r="H110" s="52" t="str">
        <f t="shared" ca="1" si="12"/>
        <v/>
      </c>
      <c r="I110" s="52" t="str">
        <f t="shared" ca="1" si="12"/>
        <v/>
      </c>
      <c r="J110" s="52" t="str">
        <f t="shared" ca="1" si="12"/>
        <v/>
      </c>
      <c r="K110" s="52" t="str">
        <f t="shared" ca="1" si="12"/>
        <v/>
      </c>
      <c r="L110" s="52" t="str">
        <f t="shared" ca="1" si="12"/>
        <v/>
      </c>
      <c r="M110" s="52" t="str">
        <f t="shared" ca="1" si="12"/>
        <v/>
      </c>
      <c r="N110" s="52" t="str">
        <f t="shared" ca="1" si="12"/>
        <v/>
      </c>
      <c r="O110" s="52" t="str">
        <f t="shared" ca="1" si="12"/>
        <v/>
      </c>
      <c r="P110" s="52" t="str">
        <f t="shared" ca="1" si="12"/>
        <v/>
      </c>
      <c r="Q110" s="52" t="str">
        <f t="shared" ca="1" si="12"/>
        <v/>
      </c>
      <c r="R110" s="52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2" t="str">
        <f t="shared" ca="1" si="12"/>
        <v/>
      </c>
      <c r="D111" s="52" t="str">
        <f t="shared" ca="1" si="12"/>
        <v/>
      </c>
      <c r="E111" s="52" t="str">
        <f t="shared" ca="1" si="12"/>
        <v/>
      </c>
      <c r="F111" s="52" t="str">
        <f t="shared" ca="1" si="12"/>
        <v/>
      </c>
      <c r="G111" s="52" t="str">
        <f t="shared" ca="1" si="12"/>
        <v/>
      </c>
      <c r="H111" s="52" t="str">
        <f t="shared" ca="1" si="12"/>
        <v/>
      </c>
      <c r="I111" s="52" t="str">
        <f t="shared" ca="1" si="12"/>
        <v/>
      </c>
      <c r="J111" s="52" t="str">
        <f t="shared" ca="1" si="12"/>
        <v/>
      </c>
      <c r="K111" s="52" t="str">
        <f t="shared" ca="1" si="12"/>
        <v/>
      </c>
      <c r="L111" s="52" t="str">
        <f t="shared" ca="1" si="12"/>
        <v/>
      </c>
      <c r="M111" s="52" t="str">
        <f t="shared" ca="1" si="12"/>
        <v/>
      </c>
      <c r="N111" s="52" t="str">
        <f t="shared" ca="1" si="12"/>
        <v/>
      </c>
      <c r="O111" s="52" t="str">
        <f t="shared" ca="1" si="12"/>
        <v/>
      </c>
      <c r="P111" s="52" t="str">
        <f t="shared" ca="1" si="12"/>
        <v/>
      </c>
      <c r="Q111" s="52" t="str">
        <f t="shared" ca="1" si="12"/>
        <v/>
      </c>
      <c r="R111" s="52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2" t="str">
        <f t="shared" ca="1" si="12"/>
        <v/>
      </c>
      <c r="D112" s="52" t="str">
        <f t="shared" ca="1" si="12"/>
        <v/>
      </c>
      <c r="E112" s="52" t="str">
        <f t="shared" ca="1" si="12"/>
        <v/>
      </c>
      <c r="F112" s="52" t="str">
        <f t="shared" ca="1" si="12"/>
        <v/>
      </c>
      <c r="G112" s="52" t="str">
        <f t="shared" ca="1" si="12"/>
        <v/>
      </c>
      <c r="H112" s="52" t="str">
        <f t="shared" ca="1" si="12"/>
        <v/>
      </c>
      <c r="I112" s="52" t="str">
        <f t="shared" ca="1" si="12"/>
        <v/>
      </c>
      <c r="J112" s="52" t="str">
        <f t="shared" ca="1" si="12"/>
        <v/>
      </c>
      <c r="K112" s="52" t="str">
        <f t="shared" ca="1" si="12"/>
        <v/>
      </c>
      <c r="L112" s="52" t="str">
        <f t="shared" ca="1" si="12"/>
        <v/>
      </c>
      <c r="M112" s="52" t="str">
        <f t="shared" ca="1" si="12"/>
        <v/>
      </c>
      <c r="N112" s="52" t="str">
        <f t="shared" ca="1" si="12"/>
        <v/>
      </c>
      <c r="O112" s="52" t="str">
        <f t="shared" ca="1" si="12"/>
        <v/>
      </c>
      <c r="P112" s="52" t="str">
        <f t="shared" ca="1" si="12"/>
        <v/>
      </c>
      <c r="Q112" s="52" t="str">
        <f t="shared" ca="1" si="12"/>
        <v/>
      </c>
      <c r="R112" s="52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2" t="str">
        <f t="shared" ca="1" si="12"/>
        <v/>
      </c>
      <c r="D113" s="52" t="str">
        <f t="shared" ca="1" si="12"/>
        <v/>
      </c>
      <c r="E113" s="52" t="str">
        <f t="shared" ca="1" si="12"/>
        <v/>
      </c>
      <c r="F113" s="52" t="str">
        <f t="shared" ca="1" si="12"/>
        <v/>
      </c>
      <c r="G113" s="52" t="str">
        <f t="shared" ca="1" si="12"/>
        <v/>
      </c>
      <c r="H113" s="52" t="str">
        <f t="shared" ca="1" si="12"/>
        <v/>
      </c>
      <c r="I113" s="52" t="str">
        <f t="shared" ca="1" si="12"/>
        <v/>
      </c>
      <c r="J113" s="52" t="str">
        <f t="shared" ca="1" si="12"/>
        <v/>
      </c>
      <c r="K113" s="52" t="str">
        <f t="shared" ca="1" si="12"/>
        <v/>
      </c>
      <c r="L113" s="52" t="str">
        <f t="shared" ca="1" si="12"/>
        <v/>
      </c>
      <c r="M113" s="52" t="str">
        <f t="shared" ca="1" si="12"/>
        <v/>
      </c>
      <c r="N113" s="52" t="str">
        <f t="shared" ca="1" si="12"/>
        <v/>
      </c>
      <c r="O113" s="52" t="str">
        <f t="shared" ca="1" si="12"/>
        <v/>
      </c>
      <c r="P113" s="52" t="str">
        <f t="shared" ca="1" si="12"/>
        <v/>
      </c>
      <c r="Q113" s="52" t="str">
        <f t="shared" ca="1" si="12"/>
        <v/>
      </c>
      <c r="R113" s="52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2" t="str">
        <f t="shared" ca="1" si="12"/>
        <v/>
      </c>
      <c r="D114" s="52" t="str">
        <f t="shared" ca="1" si="12"/>
        <v/>
      </c>
      <c r="E114" s="52" t="str">
        <f t="shared" ca="1" si="12"/>
        <v/>
      </c>
      <c r="F114" s="52" t="str">
        <f t="shared" ca="1" si="12"/>
        <v/>
      </c>
      <c r="G114" s="52" t="str">
        <f t="shared" ca="1" si="12"/>
        <v/>
      </c>
      <c r="H114" s="52" t="str">
        <f t="shared" ca="1" si="12"/>
        <v/>
      </c>
      <c r="I114" s="52" t="str">
        <f t="shared" ca="1" si="12"/>
        <v/>
      </c>
      <c r="J114" s="52" t="str">
        <f t="shared" ca="1" si="12"/>
        <v/>
      </c>
      <c r="K114" s="52" t="str">
        <f t="shared" ca="1" si="12"/>
        <v/>
      </c>
      <c r="L114" s="52" t="str">
        <f t="shared" ca="1" si="12"/>
        <v/>
      </c>
      <c r="M114" s="52" t="str">
        <f t="shared" ca="1" si="12"/>
        <v/>
      </c>
      <c r="N114" s="52" t="str">
        <f t="shared" ca="1" si="12"/>
        <v/>
      </c>
      <c r="O114" s="52" t="str">
        <f t="shared" ca="1" si="12"/>
        <v/>
      </c>
      <c r="P114" s="52" t="str">
        <f t="shared" ca="1" si="12"/>
        <v/>
      </c>
      <c r="Q114" s="52" t="str">
        <f t="shared" ca="1" si="12"/>
        <v/>
      </c>
      <c r="R114" s="52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2" t="str">
        <f t="shared" ca="1" si="12"/>
        <v/>
      </c>
      <c r="D115" s="52" t="str">
        <f t="shared" ca="1" si="12"/>
        <v/>
      </c>
      <c r="E115" s="52" t="str">
        <f t="shared" ca="1" si="12"/>
        <v/>
      </c>
      <c r="F115" s="52" t="str">
        <f t="shared" ca="1" si="12"/>
        <v/>
      </c>
      <c r="G115" s="52" t="str">
        <f t="shared" ca="1" si="12"/>
        <v/>
      </c>
      <c r="H115" s="52" t="str">
        <f t="shared" ca="1" si="12"/>
        <v/>
      </c>
      <c r="I115" s="52" t="str">
        <f t="shared" ca="1" si="12"/>
        <v/>
      </c>
      <c r="J115" s="52" t="str">
        <f t="shared" ca="1" si="12"/>
        <v/>
      </c>
      <c r="K115" s="52" t="str">
        <f t="shared" ca="1" si="12"/>
        <v/>
      </c>
      <c r="L115" s="52" t="str">
        <f t="shared" ca="1" si="12"/>
        <v/>
      </c>
      <c r="M115" s="52" t="str">
        <f t="shared" ca="1" si="12"/>
        <v/>
      </c>
      <c r="N115" s="52" t="str">
        <f t="shared" ca="1" si="12"/>
        <v/>
      </c>
      <c r="O115" s="52" t="str">
        <f t="shared" ca="1" si="12"/>
        <v/>
      </c>
      <c r="P115" s="52" t="str">
        <f t="shared" ca="1" si="12"/>
        <v/>
      </c>
      <c r="Q115" s="52" t="str">
        <f t="shared" ca="1" si="12"/>
        <v/>
      </c>
      <c r="R115" s="52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2" t="str">
        <f t="shared" ca="1" si="12"/>
        <v/>
      </c>
      <c r="D116" s="52" t="str">
        <f t="shared" ca="1" si="12"/>
        <v/>
      </c>
      <c r="E116" s="52" t="str">
        <f t="shared" ca="1" si="12"/>
        <v/>
      </c>
      <c r="F116" s="52" t="str">
        <f t="shared" ca="1" si="12"/>
        <v/>
      </c>
      <c r="G116" s="52" t="str">
        <f t="shared" ca="1" si="12"/>
        <v/>
      </c>
      <c r="H116" s="52" t="str">
        <f t="shared" ca="1" si="12"/>
        <v/>
      </c>
      <c r="I116" s="52" t="str">
        <f t="shared" ca="1" si="12"/>
        <v/>
      </c>
      <c r="J116" s="52" t="str">
        <f t="shared" ca="1" si="12"/>
        <v/>
      </c>
      <c r="K116" s="52" t="str">
        <f t="shared" ca="1" si="12"/>
        <v/>
      </c>
      <c r="L116" s="52" t="str">
        <f t="shared" ca="1" si="12"/>
        <v/>
      </c>
      <c r="M116" s="52" t="str">
        <f t="shared" ca="1" si="12"/>
        <v/>
      </c>
      <c r="N116" s="52" t="str">
        <f t="shared" ca="1" si="12"/>
        <v/>
      </c>
      <c r="O116" s="52" t="str">
        <f t="shared" ca="1" si="12"/>
        <v/>
      </c>
      <c r="P116" s="52" t="str">
        <f t="shared" ca="1" si="12"/>
        <v/>
      </c>
      <c r="Q116" s="52" t="str">
        <f t="shared" ca="1" si="12"/>
        <v/>
      </c>
      <c r="R116" s="52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2" t="str">
        <f t="shared" ca="1" si="12"/>
        <v/>
      </c>
      <c r="D117" s="52" t="str">
        <f t="shared" ca="1" si="12"/>
        <v/>
      </c>
      <c r="E117" s="52" t="str">
        <f t="shared" ca="1" si="12"/>
        <v/>
      </c>
      <c r="F117" s="52" t="str">
        <f t="shared" ca="1" si="12"/>
        <v/>
      </c>
      <c r="G117" s="52" t="str">
        <f t="shared" ca="1" si="12"/>
        <v/>
      </c>
      <c r="H117" s="52" t="str">
        <f t="shared" ca="1" si="12"/>
        <v/>
      </c>
      <c r="I117" s="52" t="str">
        <f t="shared" ca="1" si="12"/>
        <v/>
      </c>
      <c r="J117" s="52" t="str">
        <f t="shared" ca="1" si="12"/>
        <v/>
      </c>
      <c r="K117" s="52" t="str">
        <f t="shared" ca="1" si="12"/>
        <v/>
      </c>
      <c r="L117" s="52" t="str">
        <f t="shared" ca="1" si="12"/>
        <v/>
      </c>
      <c r="M117" s="52" t="str">
        <f t="shared" ca="1" si="12"/>
        <v/>
      </c>
      <c r="N117" s="52" t="str">
        <f t="shared" ca="1" si="12"/>
        <v/>
      </c>
      <c r="O117" s="52" t="str">
        <f t="shared" ca="1" si="12"/>
        <v/>
      </c>
      <c r="P117" s="52" t="str">
        <f t="shared" ca="1" si="12"/>
        <v/>
      </c>
      <c r="Q117" s="52" t="str">
        <f t="shared" ca="1" si="12"/>
        <v/>
      </c>
      <c r="R117" s="52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2" t="str">
        <f t="shared" ca="1" si="12"/>
        <v/>
      </c>
      <c r="D118" s="52" t="str">
        <f t="shared" ca="1" si="12"/>
        <v/>
      </c>
      <c r="E118" s="52" t="str">
        <f t="shared" ca="1" si="12"/>
        <v/>
      </c>
      <c r="F118" s="52" t="str">
        <f t="shared" ca="1" si="12"/>
        <v/>
      </c>
      <c r="G118" s="52" t="str">
        <f t="shared" ca="1" si="12"/>
        <v/>
      </c>
      <c r="H118" s="52" t="str">
        <f t="shared" ca="1" si="12"/>
        <v/>
      </c>
      <c r="I118" s="52" t="str">
        <f t="shared" ca="1" si="12"/>
        <v/>
      </c>
      <c r="J118" s="52" t="str">
        <f t="shared" ca="1" si="12"/>
        <v/>
      </c>
      <c r="K118" s="52" t="str">
        <f t="shared" ca="1" si="12"/>
        <v/>
      </c>
      <c r="L118" s="52" t="str">
        <f t="shared" ca="1" si="12"/>
        <v/>
      </c>
      <c r="M118" s="52" t="str">
        <f t="shared" ca="1" si="12"/>
        <v/>
      </c>
      <c r="N118" s="52" t="str">
        <f t="shared" ca="1" si="12"/>
        <v/>
      </c>
      <c r="O118" s="52" t="str">
        <f t="shared" ca="1" si="12"/>
        <v/>
      </c>
      <c r="P118" s="52" t="str">
        <f t="shared" ca="1" si="12"/>
        <v/>
      </c>
      <c r="Q118" s="52" t="str">
        <f t="shared" ca="1" si="12"/>
        <v/>
      </c>
      <c r="R118" s="52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2" t="str">
        <f t="shared" ca="1" si="12"/>
        <v/>
      </c>
      <c r="D119" s="52" t="str">
        <f t="shared" ca="1" si="12"/>
        <v/>
      </c>
      <c r="E119" s="52" t="str">
        <f t="shared" ca="1" si="12"/>
        <v/>
      </c>
      <c r="F119" s="52" t="str">
        <f t="shared" ca="1" si="12"/>
        <v/>
      </c>
      <c r="G119" s="52" t="str">
        <f t="shared" ca="1" si="12"/>
        <v/>
      </c>
      <c r="H119" s="52" t="str">
        <f t="shared" ca="1" si="12"/>
        <v/>
      </c>
      <c r="I119" s="52" t="str">
        <f t="shared" ca="1" si="12"/>
        <v/>
      </c>
      <c r="J119" s="52" t="str">
        <f t="shared" ca="1" si="12"/>
        <v/>
      </c>
      <c r="K119" s="52" t="str">
        <f t="shared" ca="1" si="12"/>
        <v/>
      </c>
      <c r="L119" s="52" t="str">
        <f t="shared" ca="1" si="12"/>
        <v/>
      </c>
      <c r="M119" s="52" t="str">
        <f t="shared" ca="1" si="12"/>
        <v/>
      </c>
      <c r="N119" s="52" t="str">
        <f t="shared" ca="1" si="12"/>
        <v/>
      </c>
      <c r="O119" s="52" t="str">
        <f t="shared" ca="1" si="12"/>
        <v/>
      </c>
      <c r="P119" s="52" t="str">
        <f t="shared" ca="1" si="12"/>
        <v/>
      </c>
      <c r="Q119" s="52" t="str">
        <f t="shared" ca="1" si="12"/>
        <v/>
      </c>
      <c r="R119" s="52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2" t="str">
        <f t="shared" ca="1" si="12"/>
        <v/>
      </c>
      <c r="D120" s="52" t="str">
        <f t="shared" ca="1" si="12"/>
        <v/>
      </c>
      <c r="E120" s="52" t="str">
        <f t="shared" ca="1" si="12"/>
        <v/>
      </c>
      <c r="F120" s="52" t="str">
        <f t="shared" ca="1" si="12"/>
        <v/>
      </c>
      <c r="G120" s="52" t="str">
        <f t="shared" ca="1" si="12"/>
        <v/>
      </c>
      <c r="H120" s="52" t="str">
        <f t="shared" ca="1" si="12"/>
        <v/>
      </c>
      <c r="I120" s="52" t="str">
        <f t="shared" ca="1" si="12"/>
        <v/>
      </c>
      <c r="J120" s="52" t="str">
        <f t="shared" ca="1" si="12"/>
        <v/>
      </c>
      <c r="K120" s="52" t="str">
        <f t="shared" ca="1" si="12"/>
        <v/>
      </c>
      <c r="L120" s="52" t="str">
        <f t="shared" ca="1" si="12"/>
        <v/>
      </c>
      <c r="M120" s="52" t="str">
        <f t="shared" ca="1" si="12"/>
        <v/>
      </c>
      <c r="N120" s="52" t="str">
        <f t="shared" ca="1" si="12"/>
        <v/>
      </c>
      <c r="O120" s="52" t="str">
        <f t="shared" ca="1" si="12"/>
        <v/>
      </c>
      <c r="P120" s="52" t="str">
        <f t="shared" ca="1" si="12"/>
        <v/>
      </c>
      <c r="Q120" s="52" t="str">
        <f t="shared" ca="1" si="12"/>
        <v/>
      </c>
      <c r="R120" s="52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2" t="str">
        <f t="shared" ca="1" si="12"/>
        <v/>
      </c>
      <c r="D121" s="52" t="str">
        <f t="shared" ca="1" si="12"/>
        <v/>
      </c>
      <c r="E121" s="52" t="str">
        <f t="shared" ca="1" si="12"/>
        <v/>
      </c>
      <c r="F121" s="52" t="str">
        <f t="shared" ca="1" si="12"/>
        <v/>
      </c>
      <c r="G121" s="52" t="str">
        <f t="shared" ca="1" si="12"/>
        <v/>
      </c>
      <c r="H121" s="52" t="str">
        <f t="shared" ca="1" si="12"/>
        <v/>
      </c>
      <c r="I121" s="52" t="str">
        <f t="shared" ca="1" si="12"/>
        <v/>
      </c>
      <c r="J121" s="52" t="str">
        <f t="shared" ca="1" si="12"/>
        <v/>
      </c>
      <c r="K121" s="52" t="str">
        <f t="shared" ca="1" si="12"/>
        <v/>
      </c>
      <c r="L121" s="52" t="str">
        <f t="shared" ca="1" si="12"/>
        <v/>
      </c>
      <c r="M121" s="52" t="str">
        <f t="shared" ca="1" si="12"/>
        <v/>
      </c>
      <c r="N121" s="52" t="str">
        <f t="shared" ca="1" si="12"/>
        <v/>
      </c>
      <c r="O121" s="52" t="str">
        <f t="shared" ca="1" si="12"/>
        <v/>
      </c>
      <c r="P121" s="52" t="str">
        <f t="shared" ca="1" si="12"/>
        <v/>
      </c>
      <c r="Q121" s="52" t="str">
        <f t="shared" ca="1" si="12"/>
        <v/>
      </c>
      <c r="R121" s="52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2" t="str">
        <f t="shared" ca="1" si="12"/>
        <v/>
      </c>
      <c r="D122" s="52" t="str">
        <f t="shared" ca="1" si="12"/>
        <v/>
      </c>
      <c r="E122" s="52" t="str">
        <f t="shared" ca="1" si="12"/>
        <v/>
      </c>
      <c r="F122" s="52" t="str">
        <f t="shared" ca="1" si="12"/>
        <v/>
      </c>
      <c r="G122" s="52" t="str">
        <f t="shared" ca="1" si="12"/>
        <v/>
      </c>
      <c r="H122" s="52" t="str">
        <f t="shared" ca="1" si="12"/>
        <v/>
      </c>
      <c r="I122" s="52" t="str">
        <f t="shared" ca="1" si="12"/>
        <v/>
      </c>
      <c r="J122" s="52" t="str">
        <f t="shared" ca="1" si="12"/>
        <v/>
      </c>
      <c r="K122" s="52" t="str">
        <f t="shared" ca="1" si="12"/>
        <v/>
      </c>
      <c r="L122" s="52" t="str">
        <f t="shared" ca="1" si="12"/>
        <v/>
      </c>
      <c r="M122" s="52" t="str">
        <f t="shared" ca="1" si="12"/>
        <v/>
      </c>
      <c r="N122" s="52" t="str">
        <f t="shared" ca="1" si="12"/>
        <v/>
      </c>
      <c r="O122" s="52" t="str">
        <f t="shared" ca="1" si="12"/>
        <v/>
      </c>
      <c r="P122" s="52" t="str">
        <f t="shared" ca="1" si="12"/>
        <v/>
      </c>
      <c r="Q122" s="52" t="str">
        <f t="shared" ca="1" si="12"/>
        <v/>
      </c>
      <c r="R122" s="52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2" t="str">
        <f t="shared" ca="1" si="12"/>
        <v/>
      </c>
      <c r="D123" s="52" t="str">
        <f t="shared" ca="1" si="12"/>
        <v/>
      </c>
      <c r="E123" s="52" t="str">
        <f t="shared" ca="1" si="12"/>
        <v/>
      </c>
      <c r="F123" s="52" t="str">
        <f t="shared" ca="1" si="12"/>
        <v/>
      </c>
      <c r="G123" s="52" t="str">
        <f t="shared" ca="1" si="12"/>
        <v/>
      </c>
      <c r="H123" s="52" t="str">
        <f t="shared" ca="1" si="12"/>
        <v/>
      </c>
      <c r="I123" s="52" t="str">
        <f t="shared" ca="1" si="12"/>
        <v/>
      </c>
      <c r="J123" s="52" t="str">
        <f t="shared" ca="1" si="12"/>
        <v/>
      </c>
      <c r="K123" s="52" t="str">
        <f t="shared" ca="1" si="12"/>
        <v/>
      </c>
      <c r="L123" s="52" t="str">
        <f t="shared" ca="1" si="12"/>
        <v/>
      </c>
      <c r="M123" s="52" t="str">
        <f t="shared" ca="1" si="12"/>
        <v/>
      </c>
      <c r="N123" s="52" t="str">
        <f t="shared" ca="1" si="12"/>
        <v/>
      </c>
      <c r="O123" s="52" t="str">
        <f t="shared" ca="1" si="12"/>
        <v/>
      </c>
      <c r="P123" s="52" t="str">
        <f t="shared" ca="1" si="12"/>
        <v/>
      </c>
      <c r="Q123" s="52" t="str">
        <f t="shared" ca="1" si="12"/>
        <v/>
      </c>
      <c r="R123" s="52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2" t="str">
        <f t="shared" ca="1" si="12"/>
        <v/>
      </c>
      <c r="D124" s="52" t="str">
        <f t="shared" ca="1" si="12"/>
        <v/>
      </c>
      <c r="E124" s="52" t="str">
        <f t="shared" ca="1" si="12"/>
        <v/>
      </c>
      <c r="F124" s="52" t="str">
        <f t="shared" ca="1" si="12"/>
        <v/>
      </c>
      <c r="G124" s="52" t="str">
        <f t="shared" ca="1" si="12"/>
        <v/>
      </c>
      <c r="H124" s="52" t="str">
        <f t="shared" ca="1" si="12"/>
        <v/>
      </c>
      <c r="I124" s="52" t="str">
        <f t="shared" ca="1" si="12"/>
        <v/>
      </c>
      <c r="J124" s="52" t="str">
        <f t="shared" ca="1" si="12"/>
        <v/>
      </c>
      <c r="K124" s="52" t="str">
        <f t="shared" ca="1" si="12"/>
        <v/>
      </c>
      <c r="L124" s="52" t="str">
        <f t="shared" ca="1" si="12"/>
        <v/>
      </c>
      <c r="M124" s="52" t="str">
        <f t="shared" ca="1" si="12"/>
        <v/>
      </c>
      <c r="N124" s="52" t="str">
        <f t="shared" ca="1" si="12"/>
        <v/>
      </c>
      <c r="O124" s="52" t="str">
        <f t="shared" ca="1" si="12"/>
        <v/>
      </c>
      <c r="P124" s="52" t="str">
        <f t="shared" ca="1" si="12"/>
        <v/>
      </c>
      <c r="Q124" s="52" t="str">
        <f t="shared" ca="1" si="12"/>
        <v/>
      </c>
      <c r="R124" s="52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2" t="str">
        <f t="shared" ca="1" si="12"/>
        <v/>
      </c>
      <c r="D125" s="52" t="str">
        <f t="shared" ca="1" si="12"/>
        <v/>
      </c>
      <c r="E125" s="52" t="str">
        <f t="shared" ca="1" si="12"/>
        <v/>
      </c>
      <c r="F125" s="52" t="str">
        <f t="shared" ca="1" si="12"/>
        <v/>
      </c>
      <c r="G125" s="52" t="str">
        <f t="shared" ca="1" si="12"/>
        <v/>
      </c>
      <c r="H125" s="52" t="str">
        <f t="shared" ca="1" si="12"/>
        <v/>
      </c>
      <c r="I125" s="52" t="str">
        <f t="shared" ca="1" si="12"/>
        <v/>
      </c>
      <c r="J125" s="52" t="str">
        <f t="shared" ca="1" si="12"/>
        <v/>
      </c>
      <c r="K125" s="52" t="str">
        <f t="shared" ca="1" si="12"/>
        <v/>
      </c>
      <c r="L125" s="52" t="str">
        <f t="shared" ca="1" si="12"/>
        <v/>
      </c>
      <c r="M125" s="52" t="str">
        <f t="shared" ca="1" si="12"/>
        <v/>
      </c>
      <c r="N125" s="52" t="str">
        <f t="shared" ca="1" si="12"/>
        <v/>
      </c>
      <c r="O125" s="52" t="str">
        <f t="shared" ca="1" si="12"/>
        <v/>
      </c>
      <c r="P125" s="52" t="str">
        <f t="shared" ca="1" si="12"/>
        <v/>
      </c>
      <c r="Q125" s="52" t="str">
        <f t="shared" ca="1" si="12"/>
        <v/>
      </c>
      <c r="R125" s="52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2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2" t="str">
        <f t="shared" ca="1" si="15"/>
        <v/>
      </c>
      <c r="E126" s="52" t="str">
        <f t="shared" ca="1" si="15"/>
        <v/>
      </c>
      <c r="F126" s="52" t="str">
        <f t="shared" ca="1" si="15"/>
        <v/>
      </c>
      <c r="G126" s="52" t="str">
        <f t="shared" ca="1" si="15"/>
        <v/>
      </c>
      <c r="H126" s="52" t="str">
        <f t="shared" ca="1" si="15"/>
        <v/>
      </c>
      <c r="I126" s="52" t="str">
        <f t="shared" ca="1" si="15"/>
        <v/>
      </c>
      <c r="J126" s="52" t="str">
        <f t="shared" ca="1" si="15"/>
        <v/>
      </c>
      <c r="K126" s="52" t="str">
        <f t="shared" ca="1" si="15"/>
        <v/>
      </c>
      <c r="L126" s="52" t="str">
        <f t="shared" ca="1" si="15"/>
        <v/>
      </c>
      <c r="M126" s="52" t="str">
        <f t="shared" ca="1" si="15"/>
        <v/>
      </c>
      <c r="N126" s="52" t="str">
        <f t="shared" ca="1" si="15"/>
        <v/>
      </c>
      <c r="O126" s="52" t="str">
        <f t="shared" ca="1" si="15"/>
        <v/>
      </c>
      <c r="P126" s="52" t="str">
        <f t="shared" ca="1" si="15"/>
        <v/>
      </c>
      <c r="Q126" s="52" t="str">
        <f t="shared" ca="1" si="15"/>
        <v/>
      </c>
      <c r="R126" s="52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2" t="str">
        <f t="shared" ca="1" si="15"/>
        <v/>
      </c>
      <c r="D127" s="52" t="str">
        <f t="shared" ca="1" si="15"/>
        <v/>
      </c>
      <c r="E127" s="52" t="str">
        <f t="shared" ca="1" si="15"/>
        <v/>
      </c>
      <c r="F127" s="52" t="str">
        <f t="shared" ca="1" si="15"/>
        <v/>
      </c>
      <c r="G127" s="52" t="str">
        <f t="shared" ca="1" si="15"/>
        <v/>
      </c>
      <c r="H127" s="52" t="str">
        <f t="shared" ca="1" si="15"/>
        <v/>
      </c>
      <c r="I127" s="52" t="str">
        <f t="shared" ca="1" si="15"/>
        <v/>
      </c>
      <c r="J127" s="52" t="str">
        <f t="shared" ca="1" si="15"/>
        <v/>
      </c>
      <c r="K127" s="52" t="str">
        <f t="shared" ca="1" si="15"/>
        <v/>
      </c>
      <c r="L127" s="52" t="str">
        <f t="shared" ca="1" si="15"/>
        <v/>
      </c>
      <c r="M127" s="52" t="str">
        <f t="shared" ca="1" si="15"/>
        <v/>
      </c>
      <c r="N127" s="52" t="str">
        <f t="shared" ca="1" si="15"/>
        <v/>
      </c>
      <c r="O127" s="52" t="str">
        <f t="shared" ca="1" si="15"/>
        <v/>
      </c>
      <c r="P127" s="52" t="str">
        <f t="shared" ca="1" si="15"/>
        <v/>
      </c>
      <c r="Q127" s="52" t="str">
        <f t="shared" ca="1" si="15"/>
        <v/>
      </c>
      <c r="R127" s="52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2" t="str">
        <f t="shared" ca="1" si="15"/>
        <v/>
      </c>
      <c r="D128" s="52" t="str">
        <f t="shared" ca="1" si="15"/>
        <v/>
      </c>
      <c r="E128" s="52" t="str">
        <f t="shared" ca="1" si="15"/>
        <v/>
      </c>
      <c r="F128" s="52" t="str">
        <f t="shared" ca="1" si="15"/>
        <v/>
      </c>
      <c r="G128" s="52" t="str">
        <f t="shared" ca="1" si="15"/>
        <v/>
      </c>
      <c r="H128" s="52" t="str">
        <f t="shared" ca="1" si="15"/>
        <v/>
      </c>
      <c r="I128" s="52" t="str">
        <f t="shared" ca="1" si="15"/>
        <v/>
      </c>
      <c r="J128" s="52" t="str">
        <f t="shared" ca="1" si="15"/>
        <v/>
      </c>
      <c r="K128" s="52" t="str">
        <f t="shared" ca="1" si="15"/>
        <v/>
      </c>
      <c r="L128" s="52" t="str">
        <f t="shared" ca="1" si="15"/>
        <v/>
      </c>
      <c r="M128" s="52" t="str">
        <f t="shared" ca="1" si="15"/>
        <v/>
      </c>
      <c r="N128" s="52" t="str">
        <f t="shared" ca="1" si="15"/>
        <v/>
      </c>
      <c r="O128" s="52" t="str">
        <f t="shared" ca="1" si="15"/>
        <v/>
      </c>
      <c r="P128" s="52" t="str">
        <f t="shared" ca="1" si="15"/>
        <v/>
      </c>
      <c r="Q128" s="52" t="str">
        <f t="shared" ca="1" si="15"/>
        <v/>
      </c>
      <c r="R128" s="52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2" t="str">
        <f t="shared" ca="1" si="15"/>
        <v/>
      </c>
      <c r="D129" s="52" t="str">
        <f t="shared" ca="1" si="15"/>
        <v/>
      </c>
      <c r="E129" s="52" t="str">
        <f t="shared" ca="1" si="15"/>
        <v/>
      </c>
      <c r="F129" s="52" t="str">
        <f t="shared" ca="1" si="15"/>
        <v/>
      </c>
      <c r="G129" s="52" t="str">
        <f t="shared" ca="1" si="15"/>
        <v/>
      </c>
      <c r="H129" s="52" t="str">
        <f t="shared" ca="1" si="15"/>
        <v/>
      </c>
      <c r="I129" s="52" t="str">
        <f t="shared" ca="1" si="15"/>
        <v/>
      </c>
      <c r="J129" s="52" t="str">
        <f t="shared" ca="1" si="15"/>
        <v/>
      </c>
      <c r="K129" s="52" t="str">
        <f t="shared" ca="1" si="15"/>
        <v/>
      </c>
      <c r="L129" s="52" t="str">
        <f t="shared" ca="1" si="15"/>
        <v/>
      </c>
      <c r="M129" s="52" t="str">
        <f t="shared" ca="1" si="15"/>
        <v/>
      </c>
      <c r="N129" s="52" t="str">
        <f t="shared" ca="1" si="15"/>
        <v/>
      </c>
      <c r="O129" s="52" t="str">
        <f t="shared" ca="1" si="15"/>
        <v/>
      </c>
      <c r="P129" s="52" t="str">
        <f t="shared" ca="1" si="15"/>
        <v/>
      </c>
      <c r="Q129" s="52" t="str">
        <f t="shared" ca="1" si="15"/>
        <v/>
      </c>
      <c r="R129" s="52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2" t="str">
        <f t="shared" ca="1" si="15"/>
        <v/>
      </c>
      <c r="D130" s="52" t="str">
        <f t="shared" ca="1" si="15"/>
        <v/>
      </c>
      <c r="E130" s="52" t="str">
        <f t="shared" ca="1" si="15"/>
        <v/>
      </c>
      <c r="F130" s="52" t="str">
        <f t="shared" ca="1" si="15"/>
        <v/>
      </c>
      <c r="G130" s="52" t="str">
        <f t="shared" ca="1" si="15"/>
        <v/>
      </c>
      <c r="H130" s="52" t="str">
        <f t="shared" ca="1" si="15"/>
        <v/>
      </c>
      <c r="I130" s="52" t="str">
        <f t="shared" ca="1" si="15"/>
        <v/>
      </c>
      <c r="J130" s="52" t="str">
        <f t="shared" ca="1" si="15"/>
        <v/>
      </c>
      <c r="K130" s="52" t="str">
        <f t="shared" ca="1" si="15"/>
        <v/>
      </c>
      <c r="L130" s="52" t="str">
        <f t="shared" ca="1" si="15"/>
        <v/>
      </c>
      <c r="M130" s="52" t="str">
        <f t="shared" ca="1" si="15"/>
        <v/>
      </c>
      <c r="N130" s="52" t="str">
        <f t="shared" ca="1" si="15"/>
        <v/>
      </c>
      <c r="O130" s="52" t="str">
        <f t="shared" ca="1" si="15"/>
        <v/>
      </c>
      <c r="P130" s="52" t="str">
        <f t="shared" ca="1" si="15"/>
        <v/>
      </c>
      <c r="Q130" s="52" t="str">
        <f t="shared" ca="1" si="15"/>
        <v/>
      </c>
      <c r="R130" s="52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2" t="str">
        <f t="shared" ca="1" si="15"/>
        <v/>
      </c>
      <c r="D131" s="52" t="str">
        <f t="shared" ca="1" si="15"/>
        <v/>
      </c>
      <c r="E131" s="52" t="str">
        <f t="shared" ca="1" si="15"/>
        <v/>
      </c>
      <c r="F131" s="52" t="str">
        <f t="shared" ca="1" si="15"/>
        <v/>
      </c>
      <c r="G131" s="52" t="str">
        <f t="shared" ca="1" si="15"/>
        <v/>
      </c>
      <c r="H131" s="52" t="str">
        <f t="shared" ca="1" si="15"/>
        <v/>
      </c>
      <c r="I131" s="52" t="str">
        <f t="shared" ca="1" si="15"/>
        <v/>
      </c>
      <c r="J131" s="52" t="str">
        <f t="shared" ca="1" si="15"/>
        <v/>
      </c>
      <c r="K131" s="52" t="str">
        <f t="shared" ca="1" si="15"/>
        <v/>
      </c>
      <c r="L131" s="52" t="str">
        <f t="shared" ca="1" si="15"/>
        <v/>
      </c>
      <c r="M131" s="52" t="str">
        <f t="shared" ca="1" si="15"/>
        <v/>
      </c>
      <c r="N131" s="52" t="str">
        <f t="shared" ca="1" si="15"/>
        <v/>
      </c>
      <c r="O131" s="52" t="str">
        <f t="shared" ca="1" si="15"/>
        <v/>
      </c>
      <c r="P131" s="52" t="str">
        <f t="shared" ca="1" si="15"/>
        <v/>
      </c>
      <c r="Q131" s="52" t="str">
        <f t="shared" ca="1" si="15"/>
        <v/>
      </c>
      <c r="R131" s="52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2" t="str">
        <f t="shared" ca="1" si="15"/>
        <v/>
      </c>
      <c r="D132" s="52" t="str">
        <f t="shared" ca="1" si="15"/>
        <v/>
      </c>
      <c r="E132" s="52" t="str">
        <f t="shared" ca="1" si="15"/>
        <v/>
      </c>
      <c r="F132" s="52" t="str">
        <f t="shared" ca="1" si="15"/>
        <v/>
      </c>
      <c r="G132" s="52" t="str">
        <f t="shared" ca="1" si="15"/>
        <v/>
      </c>
      <c r="H132" s="52" t="str">
        <f t="shared" ca="1" si="15"/>
        <v/>
      </c>
      <c r="I132" s="52" t="str">
        <f t="shared" ca="1" si="15"/>
        <v/>
      </c>
      <c r="J132" s="52" t="str">
        <f t="shared" ca="1" si="15"/>
        <v/>
      </c>
      <c r="K132" s="52" t="str">
        <f t="shared" ca="1" si="15"/>
        <v/>
      </c>
      <c r="L132" s="52" t="str">
        <f t="shared" ca="1" si="15"/>
        <v/>
      </c>
      <c r="M132" s="52" t="str">
        <f t="shared" ca="1" si="15"/>
        <v/>
      </c>
      <c r="N132" s="52" t="str">
        <f t="shared" ca="1" si="15"/>
        <v/>
      </c>
      <c r="O132" s="52" t="str">
        <f t="shared" ca="1" si="15"/>
        <v/>
      </c>
      <c r="P132" s="52" t="str">
        <f t="shared" ca="1" si="15"/>
        <v/>
      </c>
      <c r="Q132" s="52" t="str">
        <f t="shared" ca="1" si="15"/>
        <v/>
      </c>
      <c r="R132" s="52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2" t="str">
        <f t="shared" ca="1" si="15"/>
        <v/>
      </c>
      <c r="D133" s="52" t="str">
        <f t="shared" ca="1" si="15"/>
        <v/>
      </c>
      <c r="E133" s="52" t="str">
        <f t="shared" ca="1" si="15"/>
        <v/>
      </c>
      <c r="F133" s="52" t="str">
        <f t="shared" ca="1" si="15"/>
        <v/>
      </c>
      <c r="G133" s="52" t="str">
        <f t="shared" ca="1" si="15"/>
        <v/>
      </c>
      <c r="H133" s="52" t="str">
        <f t="shared" ca="1" si="15"/>
        <v/>
      </c>
      <c r="I133" s="52" t="str">
        <f t="shared" ca="1" si="15"/>
        <v/>
      </c>
      <c r="J133" s="52" t="str">
        <f t="shared" ca="1" si="15"/>
        <v/>
      </c>
      <c r="K133" s="52" t="str">
        <f t="shared" ca="1" si="15"/>
        <v/>
      </c>
      <c r="L133" s="52" t="str">
        <f t="shared" ca="1" si="15"/>
        <v/>
      </c>
      <c r="M133" s="52" t="str">
        <f t="shared" ca="1" si="15"/>
        <v/>
      </c>
      <c r="N133" s="52" t="str">
        <f t="shared" ca="1" si="15"/>
        <v/>
      </c>
      <c r="O133" s="52" t="str">
        <f t="shared" ca="1" si="15"/>
        <v/>
      </c>
      <c r="P133" s="52" t="str">
        <f t="shared" ca="1" si="15"/>
        <v/>
      </c>
      <c r="Q133" s="52" t="str">
        <f t="shared" ca="1" si="15"/>
        <v/>
      </c>
      <c r="R133" s="52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2" t="str">
        <f t="shared" ca="1" si="15"/>
        <v/>
      </c>
      <c r="D134" s="52" t="str">
        <f t="shared" ca="1" si="15"/>
        <v/>
      </c>
      <c r="E134" s="52" t="str">
        <f t="shared" ca="1" si="15"/>
        <v/>
      </c>
      <c r="F134" s="52" t="str">
        <f t="shared" ca="1" si="15"/>
        <v/>
      </c>
      <c r="G134" s="52" t="str">
        <f t="shared" ca="1" si="15"/>
        <v/>
      </c>
      <c r="H134" s="52" t="str">
        <f t="shared" ca="1" si="15"/>
        <v/>
      </c>
      <c r="I134" s="52" t="str">
        <f t="shared" ca="1" si="15"/>
        <v/>
      </c>
      <c r="J134" s="52" t="str">
        <f t="shared" ca="1" si="15"/>
        <v/>
      </c>
      <c r="K134" s="52" t="str">
        <f t="shared" ca="1" si="15"/>
        <v/>
      </c>
      <c r="L134" s="52" t="str">
        <f t="shared" ca="1" si="15"/>
        <v/>
      </c>
      <c r="M134" s="52" t="str">
        <f t="shared" ca="1" si="15"/>
        <v/>
      </c>
      <c r="N134" s="52" t="str">
        <f t="shared" ca="1" si="15"/>
        <v/>
      </c>
      <c r="O134" s="52" t="str">
        <f t="shared" ca="1" si="15"/>
        <v/>
      </c>
      <c r="P134" s="52" t="str">
        <f t="shared" ca="1" si="15"/>
        <v/>
      </c>
      <c r="Q134" s="52" t="str">
        <f t="shared" ca="1" si="15"/>
        <v/>
      </c>
      <c r="R134" s="52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2" t="str">
        <f t="shared" ca="1" si="15"/>
        <v/>
      </c>
      <c r="D135" s="52" t="str">
        <f t="shared" ca="1" si="15"/>
        <v/>
      </c>
      <c r="E135" s="52" t="str">
        <f t="shared" ca="1" si="15"/>
        <v/>
      </c>
      <c r="F135" s="52" t="str">
        <f t="shared" ca="1" si="15"/>
        <v/>
      </c>
      <c r="G135" s="52" t="str">
        <f t="shared" ca="1" si="15"/>
        <v/>
      </c>
      <c r="H135" s="52" t="str">
        <f t="shared" ca="1" si="15"/>
        <v/>
      </c>
      <c r="I135" s="52" t="str">
        <f t="shared" ca="1" si="15"/>
        <v/>
      </c>
      <c r="J135" s="52" t="str">
        <f t="shared" ca="1" si="15"/>
        <v/>
      </c>
      <c r="K135" s="52" t="str">
        <f t="shared" ca="1" si="15"/>
        <v/>
      </c>
      <c r="L135" s="52" t="str">
        <f t="shared" ca="1" si="15"/>
        <v/>
      </c>
      <c r="M135" s="52" t="str">
        <f t="shared" ca="1" si="15"/>
        <v/>
      </c>
      <c r="N135" s="52" t="str">
        <f t="shared" ca="1" si="15"/>
        <v/>
      </c>
      <c r="O135" s="52" t="str">
        <f t="shared" ca="1" si="15"/>
        <v/>
      </c>
      <c r="P135" s="52" t="str">
        <f t="shared" ca="1" si="15"/>
        <v/>
      </c>
      <c r="Q135" s="52" t="str">
        <f t="shared" ca="1" si="15"/>
        <v/>
      </c>
      <c r="R135" s="52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2" t="str">
        <f t="shared" ca="1" si="15"/>
        <v/>
      </c>
      <c r="D136" s="52" t="str">
        <f t="shared" ca="1" si="15"/>
        <v/>
      </c>
      <c r="E136" s="52" t="str">
        <f t="shared" ca="1" si="15"/>
        <v/>
      </c>
      <c r="F136" s="52" t="str">
        <f t="shared" ca="1" si="15"/>
        <v/>
      </c>
      <c r="G136" s="52" t="str">
        <f t="shared" ca="1" si="15"/>
        <v/>
      </c>
      <c r="H136" s="52" t="str">
        <f t="shared" ca="1" si="15"/>
        <v/>
      </c>
      <c r="I136" s="52" t="str">
        <f t="shared" ca="1" si="15"/>
        <v/>
      </c>
      <c r="J136" s="52" t="str">
        <f t="shared" ca="1" si="15"/>
        <v/>
      </c>
      <c r="K136" s="52" t="str">
        <f t="shared" ca="1" si="15"/>
        <v/>
      </c>
      <c r="L136" s="52" t="str">
        <f t="shared" ca="1" si="15"/>
        <v/>
      </c>
      <c r="M136" s="52" t="str">
        <f t="shared" ca="1" si="15"/>
        <v/>
      </c>
      <c r="N136" s="52" t="str">
        <f t="shared" ca="1" si="15"/>
        <v/>
      </c>
      <c r="O136" s="52" t="str">
        <f t="shared" ca="1" si="15"/>
        <v/>
      </c>
      <c r="P136" s="52" t="str">
        <f t="shared" ca="1" si="15"/>
        <v/>
      </c>
      <c r="Q136" s="52" t="str">
        <f t="shared" ca="1" si="15"/>
        <v/>
      </c>
      <c r="R136" s="52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2" t="str">
        <f t="shared" ca="1" si="15"/>
        <v/>
      </c>
      <c r="D137" s="52" t="str">
        <f t="shared" ca="1" si="15"/>
        <v/>
      </c>
      <c r="E137" s="52" t="str">
        <f t="shared" ca="1" si="15"/>
        <v/>
      </c>
      <c r="F137" s="52" t="str">
        <f t="shared" ca="1" si="15"/>
        <v/>
      </c>
      <c r="G137" s="52" t="str">
        <f t="shared" ca="1" si="15"/>
        <v/>
      </c>
      <c r="H137" s="52" t="str">
        <f t="shared" ca="1" si="15"/>
        <v/>
      </c>
      <c r="I137" s="52" t="str">
        <f t="shared" ca="1" si="15"/>
        <v/>
      </c>
      <c r="J137" s="52" t="str">
        <f t="shared" ca="1" si="15"/>
        <v/>
      </c>
      <c r="K137" s="52" t="str">
        <f t="shared" ca="1" si="15"/>
        <v/>
      </c>
      <c r="L137" s="52" t="str">
        <f t="shared" ca="1" si="15"/>
        <v/>
      </c>
      <c r="M137" s="52" t="str">
        <f t="shared" ca="1" si="15"/>
        <v/>
      </c>
      <c r="N137" s="52" t="str">
        <f t="shared" ca="1" si="15"/>
        <v/>
      </c>
      <c r="O137" s="52" t="str">
        <f t="shared" ca="1" si="15"/>
        <v/>
      </c>
      <c r="P137" s="52" t="str">
        <f t="shared" ca="1" si="15"/>
        <v/>
      </c>
      <c r="Q137" s="52" t="str">
        <f t="shared" ca="1" si="15"/>
        <v/>
      </c>
      <c r="R137" s="52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2" t="str">
        <f t="shared" ca="1" si="15"/>
        <v/>
      </c>
      <c r="D138" s="52" t="str">
        <f t="shared" ca="1" si="15"/>
        <v/>
      </c>
      <c r="E138" s="52" t="str">
        <f t="shared" ca="1" si="15"/>
        <v/>
      </c>
      <c r="F138" s="52" t="str">
        <f t="shared" ca="1" si="15"/>
        <v/>
      </c>
      <c r="G138" s="52" t="str">
        <f t="shared" ca="1" si="15"/>
        <v/>
      </c>
      <c r="H138" s="52" t="str">
        <f t="shared" ca="1" si="15"/>
        <v/>
      </c>
      <c r="I138" s="52" t="str">
        <f t="shared" ca="1" si="15"/>
        <v/>
      </c>
      <c r="J138" s="52" t="str">
        <f t="shared" ca="1" si="15"/>
        <v/>
      </c>
      <c r="K138" s="52" t="str">
        <f t="shared" ca="1" si="15"/>
        <v/>
      </c>
      <c r="L138" s="52" t="str">
        <f t="shared" ca="1" si="15"/>
        <v/>
      </c>
      <c r="M138" s="52" t="str">
        <f t="shared" ca="1" si="15"/>
        <v/>
      </c>
      <c r="N138" s="52" t="str">
        <f t="shared" ca="1" si="15"/>
        <v/>
      </c>
      <c r="O138" s="52" t="str">
        <f t="shared" ca="1" si="15"/>
        <v/>
      </c>
      <c r="P138" s="52" t="str">
        <f t="shared" ca="1" si="15"/>
        <v/>
      </c>
      <c r="Q138" s="52" t="str">
        <f t="shared" ca="1" si="15"/>
        <v/>
      </c>
      <c r="R138" s="52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2" t="str">
        <f t="shared" ca="1" si="15"/>
        <v/>
      </c>
      <c r="D139" s="52" t="str">
        <f t="shared" ca="1" si="15"/>
        <v/>
      </c>
      <c r="E139" s="52" t="str">
        <f t="shared" ca="1" si="15"/>
        <v/>
      </c>
      <c r="F139" s="52" t="str">
        <f t="shared" ca="1" si="15"/>
        <v/>
      </c>
      <c r="G139" s="52" t="str">
        <f t="shared" ca="1" si="15"/>
        <v/>
      </c>
      <c r="H139" s="52" t="str">
        <f t="shared" ca="1" si="15"/>
        <v/>
      </c>
      <c r="I139" s="52" t="str">
        <f t="shared" ca="1" si="15"/>
        <v/>
      </c>
      <c r="J139" s="52" t="str">
        <f t="shared" ca="1" si="15"/>
        <v/>
      </c>
      <c r="K139" s="52" t="str">
        <f t="shared" ca="1" si="15"/>
        <v/>
      </c>
      <c r="L139" s="52" t="str">
        <f t="shared" ca="1" si="15"/>
        <v/>
      </c>
      <c r="M139" s="52" t="str">
        <f t="shared" ca="1" si="15"/>
        <v/>
      </c>
      <c r="N139" s="52" t="str">
        <f t="shared" ca="1" si="15"/>
        <v/>
      </c>
      <c r="O139" s="52" t="str">
        <f t="shared" ca="1" si="15"/>
        <v/>
      </c>
      <c r="P139" s="52" t="str">
        <f t="shared" ca="1" si="15"/>
        <v/>
      </c>
      <c r="Q139" s="52" t="str">
        <f t="shared" ca="1" si="15"/>
        <v/>
      </c>
      <c r="R139" s="52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2" t="str">
        <f t="shared" ca="1" si="15"/>
        <v/>
      </c>
      <c r="D140" s="52" t="str">
        <f t="shared" ca="1" si="15"/>
        <v/>
      </c>
      <c r="E140" s="52" t="str">
        <f t="shared" ca="1" si="15"/>
        <v/>
      </c>
      <c r="F140" s="52" t="str">
        <f t="shared" ca="1" si="15"/>
        <v/>
      </c>
      <c r="G140" s="52" t="str">
        <f t="shared" ca="1" si="15"/>
        <v/>
      </c>
      <c r="H140" s="52" t="str">
        <f t="shared" ca="1" si="15"/>
        <v/>
      </c>
      <c r="I140" s="52" t="str">
        <f t="shared" ca="1" si="15"/>
        <v/>
      </c>
      <c r="J140" s="52" t="str">
        <f t="shared" ca="1" si="15"/>
        <v/>
      </c>
      <c r="K140" s="52" t="str">
        <f t="shared" ca="1" si="15"/>
        <v/>
      </c>
      <c r="L140" s="52" t="str">
        <f t="shared" ca="1" si="15"/>
        <v/>
      </c>
      <c r="M140" s="52" t="str">
        <f t="shared" ca="1" si="15"/>
        <v/>
      </c>
      <c r="N140" s="52" t="str">
        <f t="shared" ca="1" si="15"/>
        <v/>
      </c>
      <c r="O140" s="52" t="str">
        <f t="shared" ca="1" si="15"/>
        <v/>
      </c>
      <c r="P140" s="52" t="str">
        <f t="shared" ca="1" si="15"/>
        <v/>
      </c>
      <c r="Q140" s="52" t="str">
        <f t="shared" ca="1" si="15"/>
        <v/>
      </c>
      <c r="R140" s="52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2" t="str">
        <f t="shared" ca="1" si="15"/>
        <v/>
      </c>
      <c r="D141" s="52" t="str">
        <f t="shared" ca="1" si="15"/>
        <v/>
      </c>
      <c r="E141" s="52" t="str">
        <f t="shared" ca="1" si="15"/>
        <v/>
      </c>
      <c r="F141" s="52" t="str">
        <f t="shared" ca="1" si="15"/>
        <v/>
      </c>
      <c r="G141" s="52" t="str">
        <f t="shared" ca="1" si="15"/>
        <v/>
      </c>
      <c r="H141" s="52" t="str">
        <f t="shared" ca="1" si="15"/>
        <v/>
      </c>
      <c r="I141" s="52" t="str">
        <f t="shared" ca="1" si="15"/>
        <v/>
      </c>
      <c r="J141" s="52" t="str">
        <f t="shared" ca="1" si="15"/>
        <v/>
      </c>
      <c r="K141" s="52" t="str">
        <f t="shared" ca="1" si="15"/>
        <v/>
      </c>
      <c r="L141" s="52" t="str">
        <f t="shared" ca="1" si="15"/>
        <v/>
      </c>
      <c r="M141" s="52" t="str">
        <f t="shared" ca="1" si="15"/>
        <v/>
      </c>
      <c r="N141" s="52" t="str">
        <f t="shared" ca="1" si="15"/>
        <v/>
      </c>
      <c r="O141" s="52" t="str">
        <f t="shared" ca="1" si="15"/>
        <v/>
      </c>
      <c r="P141" s="52" t="str">
        <f t="shared" ca="1" si="15"/>
        <v/>
      </c>
      <c r="Q141" s="52" t="str">
        <f t="shared" ca="1" si="15"/>
        <v/>
      </c>
      <c r="R141" s="52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2" t="str">
        <f t="shared" ca="1" si="15"/>
        <v/>
      </c>
      <c r="D142" s="52" t="str">
        <f t="shared" ca="1" si="15"/>
        <v/>
      </c>
      <c r="E142" s="52" t="str">
        <f t="shared" ca="1" si="15"/>
        <v/>
      </c>
      <c r="F142" s="52" t="str">
        <f t="shared" ca="1" si="15"/>
        <v/>
      </c>
      <c r="G142" s="52" t="str">
        <f t="shared" ca="1" si="15"/>
        <v/>
      </c>
      <c r="H142" s="52" t="str">
        <f t="shared" ca="1" si="15"/>
        <v/>
      </c>
      <c r="I142" s="52" t="str">
        <f t="shared" ca="1" si="15"/>
        <v/>
      </c>
      <c r="J142" s="52" t="str">
        <f t="shared" ca="1" si="15"/>
        <v/>
      </c>
      <c r="K142" s="52" t="str">
        <f t="shared" ca="1" si="15"/>
        <v/>
      </c>
      <c r="L142" s="52" t="str">
        <f t="shared" ca="1" si="15"/>
        <v/>
      </c>
      <c r="M142" s="52" t="str">
        <f t="shared" ca="1" si="15"/>
        <v/>
      </c>
      <c r="N142" s="52" t="str">
        <f t="shared" ca="1" si="15"/>
        <v/>
      </c>
      <c r="O142" s="52" t="str">
        <f t="shared" ca="1" si="15"/>
        <v/>
      </c>
      <c r="P142" s="52" t="str">
        <f t="shared" ca="1" si="15"/>
        <v/>
      </c>
      <c r="Q142" s="52" t="str">
        <f t="shared" ca="1" si="15"/>
        <v/>
      </c>
      <c r="R142" s="52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2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2" t="str">
        <f t="shared" ca="1" si="18"/>
        <v/>
      </c>
      <c r="E143" s="52" t="str">
        <f t="shared" ca="1" si="18"/>
        <v/>
      </c>
      <c r="F143" s="52" t="str">
        <f t="shared" ca="1" si="18"/>
        <v/>
      </c>
      <c r="G143" s="52" t="str">
        <f t="shared" ca="1" si="18"/>
        <v/>
      </c>
      <c r="H143" s="52" t="str">
        <f t="shared" ca="1" si="18"/>
        <v/>
      </c>
      <c r="I143" s="52" t="str">
        <f t="shared" ca="1" si="18"/>
        <v/>
      </c>
      <c r="J143" s="52" t="str">
        <f t="shared" ca="1" si="18"/>
        <v/>
      </c>
      <c r="K143" s="52" t="str">
        <f t="shared" ca="1" si="18"/>
        <v/>
      </c>
      <c r="L143" s="52" t="str">
        <f t="shared" ca="1" si="18"/>
        <v/>
      </c>
      <c r="M143" s="52" t="str">
        <f t="shared" ca="1" si="18"/>
        <v/>
      </c>
      <c r="N143" s="52" t="str">
        <f t="shared" ca="1" si="18"/>
        <v/>
      </c>
      <c r="O143" s="52" t="str">
        <f t="shared" ca="1" si="18"/>
        <v/>
      </c>
      <c r="P143" s="52" t="str">
        <f t="shared" ca="1" si="18"/>
        <v/>
      </c>
      <c r="Q143" s="52" t="str">
        <f t="shared" ca="1" si="18"/>
        <v/>
      </c>
      <c r="R143" s="52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2" t="str">
        <f t="shared" ca="1" si="18"/>
        <v/>
      </c>
      <c r="D144" s="52" t="str">
        <f t="shared" ca="1" si="18"/>
        <v/>
      </c>
      <c r="E144" s="52" t="str">
        <f t="shared" ca="1" si="18"/>
        <v/>
      </c>
      <c r="F144" s="52" t="str">
        <f t="shared" ca="1" si="18"/>
        <v/>
      </c>
      <c r="G144" s="52" t="str">
        <f t="shared" ca="1" si="18"/>
        <v/>
      </c>
      <c r="H144" s="52" t="str">
        <f t="shared" ca="1" si="18"/>
        <v/>
      </c>
      <c r="I144" s="52" t="str">
        <f t="shared" ca="1" si="18"/>
        <v/>
      </c>
      <c r="J144" s="52" t="str">
        <f t="shared" ca="1" si="18"/>
        <v/>
      </c>
      <c r="K144" s="52" t="str">
        <f t="shared" ca="1" si="18"/>
        <v/>
      </c>
      <c r="L144" s="52" t="str">
        <f t="shared" ca="1" si="18"/>
        <v/>
      </c>
      <c r="M144" s="52" t="str">
        <f t="shared" ca="1" si="18"/>
        <v/>
      </c>
      <c r="N144" s="52" t="str">
        <f t="shared" ca="1" si="18"/>
        <v/>
      </c>
      <c r="O144" s="52" t="str">
        <f t="shared" ca="1" si="18"/>
        <v/>
      </c>
      <c r="P144" s="52" t="str">
        <f t="shared" ca="1" si="18"/>
        <v/>
      </c>
      <c r="Q144" s="52" t="str">
        <f t="shared" ca="1" si="18"/>
        <v/>
      </c>
      <c r="R144" s="52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2" t="str">
        <f t="shared" ca="1" si="18"/>
        <v/>
      </c>
      <c r="D145" s="52" t="str">
        <f t="shared" ca="1" si="18"/>
        <v/>
      </c>
      <c r="E145" s="52" t="str">
        <f t="shared" ca="1" si="18"/>
        <v/>
      </c>
      <c r="F145" s="52" t="str">
        <f t="shared" ca="1" si="18"/>
        <v/>
      </c>
      <c r="G145" s="52" t="str">
        <f t="shared" ca="1" si="18"/>
        <v/>
      </c>
      <c r="H145" s="52" t="str">
        <f t="shared" ca="1" si="18"/>
        <v/>
      </c>
      <c r="I145" s="52" t="str">
        <f t="shared" ca="1" si="18"/>
        <v/>
      </c>
      <c r="J145" s="52" t="str">
        <f t="shared" ca="1" si="18"/>
        <v/>
      </c>
      <c r="K145" s="52" t="str">
        <f t="shared" ca="1" si="18"/>
        <v/>
      </c>
      <c r="L145" s="52" t="str">
        <f t="shared" ca="1" si="18"/>
        <v/>
      </c>
      <c r="M145" s="52" t="str">
        <f t="shared" ca="1" si="18"/>
        <v/>
      </c>
      <c r="N145" s="52" t="str">
        <f t="shared" ca="1" si="18"/>
        <v/>
      </c>
      <c r="O145" s="52" t="str">
        <f t="shared" ca="1" si="18"/>
        <v/>
      </c>
      <c r="P145" s="52" t="str">
        <f t="shared" ca="1" si="18"/>
        <v/>
      </c>
      <c r="Q145" s="52" t="str">
        <f t="shared" ca="1" si="18"/>
        <v/>
      </c>
      <c r="R145" s="52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2" t="str">
        <f t="shared" ca="1" si="18"/>
        <v/>
      </c>
      <c r="D146" s="52" t="str">
        <f t="shared" ca="1" si="18"/>
        <v/>
      </c>
      <c r="E146" s="52" t="str">
        <f t="shared" ca="1" si="18"/>
        <v/>
      </c>
      <c r="F146" s="52" t="str">
        <f t="shared" ca="1" si="18"/>
        <v/>
      </c>
      <c r="G146" s="52" t="str">
        <f t="shared" ca="1" si="18"/>
        <v/>
      </c>
      <c r="H146" s="52" t="str">
        <f t="shared" ca="1" si="18"/>
        <v/>
      </c>
      <c r="I146" s="52" t="str">
        <f t="shared" ca="1" si="18"/>
        <v/>
      </c>
      <c r="J146" s="52" t="str">
        <f t="shared" ca="1" si="18"/>
        <v/>
      </c>
      <c r="K146" s="52" t="str">
        <f t="shared" ca="1" si="18"/>
        <v/>
      </c>
      <c r="L146" s="52" t="str">
        <f t="shared" ca="1" si="18"/>
        <v/>
      </c>
      <c r="M146" s="52" t="str">
        <f t="shared" ca="1" si="18"/>
        <v/>
      </c>
      <c r="N146" s="52" t="str">
        <f t="shared" ca="1" si="18"/>
        <v/>
      </c>
      <c r="O146" s="52" t="str">
        <f t="shared" ca="1" si="18"/>
        <v/>
      </c>
      <c r="P146" s="52" t="str">
        <f t="shared" ca="1" si="18"/>
        <v/>
      </c>
      <c r="Q146" s="52" t="str">
        <f t="shared" ca="1" si="18"/>
        <v/>
      </c>
      <c r="R146" s="52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2" t="str">
        <f t="shared" ca="1" si="18"/>
        <v/>
      </c>
      <c r="D147" s="52" t="str">
        <f t="shared" ca="1" si="18"/>
        <v/>
      </c>
      <c r="E147" s="52" t="str">
        <f t="shared" ca="1" si="18"/>
        <v/>
      </c>
      <c r="F147" s="52" t="str">
        <f t="shared" ca="1" si="18"/>
        <v/>
      </c>
      <c r="G147" s="52" t="str">
        <f t="shared" ca="1" si="18"/>
        <v/>
      </c>
      <c r="H147" s="52" t="str">
        <f t="shared" ca="1" si="18"/>
        <v/>
      </c>
      <c r="I147" s="52" t="str">
        <f t="shared" ca="1" si="18"/>
        <v/>
      </c>
      <c r="J147" s="52" t="str">
        <f t="shared" ca="1" si="18"/>
        <v/>
      </c>
      <c r="K147" s="52" t="str">
        <f t="shared" ca="1" si="18"/>
        <v/>
      </c>
      <c r="L147" s="52" t="str">
        <f t="shared" ca="1" si="18"/>
        <v/>
      </c>
      <c r="M147" s="52" t="str">
        <f t="shared" ca="1" si="18"/>
        <v/>
      </c>
      <c r="N147" s="52" t="str">
        <f t="shared" ca="1" si="18"/>
        <v/>
      </c>
      <c r="O147" s="52" t="str">
        <f t="shared" ca="1" si="18"/>
        <v/>
      </c>
      <c r="P147" s="52" t="str">
        <f t="shared" ca="1" si="18"/>
        <v/>
      </c>
      <c r="Q147" s="52" t="str">
        <f t="shared" ca="1" si="18"/>
        <v/>
      </c>
      <c r="R147" s="52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2" t="str">
        <f t="shared" ca="1" si="18"/>
        <v/>
      </c>
      <c r="D148" s="52" t="str">
        <f t="shared" ca="1" si="18"/>
        <v/>
      </c>
      <c r="E148" s="52" t="str">
        <f t="shared" ca="1" si="18"/>
        <v/>
      </c>
      <c r="F148" s="52" t="str">
        <f t="shared" ca="1" si="18"/>
        <v/>
      </c>
      <c r="G148" s="52" t="str">
        <f t="shared" ca="1" si="18"/>
        <v/>
      </c>
      <c r="H148" s="52" t="str">
        <f t="shared" ca="1" si="18"/>
        <v/>
      </c>
      <c r="I148" s="52" t="str">
        <f t="shared" ca="1" si="18"/>
        <v/>
      </c>
      <c r="J148" s="52" t="str">
        <f t="shared" ca="1" si="18"/>
        <v/>
      </c>
      <c r="K148" s="52" t="str">
        <f t="shared" ca="1" si="18"/>
        <v/>
      </c>
      <c r="L148" s="52" t="str">
        <f t="shared" ca="1" si="18"/>
        <v/>
      </c>
      <c r="M148" s="52" t="str">
        <f t="shared" ca="1" si="18"/>
        <v/>
      </c>
      <c r="N148" s="52" t="str">
        <f t="shared" ca="1" si="18"/>
        <v/>
      </c>
      <c r="O148" s="52" t="str">
        <f t="shared" ca="1" si="18"/>
        <v/>
      </c>
      <c r="P148" s="52" t="str">
        <f t="shared" ca="1" si="18"/>
        <v/>
      </c>
      <c r="Q148" s="52" t="str">
        <f t="shared" ca="1" si="18"/>
        <v/>
      </c>
      <c r="R148" s="52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2" t="str">
        <f t="shared" ca="1" si="18"/>
        <v/>
      </c>
      <c r="D149" s="52" t="str">
        <f t="shared" ca="1" si="18"/>
        <v/>
      </c>
      <c r="E149" s="52" t="str">
        <f t="shared" ca="1" si="18"/>
        <v/>
      </c>
      <c r="F149" s="52" t="str">
        <f t="shared" ca="1" si="18"/>
        <v/>
      </c>
      <c r="G149" s="52" t="str">
        <f t="shared" ca="1" si="18"/>
        <v/>
      </c>
      <c r="H149" s="52" t="str">
        <f t="shared" ca="1" si="18"/>
        <v/>
      </c>
      <c r="I149" s="52" t="str">
        <f t="shared" ca="1" si="18"/>
        <v/>
      </c>
      <c r="J149" s="52" t="str">
        <f t="shared" ca="1" si="18"/>
        <v/>
      </c>
      <c r="K149" s="52" t="str">
        <f t="shared" ca="1" si="18"/>
        <v/>
      </c>
      <c r="L149" s="52" t="str">
        <f t="shared" ca="1" si="18"/>
        <v/>
      </c>
      <c r="M149" s="52" t="str">
        <f t="shared" ca="1" si="18"/>
        <v/>
      </c>
      <c r="N149" s="52" t="str">
        <f t="shared" ca="1" si="18"/>
        <v/>
      </c>
      <c r="O149" s="52" t="str">
        <f t="shared" ca="1" si="18"/>
        <v/>
      </c>
      <c r="P149" s="52" t="str">
        <f t="shared" ca="1" si="18"/>
        <v/>
      </c>
      <c r="Q149" s="52" t="str">
        <f t="shared" ca="1" si="18"/>
        <v/>
      </c>
      <c r="R149" s="52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2" t="str">
        <f t="shared" ca="1" si="18"/>
        <v/>
      </c>
      <c r="D150" s="52" t="str">
        <f t="shared" ca="1" si="18"/>
        <v/>
      </c>
      <c r="E150" s="52" t="str">
        <f t="shared" ca="1" si="18"/>
        <v/>
      </c>
      <c r="F150" s="52" t="str">
        <f t="shared" ca="1" si="18"/>
        <v/>
      </c>
      <c r="G150" s="52" t="str">
        <f t="shared" ca="1" si="18"/>
        <v/>
      </c>
      <c r="H150" s="52" t="str">
        <f t="shared" ca="1" si="18"/>
        <v/>
      </c>
      <c r="I150" s="52" t="str">
        <f t="shared" ca="1" si="18"/>
        <v/>
      </c>
      <c r="J150" s="52" t="str">
        <f t="shared" ca="1" si="18"/>
        <v/>
      </c>
      <c r="K150" s="52" t="str">
        <f t="shared" ca="1" si="18"/>
        <v/>
      </c>
      <c r="L150" s="52" t="str">
        <f t="shared" ca="1" si="18"/>
        <v/>
      </c>
      <c r="M150" s="52" t="str">
        <f t="shared" ca="1" si="18"/>
        <v/>
      </c>
      <c r="N150" s="52" t="str">
        <f t="shared" ca="1" si="18"/>
        <v/>
      </c>
      <c r="O150" s="52" t="str">
        <f t="shared" ca="1" si="18"/>
        <v/>
      </c>
      <c r="P150" s="52" t="str">
        <f t="shared" ca="1" si="18"/>
        <v/>
      </c>
      <c r="Q150" s="52" t="str">
        <f t="shared" ca="1" si="18"/>
        <v/>
      </c>
      <c r="R150" s="52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2" t="str">
        <f t="shared" ca="1" si="18"/>
        <v/>
      </c>
      <c r="D151" s="52" t="str">
        <f t="shared" ca="1" si="18"/>
        <v/>
      </c>
      <c r="E151" s="52" t="str">
        <f t="shared" ca="1" si="18"/>
        <v/>
      </c>
      <c r="F151" s="52" t="str">
        <f t="shared" ca="1" si="18"/>
        <v/>
      </c>
      <c r="G151" s="52" t="str">
        <f t="shared" ca="1" si="18"/>
        <v/>
      </c>
      <c r="H151" s="52" t="str">
        <f t="shared" ca="1" si="18"/>
        <v/>
      </c>
      <c r="I151" s="52" t="str">
        <f t="shared" ca="1" si="18"/>
        <v/>
      </c>
      <c r="J151" s="52" t="str">
        <f t="shared" ca="1" si="18"/>
        <v/>
      </c>
      <c r="K151" s="52" t="str">
        <f t="shared" ca="1" si="18"/>
        <v/>
      </c>
      <c r="L151" s="52" t="str">
        <f t="shared" ca="1" si="18"/>
        <v/>
      </c>
      <c r="M151" s="52" t="str">
        <f t="shared" ca="1" si="18"/>
        <v/>
      </c>
      <c r="N151" s="52" t="str">
        <f t="shared" ca="1" si="18"/>
        <v/>
      </c>
      <c r="O151" s="52" t="str">
        <f t="shared" ca="1" si="18"/>
        <v/>
      </c>
      <c r="P151" s="52" t="str">
        <f t="shared" ca="1" si="18"/>
        <v/>
      </c>
      <c r="Q151" s="52" t="str">
        <f t="shared" ca="1" si="18"/>
        <v/>
      </c>
      <c r="R151" s="52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2" t="str">
        <f t="shared" ca="1" si="18"/>
        <v/>
      </c>
      <c r="D152" s="52" t="str">
        <f t="shared" ca="1" si="18"/>
        <v/>
      </c>
      <c r="E152" s="52" t="str">
        <f t="shared" ca="1" si="18"/>
        <v/>
      </c>
      <c r="F152" s="52" t="str">
        <f t="shared" ca="1" si="18"/>
        <v/>
      </c>
      <c r="G152" s="52" t="str">
        <f t="shared" ca="1" si="18"/>
        <v/>
      </c>
      <c r="H152" s="52" t="str">
        <f t="shared" ca="1" si="18"/>
        <v/>
      </c>
      <c r="I152" s="52" t="str">
        <f t="shared" ca="1" si="18"/>
        <v/>
      </c>
      <c r="J152" s="52" t="str">
        <f t="shared" ca="1" si="18"/>
        <v/>
      </c>
      <c r="K152" s="52" t="str">
        <f t="shared" ca="1" si="18"/>
        <v/>
      </c>
      <c r="L152" s="52" t="str">
        <f t="shared" ca="1" si="18"/>
        <v/>
      </c>
      <c r="M152" s="52" t="str">
        <f t="shared" ca="1" si="18"/>
        <v/>
      </c>
      <c r="N152" s="52" t="str">
        <f t="shared" ca="1" si="18"/>
        <v/>
      </c>
      <c r="O152" s="52" t="str">
        <f t="shared" ca="1" si="18"/>
        <v/>
      </c>
      <c r="P152" s="52" t="str">
        <f t="shared" ca="1" si="18"/>
        <v/>
      </c>
      <c r="Q152" s="52" t="str">
        <f t="shared" ca="1" si="18"/>
        <v/>
      </c>
      <c r="R152" s="52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2" t="str">
        <f t="shared" ca="1" si="18"/>
        <v/>
      </c>
      <c r="D153" s="52" t="str">
        <f t="shared" ca="1" si="18"/>
        <v/>
      </c>
      <c r="E153" s="52" t="str">
        <f t="shared" ca="1" si="18"/>
        <v/>
      </c>
      <c r="F153" s="52" t="str">
        <f t="shared" ca="1" si="18"/>
        <v/>
      </c>
      <c r="G153" s="52" t="str">
        <f t="shared" ca="1" si="18"/>
        <v/>
      </c>
      <c r="H153" s="52" t="str">
        <f t="shared" ca="1" si="18"/>
        <v/>
      </c>
      <c r="I153" s="52" t="str">
        <f t="shared" ca="1" si="18"/>
        <v/>
      </c>
      <c r="J153" s="52" t="str">
        <f t="shared" ca="1" si="18"/>
        <v/>
      </c>
      <c r="K153" s="52" t="str">
        <f t="shared" ca="1" si="18"/>
        <v/>
      </c>
      <c r="L153" s="52" t="str">
        <f t="shared" ca="1" si="18"/>
        <v/>
      </c>
      <c r="M153" s="52" t="str">
        <f t="shared" ca="1" si="18"/>
        <v/>
      </c>
      <c r="N153" s="52" t="str">
        <f t="shared" ca="1" si="18"/>
        <v/>
      </c>
      <c r="O153" s="52" t="str">
        <f t="shared" ca="1" si="18"/>
        <v/>
      </c>
      <c r="P153" s="52" t="str">
        <f t="shared" ca="1" si="18"/>
        <v/>
      </c>
      <c r="Q153" s="52" t="str">
        <f t="shared" ca="1" si="18"/>
        <v/>
      </c>
      <c r="R153" s="52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2" t="str">
        <f t="shared" ca="1" si="18"/>
        <v/>
      </c>
      <c r="D154" s="52" t="str">
        <f t="shared" ca="1" si="18"/>
        <v/>
      </c>
      <c r="E154" s="52" t="str">
        <f t="shared" ca="1" si="18"/>
        <v/>
      </c>
      <c r="F154" s="52" t="str">
        <f t="shared" ca="1" si="18"/>
        <v/>
      </c>
      <c r="G154" s="52" t="str">
        <f t="shared" ca="1" si="18"/>
        <v/>
      </c>
      <c r="H154" s="52" t="str">
        <f t="shared" ca="1" si="18"/>
        <v/>
      </c>
      <c r="I154" s="52" t="str">
        <f t="shared" ca="1" si="18"/>
        <v/>
      </c>
      <c r="J154" s="52" t="str">
        <f t="shared" ca="1" si="18"/>
        <v/>
      </c>
      <c r="K154" s="52" t="str">
        <f t="shared" ca="1" si="18"/>
        <v/>
      </c>
      <c r="L154" s="52" t="str">
        <f t="shared" ca="1" si="18"/>
        <v/>
      </c>
      <c r="M154" s="52" t="str">
        <f t="shared" ca="1" si="18"/>
        <v/>
      </c>
      <c r="N154" s="52" t="str">
        <f t="shared" ca="1" si="18"/>
        <v/>
      </c>
      <c r="O154" s="52" t="str">
        <f t="shared" ca="1" si="18"/>
        <v/>
      </c>
      <c r="P154" s="52" t="str">
        <f t="shared" ca="1" si="18"/>
        <v/>
      </c>
      <c r="Q154" s="52" t="str">
        <f t="shared" ca="1" si="18"/>
        <v/>
      </c>
      <c r="R154" s="52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2" t="str">
        <f t="shared" ca="1" si="18"/>
        <v/>
      </c>
      <c r="D155" s="52" t="str">
        <f t="shared" ca="1" si="18"/>
        <v/>
      </c>
      <c r="E155" s="52" t="str">
        <f t="shared" ca="1" si="18"/>
        <v/>
      </c>
      <c r="F155" s="52" t="str">
        <f t="shared" ca="1" si="18"/>
        <v/>
      </c>
      <c r="G155" s="52" t="str">
        <f t="shared" ca="1" si="18"/>
        <v/>
      </c>
      <c r="H155" s="52" t="str">
        <f t="shared" ca="1" si="18"/>
        <v/>
      </c>
      <c r="I155" s="52" t="str">
        <f t="shared" ca="1" si="18"/>
        <v/>
      </c>
      <c r="J155" s="52" t="str">
        <f t="shared" ca="1" si="18"/>
        <v/>
      </c>
      <c r="K155" s="52" t="str">
        <f t="shared" ca="1" si="18"/>
        <v/>
      </c>
      <c r="L155" s="52" t="str">
        <f t="shared" ca="1" si="18"/>
        <v/>
      </c>
      <c r="M155" s="52" t="str">
        <f t="shared" ca="1" si="18"/>
        <v/>
      </c>
      <c r="N155" s="52" t="str">
        <f t="shared" ca="1" si="18"/>
        <v/>
      </c>
      <c r="O155" s="52" t="str">
        <f t="shared" ca="1" si="18"/>
        <v/>
      </c>
      <c r="P155" s="52" t="str">
        <f t="shared" ca="1" si="18"/>
        <v/>
      </c>
      <c r="Q155" s="52" t="str">
        <f t="shared" ca="1" si="18"/>
        <v/>
      </c>
      <c r="R155" s="52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2" t="str">
        <f t="shared" ca="1" si="18"/>
        <v/>
      </c>
      <c r="D156" s="52" t="str">
        <f t="shared" ca="1" si="18"/>
        <v/>
      </c>
      <c r="E156" s="52" t="str">
        <f t="shared" ca="1" si="18"/>
        <v/>
      </c>
      <c r="F156" s="52" t="str">
        <f t="shared" ca="1" si="18"/>
        <v/>
      </c>
      <c r="G156" s="52" t="str">
        <f t="shared" ca="1" si="18"/>
        <v/>
      </c>
      <c r="H156" s="52" t="str">
        <f t="shared" ca="1" si="18"/>
        <v/>
      </c>
      <c r="I156" s="52" t="str">
        <f t="shared" ca="1" si="18"/>
        <v/>
      </c>
      <c r="J156" s="52" t="str">
        <f t="shared" ca="1" si="18"/>
        <v/>
      </c>
      <c r="K156" s="52" t="str">
        <f t="shared" ca="1" si="18"/>
        <v/>
      </c>
      <c r="L156" s="52" t="str">
        <f t="shared" ca="1" si="18"/>
        <v/>
      </c>
      <c r="M156" s="52" t="str">
        <f t="shared" ca="1" si="18"/>
        <v/>
      </c>
      <c r="N156" s="52" t="str">
        <f t="shared" ca="1" si="18"/>
        <v/>
      </c>
      <c r="O156" s="52" t="str">
        <f t="shared" ca="1" si="18"/>
        <v/>
      </c>
      <c r="P156" s="52" t="str">
        <f t="shared" ca="1" si="18"/>
        <v/>
      </c>
      <c r="Q156" s="52" t="str">
        <f t="shared" ca="1" si="18"/>
        <v/>
      </c>
      <c r="R156" s="52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2" t="str">
        <f t="shared" ca="1" si="18"/>
        <v/>
      </c>
      <c r="D157" s="52" t="str">
        <f t="shared" ca="1" si="18"/>
        <v/>
      </c>
      <c r="E157" s="52" t="str">
        <f t="shared" ca="1" si="18"/>
        <v/>
      </c>
      <c r="F157" s="52" t="str">
        <f t="shared" ca="1" si="18"/>
        <v/>
      </c>
      <c r="G157" s="52" t="str">
        <f t="shared" ca="1" si="18"/>
        <v/>
      </c>
      <c r="H157" s="52" t="str">
        <f t="shared" ca="1" si="18"/>
        <v/>
      </c>
      <c r="I157" s="52" t="str">
        <f t="shared" ca="1" si="18"/>
        <v/>
      </c>
      <c r="J157" s="52" t="str">
        <f t="shared" ca="1" si="18"/>
        <v/>
      </c>
      <c r="K157" s="52" t="str">
        <f t="shared" ca="1" si="18"/>
        <v/>
      </c>
      <c r="L157" s="52" t="str">
        <f t="shared" ca="1" si="18"/>
        <v/>
      </c>
      <c r="M157" s="52" t="str">
        <f t="shared" ca="1" si="18"/>
        <v/>
      </c>
      <c r="N157" s="52" t="str">
        <f t="shared" ca="1" si="18"/>
        <v/>
      </c>
      <c r="O157" s="52" t="str">
        <f t="shared" ca="1" si="18"/>
        <v/>
      </c>
      <c r="P157" s="52" t="str">
        <f t="shared" ca="1" si="18"/>
        <v/>
      </c>
      <c r="Q157" s="52" t="str">
        <f t="shared" ca="1" si="18"/>
        <v/>
      </c>
      <c r="R157" s="52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2" t="str">
        <f t="shared" ca="1" si="18"/>
        <v/>
      </c>
      <c r="D158" s="52" t="str">
        <f t="shared" ca="1" si="18"/>
        <v/>
      </c>
      <c r="E158" s="52" t="str">
        <f t="shared" ca="1" si="18"/>
        <v/>
      </c>
      <c r="F158" s="52" t="str">
        <f t="shared" ca="1" si="18"/>
        <v/>
      </c>
      <c r="G158" s="52" t="str">
        <f t="shared" ca="1" si="18"/>
        <v/>
      </c>
      <c r="H158" s="52" t="str">
        <f t="shared" ca="1" si="18"/>
        <v/>
      </c>
      <c r="I158" s="52" t="str">
        <f t="shared" ca="1" si="18"/>
        <v/>
      </c>
      <c r="J158" s="52" t="str">
        <f t="shared" ca="1" si="18"/>
        <v/>
      </c>
      <c r="K158" s="52" t="str">
        <f t="shared" ca="1" si="18"/>
        <v/>
      </c>
      <c r="L158" s="52" t="str">
        <f t="shared" ca="1" si="18"/>
        <v/>
      </c>
      <c r="M158" s="52" t="str">
        <f t="shared" ca="1" si="18"/>
        <v/>
      </c>
      <c r="N158" s="52" t="str">
        <f t="shared" ca="1" si="18"/>
        <v/>
      </c>
      <c r="O158" s="52" t="str">
        <f t="shared" ca="1" si="18"/>
        <v/>
      </c>
      <c r="P158" s="52" t="str">
        <f t="shared" ca="1" si="18"/>
        <v/>
      </c>
      <c r="Q158" s="52" t="str">
        <f t="shared" ca="1" si="18"/>
        <v/>
      </c>
      <c r="R158" s="52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2" t="str">
        <f t="shared" ca="1" si="18"/>
        <v/>
      </c>
      <c r="D159" s="52" t="str">
        <f t="shared" ca="1" si="18"/>
        <v/>
      </c>
      <c r="E159" s="52" t="str">
        <f t="shared" ca="1" si="18"/>
        <v/>
      </c>
      <c r="F159" s="52" t="str">
        <f t="shared" ca="1" si="18"/>
        <v/>
      </c>
      <c r="G159" s="52" t="str">
        <f t="shared" ca="1" si="18"/>
        <v/>
      </c>
      <c r="H159" s="52" t="str">
        <f t="shared" ca="1" si="18"/>
        <v/>
      </c>
      <c r="I159" s="52" t="str">
        <f t="shared" ca="1" si="18"/>
        <v/>
      </c>
      <c r="J159" s="52" t="str">
        <f t="shared" ca="1" si="18"/>
        <v/>
      </c>
      <c r="K159" s="52" t="str">
        <f t="shared" ca="1" si="18"/>
        <v/>
      </c>
      <c r="L159" s="52" t="str">
        <f t="shared" ca="1" si="18"/>
        <v/>
      </c>
      <c r="M159" s="52" t="str">
        <f t="shared" ca="1" si="18"/>
        <v/>
      </c>
      <c r="N159" s="52" t="str">
        <f t="shared" ca="1" si="18"/>
        <v/>
      </c>
      <c r="O159" s="52" t="str">
        <f t="shared" ca="1" si="18"/>
        <v/>
      </c>
      <c r="P159" s="52" t="str">
        <f t="shared" ca="1" si="18"/>
        <v/>
      </c>
      <c r="Q159" s="52" t="str">
        <f t="shared" ca="1" si="18"/>
        <v/>
      </c>
      <c r="R159" s="52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2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2" t="str">
        <f t="shared" ca="1" si="19"/>
        <v/>
      </c>
      <c r="E160" s="52" t="str">
        <f t="shared" ca="1" si="19"/>
        <v/>
      </c>
      <c r="F160" s="52" t="str">
        <f t="shared" ca="1" si="19"/>
        <v/>
      </c>
      <c r="G160" s="52" t="str">
        <f t="shared" ca="1" si="19"/>
        <v/>
      </c>
      <c r="H160" s="52" t="str">
        <f t="shared" ca="1" si="19"/>
        <v/>
      </c>
      <c r="I160" s="52" t="str">
        <f t="shared" ca="1" si="19"/>
        <v/>
      </c>
      <c r="J160" s="52" t="str">
        <f t="shared" ca="1" si="19"/>
        <v/>
      </c>
      <c r="K160" s="52" t="str">
        <f t="shared" ca="1" si="19"/>
        <v/>
      </c>
      <c r="L160" s="52" t="str">
        <f t="shared" ca="1" si="19"/>
        <v/>
      </c>
      <c r="M160" s="52" t="str">
        <f t="shared" ca="1" si="19"/>
        <v/>
      </c>
      <c r="N160" s="52" t="str">
        <f t="shared" ca="1" si="19"/>
        <v/>
      </c>
      <c r="O160" s="52" t="str">
        <f t="shared" ca="1" si="19"/>
        <v/>
      </c>
      <c r="P160" s="52" t="str">
        <f t="shared" ca="1" si="19"/>
        <v/>
      </c>
      <c r="Q160" s="52" t="str">
        <f t="shared" ca="1" si="19"/>
        <v/>
      </c>
      <c r="R160" s="52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2" t="str">
        <f t="shared" ca="1" si="19"/>
        <v/>
      </c>
      <c r="D161" s="52" t="str">
        <f t="shared" ca="1" si="19"/>
        <v/>
      </c>
      <c r="E161" s="52" t="str">
        <f t="shared" ca="1" si="19"/>
        <v/>
      </c>
      <c r="F161" s="52" t="str">
        <f t="shared" ca="1" si="19"/>
        <v/>
      </c>
      <c r="G161" s="52" t="str">
        <f t="shared" ca="1" si="19"/>
        <v/>
      </c>
      <c r="H161" s="52" t="str">
        <f t="shared" ca="1" si="19"/>
        <v/>
      </c>
      <c r="I161" s="52" t="str">
        <f t="shared" ca="1" si="19"/>
        <v/>
      </c>
      <c r="J161" s="52" t="str">
        <f t="shared" ca="1" si="19"/>
        <v/>
      </c>
      <c r="K161" s="52" t="str">
        <f t="shared" ca="1" si="19"/>
        <v/>
      </c>
      <c r="L161" s="52" t="str">
        <f t="shared" ca="1" si="19"/>
        <v/>
      </c>
      <c r="M161" s="52" t="str">
        <f t="shared" ca="1" si="19"/>
        <v/>
      </c>
      <c r="N161" s="52" t="str">
        <f t="shared" ca="1" si="19"/>
        <v/>
      </c>
      <c r="O161" s="52" t="str">
        <f t="shared" ca="1" si="19"/>
        <v/>
      </c>
      <c r="P161" s="52" t="str">
        <f t="shared" ca="1" si="19"/>
        <v/>
      </c>
      <c r="Q161" s="52" t="str">
        <f t="shared" ca="1" si="19"/>
        <v/>
      </c>
      <c r="R161" s="52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2" t="str">
        <f t="shared" ca="1" si="19"/>
        <v/>
      </c>
      <c r="D162" s="52" t="str">
        <f t="shared" ca="1" si="19"/>
        <v/>
      </c>
      <c r="E162" s="52" t="str">
        <f t="shared" ca="1" si="19"/>
        <v/>
      </c>
      <c r="F162" s="52" t="str">
        <f t="shared" ca="1" si="19"/>
        <v/>
      </c>
      <c r="G162" s="52" t="str">
        <f t="shared" ca="1" si="19"/>
        <v/>
      </c>
      <c r="H162" s="52" t="str">
        <f t="shared" ca="1" si="19"/>
        <v/>
      </c>
      <c r="I162" s="52" t="str">
        <f t="shared" ca="1" si="19"/>
        <v/>
      </c>
      <c r="J162" s="52" t="str">
        <f t="shared" ca="1" si="19"/>
        <v/>
      </c>
      <c r="K162" s="52" t="str">
        <f t="shared" ca="1" si="19"/>
        <v/>
      </c>
      <c r="L162" s="52" t="str">
        <f t="shared" ca="1" si="19"/>
        <v/>
      </c>
      <c r="M162" s="52" t="str">
        <f t="shared" ca="1" si="19"/>
        <v/>
      </c>
      <c r="N162" s="52" t="str">
        <f t="shared" ca="1" si="19"/>
        <v/>
      </c>
      <c r="O162" s="52" t="str">
        <f t="shared" ca="1" si="19"/>
        <v/>
      </c>
      <c r="P162" s="52" t="str">
        <f t="shared" ca="1" si="19"/>
        <v/>
      </c>
      <c r="Q162" s="52" t="str">
        <f t="shared" ca="1" si="19"/>
        <v/>
      </c>
      <c r="R162" s="52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2" t="str">
        <f t="shared" ca="1" si="19"/>
        <v/>
      </c>
      <c r="D163" s="52" t="str">
        <f t="shared" ca="1" si="19"/>
        <v/>
      </c>
      <c r="E163" s="52" t="str">
        <f t="shared" ca="1" si="19"/>
        <v/>
      </c>
      <c r="F163" s="52" t="str">
        <f t="shared" ca="1" si="19"/>
        <v/>
      </c>
      <c r="G163" s="52" t="str">
        <f t="shared" ca="1" si="19"/>
        <v/>
      </c>
      <c r="H163" s="52" t="str">
        <f t="shared" ca="1" si="19"/>
        <v/>
      </c>
      <c r="I163" s="52" t="str">
        <f t="shared" ca="1" si="19"/>
        <v/>
      </c>
      <c r="J163" s="52" t="str">
        <f t="shared" ca="1" si="19"/>
        <v/>
      </c>
      <c r="K163" s="52" t="str">
        <f t="shared" ca="1" si="19"/>
        <v/>
      </c>
      <c r="L163" s="52" t="str">
        <f t="shared" ca="1" si="19"/>
        <v/>
      </c>
      <c r="M163" s="52" t="str">
        <f t="shared" ca="1" si="19"/>
        <v/>
      </c>
      <c r="N163" s="52" t="str">
        <f t="shared" ca="1" si="19"/>
        <v/>
      </c>
      <c r="O163" s="52" t="str">
        <f t="shared" ca="1" si="19"/>
        <v/>
      </c>
      <c r="P163" s="52" t="str">
        <f t="shared" ca="1" si="19"/>
        <v/>
      </c>
      <c r="Q163" s="52" t="str">
        <f t="shared" ca="1" si="19"/>
        <v/>
      </c>
      <c r="R163" s="52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2" t="str">
        <f t="shared" ca="1" si="19"/>
        <v/>
      </c>
      <c r="D164" s="52" t="str">
        <f t="shared" ca="1" si="19"/>
        <v/>
      </c>
      <c r="E164" s="52" t="str">
        <f t="shared" ca="1" si="19"/>
        <v/>
      </c>
      <c r="F164" s="52" t="str">
        <f t="shared" ca="1" si="19"/>
        <v/>
      </c>
      <c r="G164" s="52" t="str">
        <f t="shared" ca="1" si="19"/>
        <v/>
      </c>
      <c r="H164" s="52" t="str">
        <f t="shared" ca="1" si="19"/>
        <v/>
      </c>
      <c r="I164" s="52" t="str">
        <f t="shared" ca="1" si="19"/>
        <v/>
      </c>
      <c r="J164" s="52" t="str">
        <f t="shared" ca="1" si="19"/>
        <v/>
      </c>
      <c r="K164" s="52" t="str">
        <f t="shared" ca="1" si="19"/>
        <v/>
      </c>
      <c r="L164" s="52" t="str">
        <f t="shared" ca="1" si="19"/>
        <v/>
      </c>
      <c r="M164" s="52" t="str">
        <f t="shared" ca="1" si="19"/>
        <v/>
      </c>
      <c r="N164" s="52" t="str">
        <f t="shared" ca="1" si="19"/>
        <v/>
      </c>
      <c r="O164" s="52" t="str">
        <f t="shared" ca="1" si="19"/>
        <v/>
      </c>
      <c r="P164" s="52" t="str">
        <f t="shared" ca="1" si="19"/>
        <v/>
      </c>
      <c r="Q164" s="52" t="str">
        <f t="shared" ca="1" si="19"/>
        <v/>
      </c>
      <c r="R164" s="52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2" t="str">
        <f t="shared" ca="1" si="19"/>
        <v/>
      </c>
      <c r="D165" s="52" t="str">
        <f t="shared" ca="1" si="19"/>
        <v/>
      </c>
      <c r="E165" s="52" t="str">
        <f t="shared" ca="1" si="19"/>
        <v/>
      </c>
      <c r="F165" s="52" t="str">
        <f t="shared" ca="1" si="19"/>
        <v/>
      </c>
      <c r="G165" s="52" t="str">
        <f t="shared" ca="1" si="19"/>
        <v/>
      </c>
      <c r="H165" s="52" t="str">
        <f t="shared" ca="1" si="19"/>
        <v/>
      </c>
      <c r="I165" s="52" t="str">
        <f t="shared" ca="1" si="19"/>
        <v/>
      </c>
      <c r="J165" s="52" t="str">
        <f t="shared" ca="1" si="19"/>
        <v/>
      </c>
      <c r="K165" s="52" t="str">
        <f t="shared" ca="1" si="19"/>
        <v/>
      </c>
      <c r="L165" s="52" t="str">
        <f t="shared" ca="1" si="19"/>
        <v/>
      </c>
      <c r="M165" s="52" t="str">
        <f t="shared" ca="1" si="19"/>
        <v/>
      </c>
      <c r="N165" s="52" t="str">
        <f t="shared" ca="1" si="19"/>
        <v/>
      </c>
      <c r="O165" s="52" t="str">
        <f t="shared" ca="1" si="19"/>
        <v/>
      </c>
      <c r="P165" s="52" t="str">
        <f t="shared" ca="1" si="19"/>
        <v/>
      </c>
      <c r="Q165" s="52" t="str">
        <f t="shared" ca="1" si="19"/>
        <v/>
      </c>
      <c r="R165" s="52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2" t="str">
        <f t="shared" ca="1" si="19"/>
        <v/>
      </c>
      <c r="D166" s="52" t="str">
        <f t="shared" ca="1" si="19"/>
        <v/>
      </c>
      <c r="E166" s="52" t="str">
        <f t="shared" ca="1" si="19"/>
        <v/>
      </c>
      <c r="F166" s="52" t="str">
        <f t="shared" ca="1" si="19"/>
        <v/>
      </c>
      <c r="G166" s="52" t="str">
        <f t="shared" ca="1" si="19"/>
        <v/>
      </c>
      <c r="H166" s="52" t="str">
        <f t="shared" ca="1" si="19"/>
        <v/>
      </c>
      <c r="I166" s="52" t="str">
        <f t="shared" ca="1" si="19"/>
        <v/>
      </c>
      <c r="J166" s="52" t="str">
        <f t="shared" ca="1" si="19"/>
        <v/>
      </c>
      <c r="K166" s="52" t="str">
        <f t="shared" ca="1" si="19"/>
        <v/>
      </c>
      <c r="L166" s="52" t="str">
        <f t="shared" ca="1" si="19"/>
        <v/>
      </c>
      <c r="M166" s="52" t="str">
        <f t="shared" ca="1" si="19"/>
        <v/>
      </c>
      <c r="N166" s="52" t="str">
        <f t="shared" ca="1" si="19"/>
        <v/>
      </c>
      <c r="O166" s="52" t="str">
        <f t="shared" ca="1" si="19"/>
        <v/>
      </c>
      <c r="P166" s="52" t="str">
        <f t="shared" ca="1" si="19"/>
        <v/>
      </c>
      <c r="Q166" s="52" t="str">
        <f t="shared" ca="1" si="19"/>
        <v/>
      </c>
      <c r="R166" s="52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2" t="str">
        <f t="shared" ca="1" si="19"/>
        <v/>
      </c>
      <c r="D167" s="52" t="str">
        <f t="shared" ca="1" si="19"/>
        <v/>
      </c>
      <c r="E167" s="52" t="str">
        <f t="shared" ca="1" si="19"/>
        <v/>
      </c>
      <c r="F167" s="52" t="str">
        <f t="shared" ca="1" si="19"/>
        <v/>
      </c>
      <c r="G167" s="52" t="str">
        <f t="shared" ca="1" si="19"/>
        <v/>
      </c>
      <c r="H167" s="52" t="str">
        <f t="shared" ca="1" si="19"/>
        <v/>
      </c>
      <c r="I167" s="52" t="str">
        <f t="shared" ca="1" si="19"/>
        <v/>
      </c>
      <c r="J167" s="52" t="str">
        <f t="shared" ca="1" si="19"/>
        <v/>
      </c>
      <c r="K167" s="52" t="str">
        <f t="shared" ca="1" si="19"/>
        <v/>
      </c>
      <c r="L167" s="52" t="str">
        <f t="shared" ca="1" si="19"/>
        <v/>
      </c>
      <c r="M167" s="52" t="str">
        <f t="shared" ca="1" si="19"/>
        <v/>
      </c>
      <c r="N167" s="52" t="str">
        <f t="shared" ca="1" si="19"/>
        <v/>
      </c>
      <c r="O167" s="52" t="str">
        <f t="shared" ca="1" si="19"/>
        <v/>
      </c>
      <c r="P167" s="52" t="str">
        <f t="shared" ca="1" si="19"/>
        <v/>
      </c>
      <c r="Q167" s="52" t="str">
        <f t="shared" ca="1" si="19"/>
        <v/>
      </c>
      <c r="R167" s="52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2" t="str">
        <f t="shared" ca="1" si="19"/>
        <v/>
      </c>
      <c r="D168" s="52" t="str">
        <f t="shared" ca="1" si="19"/>
        <v/>
      </c>
      <c r="E168" s="52" t="str">
        <f t="shared" ca="1" si="19"/>
        <v/>
      </c>
      <c r="F168" s="52" t="str">
        <f t="shared" ca="1" si="19"/>
        <v/>
      </c>
      <c r="G168" s="52" t="str">
        <f t="shared" ca="1" si="19"/>
        <v/>
      </c>
      <c r="H168" s="52" t="str">
        <f t="shared" ca="1" si="19"/>
        <v/>
      </c>
      <c r="I168" s="52" t="str">
        <f t="shared" ca="1" si="19"/>
        <v/>
      </c>
      <c r="J168" s="52" t="str">
        <f t="shared" ca="1" si="19"/>
        <v/>
      </c>
      <c r="K168" s="52" t="str">
        <f t="shared" ca="1" si="19"/>
        <v/>
      </c>
      <c r="L168" s="52" t="str">
        <f t="shared" ca="1" si="19"/>
        <v/>
      </c>
      <c r="M168" s="52" t="str">
        <f t="shared" ca="1" si="19"/>
        <v/>
      </c>
      <c r="N168" s="52" t="str">
        <f t="shared" ca="1" si="19"/>
        <v/>
      </c>
      <c r="O168" s="52" t="str">
        <f t="shared" ca="1" si="19"/>
        <v/>
      </c>
      <c r="P168" s="52" t="str">
        <f t="shared" ca="1" si="19"/>
        <v/>
      </c>
      <c r="Q168" s="52" t="str">
        <f t="shared" ca="1" si="19"/>
        <v/>
      </c>
      <c r="R168" s="52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2" t="str">
        <f t="shared" ca="1" si="19"/>
        <v/>
      </c>
      <c r="D169" s="52" t="str">
        <f t="shared" ca="1" si="19"/>
        <v/>
      </c>
      <c r="E169" s="52" t="str">
        <f t="shared" ca="1" si="19"/>
        <v/>
      </c>
      <c r="F169" s="52" t="str">
        <f t="shared" ca="1" si="19"/>
        <v/>
      </c>
      <c r="G169" s="52" t="str">
        <f t="shared" ca="1" si="19"/>
        <v/>
      </c>
      <c r="H169" s="52" t="str">
        <f t="shared" ca="1" si="19"/>
        <v/>
      </c>
      <c r="I169" s="52" t="str">
        <f t="shared" ca="1" si="19"/>
        <v/>
      </c>
      <c r="J169" s="52" t="str">
        <f t="shared" ca="1" si="19"/>
        <v/>
      </c>
      <c r="K169" s="52" t="str">
        <f t="shared" ca="1" si="19"/>
        <v/>
      </c>
      <c r="L169" s="52" t="str">
        <f t="shared" ca="1" si="19"/>
        <v/>
      </c>
      <c r="M169" s="52" t="str">
        <f t="shared" ca="1" si="19"/>
        <v/>
      </c>
      <c r="N169" s="52" t="str">
        <f t="shared" ca="1" si="19"/>
        <v/>
      </c>
      <c r="O169" s="52" t="str">
        <f t="shared" ca="1" si="19"/>
        <v/>
      </c>
      <c r="P169" s="52" t="str">
        <f t="shared" ca="1" si="19"/>
        <v/>
      </c>
      <c r="Q169" s="52" t="str">
        <f t="shared" ca="1" si="19"/>
        <v/>
      </c>
      <c r="R169" s="52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2" t="str">
        <f t="shared" ca="1" si="19"/>
        <v/>
      </c>
      <c r="D170" s="52" t="str">
        <f t="shared" ca="1" si="19"/>
        <v/>
      </c>
      <c r="E170" s="52" t="str">
        <f t="shared" ca="1" si="19"/>
        <v/>
      </c>
      <c r="F170" s="52" t="str">
        <f t="shared" ca="1" si="19"/>
        <v/>
      </c>
      <c r="G170" s="52" t="str">
        <f t="shared" ca="1" si="19"/>
        <v/>
      </c>
      <c r="H170" s="52" t="str">
        <f t="shared" ca="1" si="19"/>
        <v/>
      </c>
      <c r="I170" s="52" t="str">
        <f t="shared" ca="1" si="19"/>
        <v/>
      </c>
      <c r="J170" s="52" t="str">
        <f t="shared" ca="1" si="19"/>
        <v/>
      </c>
      <c r="K170" s="52" t="str">
        <f t="shared" ca="1" si="19"/>
        <v/>
      </c>
      <c r="L170" s="52" t="str">
        <f t="shared" ca="1" si="19"/>
        <v/>
      </c>
      <c r="M170" s="52" t="str">
        <f t="shared" ca="1" si="19"/>
        <v/>
      </c>
      <c r="N170" s="52" t="str">
        <f t="shared" ca="1" si="19"/>
        <v/>
      </c>
      <c r="O170" s="52" t="str">
        <f t="shared" ca="1" si="19"/>
        <v/>
      </c>
      <c r="P170" s="52" t="str">
        <f t="shared" ca="1" si="19"/>
        <v/>
      </c>
      <c r="Q170" s="52" t="str">
        <f t="shared" ca="1" si="19"/>
        <v/>
      </c>
      <c r="R170" s="52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2" t="str">
        <f t="shared" ca="1" si="19"/>
        <v/>
      </c>
      <c r="D171" s="52" t="str">
        <f t="shared" ca="1" si="19"/>
        <v/>
      </c>
      <c r="E171" s="52" t="str">
        <f t="shared" ca="1" si="19"/>
        <v/>
      </c>
      <c r="F171" s="52" t="str">
        <f t="shared" ca="1" si="19"/>
        <v/>
      </c>
      <c r="G171" s="52" t="str">
        <f t="shared" ca="1" si="19"/>
        <v/>
      </c>
      <c r="H171" s="52" t="str">
        <f t="shared" ca="1" si="19"/>
        <v/>
      </c>
      <c r="I171" s="52" t="str">
        <f t="shared" ca="1" si="19"/>
        <v/>
      </c>
      <c r="J171" s="52" t="str">
        <f t="shared" ca="1" si="19"/>
        <v/>
      </c>
      <c r="K171" s="52" t="str">
        <f t="shared" ca="1" si="19"/>
        <v/>
      </c>
      <c r="L171" s="52" t="str">
        <f t="shared" ca="1" si="19"/>
        <v/>
      </c>
      <c r="M171" s="52" t="str">
        <f t="shared" ca="1" si="19"/>
        <v/>
      </c>
      <c r="N171" s="52" t="str">
        <f t="shared" ca="1" si="19"/>
        <v/>
      </c>
      <c r="O171" s="52" t="str">
        <f t="shared" ca="1" si="19"/>
        <v/>
      </c>
      <c r="P171" s="52" t="str">
        <f t="shared" ca="1" si="19"/>
        <v/>
      </c>
      <c r="Q171" s="52" t="str">
        <f t="shared" ca="1" si="19"/>
        <v/>
      </c>
      <c r="R171" s="52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2" t="str">
        <f t="shared" ca="1" si="19"/>
        <v/>
      </c>
      <c r="D172" s="52" t="str">
        <f t="shared" ca="1" si="19"/>
        <v/>
      </c>
      <c r="E172" s="52" t="str">
        <f t="shared" ca="1" si="19"/>
        <v/>
      </c>
      <c r="F172" s="52" t="str">
        <f t="shared" ca="1" si="19"/>
        <v/>
      </c>
      <c r="G172" s="52" t="str">
        <f t="shared" ca="1" si="19"/>
        <v/>
      </c>
      <c r="H172" s="52" t="str">
        <f t="shared" ca="1" si="19"/>
        <v/>
      </c>
      <c r="I172" s="52" t="str">
        <f t="shared" ca="1" si="19"/>
        <v/>
      </c>
      <c r="J172" s="52" t="str">
        <f t="shared" ca="1" si="19"/>
        <v/>
      </c>
      <c r="K172" s="52" t="str">
        <f t="shared" ca="1" si="19"/>
        <v/>
      </c>
      <c r="L172" s="52" t="str">
        <f t="shared" ca="1" si="19"/>
        <v/>
      </c>
      <c r="M172" s="52" t="str">
        <f t="shared" ca="1" si="19"/>
        <v/>
      </c>
      <c r="N172" s="52" t="str">
        <f t="shared" ca="1" si="19"/>
        <v/>
      </c>
      <c r="O172" s="52" t="str">
        <f t="shared" ca="1" si="19"/>
        <v/>
      </c>
      <c r="P172" s="52" t="str">
        <f t="shared" ca="1" si="19"/>
        <v/>
      </c>
      <c r="Q172" s="52" t="str">
        <f t="shared" ca="1" si="19"/>
        <v/>
      </c>
      <c r="R172" s="52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2" t="str">
        <f t="shared" ca="1" si="19"/>
        <v/>
      </c>
      <c r="D173" s="52" t="str">
        <f t="shared" ca="1" si="19"/>
        <v/>
      </c>
      <c r="E173" s="52" t="str">
        <f t="shared" ca="1" si="19"/>
        <v/>
      </c>
      <c r="F173" s="52" t="str">
        <f t="shared" ca="1" si="19"/>
        <v/>
      </c>
      <c r="G173" s="52" t="str">
        <f t="shared" ca="1" si="19"/>
        <v/>
      </c>
      <c r="H173" s="52" t="str">
        <f t="shared" ca="1" si="19"/>
        <v/>
      </c>
      <c r="I173" s="52" t="str">
        <f t="shared" ca="1" si="19"/>
        <v/>
      </c>
      <c r="J173" s="52" t="str">
        <f t="shared" ca="1" si="19"/>
        <v/>
      </c>
      <c r="K173" s="52" t="str">
        <f t="shared" ca="1" si="19"/>
        <v/>
      </c>
      <c r="L173" s="52" t="str">
        <f t="shared" ca="1" si="19"/>
        <v/>
      </c>
      <c r="M173" s="52" t="str">
        <f t="shared" ca="1" si="19"/>
        <v/>
      </c>
      <c r="N173" s="52" t="str">
        <f t="shared" ca="1" si="19"/>
        <v/>
      </c>
      <c r="O173" s="52" t="str">
        <f t="shared" ca="1" si="19"/>
        <v/>
      </c>
      <c r="P173" s="52" t="str">
        <f t="shared" ca="1" si="19"/>
        <v/>
      </c>
      <c r="Q173" s="52" t="str">
        <f t="shared" ca="1" si="19"/>
        <v/>
      </c>
      <c r="R173" s="52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2" t="str">
        <f t="shared" ca="1" si="19"/>
        <v/>
      </c>
      <c r="D174" s="52" t="str">
        <f t="shared" ca="1" si="19"/>
        <v/>
      </c>
      <c r="E174" s="52" t="str">
        <f t="shared" ca="1" si="19"/>
        <v/>
      </c>
      <c r="F174" s="52" t="str">
        <f t="shared" ca="1" si="19"/>
        <v/>
      </c>
      <c r="G174" s="52" t="str">
        <f t="shared" ca="1" si="19"/>
        <v/>
      </c>
      <c r="H174" s="52" t="str">
        <f t="shared" ca="1" si="19"/>
        <v/>
      </c>
      <c r="I174" s="52" t="str">
        <f t="shared" ca="1" si="19"/>
        <v/>
      </c>
      <c r="J174" s="52" t="str">
        <f t="shared" ca="1" si="19"/>
        <v/>
      </c>
      <c r="K174" s="52" t="str">
        <f t="shared" ca="1" si="19"/>
        <v/>
      </c>
      <c r="L174" s="52" t="str">
        <f t="shared" ca="1" si="19"/>
        <v/>
      </c>
      <c r="M174" s="52" t="str">
        <f t="shared" ca="1" si="19"/>
        <v/>
      </c>
      <c r="N174" s="52" t="str">
        <f t="shared" ca="1" si="19"/>
        <v/>
      </c>
      <c r="O174" s="52" t="str">
        <f t="shared" ca="1" si="19"/>
        <v/>
      </c>
      <c r="P174" s="52" t="str">
        <f t="shared" ca="1" si="19"/>
        <v/>
      </c>
      <c r="Q174" s="52" t="str">
        <f t="shared" ca="1" si="19"/>
        <v/>
      </c>
      <c r="R174" s="52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2" t="str">
        <f t="shared" ca="1" si="19"/>
        <v/>
      </c>
      <c r="D175" s="52" t="str">
        <f t="shared" ca="1" si="19"/>
        <v/>
      </c>
      <c r="E175" s="52" t="str">
        <f t="shared" ca="1" si="19"/>
        <v/>
      </c>
      <c r="F175" s="52" t="str">
        <f t="shared" ca="1" si="19"/>
        <v/>
      </c>
      <c r="G175" s="52" t="str">
        <f t="shared" ca="1" si="19"/>
        <v/>
      </c>
      <c r="H175" s="52" t="str">
        <f t="shared" ca="1" si="19"/>
        <v/>
      </c>
      <c r="I175" s="52" t="str">
        <f t="shared" ca="1" si="19"/>
        <v/>
      </c>
      <c r="J175" s="52" t="str">
        <f t="shared" ca="1" si="19"/>
        <v/>
      </c>
      <c r="K175" s="52" t="str">
        <f t="shared" ca="1" si="19"/>
        <v/>
      </c>
      <c r="L175" s="52" t="str">
        <f t="shared" ca="1" si="19"/>
        <v/>
      </c>
      <c r="M175" s="52" t="str">
        <f t="shared" ca="1" si="19"/>
        <v/>
      </c>
      <c r="N175" s="52" t="str">
        <f t="shared" ca="1" si="19"/>
        <v/>
      </c>
      <c r="O175" s="52" t="str">
        <f t="shared" ca="1" si="19"/>
        <v/>
      </c>
      <c r="P175" s="52" t="str">
        <f t="shared" ca="1" si="19"/>
        <v/>
      </c>
      <c r="Q175" s="52" t="str">
        <f t="shared" ca="1" si="19"/>
        <v/>
      </c>
      <c r="R175" s="52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2" t="str">
        <f t="shared" ca="1" si="19"/>
        <v/>
      </c>
      <c r="D176" s="52" t="str">
        <f t="shared" ca="1" si="19"/>
        <v/>
      </c>
      <c r="E176" s="52" t="str">
        <f t="shared" ca="1" si="19"/>
        <v/>
      </c>
      <c r="F176" s="52" t="str">
        <f t="shared" ca="1" si="19"/>
        <v/>
      </c>
      <c r="G176" s="52" t="str">
        <f t="shared" ca="1" si="19"/>
        <v/>
      </c>
      <c r="H176" s="52" t="str">
        <f t="shared" ca="1" si="19"/>
        <v/>
      </c>
      <c r="I176" s="52" t="str">
        <f t="shared" ca="1" si="19"/>
        <v/>
      </c>
      <c r="J176" s="52" t="str">
        <f t="shared" ca="1" si="19"/>
        <v/>
      </c>
      <c r="K176" s="52" t="str">
        <f t="shared" ca="1" si="19"/>
        <v/>
      </c>
      <c r="L176" s="52" t="str">
        <f t="shared" ca="1" si="19"/>
        <v/>
      </c>
      <c r="M176" s="52" t="str">
        <f t="shared" ca="1" si="19"/>
        <v/>
      </c>
      <c r="N176" s="52" t="str">
        <f t="shared" ca="1" si="19"/>
        <v/>
      </c>
      <c r="O176" s="52" t="str">
        <f t="shared" ca="1" si="19"/>
        <v/>
      </c>
      <c r="P176" s="52" t="str">
        <f t="shared" ca="1" si="19"/>
        <v/>
      </c>
      <c r="Q176" s="52" t="str">
        <f t="shared" ca="1" si="19"/>
        <v/>
      </c>
      <c r="R176" s="52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2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2" t="str">
        <f t="shared" ca="1" si="20"/>
        <v/>
      </c>
      <c r="E177" s="52" t="str">
        <f t="shared" ca="1" si="20"/>
        <v/>
      </c>
      <c r="F177" s="52" t="str">
        <f t="shared" ca="1" si="20"/>
        <v/>
      </c>
      <c r="G177" s="52" t="str">
        <f t="shared" ca="1" si="20"/>
        <v/>
      </c>
      <c r="H177" s="52" t="str">
        <f t="shared" ca="1" si="20"/>
        <v/>
      </c>
      <c r="I177" s="52" t="str">
        <f t="shared" ca="1" si="20"/>
        <v/>
      </c>
      <c r="J177" s="52" t="str">
        <f t="shared" ca="1" si="20"/>
        <v/>
      </c>
      <c r="K177" s="52" t="str">
        <f t="shared" ca="1" si="20"/>
        <v/>
      </c>
      <c r="L177" s="52" t="str">
        <f t="shared" ca="1" si="20"/>
        <v/>
      </c>
      <c r="M177" s="52" t="str">
        <f t="shared" ca="1" si="20"/>
        <v/>
      </c>
      <c r="N177" s="52" t="str">
        <f t="shared" ca="1" si="20"/>
        <v/>
      </c>
      <c r="O177" s="52" t="str">
        <f t="shared" ca="1" si="20"/>
        <v/>
      </c>
      <c r="P177" s="52" t="str">
        <f t="shared" ca="1" si="20"/>
        <v/>
      </c>
      <c r="Q177" s="52" t="str">
        <f t="shared" ca="1" si="20"/>
        <v/>
      </c>
      <c r="R177" s="52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2" t="str">
        <f t="shared" ca="1" si="20"/>
        <v/>
      </c>
      <c r="D178" s="52" t="str">
        <f t="shared" ca="1" si="20"/>
        <v/>
      </c>
      <c r="E178" s="52" t="str">
        <f t="shared" ca="1" si="20"/>
        <v/>
      </c>
      <c r="F178" s="52" t="str">
        <f t="shared" ca="1" si="20"/>
        <v/>
      </c>
      <c r="G178" s="52" t="str">
        <f t="shared" ca="1" si="20"/>
        <v/>
      </c>
      <c r="H178" s="52" t="str">
        <f t="shared" ca="1" si="20"/>
        <v/>
      </c>
      <c r="I178" s="52" t="str">
        <f t="shared" ca="1" si="20"/>
        <v/>
      </c>
      <c r="J178" s="52" t="str">
        <f t="shared" ca="1" si="20"/>
        <v/>
      </c>
      <c r="K178" s="52" t="str">
        <f t="shared" ca="1" si="20"/>
        <v/>
      </c>
      <c r="L178" s="52" t="str">
        <f t="shared" ca="1" si="20"/>
        <v/>
      </c>
      <c r="M178" s="52" t="str">
        <f t="shared" ca="1" si="20"/>
        <v/>
      </c>
      <c r="N178" s="52" t="str">
        <f t="shared" ca="1" si="20"/>
        <v/>
      </c>
      <c r="O178" s="52" t="str">
        <f t="shared" ca="1" si="20"/>
        <v/>
      </c>
      <c r="P178" s="52" t="str">
        <f t="shared" ca="1" si="20"/>
        <v/>
      </c>
      <c r="Q178" s="52" t="str">
        <f t="shared" ca="1" si="20"/>
        <v/>
      </c>
      <c r="R178" s="52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2" t="str">
        <f t="shared" ca="1" si="20"/>
        <v/>
      </c>
      <c r="D179" s="52" t="str">
        <f t="shared" ca="1" si="20"/>
        <v/>
      </c>
      <c r="E179" s="52" t="str">
        <f t="shared" ca="1" si="20"/>
        <v/>
      </c>
      <c r="F179" s="52" t="str">
        <f t="shared" ca="1" si="20"/>
        <v/>
      </c>
      <c r="G179" s="52" t="str">
        <f t="shared" ca="1" si="20"/>
        <v/>
      </c>
      <c r="H179" s="52" t="str">
        <f t="shared" ca="1" si="20"/>
        <v/>
      </c>
      <c r="I179" s="52" t="str">
        <f t="shared" ca="1" si="20"/>
        <v/>
      </c>
      <c r="J179" s="52" t="str">
        <f t="shared" ca="1" si="20"/>
        <v/>
      </c>
      <c r="K179" s="52" t="str">
        <f t="shared" ca="1" si="20"/>
        <v/>
      </c>
      <c r="L179" s="52" t="str">
        <f t="shared" ca="1" si="20"/>
        <v/>
      </c>
      <c r="M179" s="52" t="str">
        <f t="shared" ca="1" si="20"/>
        <v/>
      </c>
      <c r="N179" s="52" t="str">
        <f t="shared" ca="1" si="20"/>
        <v/>
      </c>
      <c r="O179" s="52" t="str">
        <f t="shared" ca="1" si="20"/>
        <v/>
      </c>
      <c r="P179" s="52" t="str">
        <f t="shared" ca="1" si="20"/>
        <v/>
      </c>
      <c r="Q179" s="52" t="str">
        <f t="shared" ca="1" si="20"/>
        <v/>
      </c>
      <c r="R179" s="52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2" t="str">
        <f t="shared" ca="1" si="20"/>
        <v/>
      </c>
      <c r="D180" s="52" t="str">
        <f t="shared" ca="1" si="20"/>
        <v/>
      </c>
      <c r="E180" s="52" t="str">
        <f t="shared" ca="1" si="20"/>
        <v/>
      </c>
      <c r="F180" s="52" t="str">
        <f t="shared" ca="1" si="20"/>
        <v/>
      </c>
      <c r="G180" s="52" t="str">
        <f t="shared" ca="1" si="20"/>
        <v/>
      </c>
      <c r="H180" s="52" t="str">
        <f t="shared" ca="1" si="20"/>
        <v/>
      </c>
      <c r="I180" s="52" t="str">
        <f t="shared" ca="1" si="20"/>
        <v/>
      </c>
      <c r="J180" s="52" t="str">
        <f t="shared" ca="1" si="20"/>
        <v/>
      </c>
      <c r="K180" s="52" t="str">
        <f t="shared" ca="1" si="20"/>
        <v/>
      </c>
      <c r="L180" s="52" t="str">
        <f t="shared" ca="1" si="20"/>
        <v/>
      </c>
      <c r="M180" s="52" t="str">
        <f t="shared" ca="1" si="20"/>
        <v/>
      </c>
      <c r="N180" s="52" t="str">
        <f t="shared" ca="1" si="20"/>
        <v/>
      </c>
      <c r="O180" s="52" t="str">
        <f t="shared" ca="1" si="20"/>
        <v/>
      </c>
      <c r="P180" s="52" t="str">
        <f t="shared" ca="1" si="20"/>
        <v/>
      </c>
      <c r="Q180" s="52" t="str">
        <f t="shared" ca="1" si="20"/>
        <v/>
      </c>
      <c r="R180" s="52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2" t="str">
        <f t="shared" ca="1" si="20"/>
        <v/>
      </c>
      <c r="D181" s="52" t="str">
        <f t="shared" ca="1" si="20"/>
        <v/>
      </c>
      <c r="E181" s="52" t="str">
        <f t="shared" ca="1" si="20"/>
        <v/>
      </c>
      <c r="F181" s="52" t="str">
        <f t="shared" ca="1" si="20"/>
        <v/>
      </c>
      <c r="G181" s="52" t="str">
        <f t="shared" ca="1" si="20"/>
        <v/>
      </c>
      <c r="H181" s="52" t="str">
        <f t="shared" ca="1" si="20"/>
        <v/>
      </c>
      <c r="I181" s="52" t="str">
        <f t="shared" ca="1" si="20"/>
        <v/>
      </c>
      <c r="J181" s="52" t="str">
        <f t="shared" ca="1" si="20"/>
        <v/>
      </c>
      <c r="K181" s="52" t="str">
        <f t="shared" ca="1" si="20"/>
        <v/>
      </c>
      <c r="L181" s="52" t="str">
        <f t="shared" ca="1" si="20"/>
        <v/>
      </c>
      <c r="M181" s="52" t="str">
        <f t="shared" ca="1" si="20"/>
        <v/>
      </c>
      <c r="N181" s="52" t="str">
        <f t="shared" ca="1" si="20"/>
        <v/>
      </c>
      <c r="O181" s="52" t="str">
        <f t="shared" ca="1" si="20"/>
        <v/>
      </c>
      <c r="P181" s="52" t="str">
        <f t="shared" ca="1" si="20"/>
        <v/>
      </c>
      <c r="Q181" s="52" t="str">
        <f t="shared" ca="1" si="20"/>
        <v/>
      </c>
      <c r="R181" s="52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2" t="str">
        <f t="shared" ca="1" si="20"/>
        <v/>
      </c>
      <c r="D182" s="52" t="str">
        <f t="shared" ca="1" si="20"/>
        <v/>
      </c>
      <c r="E182" s="52" t="str">
        <f t="shared" ca="1" si="20"/>
        <v/>
      </c>
      <c r="F182" s="52" t="str">
        <f t="shared" ca="1" si="20"/>
        <v/>
      </c>
      <c r="G182" s="52" t="str">
        <f t="shared" ca="1" si="20"/>
        <v/>
      </c>
      <c r="H182" s="52" t="str">
        <f t="shared" ca="1" si="20"/>
        <v/>
      </c>
      <c r="I182" s="52" t="str">
        <f t="shared" ca="1" si="20"/>
        <v/>
      </c>
      <c r="J182" s="52" t="str">
        <f t="shared" ca="1" si="20"/>
        <v/>
      </c>
      <c r="K182" s="52" t="str">
        <f t="shared" ca="1" si="20"/>
        <v/>
      </c>
      <c r="L182" s="52" t="str">
        <f t="shared" ca="1" si="20"/>
        <v/>
      </c>
      <c r="M182" s="52" t="str">
        <f t="shared" ca="1" si="20"/>
        <v/>
      </c>
      <c r="N182" s="52" t="str">
        <f t="shared" ca="1" si="20"/>
        <v/>
      </c>
      <c r="O182" s="52" t="str">
        <f t="shared" ca="1" si="20"/>
        <v/>
      </c>
      <c r="P182" s="52" t="str">
        <f t="shared" ca="1" si="20"/>
        <v/>
      </c>
      <c r="Q182" s="52" t="str">
        <f t="shared" ca="1" si="20"/>
        <v/>
      </c>
      <c r="R182" s="52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2" t="str">
        <f t="shared" ca="1" si="20"/>
        <v/>
      </c>
      <c r="D183" s="52" t="str">
        <f t="shared" ca="1" si="20"/>
        <v/>
      </c>
      <c r="E183" s="52" t="str">
        <f t="shared" ca="1" si="20"/>
        <v/>
      </c>
      <c r="F183" s="52" t="str">
        <f t="shared" ca="1" si="20"/>
        <v/>
      </c>
      <c r="G183" s="52" t="str">
        <f t="shared" ca="1" si="20"/>
        <v/>
      </c>
      <c r="H183" s="52" t="str">
        <f t="shared" ca="1" si="20"/>
        <v/>
      </c>
      <c r="I183" s="52" t="str">
        <f t="shared" ca="1" si="20"/>
        <v/>
      </c>
      <c r="J183" s="52" t="str">
        <f t="shared" ca="1" si="20"/>
        <v/>
      </c>
      <c r="K183" s="52" t="str">
        <f t="shared" ca="1" si="20"/>
        <v/>
      </c>
      <c r="L183" s="52" t="str">
        <f t="shared" ca="1" si="20"/>
        <v/>
      </c>
      <c r="M183" s="52" t="str">
        <f t="shared" ca="1" si="20"/>
        <v/>
      </c>
      <c r="N183" s="52" t="str">
        <f t="shared" ca="1" si="20"/>
        <v/>
      </c>
      <c r="O183" s="52" t="str">
        <f t="shared" ca="1" si="20"/>
        <v/>
      </c>
      <c r="P183" s="52" t="str">
        <f t="shared" ca="1" si="20"/>
        <v/>
      </c>
      <c r="Q183" s="52" t="str">
        <f t="shared" ca="1" si="20"/>
        <v/>
      </c>
      <c r="R183" s="52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2" t="str">
        <f t="shared" ca="1" si="20"/>
        <v/>
      </c>
      <c r="D184" s="52" t="str">
        <f t="shared" ca="1" si="20"/>
        <v/>
      </c>
      <c r="E184" s="52" t="str">
        <f t="shared" ca="1" si="20"/>
        <v/>
      </c>
      <c r="F184" s="52" t="str">
        <f t="shared" ca="1" si="20"/>
        <v/>
      </c>
      <c r="G184" s="52" t="str">
        <f t="shared" ca="1" si="20"/>
        <v/>
      </c>
      <c r="H184" s="52" t="str">
        <f t="shared" ca="1" si="20"/>
        <v/>
      </c>
      <c r="I184" s="52" t="str">
        <f t="shared" ca="1" si="20"/>
        <v/>
      </c>
      <c r="J184" s="52" t="str">
        <f t="shared" ca="1" si="20"/>
        <v/>
      </c>
      <c r="K184" s="52" t="str">
        <f t="shared" ca="1" si="20"/>
        <v/>
      </c>
      <c r="L184" s="52" t="str">
        <f t="shared" ca="1" si="20"/>
        <v/>
      </c>
      <c r="M184" s="52" t="str">
        <f t="shared" ca="1" si="20"/>
        <v/>
      </c>
      <c r="N184" s="52" t="str">
        <f t="shared" ca="1" si="20"/>
        <v/>
      </c>
      <c r="O184" s="52" t="str">
        <f t="shared" ca="1" si="20"/>
        <v/>
      </c>
      <c r="P184" s="52" t="str">
        <f t="shared" ca="1" si="20"/>
        <v/>
      </c>
      <c r="Q184" s="52" t="str">
        <f t="shared" ca="1" si="20"/>
        <v/>
      </c>
      <c r="R184" s="52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2" t="str">
        <f t="shared" ca="1" si="20"/>
        <v/>
      </c>
      <c r="D185" s="52" t="str">
        <f t="shared" ca="1" si="20"/>
        <v/>
      </c>
      <c r="E185" s="52" t="str">
        <f t="shared" ca="1" si="20"/>
        <v/>
      </c>
      <c r="F185" s="52" t="str">
        <f t="shared" ca="1" si="20"/>
        <v/>
      </c>
      <c r="G185" s="52" t="str">
        <f t="shared" ca="1" si="20"/>
        <v/>
      </c>
      <c r="H185" s="52" t="str">
        <f t="shared" ca="1" si="20"/>
        <v/>
      </c>
      <c r="I185" s="52" t="str">
        <f t="shared" ca="1" si="20"/>
        <v/>
      </c>
      <c r="J185" s="52" t="str">
        <f t="shared" ca="1" si="20"/>
        <v/>
      </c>
      <c r="K185" s="52" t="str">
        <f t="shared" ca="1" si="20"/>
        <v/>
      </c>
      <c r="L185" s="52" t="str">
        <f t="shared" ca="1" si="20"/>
        <v/>
      </c>
      <c r="M185" s="52" t="str">
        <f t="shared" ca="1" si="20"/>
        <v/>
      </c>
      <c r="N185" s="52" t="str">
        <f t="shared" ca="1" si="20"/>
        <v/>
      </c>
      <c r="O185" s="52" t="str">
        <f t="shared" ca="1" si="20"/>
        <v/>
      </c>
      <c r="P185" s="52" t="str">
        <f t="shared" ca="1" si="20"/>
        <v/>
      </c>
      <c r="Q185" s="52" t="str">
        <f t="shared" ca="1" si="20"/>
        <v/>
      </c>
      <c r="R185" s="52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2" t="str">
        <f t="shared" ca="1" si="20"/>
        <v/>
      </c>
      <c r="D186" s="52" t="str">
        <f t="shared" ca="1" si="20"/>
        <v/>
      </c>
      <c r="E186" s="52" t="str">
        <f t="shared" ca="1" si="20"/>
        <v/>
      </c>
      <c r="F186" s="52" t="str">
        <f t="shared" ca="1" si="20"/>
        <v/>
      </c>
      <c r="G186" s="52" t="str">
        <f t="shared" ca="1" si="20"/>
        <v/>
      </c>
      <c r="H186" s="52" t="str">
        <f t="shared" ca="1" si="20"/>
        <v/>
      </c>
      <c r="I186" s="52" t="str">
        <f t="shared" ca="1" si="20"/>
        <v/>
      </c>
      <c r="J186" s="52" t="str">
        <f t="shared" ca="1" si="20"/>
        <v/>
      </c>
      <c r="K186" s="52" t="str">
        <f t="shared" ca="1" si="20"/>
        <v/>
      </c>
      <c r="L186" s="52" t="str">
        <f t="shared" ca="1" si="20"/>
        <v/>
      </c>
      <c r="M186" s="52" t="str">
        <f t="shared" ca="1" si="20"/>
        <v/>
      </c>
      <c r="N186" s="52" t="str">
        <f t="shared" ca="1" si="20"/>
        <v/>
      </c>
      <c r="O186" s="52" t="str">
        <f t="shared" ca="1" si="20"/>
        <v/>
      </c>
      <c r="P186" s="52" t="str">
        <f t="shared" ca="1" si="20"/>
        <v/>
      </c>
      <c r="Q186" s="52" t="str">
        <f t="shared" ca="1" si="20"/>
        <v/>
      </c>
      <c r="R186" s="52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2" t="str">
        <f t="shared" ca="1" si="20"/>
        <v/>
      </c>
      <c r="D187" s="52" t="str">
        <f t="shared" ca="1" si="20"/>
        <v/>
      </c>
      <c r="E187" s="52" t="str">
        <f t="shared" ca="1" si="20"/>
        <v/>
      </c>
      <c r="F187" s="52" t="str">
        <f t="shared" ca="1" si="20"/>
        <v/>
      </c>
      <c r="G187" s="52" t="str">
        <f t="shared" ca="1" si="20"/>
        <v/>
      </c>
      <c r="H187" s="52" t="str">
        <f t="shared" ca="1" si="20"/>
        <v/>
      </c>
      <c r="I187" s="52" t="str">
        <f t="shared" ca="1" si="20"/>
        <v/>
      </c>
      <c r="J187" s="52" t="str">
        <f t="shared" ca="1" si="20"/>
        <v/>
      </c>
      <c r="K187" s="52" t="str">
        <f t="shared" ca="1" si="20"/>
        <v/>
      </c>
      <c r="L187" s="52" t="str">
        <f t="shared" ca="1" si="20"/>
        <v/>
      </c>
      <c r="M187" s="52" t="str">
        <f t="shared" ca="1" si="20"/>
        <v/>
      </c>
      <c r="N187" s="52" t="str">
        <f t="shared" ca="1" si="20"/>
        <v/>
      </c>
      <c r="O187" s="52" t="str">
        <f t="shared" ca="1" si="20"/>
        <v/>
      </c>
      <c r="P187" s="52" t="str">
        <f t="shared" ca="1" si="20"/>
        <v/>
      </c>
      <c r="Q187" s="52" t="str">
        <f t="shared" ca="1" si="20"/>
        <v/>
      </c>
      <c r="R187" s="52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2" t="str">
        <f t="shared" ca="1" si="20"/>
        <v/>
      </c>
      <c r="D188" s="52" t="str">
        <f t="shared" ca="1" si="20"/>
        <v/>
      </c>
      <c r="E188" s="52" t="str">
        <f t="shared" ca="1" si="20"/>
        <v/>
      </c>
      <c r="F188" s="52" t="str">
        <f t="shared" ca="1" si="20"/>
        <v/>
      </c>
      <c r="G188" s="52" t="str">
        <f t="shared" ca="1" si="20"/>
        <v/>
      </c>
      <c r="H188" s="52" t="str">
        <f t="shared" ca="1" si="20"/>
        <v/>
      </c>
      <c r="I188" s="52" t="str">
        <f t="shared" ca="1" si="20"/>
        <v/>
      </c>
      <c r="J188" s="52" t="str">
        <f t="shared" ca="1" si="20"/>
        <v/>
      </c>
      <c r="K188" s="52" t="str">
        <f t="shared" ca="1" si="20"/>
        <v/>
      </c>
      <c r="L188" s="52" t="str">
        <f t="shared" ca="1" si="20"/>
        <v/>
      </c>
      <c r="M188" s="52" t="str">
        <f t="shared" ca="1" si="20"/>
        <v/>
      </c>
      <c r="N188" s="52" t="str">
        <f t="shared" ca="1" si="20"/>
        <v/>
      </c>
      <c r="O188" s="52" t="str">
        <f t="shared" ca="1" si="20"/>
        <v/>
      </c>
      <c r="P188" s="52" t="str">
        <f t="shared" ca="1" si="20"/>
        <v/>
      </c>
      <c r="Q188" s="52" t="str">
        <f t="shared" ca="1" si="20"/>
        <v/>
      </c>
      <c r="R188" s="52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2" t="str">
        <f t="shared" ca="1" si="20"/>
        <v/>
      </c>
      <c r="D189" s="52" t="str">
        <f t="shared" ca="1" si="20"/>
        <v/>
      </c>
      <c r="E189" s="52" t="str">
        <f t="shared" ca="1" si="20"/>
        <v/>
      </c>
      <c r="F189" s="52" t="str">
        <f t="shared" ca="1" si="20"/>
        <v/>
      </c>
      <c r="G189" s="52" t="str">
        <f t="shared" ca="1" si="20"/>
        <v/>
      </c>
      <c r="H189" s="52" t="str">
        <f t="shared" ca="1" si="20"/>
        <v/>
      </c>
      <c r="I189" s="52" t="str">
        <f t="shared" ca="1" si="20"/>
        <v/>
      </c>
      <c r="J189" s="52" t="str">
        <f t="shared" ca="1" si="20"/>
        <v/>
      </c>
      <c r="K189" s="52" t="str">
        <f t="shared" ca="1" si="20"/>
        <v/>
      </c>
      <c r="L189" s="52" t="str">
        <f t="shared" ca="1" si="20"/>
        <v/>
      </c>
      <c r="M189" s="52" t="str">
        <f t="shared" ca="1" si="20"/>
        <v/>
      </c>
      <c r="N189" s="52" t="str">
        <f t="shared" ca="1" si="20"/>
        <v/>
      </c>
      <c r="O189" s="52" t="str">
        <f t="shared" ca="1" si="20"/>
        <v/>
      </c>
      <c r="P189" s="52" t="str">
        <f t="shared" ca="1" si="20"/>
        <v/>
      </c>
      <c r="Q189" s="52" t="str">
        <f t="shared" ca="1" si="20"/>
        <v/>
      </c>
      <c r="R189" s="52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2" t="str">
        <f t="shared" ca="1" si="20"/>
        <v/>
      </c>
      <c r="D190" s="52" t="str">
        <f t="shared" ca="1" si="20"/>
        <v/>
      </c>
      <c r="E190" s="52" t="str">
        <f t="shared" ca="1" si="20"/>
        <v/>
      </c>
      <c r="F190" s="52" t="str">
        <f t="shared" ca="1" si="20"/>
        <v/>
      </c>
      <c r="G190" s="52" t="str">
        <f t="shared" ca="1" si="20"/>
        <v/>
      </c>
      <c r="H190" s="52" t="str">
        <f t="shared" ca="1" si="20"/>
        <v/>
      </c>
      <c r="I190" s="52" t="str">
        <f t="shared" ca="1" si="20"/>
        <v/>
      </c>
      <c r="J190" s="52" t="str">
        <f t="shared" ca="1" si="20"/>
        <v/>
      </c>
      <c r="K190" s="52" t="str">
        <f t="shared" ca="1" si="20"/>
        <v/>
      </c>
      <c r="L190" s="52" t="str">
        <f t="shared" ca="1" si="20"/>
        <v/>
      </c>
      <c r="M190" s="52" t="str">
        <f t="shared" ca="1" si="20"/>
        <v/>
      </c>
      <c r="N190" s="52" t="str">
        <f t="shared" ca="1" si="20"/>
        <v/>
      </c>
      <c r="O190" s="52" t="str">
        <f t="shared" ca="1" si="20"/>
        <v/>
      </c>
      <c r="P190" s="52" t="str">
        <f t="shared" ca="1" si="20"/>
        <v/>
      </c>
      <c r="Q190" s="52" t="str">
        <f t="shared" ca="1" si="20"/>
        <v/>
      </c>
      <c r="R190" s="52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2" t="str">
        <f t="shared" ca="1" si="20"/>
        <v/>
      </c>
      <c r="D191" s="52" t="str">
        <f t="shared" ca="1" si="20"/>
        <v/>
      </c>
      <c r="E191" s="52" t="str">
        <f t="shared" ca="1" si="20"/>
        <v/>
      </c>
      <c r="F191" s="52" t="str">
        <f t="shared" ca="1" si="20"/>
        <v/>
      </c>
      <c r="G191" s="52" t="str">
        <f t="shared" ca="1" si="20"/>
        <v/>
      </c>
      <c r="H191" s="52" t="str">
        <f t="shared" ca="1" si="20"/>
        <v/>
      </c>
      <c r="I191" s="52" t="str">
        <f t="shared" ca="1" si="20"/>
        <v/>
      </c>
      <c r="J191" s="52" t="str">
        <f t="shared" ca="1" si="20"/>
        <v/>
      </c>
      <c r="K191" s="52" t="str">
        <f t="shared" ca="1" si="20"/>
        <v/>
      </c>
      <c r="L191" s="52" t="str">
        <f t="shared" ca="1" si="20"/>
        <v/>
      </c>
      <c r="M191" s="52" t="str">
        <f t="shared" ca="1" si="20"/>
        <v/>
      </c>
      <c r="N191" s="52" t="str">
        <f t="shared" ca="1" si="20"/>
        <v/>
      </c>
      <c r="O191" s="52" t="str">
        <f t="shared" ca="1" si="20"/>
        <v/>
      </c>
      <c r="P191" s="52" t="str">
        <f t="shared" ca="1" si="20"/>
        <v/>
      </c>
      <c r="Q191" s="52" t="str">
        <f t="shared" ca="1" si="20"/>
        <v/>
      </c>
      <c r="R191" s="52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2" t="str">
        <f t="shared" ca="1" si="20"/>
        <v/>
      </c>
      <c r="D192" s="52" t="str">
        <f t="shared" ca="1" si="20"/>
        <v/>
      </c>
      <c r="E192" s="52" t="str">
        <f t="shared" ca="1" si="20"/>
        <v/>
      </c>
      <c r="F192" s="52" t="str">
        <f t="shared" ca="1" si="20"/>
        <v/>
      </c>
      <c r="G192" s="52" t="str">
        <f t="shared" ca="1" si="20"/>
        <v/>
      </c>
      <c r="H192" s="52" t="str">
        <f t="shared" ca="1" si="20"/>
        <v/>
      </c>
      <c r="I192" s="52" t="str">
        <f t="shared" ca="1" si="20"/>
        <v/>
      </c>
      <c r="J192" s="52" t="str">
        <f t="shared" ca="1" si="20"/>
        <v/>
      </c>
      <c r="K192" s="52" t="str">
        <f t="shared" ca="1" si="20"/>
        <v/>
      </c>
      <c r="L192" s="52" t="str">
        <f t="shared" ca="1" si="20"/>
        <v/>
      </c>
      <c r="M192" s="52" t="str">
        <f t="shared" ca="1" si="20"/>
        <v/>
      </c>
      <c r="N192" s="52" t="str">
        <f t="shared" ca="1" si="20"/>
        <v/>
      </c>
      <c r="O192" s="52" t="str">
        <f t="shared" ca="1" si="20"/>
        <v/>
      </c>
      <c r="P192" s="52" t="str">
        <f t="shared" ca="1" si="20"/>
        <v/>
      </c>
      <c r="Q192" s="52" t="str">
        <f t="shared" ca="1" si="20"/>
        <v/>
      </c>
      <c r="R192" s="52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2" t="str">
        <f t="shared" ca="1" si="20"/>
        <v/>
      </c>
      <c r="D193" s="52" t="str">
        <f t="shared" ca="1" si="20"/>
        <v/>
      </c>
      <c r="E193" s="52" t="str">
        <f t="shared" ca="1" si="20"/>
        <v/>
      </c>
      <c r="F193" s="52" t="str">
        <f t="shared" ca="1" si="20"/>
        <v/>
      </c>
      <c r="G193" s="52" t="str">
        <f t="shared" ca="1" si="20"/>
        <v/>
      </c>
      <c r="H193" s="52" t="str">
        <f t="shared" ca="1" si="20"/>
        <v/>
      </c>
      <c r="I193" s="52" t="str">
        <f t="shared" ca="1" si="20"/>
        <v/>
      </c>
      <c r="J193" s="52" t="str">
        <f t="shared" ca="1" si="20"/>
        <v/>
      </c>
      <c r="K193" s="52" t="str">
        <f t="shared" ca="1" si="20"/>
        <v/>
      </c>
      <c r="L193" s="52" t="str">
        <f t="shared" ca="1" si="20"/>
        <v/>
      </c>
      <c r="M193" s="52" t="str">
        <f t="shared" ca="1" si="20"/>
        <v/>
      </c>
      <c r="N193" s="52" t="str">
        <f t="shared" ca="1" si="20"/>
        <v/>
      </c>
      <c r="O193" s="52" t="str">
        <f t="shared" ca="1" si="20"/>
        <v/>
      </c>
      <c r="P193" s="52" t="str">
        <f t="shared" ca="1" si="20"/>
        <v/>
      </c>
      <c r="Q193" s="52" t="str">
        <f t="shared" ca="1" si="20"/>
        <v/>
      </c>
      <c r="R193" s="52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2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2" t="str">
        <f t="shared" ca="1" si="21"/>
        <v/>
      </c>
      <c r="E194" s="52" t="str">
        <f t="shared" ca="1" si="21"/>
        <v/>
      </c>
      <c r="F194" s="52" t="str">
        <f t="shared" ca="1" si="21"/>
        <v/>
      </c>
      <c r="G194" s="52" t="str">
        <f t="shared" ca="1" si="21"/>
        <v/>
      </c>
      <c r="H194" s="52" t="str">
        <f t="shared" ca="1" si="21"/>
        <v/>
      </c>
      <c r="I194" s="52" t="str">
        <f t="shared" ca="1" si="21"/>
        <v/>
      </c>
      <c r="J194" s="52" t="str">
        <f t="shared" ca="1" si="21"/>
        <v/>
      </c>
      <c r="K194" s="52" t="str">
        <f t="shared" ca="1" si="21"/>
        <v/>
      </c>
      <c r="L194" s="52" t="str">
        <f t="shared" ca="1" si="21"/>
        <v/>
      </c>
      <c r="M194" s="52" t="str">
        <f t="shared" ca="1" si="21"/>
        <v/>
      </c>
      <c r="N194" s="52" t="str">
        <f t="shared" ca="1" si="21"/>
        <v/>
      </c>
      <c r="O194" s="52" t="str">
        <f t="shared" ca="1" si="21"/>
        <v/>
      </c>
      <c r="P194" s="52" t="str">
        <f t="shared" ca="1" si="21"/>
        <v/>
      </c>
      <c r="Q194" s="52" t="str">
        <f t="shared" ca="1" si="21"/>
        <v/>
      </c>
      <c r="R194" s="52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2" t="str">
        <f t="shared" ca="1" si="21"/>
        <v/>
      </c>
      <c r="D195" s="52" t="str">
        <f t="shared" ca="1" si="21"/>
        <v/>
      </c>
      <c r="E195" s="52" t="str">
        <f t="shared" ca="1" si="21"/>
        <v/>
      </c>
      <c r="F195" s="52" t="str">
        <f t="shared" ca="1" si="21"/>
        <v/>
      </c>
      <c r="G195" s="52" t="str">
        <f t="shared" ca="1" si="21"/>
        <v/>
      </c>
      <c r="H195" s="52" t="str">
        <f t="shared" ca="1" si="21"/>
        <v/>
      </c>
      <c r="I195" s="52" t="str">
        <f t="shared" ca="1" si="21"/>
        <v/>
      </c>
      <c r="J195" s="52" t="str">
        <f t="shared" ca="1" si="21"/>
        <v/>
      </c>
      <c r="K195" s="52" t="str">
        <f t="shared" ca="1" si="21"/>
        <v/>
      </c>
      <c r="L195" s="52" t="str">
        <f t="shared" ca="1" si="21"/>
        <v/>
      </c>
      <c r="M195" s="52" t="str">
        <f t="shared" ca="1" si="21"/>
        <v/>
      </c>
      <c r="N195" s="52" t="str">
        <f t="shared" ca="1" si="21"/>
        <v/>
      </c>
      <c r="O195" s="52" t="str">
        <f t="shared" ca="1" si="21"/>
        <v/>
      </c>
      <c r="P195" s="52" t="str">
        <f t="shared" ca="1" si="21"/>
        <v/>
      </c>
      <c r="Q195" s="52" t="str">
        <f t="shared" ca="1" si="21"/>
        <v/>
      </c>
      <c r="R195" s="52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2" t="str">
        <f t="shared" ca="1" si="21"/>
        <v/>
      </c>
      <c r="D196" s="52" t="str">
        <f t="shared" ca="1" si="21"/>
        <v/>
      </c>
      <c r="E196" s="52" t="str">
        <f t="shared" ca="1" si="21"/>
        <v/>
      </c>
      <c r="F196" s="52" t="str">
        <f t="shared" ca="1" si="21"/>
        <v/>
      </c>
      <c r="G196" s="52" t="str">
        <f t="shared" ca="1" si="21"/>
        <v/>
      </c>
      <c r="H196" s="52" t="str">
        <f t="shared" ca="1" si="21"/>
        <v/>
      </c>
      <c r="I196" s="52" t="str">
        <f t="shared" ca="1" si="21"/>
        <v/>
      </c>
      <c r="J196" s="52" t="str">
        <f t="shared" ca="1" si="21"/>
        <v/>
      </c>
      <c r="K196" s="52" t="str">
        <f t="shared" ca="1" si="21"/>
        <v/>
      </c>
      <c r="L196" s="52" t="str">
        <f t="shared" ca="1" si="21"/>
        <v/>
      </c>
      <c r="M196" s="52" t="str">
        <f t="shared" ca="1" si="21"/>
        <v/>
      </c>
      <c r="N196" s="52" t="str">
        <f t="shared" ca="1" si="21"/>
        <v/>
      </c>
      <c r="O196" s="52" t="str">
        <f t="shared" ca="1" si="21"/>
        <v/>
      </c>
      <c r="P196" s="52" t="str">
        <f t="shared" ca="1" si="21"/>
        <v/>
      </c>
      <c r="Q196" s="52" t="str">
        <f t="shared" ca="1" si="21"/>
        <v/>
      </c>
      <c r="R196" s="52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2" t="str">
        <f t="shared" ca="1" si="21"/>
        <v/>
      </c>
      <c r="D197" s="52" t="str">
        <f t="shared" ca="1" si="21"/>
        <v/>
      </c>
      <c r="E197" s="52" t="str">
        <f t="shared" ca="1" si="21"/>
        <v/>
      </c>
      <c r="F197" s="52" t="str">
        <f t="shared" ca="1" si="21"/>
        <v/>
      </c>
      <c r="G197" s="52" t="str">
        <f t="shared" ca="1" si="21"/>
        <v/>
      </c>
      <c r="H197" s="52" t="str">
        <f t="shared" ca="1" si="21"/>
        <v/>
      </c>
      <c r="I197" s="52" t="str">
        <f t="shared" ca="1" si="21"/>
        <v/>
      </c>
      <c r="J197" s="52" t="str">
        <f t="shared" ca="1" si="21"/>
        <v/>
      </c>
      <c r="K197" s="52" t="str">
        <f t="shared" ca="1" si="21"/>
        <v/>
      </c>
      <c r="L197" s="52" t="str">
        <f t="shared" ca="1" si="21"/>
        <v/>
      </c>
      <c r="M197" s="52" t="str">
        <f t="shared" ca="1" si="21"/>
        <v/>
      </c>
      <c r="N197" s="52" t="str">
        <f t="shared" ca="1" si="21"/>
        <v/>
      </c>
      <c r="O197" s="52" t="str">
        <f t="shared" ca="1" si="21"/>
        <v/>
      </c>
      <c r="P197" s="52" t="str">
        <f t="shared" ca="1" si="21"/>
        <v/>
      </c>
      <c r="Q197" s="52" t="str">
        <f t="shared" ca="1" si="21"/>
        <v/>
      </c>
      <c r="R197" s="52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2" t="str">
        <f t="shared" ca="1" si="21"/>
        <v/>
      </c>
      <c r="D198" s="52" t="str">
        <f t="shared" ca="1" si="21"/>
        <v/>
      </c>
      <c r="E198" s="52" t="str">
        <f t="shared" ca="1" si="21"/>
        <v/>
      </c>
      <c r="F198" s="52" t="str">
        <f t="shared" ca="1" si="21"/>
        <v/>
      </c>
      <c r="G198" s="52" t="str">
        <f t="shared" ca="1" si="21"/>
        <v/>
      </c>
      <c r="H198" s="52" t="str">
        <f t="shared" ca="1" si="21"/>
        <v/>
      </c>
      <c r="I198" s="52" t="str">
        <f t="shared" ca="1" si="21"/>
        <v/>
      </c>
      <c r="J198" s="52" t="str">
        <f t="shared" ca="1" si="21"/>
        <v/>
      </c>
      <c r="K198" s="52" t="str">
        <f t="shared" ca="1" si="21"/>
        <v/>
      </c>
      <c r="L198" s="52" t="str">
        <f t="shared" ca="1" si="21"/>
        <v/>
      </c>
      <c r="M198" s="52" t="str">
        <f t="shared" ca="1" si="21"/>
        <v/>
      </c>
      <c r="N198" s="52" t="str">
        <f t="shared" ca="1" si="21"/>
        <v/>
      </c>
      <c r="O198" s="52" t="str">
        <f t="shared" ca="1" si="21"/>
        <v/>
      </c>
      <c r="P198" s="52" t="str">
        <f t="shared" ca="1" si="21"/>
        <v/>
      </c>
      <c r="Q198" s="52" t="str">
        <f t="shared" ca="1" si="21"/>
        <v/>
      </c>
      <c r="R198" s="52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2" t="str">
        <f t="shared" ca="1" si="21"/>
        <v/>
      </c>
      <c r="D199" s="52" t="str">
        <f t="shared" ca="1" si="21"/>
        <v/>
      </c>
      <c r="E199" s="52" t="str">
        <f t="shared" ca="1" si="21"/>
        <v/>
      </c>
      <c r="F199" s="52" t="str">
        <f t="shared" ca="1" si="21"/>
        <v/>
      </c>
      <c r="G199" s="52" t="str">
        <f t="shared" ca="1" si="21"/>
        <v/>
      </c>
      <c r="H199" s="52" t="str">
        <f t="shared" ca="1" si="21"/>
        <v/>
      </c>
      <c r="I199" s="52" t="str">
        <f t="shared" ca="1" si="21"/>
        <v/>
      </c>
      <c r="J199" s="52" t="str">
        <f t="shared" ca="1" si="21"/>
        <v/>
      </c>
      <c r="K199" s="52" t="str">
        <f t="shared" ca="1" si="21"/>
        <v/>
      </c>
      <c r="L199" s="52" t="str">
        <f t="shared" ca="1" si="21"/>
        <v/>
      </c>
      <c r="M199" s="52" t="str">
        <f t="shared" ca="1" si="21"/>
        <v/>
      </c>
      <c r="N199" s="52" t="str">
        <f t="shared" ca="1" si="21"/>
        <v/>
      </c>
      <c r="O199" s="52" t="str">
        <f t="shared" ca="1" si="21"/>
        <v/>
      </c>
      <c r="P199" s="52" t="str">
        <f t="shared" ca="1" si="21"/>
        <v/>
      </c>
      <c r="Q199" s="52" t="str">
        <f t="shared" ca="1" si="21"/>
        <v/>
      </c>
      <c r="R199" s="52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2" t="str">
        <f t="shared" ca="1" si="21"/>
        <v/>
      </c>
      <c r="D200" s="52" t="str">
        <f t="shared" ca="1" si="21"/>
        <v/>
      </c>
      <c r="E200" s="52" t="str">
        <f t="shared" ca="1" si="21"/>
        <v/>
      </c>
      <c r="F200" s="52" t="str">
        <f t="shared" ca="1" si="21"/>
        <v/>
      </c>
      <c r="G200" s="52" t="str">
        <f t="shared" ca="1" si="21"/>
        <v/>
      </c>
      <c r="H200" s="52" t="str">
        <f t="shared" ca="1" si="21"/>
        <v/>
      </c>
      <c r="I200" s="52" t="str">
        <f t="shared" ca="1" si="21"/>
        <v/>
      </c>
      <c r="J200" s="52" t="str">
        <f t="shared" ca="1" si="21"/>
        <v/>
      </c>
      <c r="K200" s="52" t="str">
        <f t="shared" ca="1" si="21"/>
        <v/>
      </c>
      <c r="L200" s="52" t="str">
        <f t="shared" ca="1" si="21"/>
        <v/>
      </c>
      <c r="M200" s="52" t="str">
        <f t="shared" ca="1" si="21"/>
        <v/>
      </c>
      <c r="N200" s="52" t="str">
        <f t="shared" ca="1" si="21"/>
        <v/>
      </c>
      <c r="O200" s="52" t="str">
        <f t="shared" ca="1" si="21"/>
        <v/>
      </c>
      <c r="P200" s="52" t="str">
        <f t="shared" ca="1" si="21"/>
        <v/>
      </c>
      <c r="Q200" s="52" t="str">
        <f t="shared" ca="1" si="21"/>
        <v/>
      </c>
      <c r="R200" s="52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2" t="str">
        <f t="shared" ca="1" si="21"/>
        <v/>
      </c>
      <c r="D201" s="52" t="str">
        <f t="shared" ca="1" si="21"/>
        <v/>
      </c>
      <c r="E201" s="52" t="str">
        <f t="shared" ca="1" si="21"/>
        <v/>
      </c>
      <c r="F201" s="52" t="str">
        <f t="shared" ca="1" si="21"/>
        <v/>
      </c>
      <c r="G201" s="52" t="str">
        <f t="shared" ca="1" si="21"/>
        <v/>
      </c>
      <c r="H201" s="52" t="str">
        <f t="shared" ca="1" si="21"/>
        <v/>
      </c>
      <c r="I201" s="52" t="str">
        <f t="shared" ca="1" si="21"/>
        <v/>
      </c>
      <c r="J201" s="52" t="str">
        <f t="shared" ca="1" si="21"/>
        <v/>
      </c>
      <c r="K201" s="52" t="str">
        <f t="shared" ca="1" si="21"/>
        <v/>
      </c>
      <c r="L201" s="52" t="str">
        <f t="shared" ca="1" si="21"/>
        <v/>
      </c>
      <c r="M201" s="52" t="str">
        <f t="shared" ca="1" si="21"/>
        <v/>
      </c>
      <c r="N201" s="52" t="str">
        <f t="shared" ca="1" si="21"/>
        <v/>
      </c>
      <c r="O201" s="52" t="str">
        <f t="shared" ca="1" si="21"/>
        <v/>
      </c>
      <c r="P201" s="52" t="str">
        <f t="shared" ca="1" si="21"/>
        <v/>
      </c>
      <c r="Q201" s="52" t="str">
        <f t="shared" ca="1" si="21"/>
        <v/>
      </c>
      <c r="R201" s="52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2" t="str">
        <f t="shared" ca="1" si="21"/>
        <v/>
      </c>
      <c r="D202" s="52" t="str">
        <f t="shared" ca="1" si="21"/>
        <v/>
      </c>
      <c r="E202" s="52" t="str">
        <f t="shared" ca="1" si="21"/>
        <v/>
      </c>
      <c r="F202" s="52" t="str">
        <f t="shared" ca="1" si="21"/>
        <v/>
      </c>
      <c r="G202" s="52" t="str">
        <f t="shared" ca="1" si="21"/>
        <v/>
      </c>
      <c r="H202" s="52" t="str">
        <f t="shared" ca="1" si="21"/>
        <v/>
      </c>
      <c r="I202" s="52" t="str">
        <f t="shared" ca="1" si="21"/>
        <v/>
      </c>
      <c r="J202" s="52" t="str">
        <f t="shared" ca="1" si="21"/>
        <v/>
      </c>
      <c r="K202" s="52" t="str">
        <f t="shared" ca="1" si="21"/>
        <v/>
      </c>
      <c r="L202" s="52" t="str">
        <f t="shared" ca="1" si="21"/>
        <v/>
      </c>
      <c r="M202" s="52" t="str">
        <f t="shared" ca="1" si="21"/>
        <v/>
      </c>
      <c r="N202" s="52" t="str">
        <f t="shared" ca="1" si="21"/>
        <v/>
      </c>
      <c r="O202" s="52" t="str">
        <f t="shared" ca="1" si="21"/>
        <v/>
      </c>
      <c r="P202" s="52" t="str">
        <f t="shared" ca="1" si="21"/>
        <v/>
      </c>
      <c r="Q202" s="52" t="str">
        <f t="shared" ca="1" si="21"/>
        <v/>
      </c>
      <c r="R202" s="52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2" t="str">
        <f t="shared" ca="1" si="21"/>
        <v/>
      </c>
      <c r="D203" s="52" t="str">
        <f t="shared" ca="1" si="21"/>
        <v/>
      </c>
      <c r="E203" s="52" t="str">
        <f t="shared" ca="1" si="21"/>
        <v/>
      </c>
      <c r="F203" s="52" t="str">
        <f t="shared" ca="1" si="21"/>
        <v/>
      </c>
      <c r="G203" s="52" t="str">
        <f t="shared" ca="1" si="21"/>
        <v/>
      </c>
      <c r="H203" s="52" t="str">
        <f t="shared" ca="1" si="21"/>
        <v/>
      </c>
      <c r="I203" s="52" t="str">
        <f t="shared" ca="1" si="21"/>
        <v/>
      </c>
      <c r="J203" s="52" t="str">
        <f t="shared" ca="1" si="21"/>
        <v/>
      </c>
      <c r="K203" s="52" t="str">
        <f t="shared" ca="1" si="21"/>
        <v/>
      </c>
      <c r="L203" s="52" t="str">
        <f t="shared" ca="1" si="21"/>
        <v/>
      </c>
      <c r="M203" s="52" t="str">
        <f t="shared" ca="1" si="21"/>
        <v/>
      </c>
      <c r="N203" s="52" t="str">
        <f t="shared" ca="1" si="21"/>
        <v/>
      </c>
      <c r="O203" s="52" t="str">
        <f t="shared" ca="1" si="21"/>
        <v/>
      </c>
      <c r="P203" s="52" t="str">
        <f t="shared" ca="1" si="21"/>
        <v/>
      </c>
      <c r="Q203" s="52" t="str">
        <f t="shared" ca="1" si="21"/>
        <v/>
      </c>
      <c r="R203" s="52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2" t="str">
        <f t="shared" ca="1" si="21"/>
        <v/>
      </c>
      <c r="D204" s="52" t="str">
        <f t="shared" ca="1" si="21"/>
        <v/>
      </c>
      <c r="E204" s="52" t="str">
        <f t="shared" ca="1" si="21"/>
        <v/>
      </c>
      <c r="F204" s="52" t="str">
        <f t="shared" ca="1" si="21"/>
        <v/>
      </c>
      <c r="G204" s="52" t="str">
        <f t="shared" ca="1" si="21"/>
        <v/>
      </c>
      <c r="H204" s="52" t="str">
        <f t="shared" ca="1" si="21"/>
        <v/>
      </c>
      <c r="I204" s="52" t="str">
        <f t="shared" ca="1" si="21"/>
        <v/>
      </c>
      <c r="J204" s="52" t="str">
        <f t="shared" ca="1" si="21"/>
        <v/>
      </c>
      <c r="K204" s="52" t="str">
        <f t="shared" ca="1" si="21"/>
        <v/>
      </c>
      <c r="L204" s="52" t="str">
        <f t="shared" ca="1" si="21"/>
        <v/>
      </c>
      <c r="M204" s="52" t="str">
        <f t="shared" ca="1" si="21"/>
        <v/>
      </c>
      <c r="N204" s="52" t="str">
        <f t="shared" ca="1" si="21"/>
        <v/>
      </c>
      <c r="O204" s="52" t="str">
        <f t="shared" ca="1" si="21"/>
        <v/>
      </c>
      <c r="P204" s="52" t="str">
        <f t="shared" ca="1" si="21"/>
        <v/>
      </c>
      <c r="Q204" s="52" t="str">
        <f t="shared" ca="1" si="21"/>
        <v/>
      </c>
      <c r="R204" s="52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2" t="str">
        <f t="shared" ca="1" si="21"/>
        <v/>
      </c>
      <c r="D205" s="52" t="str">
        <f t="shared" ca="1" si="21"/>
        <v/>
      </c>
      <c r="E205" s="52" t="str">
        <f t="shared" ca="1" si="21"/>
        <v/>
      </c>
      <c r="F205" s="52" t="str">
        <f t="shared" ca="1" si="21"/>
        <v/>
      </c>
      <c r="G205" s="52" t="str">
        <f t="shared" ca="1" si="21"/>
        <v/>
      </c>
      <c r="H205" s="52" t="str">
        <f t="shared" ca="1" si="21"/>
        <v/>
      </c>
      <c r="I205" s="52" t="str">
        <f t="shared" ca="1" si="21"/>
        <v/>
      </c>
      <c r="J205" s="52" t="str">
        <f t="shared" ca="1" si="21"/>
        <v/>
      </c>
      <c r="K205" s="52" t="str">
        <f t="shared" ca="1" si="21"/>
        <v/>
      </c>
      <c r="L205" s="52" t="str">
        <f t="shared" ca="1" si="21"/>
        <v/>
      </c>
      <c r="M205" s="52" t="str">
        <f t="shared" ca="1" si="21"/>
        <v/>
      </c>
      <c r="N205" s="52" t="str">
        <f t="shared" ca="1" si="21"/>
        <v/>
      </c>
      <c r="O205" s="52" t="str">
        <f t="shared" ca="1" si="21"/>
        <v/>
      </c>
      <c r="P205" s="52" t="str">
        <f t="shared" ca="1" si="21"/>
        <v/>
      </c>
      <c r="Q205" s="52" t="str">
        <f t="shared" ca="1" si="21"/>
        <v/>
      </c>
      <c r="R205" s="52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2" t="str">
        <f t="shared" ca="1" si="21"/>
        <v/>
      </c>
      <c r="D206" s="52" t="str">
        <f t="shared" ca="1" si="21"/>
        <v/>
      </c>
      <c r="E206" s="52" t="str">
        <f t="shared" ca="1" si="21"/>
        <v/>
      </c>
      <c r="F206" s="52" t="str">
        <f t="shared" ca="1" si="21"/>
        <v/>
      </c>
      <c r="G206" s="52" t="str">
        <f t="shared" ca="1" si="21"/>
        <v/>
      </c>
      <c r="H206" s="52" t="str">
        <f t="shared" ca="1" si="21"/>
        <v/>
      </c>
      <c r="I206" s="52" t="str">
        <f t="shared" ca="1" si="21"/>
        <v/>
      </c>
      <c r="J206" s="52" t="str">
        <f t="shared" ca="1" si="21"/>
        <v/>
      </c>
      <c r="K206" s="52" t="str">
        <f t="shared" ca="1" si="21"/>
        <v/>
      </c>
      <c r="L206" s="52" t="str">
        <f t="shared" ca="1" si="21"/>
        <v/>
      </c>
      <c r="M206" s="52" t="str">
        <f t="shared" ca="1" si="21"/>
        <v/>
      </c>
      <c r="N206" s="52" t="str">
        <f t="shared" ca="1" si="21"/>
        <v/>
      </c>
      <c r="O206" s="52" t="str">
        <f t="shared" ca="1" si="21"/>
        <v/>
      </c>
      <c r="P206" s="52" t="str">
        <f t="shared" ca="1" si="21"/>
        <v/>
      </c>
      <c r="Q206" s="52" t="str">
        <f t="shared" ca="1" si="21"/>
        <v/>
      </c>
      <c r="R206" s="52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2" t="str">
        <f t="shared" ca="1" si="21"/>
        <v/>
      </c>
      <c r="D207" s="52" t="str">
        <f t="shared" ca="1" si="21"/>
        <v/>
      </c>
      <c r="E207" s="52" t="str">
        <f t="shared" ca="1" si="21"/>
        <v/>
      </c>
      <c r="F207" s="52" t="str">
        <f t="shared" ca="1" si="21"/>
        <v/>
      </c>
      <c r="G207" s="52" t="str">
        <f t="shared" ca="1" si="21"/>
        <v/>
      </c>
      <c r="H207" s="52" t="str">
        <f t="shared" ca="1" si="21"/>
        <v/>
      </c>
      <c r="I207" s="52" t="str">
        <f t="shared" ca="1" si="21"/>
        <v/>
      </c>
      <c r="J207" s="52" t="str">
        <f t="shared" ca="1" si="21"/>
        <v/>
      </c>
      <c r="K207" s="52" t="str">
        <f t="shared" ca="1" si="21"/>
        <v/>
      </c>
      <c r="L207" s="52" t="str">
        <f t="shared" ca="1" si="21"/>
        <v/>
      </c>
      <c r="M207" s="52" t="str">
        <f t="shared" ca="1" si="21"/>
        <v/>
      </c>
      <c r="N207" s="52" t="str">
        <f t="shared" ca="1" si="21"/>
        <v/>
      </c>
      <c r="O207" s="52" t="str">
        <f t="shared" ca="1" si="21"/>
        <v/>
      </c>
      <c r="P207" s="52" t="str">
        <f t="shared" ca="1" si="21"/>
        <v/>
      </c>
      <c r="Q207" s="52" t="str">
        <f t="shared" ca="1" si="21"/>
        <v/>
      </c>
      <c r="R207" s="52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2" t="str">
        <f t="shared" ca="1" si="21"/>
        <v/>
      </c>
      <c r="D208" s="52" t="str">
        <f t="shared" ca="1" si="21"/>
        <v/>
      </c>
      <c r="E208" s="52" t="str">
        <f t="shared" ca="1" si="21"/>
        <v/>
      </c>
      <c r="F208" s="52" t="str">
        <f t="shared" ca="1" si="21"/>
        <v/>
      </c>
      <c r="G208" s="52" t="str">
        <f t="shared" ca="1" si="21"/>
        <v/>
      </c>
      <c r="H208" s="52" t="str">
        <f t="shared" ca="1" si="21"/>
        <v/>
      </c>
      <c r="I208" s="52" t="str">
        <f t="shared" ca="1" si="21"/>
        <v/>
      </c>
      <c r="J208" s="52" t="str">
        <f t="shared" ca="1" si="21"/>
        <v/>
      </c>
      <c r="K208" s="52" t="str">
        <f t="shared" ca="1" si="21"/>
        <v/>
      </c>
      <c r="L208" s="52" t="str">
        <f t="shared" ca="1" si="21"/>
        <v/>
      </c>
      <c r="M208" s="52" t="str">
        <f t="shared" ca="1" si="21"/>
        <v/>
      </c>
      <c r="N208" s="52" t="str">
        <f t="shared" ca="1" si="21"/>
        <v/>
      </c>
      <c r="O208" s="52" t="str">
        <f t="shared" ca="1" si="21"/>
        <v/>
      </c>
      <c r="P208" s="52" t="str">
        <f t="shared" ca="1" si="21"/>
        <v/>
      </c>
      <c r="Q208" s="52" t="str">
        <f t="shared" ca="1" si="21"/>
        <v/>
      </c>
      <c r="R208" s="52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3"/>
  <sheetViews>
    <sheetView topLeftCell="E1" workbookViewId="0">
      <selection activeCell="E6" sqref="E6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0" hidden="1" customWidth="1"/>
  </cols>
  <sheetData>
    <row r="1" spans="1:26">
      <c r="A1" s="20" t="s">
        <v>283</v>
      </c>
      <c r="B1" s="20" t="s">
        <v>284</v>
      </c>
      <c r="C1" s="20" t="s">
        <v>238</v>
      </c>
      <c r="D1" s="18" t="s">
        <v>104</v>
      </c>
      <c r="E1" s="18" t="s">
        <v>1</v>
      </c>
      <c r="F1" s="18" t="s">
        <v>107</v>
      </c>
      <c r="G1" s="18" t="s">
        <v>102</v>
      </c>
      <c r="H1" s="18" t="s">
        <v>117</v>
      </c>
      <c r="I1" s="18" t="s">
        <v>12</v>
      </c>
      <c r="J1" s="18" t="s">
        <v>118</v>
      </c>
      <c r="K1" s="18" t="s">
        <v>119</v>
      </c>
      <c r="L1" s="20" t="s">
        <v>237</v>
      </c>
      <c r="M1" s="20" t="s">
        <v>421</v>
      </c>
      <c r="O1" s="20" t="s">
        <v>436</v>
      </c>
      <c r="P1" s="20" t="s">
        <v>123</v>
      </c>
      <c r="Q1" s="20" t="s">
        <v>122</v>
      </c>
      <c r="R1" s="20" t="s">
        <v>127</v>
      </c>
      <c r="S1" s="20" t="s">
        <v>186</v>
      </c>
      <c r="T1" s="20" t="s">
        <v>283</v>
      </c>
      <c r="U1" s="20" t="s">
        <v>246</v>
      </c>
      <c r="V1" s="20" t="s">
        <v>92</v>
      </c>
      <c r="W1" s="20" t="s">
        <v>437</v>
      </c>
      <c r="X1" s="20" t="s">
        <v>438</v>
      </c>
      <c r="Y1" s="20" t="s">
        <v>439</v>
      </c>
      <c r="Z1" s="20" t="s">
        <v>274</v>
      </c>
    </row>
    <row r="2" spans="1:26">
      <c r="A2" s="34" t="str">
        <f>Page&amp;"-"&amp;(COUNTA($E$1:ResourceTable[[#This Row],[Name]])-2)</f>
        <v>Resources-0</v>
      </c>
      <c r="B2" s="31" t="str">
        <f>ResourceTable[[#This Row],[Name]]</f>
        <v>name</v>
      </c>
      <c r="C2" s="34">
        <f>IF($C1=0,IF(ISNUMBER(VLOOKUP(Page,SeedMap[],9,0)),VLOOKUP(Page,SeedMap[],9,0)+1,1),IFERROR($C1+1,0))</f>
        <v>0</v>
      </c>
      <c r="D2" s="34" t="s">
        <v>21</v>
      </c>
      <c r="E2" s="5" t="s">
        <v>26</v>
      </c>
      <c r="F2" s="5" t="s">
        <v>28</v>
      </c>
      <c r="G2" s="5" t="s">
        <v>30</v>
      </c>
      <c r="H2" s="8" t="s">
        <v>31</v>
      </c>
      <c r="I2" s="5" t="s">
        <v>32</v>
      </c>
      <c r="J2" s="5" t="s">
        <v>33</v>
      </c>
      <c r="K2" s="1" t="s">
        <v>34</v>
      </c>
      <c r="L2" s="1" t="s">
        <v>235</v>
      </c>
      <c r="M2" s="34" t="str">
        <f>[No]</f>
        <v>id</v>
      </c>
      <c r="O2" s="1"/>
      <c r="P2" s="1"/>
      <c r="Q2" s="1"/>
      <c r="R2" s="1"/>
      <c r="S2" s="1"/>
      <c r="T2" s="6" t="str">
        <f>'Table Seed Map'!$A$38&amp;"-"&amp;COUNTA($O$2:ResourceDefaultsTable[[#This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Map'!$A$38,SeedMap[],9,0))</f>
        <v>id</v>
      </c>
      <c r="V2" s="6" t="str">
        <f>IF(ResourceDefaultsTable[[#This Row],[Select Resource for Default]]="","resource",VLOOKUP(ResourceDefaultsTable[[#This Row],[Select Resource for Default]],ResourceTable[[RName]:[RID]],2,0))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8" t="str">
        <f>Page&amp;"-"&amp;(COUNTA($E$1:ResourceTable[[#This Row],[Name]])-2)</f>
        <v>Resources-1</v>
      </c>
      <c r="B3" s="31" t="str">
        <f>ResourceTable[[#This Row],[Name]]</f>
        <v>GroupMaster</v>
      </c>
      <c r="C3" s="34">
        <f>IF($C2=0,IF(ISNUMBER(VLOOKUP(Page,SeedMap[],9,0)),VLOOKUP(Page,SeedMap[],9,0)+1,1),IFERROR($C2+1,0))</f>
        <v>50001</v>
      </c>
      <c r="D3" s="34">
        <f>ResourceTable[[#This Row],[RID]]</f>
        <v>50001</v>
      </c>
      <c r="E3" s="5" t="s">
        <v>658</v>
      </c>
      <c r="F3" s="5" t="s">
        <v>660</v>
      </c>
      <c r="G3" s="5" t="s">
        <v>662</v>
      </c>
      <c r="H3" s="8" t="s">
        <v>664</v>
      </c>
      <c r="I3" s="5" t="s">
        <v>519</v>
      </c>
      <c r="J3" s="5"/>
      <c r="K3" s="5"/>
      <c r="L3" s="5"/>
      <c r="M3" s="34">
        <f>[No]</f>
        <v>50001</v>
      </c>
    </row>
    <row r="4" spans="1:26">
      <c r="A4" s="8" t="str">
        <f>Page&amp;"-"&amp;(COUNTA($E$1:ResourceTable[[#This Row],[Name]])-2)</f>
        <v>Resources-2</v>
      </c>
      <c r="B4" s="31" t="str">
        <f>ResourceTable[[#This Row],[Name]]</f>
        <v>GroupDetail</v>
      </c>
      <c r="C4" s="34">
        <f>IF($C3=0,IF(ISNUMBER(VLOOKUP(Page,SeedMap[],9,0)),VLOOKUP(Page,SeedMap[],9,0)+1,1),IFERROR($C3+1,0))</f>
        <v>50002</v>
      </c>
      <c r="D4" s="34">
        <f>ResourceTable[[#This Row],[RID]]</f>
        <v>50002</v>
      </c>
      <c r="E4" s="5" t="s">
        <v>659</v>
      </c>
      <c r="F4" s="5" t="s">
        <v>661</v>
      </c>
      <c r="G4" s="5" t="s">
        <v>663</v>
      </c>
      <c r="H4" s="8" t="s">
        <v>664</v>
      </c>
      <c r="I4" s="5" t="s">
        <v>565</v>
      </c>
      <c r="J4" s="5"/>
      <c r="K4" s="5"/>
      <c r="L4" s="5"/>
      <c r="M4" s="34">
        <f>[No]</f>
        <v>50002</v>
      </c>
    </row>
    <row r="5" spans="1:26">
      <c r="A5" s="8" t="str">
        <f>Page&amp;"-"&amp;(COUNTA($E$1:ResourceTable[[#This Row],[Name]])-2)</f>
        <v>Resources-3</v>
      </c>
      <c r="B5" s="31" t="str">
        <f>ResourceTable[[#This Row],[Name]]</f>
        <v>Product</v>
      </c>
      <c r="C5" s="34">
        <f>IF($C4=0,IF(ISNUMBER(VLOOKUP(Page,SeedMap[],9,0)),VLOOKUP(Page,SeedMap[],9,0)+1,1),IFERROR($C4+1,0))</f>
        <v>50003</v>
      </c>
      <c r="D5" s="34">
        <f>ResourceTable[[#This Row],[RID]]</f>
        <v>50003</v>
      </c>
      <c r="E5" s="5" t="s">
        <v>569</v>
      </c>
      <c r="F5" s="5" t="s">
        <v>570</v>
      </c>
      <c r="G5" s="5" t="s">
        <v>571</v>
      </c>
      <c r="H5" s="8" t="s">
        <v>664</v>
      </c>
      <c r="I5" s="5" t="s">
        <v>442</v>
      </c>
      <c r="J5" s="5" t="s">
        <v>592</v>
      </c>
      <c r="K5" s="5" t="s">
        <v>596</v>
      </c>
      <c r="L5" s="5"/>
      <c r="M5" s="34">
        <f>[No]</f>
        <v>50003</v>
      </c>
    </row>
    <row r="6" spans="1:26">
      <c r="A6" s="8" t="str">
        <f>Page&amp;"-"&amp;(COUNTA($E$1:ResourceTable[[#This Row],[Name]])-2)</f>
        <v>Resources-4</v>
      </c>
      <c r="B6" s="31" t="str">
        <f>ResourceTable[[#This Row],[Name]]</f>
        <v>ProductImage</v>
      </c>
      <c r="C6" s="34">
        <f>IF($C5=0,IF(ISNUMBER(VLOOKUP(Page,SeedMap[],9,0)),VLOOKUP(Page,SeedMap[],9,0)+1,1),IFERROR($C5+1,0))</f>
        <v>50004</v>
      </c>
      <c r="D6" s="34">
        <f>ResourceTable[[#This Row],[RID]]</f>
        <v>50004</v>
      </c>
      <c r="E6" s="5" t="s">
        <v>572</v>
      </c>
      <c r="F6" s="5" t="s">
        <v>573</v>
      </c>
      <c r="G6" s="5" t="s">
        <v>574</v>
      </c>
      <c r="H6" s="8" t="s">
        <v>664</v>
      </c>
      <c r="I6" s="5" t="s">
        <v>443</v>
      </c>
      <c r="J6" s="5"/>
      <c r="K6" s="5"/>
      <c r="L6" s="5"/>
      <c r="M6" s="34">
        <f>[No]</f>
        <v>50004</v>
      </c>
    </row>
    <row r="7" spans="1:26">
      <c r="A7" s="8" t="str">
        <f>Page&amp;"-"&amp;(COUNTA($E$1:ResourceTable[[#This Row],[Name]])-2)</f>
        <v>Resources-5</v>
      </c>
      <c r="B7" s="31" t="str">
        <f>ResourceTable[[#This Row],[Name]]</f>
        <v>Visitor</v>
      </c>
      <c r="C7" s="34">
        <f>IF($C6=0,IF(ISNUMBER(VLOOKUP(Page,SeedMap[],9,0)),VLOOKUP(Page,SeedMap[],9,0)+1,1),IFERROR($C6+1,0))</f>
        <v>50005</v>
      </c>
      <c r="D7" s="34">
        <f>ResourceTable[[#This Row],[RID]]</f>
        <v>50005</v>
      </c>
      <c r="E7" s="5" t="s">
        <v>575</v>
      </c>
      <c r="F7" s="5" t="s">
        <v>576</v>
      </c>
      <c r="G7" s="5" t="s">
        <v>577</v>
      </c>
      <c r="H7" s="8" t="s">
        <v>664</v>
      </c>
      <c r="I7" s="5" t="s">
        <v>444</v>
      </c>
      <c r="J7" s="5" t="s">
        <v>593</v>
      </c>
      <c r="K7" s="5" t="s">
        <v>596</v>
      </c>
      <c r="L7" s="5"/>
      <c r="M7" s="34">
        <f>[No]</f>
        <v>50005</v>
      </c>
    </row>
    <row r="8" spans="1:26">
      <c r="A8" s="8" t="str">
        <f>Page&amp;"-"&amp;(COUNTA($E$1:ResourceTable[[#This Row],[Name]])-2)</f>
        <v>Resources-6</v>
      </c>
      <c r="B8" s="31" t="str">
        <f>ResourceTable[[#This Row],[Name]]</f>
        <v>Wishlist</v>
      </c>
      <c r="C8" s="34">
        <f>IF($C7=0,IF(ISNUMBER(VLOOKUP(Page,SeedMap[],9,0)),VLOOKUP(Page,SeedMap[],9,0)+1,1),IFERROR($C7+1,0))</f>
        <v>50006</v>
      </c>
      <c r="D8" s="34">
        <f>ResourceTable[[#This Row],[RID]]</f>
        <v>50006</v>
      </c>
      <c r="E8" s="5" t="s">
        <v>578</v>
      </c>
      <c r="F8" s="5" t="s">
        <v>579</v>
      </c>
      <c r="G8" s="5" t="s">
        <v>580</v>
      </c>
      <c r="H8" s="8" t="s">
        <v>664</v>
      </c>
      <c r="I8" s="5" t="s">
        <v>445</v>
      </c>
      <c r="J8" s="5" t="s">
        <v>594</v>
      </c>
      <c r="K8" s="5" t="s">
        <v>596</v>
      </c>
      <c r="L8" s="5"/>
      <c r="M8" s="34">
        <f>[No]</f>
        <v>50006</v>
      </c>
    </row>
    <row r="9" spans="1:26">
      <c r="A9" s="8" t="str">
        <f>Page&amp;"-"&amp;(COUNTA($E$1:ResourceTable[[#This Row],[Name]])-2)</f>
        <v>Resources-7</v>
      </c>
      <c r="B9" s="31" t="str">
        <f>ResourceTable[[#This Row],[Name]]</f>
        <v>VendorWishlist</v>
      </c>
      <c r="C9" s="34">
        <f>IF($C8=0,IF(ISNUMBER(VLOOKUP(Page,SeedMap[],9,0)),VLOOKUP(Page,SeedMap[],9,0)+1,1),IFERROR($C8+1,0))</f>
        <v>50007</v>
      </c>
      <c r="D9" s="34">
        <f>ResourceTable[[#This Row],[RID]]</f>
        <v>50007</v>
      </c>
      <c r="E9" s="5" t="s">
        <v>581</v>
      </c>
      <c r="F9" s="5" t="s">
        <v>582</v>
      </c>
      <c r="G9" s="5" t="s">
        <v>580</v>
      </c>
      <c r="H9" s="8" t="s">
        <v>664</v>
      </c>
      <c r="I9" s="5" t="s">
        <v>448</v>
      </c>
      <c r="J9" s="5"/>
      <c r="K9" s="5"/>
      <c r="L9" s="5"/>
      <c r="M9" s="34">
        <f>[No]</f>
        <v>50007</v>
      </c>
    </row>
    <row r="10" spans="1:26">
      <c r="A10" s="8" t="str">
        <f>Page&amp;"-"&amp;(COUNTA($E$1:ResourceTable[[#This Row],[Name]])-2)</f>
        <v>Resources-8</v>
      </c>
      <c r="B10" s="31" t="str">
        <f>ResourceTable[[#This Row],[Name]]</f>
        <v>VisitorWishlist</v>
      </c>
      <c r="C10" s="34">
        <f>IF($C9=0,IF(ISNUMBER(VLOOKUP(Page,SeedMap[],9,0)),VLOOKUP(Page,SeedMap[],9,0)+1,1),IFERROR($C9+1,0))</f>
        <v>50008</v>
      </c>
      <c r="D10" s="34">
        <f>ResourceTable[[#This Row],[RID]]</f>
        <v>50008</v>
      </c>
      <c r="E10" s="5" t="s">
        <v>583</v>
      </c>
      <c r="F10" s="5" t="s">
        <v>584</v>
      </c>
      <c r="G10" s="5" t="s">
        <v>580</v>
      </c>
      <c r="H10" s="8" t="s">
        <v>664</v>
      </c>
      <c r="I10" s="5" t="s">
        <v>447</v>
      </c>
      <c r="J10" s="5"/>
      <c r="K10" s="5"/>
      <c r="L10" s="5"/>
      <c r="M10" s="34">
        <f>[No]</f>
        <v>50008</v>
      </c>
    </row>
    <row r="11" spans="1:26">
      <c r="A11" s="8" t="str">
        <f>Page&amp;"-"&amp;(COUNTA($E$1:ResourceTable[[#This Row],[Name]])-2)</f>
        <v>Resources-9</v>
      </c>
      <c r="B11" s="31" t="str">
        <f>ResourceTable[[#This Row],[Name]]</f>
        <v>WishlistNote</v>
      </c>
      <c r="C11" s="34">
        <f>IF($C10=0,IF(ISNUMBER(VLOOKUP(Page,SeedMap[],9,0)),VLOOKUP(Page,SeedMap[],9,0)+1,1),IFERROR($C10+1,0))</f>
        <v>50009</v>
      </c>
      <c r="D11" s="34">
        <f>ResourceTable[[#This Row],[RID]]</f>
        <v>50009</v>
      </c>
      <c r="E11" s="5" t="s">
        <v>585</v>
      </c>
      <c r="F11" s="5" t="s">
        <v>586</v>
      </c>
      <c r="G11" s="5" t="s">
        <v>587</v>
      </c>
      <c r="H11" s="8" t="s">
        <v>664</v>
      </c>
      <c r="I11" s="5" t="s">
        <v>449</v>
      </c>
      <c r="J11" s="5" t="s">
        <v>595</v>
      </c>
      <c r="K11" s="5" t="s">
        <v>596</v>
      </c>
      <c r="L11" s="5"/>
      <c r="M11" s="34">
        <f>[No]</f>
        <v>50009</v>
      </c>
    </row>
    <row r="12" spans="1:26">
      <c r="A12" s="8" t="str">
        <f>Page&amp;"-"&amp;(COUNTA($E$1:ResourceTable[[#This Row],[Name]])-2)</f>
        <v>Resources-10</v>
      </c>
      <c r="B12" s="31" t="str">
        <f>ResourceTable[[#This Row],[Name]]</f>
        <v>WishlistProduct</v>
      </c>
      <c r="C12" s="34">
        <f>IF($C11=0,IF(ISNUMBER(VLOOKUP(Page,SeedMap[],9,0)),VLOOKUP(Page,SeedMap[],9,0)+1,1),IFERROR($C11+1,0))</f>
        <v>50010</v>
      </c>
      <c r="D12" s="34">
        <f>ResourceTable[[#This Row],[RID]]</f>
        <v>50010</v>
      </c>
      <c r="E12" s="5" t="s">
        <v>588</v>
      </c>
      <c r="F12" s="5" t="s">
        <v>589</v>
      </c>
      <c r="G12" s="5" t="s">
        <v>571</v>
      </c>
      <c r="H12" s="8" t="s">
        <v>664</v>
      </c>
      <c r="I12" s="5" t="s">
        <v>446</v>
      </c>
      <c r="J12" s="5"/>
      <c r="K12" s="5"/>
      <c r="L12" s="5"/>
      <c r="M12" s="34">
        <f>[No]</f>
        <v>50010</v>
      </c>
    </row>
    <row r="13" spans="1:26">
      <c r="A13" s="7" t="str">
        <f>Page&amp;"-"&amp;(COUNTA($E$1:ResourceTable[[#This Row],[Name]])-2)</f>
        <v>Resources-11</v>
      </c>
      <c r="B13" s="61" t="str">
        <f>ResourceTable[[#This Row],[Name]]</f>
        <v>WishlistProductNote</v>
      </c>
      <c r="C13" s="60">
        <f>IF($C12=0,IF(ISNUMBER(VLOOKUP(Page,SeedMap[],9,0)),VLOOKUP(Page,SeedMap[],9,0)+1,1),IFERROR($C12+1,0))</f>
        <v>50011</v>
      </c>
      <c r="D13" s="60">
        <f>ResourceTable[[#This Row],[RID]]</f>
        <v>50011</v>
      </c>
      <c r="E13" s="4" t="s">
        <v>590</v>
      </c>
      <c r="F13" s="4" t="s">
        <v>591</v>
      </c>
      <c r="G13" s="4" t="s">
        <v>587</v>
      </c>
      <c r="H13" s="8" t="s">
        <v>664</v>
      </c>
      <c r="I13" s="4" t="s">
        <v>450</v>
      </c>
      <c r="J13" s="4"/>
      <c r="K13" s="4"/>
      <c r="L13" s="5"/>
      <c r="M13" s="60">
        <f>[No]</f>
        <v>50011</v>
      </c>
    </row>
  </sheetData>
  <dataValidations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30"/>
  <sheetViews>
    <sheetView topLeftCell="J1" workbookViewId="0">
      <selection activeCell="Q10" sqref="Q10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283</v>
      </c>
      <c r="B1" s="19" t="s">
        <v>104</v>
      </c>
      <c r="C1" s="20" t="s">
        <v>276</v>
      </c>
      <c r="D1" s="20" t="s">
        <v>247</v>
      </c>
      <c r="E1" s="19" t="s">
        <v>92</v>
      </c>
      <c r="F1" s="19" t="s">
        <v>130</v>
      </c>
      <c r="G1" s="20" t="s">
        <v>246</v>
      </c>
      <c r="H1" s="20" t="s">
        <v>120</v>
      </c>
      <c r="I1" s="19" t="s">
        <v>1</v>
      </c>
      <c r="J1" s="19" t="s">
        <v>107</v>
      </c>
      <c r="K1" s="19" t="s">
        <v>121</v>
      </c>
      <c r="L1" s="19" t="s">
        <v>14</v>
      </c>
      <c r="M1" s="20" t="s">
        <v>131</v>
      </c>
      <c r="N1" s="20" t="s">
        <v>238</v>
      </c>
      <c r="P1" s="20" t="s">
        <v>283</v>
      </c>
      <c r="Q1" s="20" t="s">
        <v>347</v>
      </c>
      <c r="R1" s="20" t="s">
        <v>348</v>
      </c>
      <c r="S1" s="20" t="s">
        <v>104</v>
      </c>
      <c r="T1" s="20" t="s">
        <v>327</v>
      </c>
      <c r="U1" s="20" t="s">
        <v>1</v>
      </c>
      <c r="V1" s="20" t="s">
        <v>107</v>
      </c>
      <c r="W1" s="20" t="s">
        <v>121</v>
      </c>
    </row>
    <row r="2" spans="1:23">
      <c r="A2" s="38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26</v>
      </c>
      <c r="J2" s="15" t="s">
        <v>28</v>
      </c>
      <c r="K2" s="15" t="s">
        <v>35</v>
      </c>
      <c r="L2" s="15" t="s">
        <v>45</v>
      </c>
      <c r="M2" s="38" t="s">
        <v>46</v>
      </c>
      <c r="N2" s="55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23</v>
      </c>
      <c r="U2" s="1" t="s">
        <v>26</v>
      </c>
      <c r="V2" s="1" t="s">
        <v>28</v>
      </c>
      <c r="W2" s="1" t="s">
        <v>35</v>
      </c>
    </row>
    <row r="3" spans="1:23">
      <c r="A3" s="62" t="str">
        <f>Page&amp;"-"&amp;(COUNTA($E$1:RelationTable[[#This Row],[Resource]])-1)</f>
        <v>Resource Relations-1</v>
      </c>
      <c r="B3" s="34">
        <f>IF(RelationTable[[#This Row],[Resource]]="","id",COUNTA($E$2:RelationTable[[#This Row],[Resource]])+IF(ISNUMBER(VLOOKUP('Table Seed Map'!$A$9,SeedMap[],9,0)),VLOOKUP('Table Seed Map'!$A$9,SeedMap[],9,0),0))</f>
        <v>50001</v>
      </c>
      <c r="C3" s="31" t="str">
        <f>RelationTable[[#This Row],[Resource]]&amp;"/"&amp;RelationTable[[#This Row],[Method]]</f>
        <v>GroupDetail/Group01Products</v>
      </c>
      <c r="D3" s="31">
        <f>RelationTable[[#This Row],[No]]</f>
        <v>50001</v>
      </c>
      <c r="E3" s="8" t="s">
        <v>659</v>
      </c>
      <c r="F3" s="8" t="s">
        <v>569</v>
      </c>
      <c r="G3" s="31">
        <f>RelationTable[[#This Row],[No]]</f>
        <v>50001</v>
      </c>
      <c r="H3" s="31">
        <f>IF(RelationTable[[#This Row],[No]]="id","resource",VLOOKUP([Resource],CHOOSE({1,2},ResourceTable[Name],ResourceTable[No]),2,0))</f>
        <v>50002</v>
      </c>
      <c r="I3" s="31" t="s">
        <v>650</v>
      </c>
      <c r="J3" s="31" t="s">
        <v>654</v>
      </c>
      <c r="K3" s="31" t="s">
        <v>650</v>
      </c>
      <c r="L3" s="31" t="s">
        <v>597</v>
      </c>
      <c r="M3" s="63">
        <f>VLOOKUP([Relate Resource],CHOOSE({1,2},ResourceTable[Name],ResourceTable[No]),2,0)</f>
        <v>50003</v>
      </c>
      <c r="N3" s="64">
        <f>[RELID]</f>
        <v>50001</v>
      </c>
      <c r="P3" s="8" t="str">
        <f>'Table Seed Map'!$A$8&amp;"-"&amp;COUNTA($Q$1:ResourceScopes[[#This Row],[Resource for Scope]])-1</f>
        <v>Resource Scopes-1</v>
      </c>
      <c r="Q3" s="5" t="s">
        <v>659</v>
      </c>
      <c r="R3" s="8" t="str">
        <f>ResourceScopes[[#This Row],[Resource for Scope]]&amp;"/"&amp;ResourceScopes[[#This Row],[Name]]</f>
        <v>GroupDetail/Group01</v>
      </c>
      <c r="S3" s="31">
        <f>IF($S2="id",IF(ISNUMBER(VLOOKUP('Table Seed Map'!$A$8,SeedMap[],9,0)),VLOOKUP('Table Seed Map'!$A$8,SeedMap[],9,0)+1,1),IFERROR($S2+1,"id"))</f>
        <v>50001</v>
      </c>
      <c r="T3" s="31">
        <f>VLOOKUP(ResourceScopes[[#This Row],[Resource for Scope]],ResourceTable[[RName]:[RID]],2,0)</f>
        <v>50002</v>
      </c>
      <c r="U3" s="5" t="s">
        <v>726</v>
      </c>
      <c r="V3" s="5" t="s">
        <v>767</v>
      </c>
      <c r="W3" s="5" t="s">
        <v>543</v>
      </c>
    </row>
    <row r="4" spans="1:23">
      <c r="A4" s="62" t="str">
        <f>Page&amp;"-"&amp;(COUNTA($E$1:RelationTable[[#This Row],[Resource]])-1)</f>
        <v>Resource Relations-2</v>
      </c>
      <c r="B4" s="34">
        <f>IF(RelationTable[[#This Row],[Resource]]="","id",COUNTA($E$2:RelationTable[[#This Row],[Resource]])+IF(ISNUMBER(VLOOKUP('Table Seed Map'!$A$9,SeedMap[],9,0)),VLOOKUP('Table Seed Map'!$A$9,SeedMap[],9,0),0))</f>
        <v>50002</v>
      </c>
      <c r="C4" s="31" t="str">
        <f>RelationTable[[#This Row],[Resource]]&amp;"/"&amp;RelationTable[[#This Row],[Method]]</f>
        <v>GroupDetail/Group02Products</v>
      </c>
      <c r="D4" s="31">
        <f>RelationTable[[#This Row],[No]]</f>
        <v>50002</v>
      </c>
      <c r="E4" s="8" t="s">
        <v>659</v>
      </c>
      <c r="F4" s="8" t="s">
        <v>569</v>
      </c>
      <c r="G4" s="31">
        <f>RelationTable[[#This Row],[No]]</f>
        <v>50002</v>
      </c>
      <c r="H4" s="31">
        <f>IF(RelationTable[[#This Row],[No]]="id","resource",VLOOKUP([Resource],CHOOSE({1,2},ResourceTable[Name],ResourceTable[No]),2,0))</f>
        <v>50002</v>
      </c>
      <c r="I4" s="31" t="s">
        <v>651</v>
      </c>
      <c r="J4" s="31" t="s">
        <v>657</v>
      </c>
      <c r="K4" s="31" t="s">
        <v>651</v>
      </c>
      <c r="L4" s="31" t="s">
        <v>597</v>
      </c>
      <c r="M4" s="63">
        <f>VLOOKUP([Relate Resource],CHOOSE({1,2},ResourceTable[Name],ResourceTable[No]),2,0)</f>
        <v>50003</v>
      </c>
      <c r="N4" s="64">
        <f>[RELID]</f>
        <v>50002</v>
      </c>
      <c r="P4" s="8" t="str">
        <f>'Table Seed Map'!$A$8&amp;"-"&amp;COUNTA($Q$1:ResourceScopes[[#This Row],[Resource for Scope]])-1</f>
        <v>Resource Scopes-2</v>
      </c>
      <c r="Q4" s="5" t="s">
        <v>659</v>
      </c>
      <c r="R4" s="8" t="str">
        <f>ResourceScopes[[#This Row],[Resource for Scope]]&amp;"/"&amp;ResourceScopes[[#This Row],[Name]]</f>
        <v>GroupDetail/Group02</v>
      </c>
      <c r="S4" s="31">
        <f>IF($S3="id",IF(ISNUMBER(VLOOKUP('Table Seed Map'!$A$8,SeedMap[],9,0)),VLOOKUP('Table Seed Map'!$A$8,SeedMap[],9,0)+1,1),IFERROR($S3+1,"id"))</f>
        <v>50002</v>
      </c>
      <c r="T4" s="31">
        <f>VLOOKUP(ResourceScopes[[#This Row],[Resource for Scope]],ResourceTable[[RName]:[RID]],2,0)</f>
        <v>50002</v>
      </c>
      <c r="U4" s="5" t="s">
        <v>727</v>
      </c>
      <c r="V4" s="5" t="s">
        <v>768</v>
      </c>
      <c r="W4" s="5" t="s">
        <v>544</v>
      </c>
    </row>
    <row r="5" spans="1:23">
      <c r="A5" s="62" t="str">
        <f>Page&amp;"-"&amp;(COUNTA($E$1:RelationTable[[#This Row],[Resource]])-1)</f>
        <v>Resource Relations-3</v>
      </c>
      <c r="B5" s="34">
        <f>IF(RelationTable[[#This Row],[Resource]]="","id",COUNTA($E$2:RelationTable[[#This Row],[Resource]])+IF(ISNUMBER(VLOOKUP('Table Seed Map'!$A$9,SeedMap[],9,0)),VLOOKUP('Table Seed Map'!$A$9,SeedMap[],9,0),0))</f>
        <v>50003</v>
      </c>
      <c r="C5" s="31" t="str">
        <f>RelationTable[[#This Row],[Resource]]&amp;"/"&amp;RelationTable[[#This Row],[Method]]</f>
        <v>GroupDetail/Group03Products</v>
      </c>
      <c r="D5" s="31">
        <f>RelationTable[[#This Row],[No]]</f>
        <v>50003</v>
      </c>
      <c r="E5" s="8" t="s">
        <v>659</v>
      </c>
      <c r="F5" s="8" t="s">
        <v>569</v>
      </c>
      <c r="G5" s="31">
        <f>RelationTable[[#This Row],[No]]</f>
        <v>50003</v>
      </c>
      <c r="H5" s="31">
        <f>IF(RelationTable[[#This Row],[No]]="id","resource",VLOOKUP([Resource],CHOOSE({1,2},ResourceTable[Name],ResourceTable[No]),2,0))</f>
        <v>50002</v>
      </c>
      <c r="I5" s="31" t="s">
        <v>652</v>
      </c>
      <c r="J5" s="31" t="s">
        <v>656</v>
      </c>
      <c r="K5" s="31" t="s">
        <v>652</v>
      </c>
      <c r="L5" s="31" t="s">
        <v>597</v>
      </c>
      <c r="M5" s="63">
        <f>VLOOKUP([Relate Resource],CHOOSE({1,2},ResourceTable[Name],ResourceTable[No]),2,0)</f>
        <v>50003</v>
      </c>
      <c r="N5" s="64">
        <f>[RELID]</f>
        <v>50003</v>
      </c>
      <c r="P5" s="8" t="str">
        <f>'Table Seed Map'!$A$8&amp;"-"&amp;COUNTA($Q$1:ResourceScopes[[#This Row],[Resource for Scope]])-1</f>
        <v>Resource Scopes-3</v>
      </c>
      <c r="Q5" s="5" t="s">
        <v>659</v>
      </c>
      <c r="R5" s="8" t="str">
        <f>ResourceScopes[[#This Row],[Resource for Scope]]&amp;"/"&amp;ResourceScopes[[#This Row],[Name]]</f>
        <v>GroupDetail/Group03</v>
      </c>
      <c r="S5" s="31">
        <f>IF($S4="id",IF(ISNUMBER(VLOOKUP('Table Seed Map'!$A$8,SeedMap[],9,0)),VLOOKUP('Table Seed Map'!$A$8,SeedMap[],9,0)+1,1),IFERROR($S4+1,"id"))</f>
        <v>50003</v>
      </c>
      <c r="T5" s="31">
        <f>VLOOKUP(ResourceScopes[[#This Row],[Resource for Scope]],ResourceTable[[RName]:[RID]],2,0)</f>
        <v>50002</v>
      </c>
      <c r="U5" s="5" t="s">
        <v>728</v>
      </c>
      <c r="V5" s="5" t="s">
        <v>769</v>
      </c>
      <c r="W5" s="5" t="s">
        <v>545</v>
      </c>
    </row>
    <row r="6" spans="1:23">
      <c r="A6" s="62" t="str">
        <f>Page&amp;"-"&amp;(COUNTA($E$1:RelationTable[[#This Row],[Resource]])-1)</f>
        <v>Resource Relations-4</v>
      </c>
      <c r="B6" s="34">
        <f>IF(RelationTable[[#This Row],[Resource]]="","id",COUNTA($E$2:RelationTable[[#This Row],[Resource]])+IF(ISNUMBER(VLOOKUP('Table Seed Map'!$A$9,SeedMap[],9,0)),VLOOKUP('Table Seed Map'!$A$9,SeedMap[],9,0),0))</f>
        <v>50004</v>
      </c>
      <c r="C6" s="31" t="str">
        <f>RelationTable[[#This Row],[Resource]]&amp;"/"&amp;RelationTable[[#This Row],[Method]]</f>
        <v>GroupDetail/Group04Products</v>
      </c>
      <c r="D6" s="31">
        <f>RelationTable[[#This Row],[No]]</f>
        <v>50004</v>
      </c>
      <c r="E6" s="8" t="s">
        <v>659</v>
      </c>
      <c r="F6" s="8" t="s">
        <v>569</v>
      </c>
      <c r="G6" s="31">
        <f>RelationTable[[#This Row],[No]]</f>
        <v>50004</v>
      </c>
      <c r="H6" s="31">
        <f>IF(RelationTable[[#This Row],[No]]="id","resource",VLOOKUP([Resource],CHOOSE({1,2},ResourceTable[Name],ResourceTable[No]),2,0))</f>
        <v>50002</v>
      </c>
      <c r="I6" s="31" t="s">
        <v>653</v>
      </c>
      <c r="J6" s="31" t="s">
        <v>655</v>
      </c>
      <c r="K6" s="31" t="s">
        <v>653</v>
      </c>
      <c r="L6" s="31" t="s">
        <v>597</v>
      </c>
      <c r="M6" s="63">
        <f>VLOOKUP([Relate Resource],CHOOSE({1,2},ResourceTable[Name],ResourceTable[No]),2,0)</f>
        <v>50003</v>
      </c>
      <c r="N6" s="64">
        <f>[RELID]</f>
        <v>50004</v>
      </c>
      <c r="P6" s="8" t="str">
        <f>'Table Seed Map'!$A$8&amp;"-"&amp;COUNTA($Q$1:ResourceScopes[[#This Row],[Resource for Scope]])-1</f>
        <v>Resource Scopes-4</v>
      </c>
      <c r="Q6" s="5" t="s">
        <v>659</v>
      </c>
      <c r="R6" s="8" t="str">
        <f>ResourceScopes[[#This Row],[Resource for Scope]]&amp;"/"&amp;ResourceScopes[[#This Row],[Name]]</f>
        <v>GroupDetail/Group04</v>
      </c>
      <c r="S6" s="31">
        <f>IF($S5="id",IF(ISNUMBER(VLOOKUP('Table Seed Map'!$A$8,SeedMap[],9,0)),VLOOKUP('Table Seed Map'!$A$8,SeedMap[],9,0)+1,1),IFERROR($S5+1,"id"))</f>
        <v>50004</v>
      </c>
      <c r="T6" s="31">
        <f>VLOOKUP(ResourceScopes[[#This Row],[Resource for Scope]],ResourceTable[[RName]:[RID]],2,0)</f>
        <v>50002</v>
      </c>
      <c r="U6" s="5" t="s">
        <v>729</v>
      </c>
      <c r="V6" s="5" t="s">
        <v>770</v>
      </c>
      <c r="W6" s="5" t="s">
        <v>546</v>
      </c>
    </row>
    <row r="7" spans="1:23">
      <c r="A7" s="62" t="str">
        <f>Page&amp;"-"&amp;(COUNTA($E$1:RelationTable[[#This Row],[Resource]])-1)</f>
        <v>Resource Relations-5</v>
      </c>
      <c r="B7" s="34">
        <f>IF(RelationTable[[#This Row],[Resource]]="","id",COUNTA($E$2:RelationTable[[#This Row],[Resource]])+IF(ISNUMBER(VLOOKUP('Table Seed Map'!$A$9,SeedMap[],9,0)),VLOOKUP('Table Seed Map'!$A$9,SeedMap[],9,0),0))</f>
        <v>50005</v>
      </c>
      <c r="C7" s="31" t="str">
        <f>RelationTable[[#This Row],[Resource]]&amp;"/"&amp;RelationTable[[#This Row],[Method]]</f>
        <v>Product/Group01</v>
      </c>
      <c r="D7" s="31">
        <f>RelationTable[[#This Row],[No]]</f>
        <v>50005</v>
      </c>
      <c r="E7" s="8" t="s">
        <v>569</v>
      </c>
      <c r="F7" s="8" t="s">
        <v>659</v>
      </c>
      <c r="G7" s="31">
        <f>RelationTable[[#This Row],[No]]</f>
        <v>50005</v>
      </c>
      <c r="H7" s="31">
        <f>IF(RelationTable[[#This Row],[No]]="id","resource",VLOOKUP([Resource],CHOOSE({1,2},ResourceTable[Name],ResourceTable[No]),2,0))</f>
        <v>50003</v>
      </c>
      <c r="I7" s="31" t="s">
        <v>670</v>
      </c>
      <c r="J7" s="31" t="s">
        <v>665</v>
      </c>
      <c r="K7" s="31" t="s">
        <v>726</v>
      </c>
      <c r="L7" s="31" t="s">
        <v>598</v>
      </c>
      <c r="M7" s="63">
        <f>VLOOKUP([Relate Resource],CHOOSE({1,2},ResourceTable[Name],ResourceTable[No]),2,0)</f>
        <v>50002</v>
      </c>
      <c r="N7" s="64">
        <f>[RELID]</f>
        <v>50005</v>
      </c>
      <c r="P7" s="8" t="str">
        <f>'Table Seed Map'!$A$8&amp;"-"&amp;COUNTA($Q$1:ResourceScopes[[#This Row],[Resource for Scope]])-1</f>
        <v>Resource Scopes-5</v>
      </c>
      <c r="Q7" s="5" t="s">
        <v>578</v>
      </c>
      <c r="R7" s="8" t="str">
        <f>ResourceScopes[[#This Row],[Resource for Scope]]&amp;"/"&amp;ResourceScopes[[#This Row],[Name]]</f>
        <v>Wishlist/WishlistVendorActive</v>
      </c>
      <c r="S7" s="31">
        <f>IF($S6="id",IF(ISNUMBER(VLOOKUP('Table Seed Map'!$A$8,SeedMap[],9,0)),VLOOKUP('Table Seed Map'!$A$8,SeedMap[],9,0)+1,1),IFERROR($S6+1,"id"))</f>
        <v>50005</v>
      </c>
      <c r="T7" s="31">
        <f>VLOOKUP(ResourceScopes[[#This Row],[Resource for Scope]],ResourceTable[[RName]:[RID]],2,0)</f>
        <v>50006</v>
      </c>
      <c r="U7" s="5" t="s">
        <v>758</v>
      </c>
      <c r="V7" s="5" t="s">
        <v>582</v>
      </c>
      <c r="W7" s="5" t="s">
        <v>759</v>
      </c>
    </row>
    <row r="8" spans="1:23">
      <c r="A8" s="62" t="str">
        <f>Page&amp;"-"&amp;(COUNTA($E$1:RelationTable[[#This Row],[Resource]])-1)</f>
        <v>Resource Relations-6</v>
      </c>
      <c r="B8" s="34">
        <f>IF(RelationTable[[#This Row],[Resource]]="","id",COUNTA($E$2:RelationTable[[#This Row],[Resource]])+IF(ISNUMBER(VLOOKUP('Table Seed Map'!$A$9,SeedMap[],9,0)),VLOOKUP('Table Seed Map'!$A$9,SeedMap[],9,0),0))</f>
        <v>50006</v>
      </c>
      <c r="C8" s="31" t="str">
        <f>RelationTable[[#This Row],[Resource]]&amp;"/"&amp;RelationTable[[#This Row],[Method]]</f>
        <v>Product/Group02</v>
      </c>
      <c r="D8" s="31">
        <f>RelationTable[[#This Row],[No]]</f>
        <v>50006</v>
      </c>
      <c r="E8" s="8" t="s">
        <v>569</v>
      </c>
      <c r="F8" s="8" t="s">
        <v>659</v>
      </c>
      <c r="G8" s="31">
        <f>RelationTable[[#This Row],[No]]</f>
        <v>50006</v>
      </c>
      <c r="H8" s="31">
        <f>IF(RelationTable[[#This Row],[No]]="id","resource",VLOOKUP([Resource],CHOOSE({1,2},ResourceTable[Name],ResourceTable[No]),2,0))</f>
        <v>50003</v>
      </c>
      <c r="I8" s="31" t="s">
        <v>669</v>
      </c>
      <c r="J8" s="31" t="s">
        <v>666</v>
      </c>
      <c r="K8" s="31" t="s">
        <v>727</v>
      </c>
      <c r="L8" s="31" t="s">
        <v>598</v>
      </c>
      <c r="M8" s="63">
        <f>VLOOKUP([Relate Resource],CHOOSE({1,2},ResourceTable[Name],ResourceTable[No]),2,0)</f>
        <v>50002</v>
      </c>
      <c r="N8" s="64">
        <f>[RELID]</f>
        <v>50006</v>
      </c>
      <c r="P8" s="8" t="str">
        <f>'Table Seed Map'!$A$8&amp;"-"&amp;COUNTA($Q$1:ResourceScopes[[#This Row],[Resource for Scope]])-1</f>
        <v>Resource Scopes-6</v>
      </c>
      <c r="Q8" s="5" t="s">
        <v>572</v>
      </c>
      <c r="R8" s="8" t="str">
        <f>ResourceScopes[[#This Row],[Resource for Scope]]&amp;"/"&amp;ResourceScopes[[#This Row],[Name]]</f>
        <v>ProductImage/ImageStatus</v>
      </c>
      <c r="S8" s="31">
        <f>IF($S7="id",IF(ISNUMBER(VLOOKUP('Table Seed Map'!$A$8,SeedMap[],9,0)),VLOOKUP('Table Seed Map'!$A$8,SeedMap[],9,0)+1,1),IFERROR($S7+1,"id"))</f>
        <v>50006</v>
      </c>
      <c r="T8" s="31">
        <f>VLOOKUP(ResourceScopes[[#This Row],[Resource for Scope]],ResourceTable[[RName]:[RID]],2,0)</f>
        <v>50004</v>
      </c>
      <c r="U8" s="5" t="s">
        <v>760</v>
      </c>
      <c r="V8" s="5" t="s">
        <v>761</v>
      </c>
      <c r="W8" s="5" t="s">
        <v>762</v>
      </c>
    </row>
    <row r="9" spans="1:23">
      <c r="A9" s="62" t="str">
        <f>Page&amp;"-"&amp;(COUNTA($E$1:RelationTable[[#This Row],[Resource]])-1)</f>
        <v>Resource Relations-7</v>
      </c>
      <c r="B9" s="34">
        <f>IF(RelationTable[[#This Row],[Resource]]="","id",COUNTA($E$2:RelationTable[[#This Row],[Resource]])+IF(ISNUMBER(VLOOKUP('Table Seed Map'!$A$9,SeedMap[],9,0)),VLOOKUP('Table Seed Map'!$A$9,SeedMap[],9,0),0))</f>
        <v>50007</v>
      </c>
      <c r="C9" s="31" t="str">
        <f>RelationTable[[#This Row],[Resource]]&amp;"/"&amp;RelationTable[[#This Row],[Method]]</f>
        <v>Product/Group03</v>
      </c>
      <c r="D9" s="31">
        <f>RelationTable[[#This Row],[No]]</f>
        <v>50007</v>
      </c>
      <c r="E9" s="8" t="s">
        <v>569</v>
      </c>
      <c r="F9" s="8" t="s">
        <v>659</v>
      </c>
      <c r="G9" s="31">
        <f>RelationTable[[#This Row],[No]]</f>
        <v>50007</v>
      </c>
      <c r="H9" s="31">
        <f>IF(RelationTable[[#This Row],[No]]="id","resource",VLOOKUP([Resource],CHOOSE({1,2},ResourceTable[Name],ResourceTable[No]),2,0))</f>
        <v>50003</v>
      </c>
      <c r="I9" s="31" t="s">
        <v>672</v>
      </c>
      <c r="J9" s="31" t="s">
        <v>668</v>
      </c>
      <c r="K9" s="31" t="s">
        <v>728</v>
      </c>
      <c r="L9" s="31" t="s">
        <v>598</v>
      </c>
      <c r="M9" s="63">
        <f>VLOOKUP([Relate Resource],CHOOSE({1,2},ResourceTable[Name],ResourceTable[No]),2,0)</f>
        <v>50002</v>
      </c>
      <c r="N9" s="64">
        <f>[RELID]</f>
        <v>50007</v>
      </c>
      <c r="P9" s="8" t="str">
        <f>'Table Seed Map'!$A$8&amp;"-"&amp;COUNTA($Q$1:ResourceScopes[[#This Row],[Resource for Scope]])-1</f>
        <v>Resource Scopes-7</v>
      </c>
      <c r="Q9" s="5" t="s">
        <v>659</v>
      </c>
      <c r="R9" s="8" t="str">
        <f>ResourceScopes[[#This Row],[Resource for Scope]]&amp;"/"&amp;ResourceScopes[[#This Row],[Name]]</f>
        <v>GroupDetail/GroupWeb</v>
      </c>
      <c r="S9" s="31">
        <f>IF($S8="id",IF(ISNUMBER(VLOOKUP('Table Seed Map'!$A$8,SeedMap[],9,0)),VLOOKUP('Table Seed Map'!$A$8,SeedMap[],9,0)+1,1),IFERROR($S8+1,"id"))</f>
        <v>50007</v>
      </c>
      <c r="T9" s="31">
        <f>VLOOKUP(ResourceScopes[[#This Row],[Resource for Scope]],ResourceTable[[RName]:[RID]],2,0)</f>
        <v>50002</v>
      </c>
      <c r="U9" s="5" t="s">
        <v>771</v>
      </c>
      <c r="V9" s="5" t="s">
        <v>763</v>
      </c>
      <c r="W9" s="5" t="s">
        <v>764</v>
      </c>
    </row>
    <row r="10" spans="1:23">
      <c r="A10" s="62" t="str">
        <f>Page&amp;"-"&amp;(COUNTA($E$1:RelationTable[[#This Row],[Resource]])-1)</f>
        <v>Resource Relations-8</v>
      </c>
      <c r="B10" s="34">
        <f>IF(RelationTable[[#This Row],[Resource]]="","id",COUNTA($E$2:RelationTable[[#This Row],[Resource]])+IF(ISNUMBER(VLOOKUP('Table Seed Map'!$A$9,SeedMap[],9,0)),VLOOKUP('Table Seed Map'!$A$9,SeedMap[],9,0),0))</f>
        <v>50008</v>
      </c>
      <c r="C10" s="31" t="str">
        <f>RelationTable[[#This Row],[Resource]]&amp;"/"&amp;RelationTable[[#This Row],[Method]]</f>
        <v>Product/Group04</v>
      </c>
      <c r="D10" s="31">
        <f>RelationTable[[#This Row],[No]]</f>
        <v>50008</v>
      </c>
      <c r="E10" s="8" t="s">
        <v>569</v>
      </c>
      <c r="F10" s="8" t="s">
        <v>659</v>
      </c>
      <c r="G10" s="31">
        <f>RelationTable[[#This Row],[No]]</f>
        <v>50008</v>
      </c>
      <c r="H10" s="31">
        <f>IF(RelationTable[[#This Row],[No]]="id","resource",VLOOKUP([Resource],CHOOSE({1,2},ResourceTable[Name],ResourceTable[No]),2,0))</f>
        <v>50003</v>
      </c>
      <c r="I10" s="31" t="s">
        <v>671</v>
      </c>
      <c r="J10" s="31" t="s">
        <v>667</v>
      </c>
      <c r="K10" s="31" t="s">
        <v>729</v>
      </c>
      <c r="L10" s="31" t="s">
        <v>598</v>
      </c>
      <c r="M10" s="63">
        <f>VLOOKUP([Relate Resource],CHOOSE({1,2},ResourceTable[Name],ResourceTable[No]),2,0)</f>
        <v>50002</v>
      </c>
      <c r="N10" s="64">
        <f>[RELID]</f>
        <v>50008</v>
      </c>
      <c r="P10" s="7" t="str">
        <f>'Table Seed Map'!$A$8&amp;"-"&amp;COUNTA($Q$1:ResourceScopes[[#This Row],[Resource for Scope]])-1</f>
        <v>Resource Scopes-8</v>
      </c>
      <c r="Q10" s="5" t="s">
        <v>659</v>
      </c>
      <c r="R10" s="7" t="str">
        <f>ResourceScopes[[#This Row],[Resource for Scope]]&amp;"/"&amp;ResourceScopes[[#This Row],[Name]]</f>
        <v>GroupDetail/GroupList</v>
      </c>
      <c r="S10" s="61">
        <f>IF($S9="id",IF(ISNUMBER(VLOOKUP('Table Seed Map'!$A$8,SeedMap[],9,0)),VLOOKUP('Table Seed Map'!$A$8,SeedMap[],9,0)+1,1),IFERROR($S9+1,"id"))</f>
        <v>50008</v>
      </c>
      <c r="T10" s="61">
        <f>VLOOKUP(ResourceScopes[[#This Row],[Resource for Scope]],ResourceTable[[RName]:[RID]],2,0)</f>
        <v>50002</v>
      </c>
      <c r="U10" s="4" t="s">
        <v>772</v>
      </c>
      <c r="V10" s="4" t="s">
        <v>765</v>
      </c>
      <c r="W10" s="4" t="s">
        <v>766</v>
      </c>
    </row>
    <row r="11" spans="1:23">
      <c r="A11" s="62" t="str">
        <f>Page&amp;"-"&amp;(COUNTA($E$1:RelationTable[[#This Row],[Resource]])-1)</f>
        <v>Resource Relations-9</v>
      </c>
      <c r="B11" s="34">
        <f>IF(RelationTable[[#This Row],[Resource]]="","id",COUNTA($E$2:RelationTable[[#This Row],[Resource]])+IF(ISNUMBER(VLOOKUP('Table Seed Map'!$A$9,SeedMap[],9,0)),VLOOKUP('Table Seed Map'!$A$9,SeedMap[],9,0),0))</f>
        <v>50009</v>
      </c>
      <c r="C11" s="31" t="str">
        <f>RelationTable[[#This Row],[Resource]]&amp;"/"&amp;RelationTable[[#This Row],[Method]]</f>
        <v>Product/Images</v>
      </c>
      <c r="D11" s="31">
        <f>RelationTable[[#This Row],[No]]</f>
        <v>50009</v>
      </c>
      <c r="E11" s="8" t="s">
        <v>569</v>
      </c>
      <c r="F11" s="8" t="s">
        <v>572</v>
      </c>
      <c r="G11" s="31">
        <f>RelationTable[[#This Row],[No]]</f>
        <v>50009</v>
      </c>
      <c r="H11" s="31">
        <f>IF(RelationTable[[#This Row],[No]]="id","resource",VLOOKUP([Resource],CHOOSE({1,2},ResourceTable[Name],ResourceTable[No]),2,0))</f>
        <v>50003</v>
      </c>
      <c r="I11" s="31" t="s">
        <v>601</v>
      </c>
      <c r="J11" s="31" t="s">
        <v>602</v>
      </c>
      <c r="K11" s="31" t="s">
        <v>603</v>
      </c>
      <c r="L11" s="31" t="s">
        <v>597</v>
      </c>
      <c r="M11" s="63">
        <f>VLOOKUP([Relate Resource],CHOOSE({1,2},ResourceTable[Name],ResourceTable[No]),2,0)</f>
        <v>50004</v>
      </c>
      <c r="N11" s="64">
        <f>[RELID]</f>
        <v>50009</v>
      </c>
    </row>
    <row r="12" spans="1:23">
      <c r="A12" s="62" t="str">
        <f>Page&amp;"-"&amp;(COUNTA($E$1:RelationTable[[#This Row],[Resource]])-1)</f>
        <v>Resource Relations-10</v>
      </c>
      <c r="B12" s="34">
        <f>IF(RelationTable[[#This Row],[Resource]]="","id",COUNTA($E$2:RelationTable[[#This Row],[Resource]])+IF(ISNUMBER(VLOOKUP('Table Seed Map'!$A$9,SeedMap[],9,0)),VLOOKUP('Table Seed Map'!$A$9,SeedMap[],9,0),0))</f>
        <v>50010</v>
      </c>
      <c r="C12" s="31" t="str">
        <f>RelationTable[[#This Row],[Resource]]&amp;"/"&amp;RelationTable[[#This Row],[Method]]</f>
        <v>Product/Wishlists</v>
      </c>
      <c r="D12" s="31">
        <f>RelationTable[[#This Row],[No]]</f>
        <v>50010</v>
      </c>
      <c r="E12" s="8" t="s">
        <v>569</v>
      </c>
      <c r="F12" s="8" t="s">
        <v>572</v>
      </c>
      <c r="G12" s="31">
        <f>RelationTable[[#This Row],[No]]</f>
        <v>50010</v>
      </c>
      <c r="H12" s="31">
        <f>IF(RelationTable[[#This Row],[No]]="id","resource",VLOOKUP([Resource],CHOOSE({1,2},ResourceTable[Name],ResourceTable[No]),2,0))</f>
        <v>50003</v>
      </c>
      <c r="I12" s="31" t="s">
        <v>604</v>
      </c>
      <c r="J12" s="31" t="s">
        <v>605</v>
      </c>
      <c r="K12" s="31" t="s">
        <v>580</v>
      </c>
      <c r="L12" s="31" t="s">
        <v>606</v>
      </c>
      <c r="M12" s="63">
        <f>VLOOKUP([Relate Resource],CHOOSE({1,2},ResourceTable[Name],ResourceTable[No]),2,0)</f>
        <v>50004</v>
      </c>
      <c r="N12" s="64">
        <f>[RELID]</f>
        <v>50010</v>
      </c>
    </row>
    <row r="13" spans="1:23">
      <c r="A13" s="62" t="str">
        <f>Page&amp;"-"&amp;(COUNTA($E$1:RelationTable[[#This Row],[Resource]])-1)</f>
        <v>Resource Relations-11</v>
      </c>
      <c r="B13" s="34">
        <f>IF(RelationTable[[#This Row],[Resource]]="","id",COUNTA($E$2:RelationTable[[#This Row],[Resource]])+IF(ISNUMBER(VLOOKUP('Table Seed Map'!$A$9,SeedMap[],9,0)),VLOOKUP('Table Seed Map'!$A$9,SeedMap[],9,0),0))</f>
        <v>50011</v>
      </c>
      <c r="C13" s="31" t="str">
        <f>RelationTable[[#This Row],[Resource]]&amp;"/"&amp;RelationTable[[#This Row],[Method]]</f>
        <v>Visitor/Wishlists</v>
      </c>
      <c r="D13" s="31">
        <f>RelationTable[[#This Row],[No]]</f>
        <v>50011</v>
      </c>
      <c r="E13" s="8" t="s">
        <v>575</v>
      </c>
      <c r="F13" s="8" t="s">
        <v>578</v>
      </c>
      <c r="G13" s="31">
        <f>RelationTable[[#This Row],[No]]</f>
        <v>50011</v>
      </c>
      <c r="H13" s="31">
        <f>IF(RelationTable[[#This Row],[No]]="id","resource",VLOOKUP([Resource],CHOOSE({1,2},ResourceTable[Name],ResourceTable[No]),2,0))</f>
        <v>50005</v>
      </c>
      <c r="I13" s="31" t="s">
        <v>583</v>
      </c>
      <c r="J13" s="31" t="s">
        <v>607</v>
      </c>
      <c r="K13" s="31" t="s">
        <v>580</v>
      </c>
      <c r="L13" s="31" t="s">
        <v>597</v>
      </c>
      <c r="M13" s="63">
        <f>VLOOKUP([Relate Resource],CHOOSE({1,2},ResourceTable[Name],ResourceTable[No]),2,0)</f>
        <v>50006</v>
      </c>
      <c r="N13" s="64">
        <f>[RELID]</f>
        <v>50011</v>
      </c>
    </row>
    <row r="14" spans="1:23">
      <c r="A14" s="62" t="str">
        <f>Page&amp;"-"&amp;(COUNTA($E$1:RelationTable[[#This Row],[Resource]])-1)</f>
        <v>Resource Relations-12</v>
      </c>
      <c r="B14" s="34">
        <f>IF(RelationTable[[#This Row],[Resource]]="","id",COUNTA($E$2:RelationTable[[#This Row],[Resource]])+IF(ISNUMBER(VLOOKUP('Table Seed Map'!$A$9,SeedMap[],9,0)),VLOOKUP('Table Seed Map'!$A$9,SeedMap[],9,0),0))</f>
        <v>50012</v>
      </c>
      <c r="C14" s="31" t="str">
        <f>RelationTable[[#This Row],[Resource]]&amp;"/"&amp;RelationTable[[#This Row],[Method]]</f>
        <v>Visitor/SharedWishlist</v>
      </c>
      <c r="D14" s="31">
        <f>RelationTable[[#This Row],[No]]</f>
        <v>50012</v>
      </c>
      <c r="E14" s="8" t="s">
        <v>575</v>
      </c>
      <c r="F14" s="8" t="s">
        <v>578</v>
      </c>
      <c r="G14" s="31">
        <f>RelationTable[[#This Row],[No]]</f>
        <v>50012</v>
      </c>
      <c r="H14" s="31">
        <f>IF(RelationTable[[#This Row],[No]]="id","resource",VLOOKUP([Resource],CHOOSE({1,2},ResourceTable[Name],ResourceTable[No]),2,0))</f>
        <v>50005</v>
      </c>
      <c r="I14" s="31" t="s">
        <v>608</v>
      </c>
      <c r="J14" s="31" t="s">
        <v>609</v>
      </c>
      <c r="K14" s="31" t="s">
        <v>610</v>
      </c>
      <c r="L14" s="31" t="s">
        <v>606</v>
      </c>
      <c r="M14" s="63">
        <f>VLOOKUP([Relate Resource],CHOOSE({1,2},ResourceTable[Name],ResourceTable[No]),2,0)</f>
        <v>50006</v>
      </c>
      <c r="N14" s="64">
        <f>[RELID]</f>
        <v>50012</v>
      </c>
    </row>
    <row r="15" spans="1:23">
      <c r="A15" s="62" t="str">
        <f>Page&amp;"-"&amp;(COUNTA($E$1:RelationTable[[#This Row],[Resource]])-1)</f>
        <v>Resource Relations-13</v>
      </c>
      <c r="B15" s="34">
        <f>IF(RelationTable[[#This Row],[Resource]]="","id",COUNTA($E$2:RelationTable[[#This Row],[Resource]])+IF(ISNUMBER(VLOOKUP('Table Seed Map'!$A$9,SeedMap[],9,0)),VLOOKUP('Table Seed Map'!$A$9,SeedMap[],9,0),0))</f>
        <v>50013</v>
      </c>
      <c r="C15" s="31" t="str">
        <f>RelationTable[[#This Row],[Resource]]&amp;"/"&amp;RelationTable[[#This Row],[Method]]</f>
        <v>Wishlist/Author</v>
      </c>
      <c r="D15" s="31">
        <f>RelationTable[[#This Row],[No]]</f>
        <v>50013</v>
      </c>
      <c r="E15" s="8" t="s">
        <v>578</v>
      </c>
      <c r="F15" s="8" t="s">
        <v>575</v>
      </c>
      <c r="G15" s="31">
        <f>RelationTable[[#This Row],[No]]</f>
        <v>50013</v>
      </c>
      <c r="H15" s="31">
        <f>IF(RelationTable[[#This Row],[No]]="id","resource",VLOOKUP([Resource],CHOOSE({1,2},ResourceTable[Name],ResourceTable[No]),2,0))</f>
        <v>50006</v>
      </c>
      <c r="I15" s="31" t="s">
        <v>611</v>
      </c>
      <c r="J15" s="31" t="s">
        <v>612</v>
      </c>
      <c r="K15" s="31" t="s">
        <v>613</v>
      </c>
      <c r="L15" s="31" t="s">
        <v>598</v>
      </c>
      <c r="M15" s="63">
        <f>VLOOKUP([Relate Resource],CHOOSE({1,2},ResourceTable[Name],ResourceTable[No]),2,0)</f>
        <v>50005</v>
      </c>
      <c r="N15" s="64">
        <f>[RELID]</f>
        <v>50013</v>
      </c>
    </row>
    <row r="16" spans="1:23">
      <c r="A16" s="62" t="str">
        <f>Page&amp;"-"&amp;(COUNTA($E$1:RelationTable[[#This Row],[Resource]])-1)</f>
        <v>Resource Relations-14</v>
      </c>
      <c r="B16" s="34">
        <f>IF(RelationTable[[#This Row],[Resource]]="","id",COUNTA($E$2:RelationTable[[#This Row],[Resource]])+IF(ISNUMBER(VLOOKUP('Table Seed Map'!$A$9,SeedMap[],9,0)),VLOOKUP('Table Seed Map'!$A$9,SeedMap[],9,0),0))</f>
        <v>50014</v>
      </c>
      <c r="C16" s="31" t="str">
        <f>RelationTable[[#This Row],[Resource]]&amp;"/"&amp;RelationTable[[#This Row],[Method]]</f>
        <v>Wishlist/Vendor</v>
      </c>
      <c r="D16" s="31">
        <f>RelationTable[[#This Row],[No]]</f>
        <v>50014</v>
      </c>
      <c r="E16" s="8" t="s">
        <v>578</v>
      </c>
      <c r="F16" s="8" t="s">
        <v>581</v>
      </c>
      <c r="G16" s="31">
        <f>RelationTable[[#This Row],[No]]</f>
        <v>50014</v>
      </c>
      <c r="H16" s="31">
        <f>IF(RelationTable[[#This Row],[No]]="id","resource",VLOOKUP([Resource],CHOOSE({1,2},ResourceTable[Name],ResourceTable[No]),2,0))</f>
        <v>50006</v>
      </c>
      <c r="I16" s="31" t="s">
        <v>614</v>
      </c>
      <c r="J16" s="31" t="s">
        <v>615</v>
      </c>
      <c r="K16" s="31" t="s">
        <v>616</v>
      </c>
      <c r="L16" s="31" t="s">
        <v>617</v>
      </c>
      <c r="M16" s="63">
        <f>VLOOKUP([Relate Resource],CHOOSE({1,2},ResourceTable[Name],ResourceTable[No]),2,0)</f>
        <v>50007</v>
      </c>
      <c r="N16" s="64">
        <f>[RELID]</f>
        <v>50014</v>
      </c>
    </row>
    <row r="17" spans="1:14">
      <c r="A17" s="62" t="str">
        <f>Page&amp;"-"&amp;(COUNTA($E$1:RelationTable[[#This Row],[Resource]])-1)</f>
        <v>Resource Relations-15</v>
      </c>
      <c r="B17" s="34">
        <f>IF(RelationTable[[#This Row],[Resource]]="","id",COUNTA($E$2:RelationTable[[#This Row],[Resource]])+IF(ISNUMBER(VLOOKUP('Table Seed Map'!$A$9,SeedMap[],9,0)),VLOOKUP('Table Seed Map'!$A$9,SeedMap[],9,0),0))</f>
        <v>50015</v>
      </c>
      <c r="C17" s="31" t="str">
        <f>RelationTable[[#This Row],[Resource]]&amp;"/"&amp;RelationTable[[#This Row],[Method]]</f>
        <v>Wishlist/Visitors</v>
      </c>
      <c r="D17" s="31">
        <f>RelationTable[[#This Row],[No]]</f>
        <v>50015</v>
      </c>
      <c r="E17" s="8" t="s">
        <v>578</v>
      </c>
      <c r="F17" s="8" t="s">
        <v>583</v>
      </c>
      <c r="G17" s="31">
        <f>RelationTable[[#This Row],[No]]</f>
        <v>50015</v>
      </c>
      <c r="H17" s="31">
        <f>IF(RelationTable[[#This Row],[No]]="id","resource",VLOOKUP([Resource],CHOOSE({1,2},ResourceTable[Name],ResourceTable[No]),2,0))</f>
        <v>50006</v>
      </c>
      <c r="I17" s="31" t="s">
        <v>618</v>
      </c>
      <c r="J17" s="31" t="s">
        <v>619</v>
      </c>
      <c r="K17" s="31" t="s">
        <v>577</v>
      </c>
      <c r="L17" s="31" t="s">
        <v>606</v>
      </c>
      <c r="M17" s="63">
        <f>VLOOKUP([Relate Resource],CHOOSE({1,2},ResourceTable[Name],ResourceTable[No]),2,0)</f>
        <v>50008</v>
      </c>
      <c r="N17" s="64">
        <f>[RELID]</f>
        <v>50015</v>
      </c>
    </row>
    <row r="18" spans="1:14">
      <c r="A18" s="62" t="str">
        <f>Page&amp;"-"&amp;(COUNTA($E$1:RelationTable[[#This Row],[Resource]])-1)</f>
        <v>Resource Relations-16</v>
      </c>
      <c r="B18" s="34">
        <f>IF(RelationTable[[#This Row],[Resource]]="","id",COUNTA($E$2:RelationTable[[#This Row],[Resource]])+IF(ISNUMBER(VLOOKUP('Table Seed Map'!$A$9,SeedMap[],9,0)),VLOOKUP('Table Seed Map'!$A$9,SeedMap[],9,0),0))</f>
        <v>50016</v>
      </c>
      <c r="C18" s="31" t="str">
        <f>RelationTable[[#This Row],[Resource]]&amp;"/"&amp;RelationTable[[#This Row],[Method]]</f>
        <v>Wishlist/Notes</v>
      </c>
      <c r="D18" s="31">
        <f>RelationTable[[#This Row],[No]]</f>
        <v>50016</v>
      </c>
      <c r="E18" s="8" t="s">
        <v>578</v>
      </c>
      <c r="F18" s="8" t="s">
        <v>585</v>
      </c>
      <c r="G18" s="31">
        <f>RelationTable[[#This Row],[No]]</f>
        <v>50016</v>
      </c>
      <c r="H18" s="31">
        <f>IF(RelationTable[[#This Row],[No]]="id","resource",VLOOKUP([Resource],CHOOSE({1,2},ResourceTable[Name],ResourceTable[No]),2,0))</f>
        <v>50006</v>
      </c>
      <c r="I18" s="31" t="s">
        <v>620</v>
      </c>
      <c r="J18" s="31" t="s">
        <v>621</v>
      </c>
      <c r="K18" s="31" t="s">
        <v>587</v>
      </c>
      <c r="L18" s="31" t="s">
        <v>597</v>
      </c>
      <c r="M18" s="63">
        <f>VLOOKUP([Relate Resource],CHOOSE({1,2},ResourceTable[Name],ResourceTable[No]),2,0)</f>
        <v>50009</v>
      </c>
      <c r="N18" s="64">
        <f>[RELID]</f>
        <v>50016</v>
      </c>
    </row>
    <row r="19" spans="1:14">
      <c r="A19" s="62" t="str">
        <f>Page&amp;"-"&amp;(COUNTA($E$1:RelationTable[[#This Row],[Resource]])-1)</f>
        <v>Resource Relations-17</v>
      </c>
      <c r="B19" s="34">
        <f>IF(RelationTable[[#This Row],[Resource]]="","id",COUNTA($E$2:RelationTable[[#This Row],[Resource]])+IF(ISNUMBER(VLOOKUP('Table Seed Map'!$A$9,SeedMap[],9,0)),VLOOKUP('Table Seed Map'!$A$9,SeedMap[],9,0),0))</f>
        <v>50017</v>
      </c>
      <c r="C19" s="31" t="str">
        <f>RelationTable[[#This Row],[Resource]]&amp;"/"&amp;RelationTable[[#This Row],[Method]]</f>
        <v>Wishlist/Items</v>
      </c>
      <c r="D19" s="31">
        <f>RelationTable[[#This Row],[No]]</f>
        <v>50017</v>
      </c>
      <c r="E19" s="8" t="s">
        <v>578</v>
      </c>
      <c r="F19" s="8" t="s">
        <v>588</v>
      </c>
      <c r="G19" s="31">
        <f>RelationTable[[#This Row],[No]]</f>
        <v>50017</v>
      </c>
      <c r="H19" s="31">
        <f>IF(RelationTable[[#This Row],[No]]="id","resource",VLOOKUP([Resource],CHOOSE({1,2},ResourceTable[Name],ResourceTable[No]),2,0))</f>
        <v>50006</v>
      </c>
      <c r="I19" s="31" t="s">
        <v>622</v>
      </c>
      <c r="J19" s="31" t="s">
        <v>623</v>
      </c>
      <c r="K19" s="31" t="s">
        <v>624</v>
      </c>
      <c r="L19" s="31" t="s">
        <v>597</v>
      </c>
      <c r="M19" s="63">
        <f>VLOOKUP([Relate Resource],CHOOSE({1,2},ResourceTable[Name],ResourceTable[No]),2,0)</f>
        <v>50010</v>
      </c>
      <c r="N19" s="64">
        <f>[RELID]</f>
        <v>50017</v>
      </c>
    </row>
    <row r="20" spans="1:14">
      <c r="A20" s="65" t="str">
        <f>Page&amp;"-"&amp;(COUNTA($E$1:RelationTable[[#This Row],[Resource]])-1)</f>
        <v>Resource Relations-18</v>
      </c>
      <c r="B20" s="60">
        <f>IF(RelationTable[[#This Row],[Resource]]="","id",COUNTA($E$2:RelationTable[[#This Row],[Resource]])+IF(ISNUMBER(VLOOKUP('Table Seed Map'!$A$9,SeedMap[],9,0)),VLOOKUP('Table Seed Map'!$A$9,SeedMap[],9,0),0))</f>
        <v>50018</v>
      </c>
      <c r="C20" s="61" t="str">
        <f>RelationTable[[#This Row],[Resource]]&amp;"/"&amp;RelationTable[[#This Row],[Method]]</f>
        <v>Wishlist/Products</v>
      </c>
      <c r="D20" s="61">
        <f>RelationTable[[#This Row],[No]]</f>
        <v>50018</v>
      </c>
      <c r="E20" s="8" t="s">
        <v>578</v>
      </c>
      <c r="F20" s="7" t="s">
        <v>569</v>
      </c>
      <c r="G20" s="61">
        <f>RelationTable[[#This Row],[No]]</f>
        <v>50018</v>
      </c>
      <c r="H20" s="61">
        <f>IF(RelationTable[[#This Row],[No]]="id","resource",VLOOKUP([Resource],CHOOSE({1,2},ResourceTable[Name],ResourceTable[No]),2,0))</f>
        <v>50006</v>
      </c>
      <c r="I20" s="61" t="s">
        <v>625</v>
      </c>
      <c r="J20" s="61" t="s">
        <v>626</v>
      </c>
      <c r="K20" s="61" t="s">
        <v>571</v>
      </c>
      <c r="L20" s="61" t="s">
        <v>606</v>
      </c>
      <c r="M20" s="66">
        <f>VLOOKUP([Relate Resource],CHOOSE({1,2},ResourceTable[Name],ResourceTable[No]),2,0)</f>
        <v>50003</v>
      </c>
      <c r="N20" s="67">
        <f>[RELID]</f>
        <v>50018</v>
      </c>
    </row>
    <row r="21" spans="1:14">
      <c r="A21" s="62" t="str">
        <f>Page&amp;"-"&amp;(COUNTA($E$1:RelationTable[[#This Row],[Resource]])-1)</f>
        <v>Resource Relations-19</v>
      </c>
      <c r="B21" s="34">
        <f>IF(RelationTable[[#This Row],[Resource]]="","id",COUNTA($E$2:RelationTable[[#This Row],[Resource]])+IF(ISNUMBER(VLOOKUP('Table Seed Map'!$A$9,SeedMap[],9,0)),VLOOKUP('Table Seed Map'!$A$9,SeedMap[],9,0),0))</f>
        <v>50019</v>
      </c>
      <c r="C21" s="31" t="str">
        <f>RelationTable[[#This Row],[Resource]]&amp;"/"&amp;RelationTable[[#This Row],[Method]]</f>
        <v>Visitor/Wishlist</v>
      </c>
      <c r="D21" s="31">
        <f>RelationTable[[#This Row],[No]]</f>
        <v>50019</v>
      </c>
      <c r="E21" s="8" t="s">
        <v>575</v>
      </c>
      <c r="F21" s="8" t="s">
        <v>578</v>
      </c>
      <c r="G21" s="31">
        <f>RelationTable[[#This Row],[No]]</f>
        <v>50019</v>
      </c>
      <c r="H21" s="31">
        <f>IF(RelationTable[[#This Row],[No]]="id","resource",VLOOKUP([Resource],CHOOSE({1,2},ResourceTable[Name],ResourceTable[No]),2,0))</f>
        <v>50005</v>
      </c>
      <c r="I21" s="31" t="s">
        <v>627</v>
      </c>
      <c r="J21" s="31" t="s">
        <v>628</v>
      </c>
      <c r="K21" s="31" t="s">
        <v>578</v>
      </c>
      <c r="L21" s="31" t="s">
        <v>598</v>
      </c>
      <c r="M21" s="63">
        <f>VLOOKUP([Relate Resource],CHOOSE({1,2},ResourceTable[Name],ResourceTable[No]),2,0)</f>
        <v>50006</v>
      </c>
      <c r="N21" s="64">
        <f>[RELID]</f>
        <v>50019</v>
      </c>
    </row>
    <row r="22" spans="1:14">
      <c r="A22" s="62" t="str">
        <f>Page&amp;"-"&amp;(COUNTA($E$1:RelationTable[[#This Row],[Resource]])-1)</f>
        <v>Resource Relations-20</v>
      </c>
      <c r="B22" s="34">
        <f>IF(RelationTable[[#This Row],[Resource]]="","id",COUNTA($E$2:RelationTable[[#This Row],[Resource]])+IF(ISNUMBER(VLOOKUP('Table Seed Map'!$A$9,SeedMap[],9,0)),VLOOKUP('Table Seed Map'!$A$9,SeedMap[],9,0),0))</f>
        <v>50020</v>
      </c>
      <c r="C22" s="31" t="str">
        <f>RelationTable[[#This Row],[Resource]]&amp;"/"&amp;RelationTable[[#This Row],[Method]]</f>
        <v>Visitor/Visitor</v>
      </c>
      <c r="D22" s="31">
        <f>RelationTable[[#This Row],[No]]</f>
        <v>50020</v>
      </c>
      <c r="E22" s="8" t="s">
        <v>575</v>
      </c>
      <c r="F22" s="8" t="s">
        <v>583</v>
      </c>
      <c r="G22" s="31">
        <f>RelationTable[[#This Row],[No]]</f>
        <v>50020</v>
      </c>
      <c r="H22" s="31">
        <f>IF(RelationTable[[#This Row],[No]]="id","resource",VLOOKUP([Resource],CHOOSE({1,2},ResourceTable[Name],ResourceTable[No]),2,0))</f>
        <v>50005</v>
      </c>
      <c r="I22" s="31" t="s">
        <v>629</v>
      </c>
      <c r="J22" s="31" t="s">
        <v>630</v>
      </c>
      <c r="K22" s="31" t="s">
        <v>575</v>
      </c>
      <c r="L22" s="31" t="s">
        <v>598</v>
      </c>
      <c r="M22" s="63">
        <f>VLOOKUP([Relate Resource],CHOOSE({1,2},ResourceTable[Name],ResourceTable[No]),2,0)</f>
        <v>50008</v>
      </c>
      <c r="N22" s="64">
        <f>[RELID]</f>
        <v>50020</v>
      </c>
    </row>
    <row r="23" spans="1:14">
      <c r="A23" s="62" t="str">
        <f>Page&amp;"-"&amp;(COUNTA($E$1:RelationTable[[#This Row],[Resource]])-1)</f>
        <v>Resource Relations-21</v>
      </c>
      <c r="B23" s="34">
        <f>IF(RelationTable[[#This Row],[Resource]]="","id",COUNTA($E$2:RelationTable[[#This Row],[Resource]])+IF(ISNUMBER(VLOOKUP('Table Seed Map'!$A$9,SeedMap[],9,0)),VLOOKUP('Table Seed Map'!$A$9,SeedMap[],9,0),0))</f>
        <v>50021</v>
      </c>
      <c r="C23" s="31" t="str">
        <f>RelationTable[[#This Row],[Resource]]&amp;"/"&amp;RelationTable[[#This Row],[Method]]</f>
        <v>WishlistNote/Author</v>
      </c>
      <c r="D23" s="31">
        <f>RelationTable[[#This Row],[No]]</f>
        <v>50021</v>
      </c>
      <c r="E23" s="8" t="s">
        <v>585</v>
      </c>
      <c r="F23" s="8" t="s">
        <v>575</v>
      </c>
      <c r="G23" s="31">
        <f>RelationTable[[#This Row],[No]]</f>
        <v>50021</v>
      </c>
      <c r="H23" s="31">
        <f>IF(RelationTable[[#This Row],[No]]="id","resource",VLOOKUP([Resource],CHOOSE({1,2},ResourceTable[Name],ResourceTable[No]),2,0))</f>
        <v>50009</v>
      </c>
      <c r="I23" s="31" t="s">
        <v>631</v>
      </c>
      <c r="J23" s="31" t="s">
        <v>632</v>
      </c>
      <c r="K23" s="31" t="s">
        <v>613</v>
      </c>
      <c r="L23" s="31" t="s">
        <v>598</v>
      </c>
      <c r="M23" s="63">
        <f>VLOOKUP([Relate Resource],CHOOSE({1,2},ResourceTable[Name],ResourceTable[No]),2,0)</f>
        <v>50005</v>
      </c>
      <c r="N23" s="64">
        <f>[RELID]</f>
        <v>50021</v>
      </c>
    </row>
    <row r="24" spans="1:14">
      <c r="A24" s="62" t="str">
        <f>Page&amp;"-"&amp;(COUNTA($E$1:RelationTable[[#This Row],[Resource]])-1)</f>
        <v>Resource Relations-22</v>
      </c>
      <c r="B24" s="34">
        <f>IF(RelationTable[[#This Row],[Resource]]="","id",COUNTA($E$2:RelationTable[[#This Row],[Resource]])+IF(ISNUMBER(VLOOKUP('Table Seed Map'!$A$9,SeedMap[],9,0)),VLOOKUP('Table Seed Map'!$A$9,SeedMap[],9,0),0))</f>
        <v>50022</v>
      </c>
      <c r="C24" s="31" t="str">
        <f>RelationTable[[#This Row],[Resource]]&amp;"/"&amp;RelationTable[[#This Row],[Method]]</f>
        <v>WishlistProduct/Wishlist</v>
      </c>
      <c r="D24" s="31">
        <f>RelationTable[[#This Row],[No]]</f>
        <v>50022</v>
      </c>
      <c r="E24" s="8" t="s">
        <v>588</v>
      </c>
      <c r="F24" s="8" t="s">
        <v>578</v>
      </c>
      <c r="G24" s="31">
        <f>RelationTable[[#This Row],[No]]</f>
        <v>50022</v>
      </c>
      <c r="H24" s="31">
        <f>IF(RelationTable[[#This Row],[No]]="id","resource",VLOOKUP([Resource],CHOOSE({1,2},ResourceTable[Name],ResourceTable[No]),2,0))</f>
        <v>50010</v>
      </c>
      <c r="I24" s="31" t="s">
        <v>633</v>
      </c>
      <c r="J24" s="31" t="s">
        <v>634</v>
      </c>
      <c r="K24" s="31" t="s">
        <v>578</v>
      </c>
      <c r="L24" s="31" t="s">
        <v>598</v>
      </c>
      <c r="M24" s="63">
        <f>VLOOKUP([Relate Resource],CHOOSE({1,2},ResourceTable[Name],ResourceTable[No]),2,0)</f>
        <v>50006</v>
      </c>
      <c r="N24" s="64">
        <f>[RELID]</f>
        <v>50022</v>
      </c>
    </row>
    <row r="25" spans="1:14">
      <c r="A25" s="62" t="str">
        <f>Page&amp;"-"&amp;(COUNTA($E$1:RelationTable[[#This Row],[Resource]])-1)</f>
        <v>Resource Relations-23</v>
      </c>
      <c r="B25" s="34">
        <f>IF(RelationTable[[#This Row],[Resource]]="","id",COUNTA($E$2:RelationTable[[#This Row],[Resource]])+IF(ISNUMBER(VLOOKUP('Table Seed Map'!$A$9,SeedMap[],9,0)),VLOOKUP('Table Seed Map'!$A$9,SeedMap[],9,0),0))</f>
        <v>50023</v>
      </c>
      <c r="C25" s="31" t="str">
        <f>RelationTable[[#This Row],[Resource]]&amp;"/"&amp;RelationTable[[#This Row],[Method]]</f>
        <v>WishlistProduct/Added</v>
      </c>
      <c r="D25" s="31">
        <f>RelationTable[[#This Row],[No]]</f>
        <v>50023</v>
      </c>
      <c r="E25" s="8" t="s">
        <v>588</v>
      </c>
      <c r="F25" s="8" t="s">
        <v>575</v>
      </c>
      <c r="G25" s="31">
        <f>RelationTable[[#This Row],[No]]</f>
        <v>50023</v>
      </c>
      <c r="H25" s="31">
        <f>IF(RelationTable[[#This Row],[No]]="id","resource",VLOOKUP([Resource],CHOOSE({1,2},ResourceTable[Name],ResourceTable[No]),2,0))</f>
        <v>50010</v>
      </c>
      <c r="I25" s="31" t="s">
        <v>635</v>
      </c>
      <c r="J25" s="31" t="s">
        <v>636</v>
      </c>
      <c r="K25" s="31" t="s">
        <v>637</v>
      </c>
      <c r="L25" s="31" t="s">
        <v>598</v>
      </c>
      <c r="M25" s="63">
        <f>VLOOKUP([Relate Resource],CHOOSE({1,2},ResourceTable[Name],ResourceTable[No]),2,0)</f>
        <v>50005</v>
      </c>
      <c r="N25" s="64">
        <f>[RELID]</f>
        <v>50023</v>
      </c>
    </row>
    <row r="26" spans="1:14">
      <c r="A26" s="62" t="str">
        <f>Page&amp;"-"&amp;(COUNTA($E$1:RelationTable[[#This Row],[Resource]])-1)</f>
        <v>Resource Relations-24</v>
      </c>
      <c r="B26" s="34">
        <f>IF(RelationTable[[#This Row],[Resource]]="","id",COUNTA($E$2:RelationTable[[#This Row],[Resource]])+IF(ISNUMBER(VLOOKUP('Table Seed Map'!$A$9,SeedMap[],9,0)),VLOOKUP('Table Seed Map'!$A$9,SeedMap[],9,0),0))</f>
        <v>50024</v>
      </c>
      <c r="C26" s="31" t="str">
        <f>RelationTable[[#This Row],[Resource]]&amp;"/"&amp;RelationTable[[#This Row],[Method]]</f>
        <v>WishlistProduct/Removed</v>
      </c>
      <c r="D26" s="31">
        <f>RelationTable[[#This Row],[No]]</f>
        <v>50024</v>
      </c>
      <c r="E26" s="8" t="s">
        <v>588</v>
      </c>
      <c r="F26" s="8" t="s">
        <v>575</v>
      </c>
      <c r="G26" s="31">
        <f>RelationTable[[#This Row],[No]]</f>
        <v>50024</v>
      </c>
      <c r="H26" s="31">
        <f>IF(RelationTable[[#This Row],[No]]="id","resource",VLOOKUP([Resource],CHOOSE({1,2},ResourceTable[Name],ResourceTable[No]),2,0))</f>
        <v>50010</v>
      </c>
      <c r="I26" s="31" t="s">
        <v>638</v>
      </c>
      <c r="J26" s="31" t="s">
        <v>639</v>
      </c>
      <c r="K26" s="31" t="s">
        <v>640</v>
      </c>
      <c r="L26" s="31" t="s">
        <v>598</v>
      </c>
      <c r="M26" s="63">
        <f>VLOOKUP([Relate Resource],CHOOSE({1,2},ResourceTable[Name],ResourceTable[No]),2,0)</f>
        <v>50005</v>
      </c>
      <c r="N26" s="64">
        <f>[RELID]</f>
        <v>50024</v>
      </c>
    </row>
    <row r="27" spans="1:14">
      <c r="A27" s="62" t="str">
        <f>Page&amp;"-"&amp;(COUNTA($E$1:RelationTable[[#This Row],[Resource]])-1)</f>
        <v>Resource Relations-25</v>
      </c>
      <c r="B27" s="34">
        <f>IF(RelationTable[[#This Row],[Resource]]="","id",COUNTA($E$2:RelationTable[[#This Row],[Resource]])+IF(ISNUMBER(VLOOKUP('Table Seed Map'!$A$9,SeedMap[],9,0)),VLOOKUP('Table Seed Map'!$A$9,SeedMap[],9,0),0))</f>
        <v>50025</v>
      </c>
      <c r="C27" s="31" t="str">
        <f>RelationTable[[#This Row],[Resource]]&amp;"/"&amp;RelationTable[[#This Row],[Method]]</f>
        <v>WishlistProduct/Notes</v>
      </c>
      <c r="D27" s="31">
        <f>RelationTable[[#This Row],[No]]</f>
        <v>50025</v>
      </c>
      <c r="E27" s="8" t="s">
        <v>588</v>
      </c>
      <c r="F27" s="8" t="s">
        <v>590</v>
      </c>
      <c r="G27" s="31">
        <f>RelationTable[[#This Row],[No]]</f>
        <v>50025</v>
      </c>
      <c r="H27" s="31">
        <f>IF(RelationTable[[#This Row],[No]]="id","resource",VLOOKUP([Resource],CHOOSE({1,2},ResourceTable[Name],ResourceTable[No]),2,0))</f>
        <v>50010</v>
      </c>
      <c r="I27" s="31" t="s">
        <v>641</v>
      </c>
      <c r="J27" s="31" t="s">
        <v>642</v>
      </c>
      <c r="K27" s="31" t="s">
        <v>587</v>
      </c>
      <c r="L27" s="31" t="s">
        <v>597</v>
      </c>
      <c r="M27" s="63">
        <f>VLOOKUP([Relate Resource],CHOOSE({1,2},ResourceTable[Name],ResourceTable[No]),2,0)</f>
        <v>50011</v>
      </c>
      <c r="N27" s="64">
        <f>[RELID]</f>
        <v>50025</v>
      </c>
    </row>
    <row r="28" spans="1:14">
      <c r="A28" s="62" t="str">
        <f>Page&amp;"-"&amp;(COUNTA($E$1:RelationTable[[#This Row],[Resource]])-1)</f>
        <v>Resource Relations-26</v>
      </c>
      <c r="B28" s="34">
        <f>IF(RelationTable[[#This Row],[Resource]]="","id",COUNTA($E$2:RelationTable[[#This Row],[Resource]])+IF(ISNUMBER(VLOOKUP('Table Seed Map'!$A$9,SeedMap[],9,0)),VLOOKUP('Table Seed Map'!$A$9,SeedMap[],9,0),0))</f>
        <v>50026</v>
      </c>
      <c r="C28" s="31" t="str">
        <f>RelationTable[[#This Row],[Resource]]&amp;"/"&amp;RelationTable[[#This Row],[Method]]</f>
        <v>WishlistProduct/Product</v>
      </c>
      <c r="D28" s="31">
        <f>RelationTable[[#This Row],[No]]</f>
        <v>50026</v>
      </c>
      <c r="E28" s="8" t="s">
        <v>588</v>
      </c>
      <c r="F28" s="8" t="s">
        <v>569</v>
      </c>
      <c r="G28" s="31">
        <f>RelationTable[[#This Row],[No]]</f>
        <v>50026</v>
      </c>
      <c r="H28" s="31">
        <f>IF(RelationTable[[#This Row],[No]]="id","resource",VLOOKUP([Resource],CHOOSE({1,2},ResourceTable[Name],ResourceTable[No]),2,0))</f>
        <v>50010</v>
      </c>
      <c r="I28" s="31" t="s">
        <v>643</v>
      </c>
      <c r="J28" s="31" t="s">
        <v>644</v>
      </c>
      <c r="K28" s="31" t="s">
        <v>569</v>
      </c>
      <c r="L28" s="31" t="s">
        <v>598</v>
      </c>
      <c r="M28" s="63">
        <f>VLOOKUP([Relate Resource],CHOOSE({1,2},ResourceTable[Name],ResourceTable[No]),2,0)</f>
        <v>50003</v>
      </c>
      <c r="N28" s="64">
        <f>[RELID]</f>
        <v>50026</v>
      </c>
    </row>
    <row r="29" spans="1:14">
      <c r="A29" s="65" t="str">
        <f>Page&amp;"-"&amp;(COUNTA($E$1:RelationTable[[#This Row],[Resource]])-1)</f>
        <v>Resource Relations-27</v>
      </c>
      <c r="B29" s="60">
        <f>IF(RelationTable[[#This Row],[Resource]]="","id",COUNTA($E$2:RelationTable[[#This Row],[Resource]])+IF(ISNUMBER(VLOOKUP('Table Seed Map'!$A$9,SeedMap[],9,0)),VLOOKUP('Table Seed Map'!$A$9,SeedMap[],9,0),0))</f>
        <v>50027</v>
      </c>
      <c r="C29" s="61" t="str">
        <f>RelationTable[[#This Row],[Resource]]&amp;"/"&amp;RelationTable[[#This Row],[Method]]</f>
        <v>WishlistProductNote/Author</v>
      </c>
      <c r="D29" s="61">
        <f>RelationTable[[#This Row],[No]]</f>
        <v>50027</v>
      </c>
      <c r="E29" s="8" t="s">
        <v>590</v>
      </c>
      <c r="F29" s="7" t="s">
        <v>575</v>
      </c>
      <c r="G29" s="61">
        <f>RelationTable[[#This Row],[No]]</f>
        <v>50027</v>
      </c>
      <c r="H29" s="61">
        <f>IF(RelationTable[[#This Row],[No]]="id","resource",VLOOKUP([Resource],CHOOSE({1,2},ResourceTable[Name],ResourceTable[No]),2,0))</f>
        <v>50011</v>
      </c>
      <c r="I29" s="61" t="s">
        <v>645</v>
      </c>
      <c r="J29" s="61" t="s">
        <v>646</v>
      </c>
      <c r="K29" s="61" t="s">
        <v>613</v>
      </c>
      <c r="L29" s="61" t="s">
        <v>598</v>
      </c>
      <c r="M29" s="66">
        <f>VLOOKUP([Relate Resource],CHOOSE({1,2},ResourceTable[Name],ResourceTable[No]),2,0)</f>
        <v>50005</v>
      </c>
      <c r="N29" s="67">
        <f>[RELID]</f>
        <v>50027</v>
      </c>
    </row>
    <row r="30" spans="1:14">
      <c r="A30" s="65" t="str">
        <f>Page&amp;"-"&amp;(COUNTA($E$1:RelationTable[[#This Row],[Resource]])-1)</f>
        <v>Resource Relations-28</v>
      </c>
      <c r="B30" s="60">
        <f>IF(RelationTable[[#This Row],[Resource]]="","id",COUNTA($E$2:RelationTable[[#This Row],[Resource]])+IF(ISNUMBER(VLOOKUP('Table Seed Map'!$A$9,SeedMap[],9,0)),VLOOKUP('Table Seed Map'!$A$9,SeedMap[],9,0),0))</f>
        <v>50028</v>
      </c>
      <c r="C30" s="61" t="str">
        <f>RelationTable[[#This Row],[Resource]]&amp;"/"&amp;RelationTable[[#This Row],[Method]]</f>
        <v>Wishlist/Share</v>
      </c>
      <c r="D30" s="61">
        <f>RelationTable[[#This Row],[No]]</f>
        <v>50028</v>
      </c>
      <c r="E30" s="7" t="s">
        <v>578</v>
      </c>
      <c r="F30" s="7" t="s">
        <v>583</v>
      </c>
      <c r="G30" s="61">
        <f>RelationTable[[#This Row],[No]]</f>
        <v>50028</v>
      </c>
      <c r="H30" s="61">
        <f>IF(RelationTable[[#This Row],[No]]="id","resource",VLOOKUP([Resource],CHOOSE({1,2},ResourceTable[Name],ResourceTable[No]),2,0))</f>
        <v>50006</v>
      </c>
      <c r="I30" s="61" t="s">
        <v>647</v>
      </c>
      <c r="J30" s="61" t="s">
        <v>648</v>
      </c>
      <c r="K30" s="61" t="s">
        <v>649</v>
      </c>
      <c r="L30" s="61" t="s">
        <v>597</v>
      </c>
      <c r="M30" s="66">
        <f>VLOOKUP([Relate Resource],CHOOSE({1,2},ResourceTable[Name],ResourceTable[No]),2,0)</f>
        <v>50008</v>
      </c>
      <c r="N30" s="67">
        <f>[RELID]</f>
        <v>50028</v>
      </c>
    </row>
  </sheetData>
  <dataValidations count="1">
    <dataValidation type="list" allowBlank="1" showInputMessage="1" showErrorMessage="1" sqref="E2:F30 Q2:Q10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1"/>
  <sheetViews>
    <sheetView topLeftCell="C1" workbookViewId="0">
      <selection activeCell="H13" sqref="H13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283</v>
      </c>
      <c r="B1" s="1" t="s">
        <v>276</v>
      </c>
      <c r="C1" s="1" t="s">
        <v>105</v>
      </c>
      <c r="D1" s="1" t="s">
        <v>104</v>
      </c>
      <c r="E1" s="1" t="s">
        <v>92</v>
      </c>
      <c r="F1" s="1" t="s">
        <v>1</v>
      </c>
      <c r="G1" s="1" t="s">
        <v>107</v>
      </c>
      <c r="H1" s="1" t="s">
        <v>102</v>
      </c>
      <c r="I1" s="1" t="s">
        <v>14</v>
      </c>
      <c r="J1" s="1" t="s">
        <v>116</v>
      </c>
      <c r="K1" s="1" t="s">
        <v>313</v>
      </c>
      <c r="L1" s="1" t="s">
        <v>314</v>
      </c>
      <c r="M1" s="1" t="s">
        <v>264</v>
      </c>
      <c r="N1" s="1" t="s">
        <v>216</v>
      </c>
      <c r="O1" s="1" t="s">
        <v>265</v>
      </c>
      <c r="P1" s="1" t="s">
        <v>266</v>
      </c>
      <c r="Q1" s="1" t="s">
        <v>404</v>
      </c>
      <c r="R1" s="1" t="s">
        <v>405</v>
      </c>
      <c r="S1" s="1" t="s">
        <v>406</v>
      </c>
      <c r="T1" s="1" t="s">
        <v>407</v>
      </c>
      <c r="U1" s="1" t="s">
        <v>408</v>
      </c>
      <c r="V1" s="1" t="s">
        <v>409</v>
      </c>
      <c r="W1" s="1" t="s">
        <v>410</v>
      </c>
      <c r="X1" s="1" t="s">
        <v>411</v>
      </c>
      <c r="Y1" s="1" t="s">
        <v>395</v>
      </c>
      <c r="Z1"/>
      <c r="AA1" s="1" t="s">
        <v>317</v>
      </c>
      <c r="AB1" s="1" t="s">
        <v>267</v>
      </c>
      <c r="AC1" s="1" t="s">
        <v>396</v>
      </c>
      <c r="AD1" s="1" t="s">
        <v>171</v>
      </c>
      <c r="AE1" s="1" t="s">
        <v>318</v>
      </c>
      <c r="AF1" s="1" t="s">
        <v>320</v>
      </c>
      <c r="AG1" s="1" t="s">
        <v>321</v>
      </c>
      <c r="AH1" s="1" t="s">
        <v>123</v>
      </c>
      <c r="AI1" s="1" t="s">
        <v>319</v>
      </c>
      <c r="AJ1" s="1" t="s">
        <v>323</v>
      </c>
      <c r="AK1" s="1" t="s">
        <v>322</v>
      </c>
      <c r="AL1" s="1" t="s">
        <v>127</v>
      </c>
      <c r="AN1" s="1" t="s">
        <v>390</v>
      </c>
      <c r="AO1" s="1" t="s">
        <v>283</v>
      </c>
      <c r="AP1" s="1" t="s">
        <v>104</v>
      </c>
      <c r="AQ1" s="1" t="s">
        <v>267</v>
      </c>
      <c r="AR1" s="1" t="s">
        <v>1</v>
      </c>
      <c r="AS1" s="1" t="s">
        <v>221</v>
      </c>
    </row>
    <row r="2" spans="1:45">
      <c r="A2" s="39" t="str">
        <f>'Table Seed Map'!$A$33&amp;"-"&amp;(COUNTA($E$1:ResourceAction[[#This Row],[Resource]])-2)</f>
        <v>Resource Actions-0</v>
      </c>
      <c r="B2" s="39" t="str">
        <f>ResourceAction[[#This Row],[Resource Name]]&amp;"/"&amp;ResourceAction[[#This Row],[Name]]</f>
        <v>/name</v>
      </c>
      <c r="C2" s="37"/>
      <c r="D2" s="39" t="str">
        <f>IF(ResourceAction[[#This Row],[Resource Name]]="","id",COUNTA($C$1:ResourceAction[[#This Row],[Resource Name]])-1+IF(VLOOKUP('Table Seed Map'!$A$33,SeedMap[],9,0),VLOOKUP('Table Seed Map'!$A$33,SeedMap[],9,0),0))</f>
        <v>id</v>
      </c>
      <c r="E2" s="39" t="str">
        <f>IF(ResourceAction[[#This Row],[Resource Name]]="","resource",VLOOKUP(ResourceAction[[#This Row],[Resource Name]],ResourceTable[[RName]:[RID]],2,0))</f>
        <v>resource</v>
      </c>
      <c r="F2" s="39" t="s">
        <v>26</v>
      </c>
      <c r="G2" s="39" t="s">
        <v>28</v>
      </c>
      <c r="H2" s="39" t="s">
        <v>30</v>
      </c>
      <c r="I2" s="39" t="s">
        <v>45</v>
      </c>
      <c r="J2" s="39" t="s">
        <v>115</v>
      </c>
      <c r="K2" s="41" t="str">
        <f>'Table Seed Map'!$A$34&amp;"-"&amp;(COUNTA($E$1:ResourceAction[[#This Row],[Resource]])-2)</f>
        <v>Action Method-0</v>
      </c>
      <c r="L2" s="39" t="str">
        <f>IF(ResourceAction[[#This Row],[Resource Name]]="","id",COUNTA($C$3:ResourceAction[[#This Row],[Resource Name]])+IF(VLOOKUP('Table Seed Map'!$A$34,SeedMap[],9,0),VLOOKUP('Table Seed Map'!$A$34,SeedMap[],9,0),0))</f>
        <v>id</v>
      </c>
      <c r="M2" s="39" t="s">
        <v>57</v>
      </c>
      <c r="N2" s="50" t="s">
        <v>45</v>
      </c>
      <c r="O2" s="51" t="str">
        <f>IF(ResourceAction[[#This Row],[Resource Name]]="","idn1",IF(ResourceAction[[#This Row],[IDN1]]="","",VLOOKUP(ResourceAction[[#This Row],[IDN1]],IDNMaps[[Display]:[ID]],2,0)))</f>
        <v>idn1</v>
      </c>
      <c r="P2" s="51" t="str">
        <f>IF(ResourceAction[[#This Row],[Resource Name]]="","idn2",IF(ResourceAction[[#This Row],[IDN2]]="","",VLOOKUP(ResourceAction[[#This Row],[IDN2]],IDNMaps[[Display]:[ID]],2,0)))</f>
        <v>idn2</v>
      </c>
      <c r="Q2" s="51" t="str">
        <f>IF(ResourceAction[[#This Row],[Resource Name]]="","idn3",IF(ResourceAction[[#This Row],[IDN3]]="","",VLOOKUP(ResourceAction[[#This Row],[IDN3]],IDNMaps[[Display]:[ID]],2,0)))</f>
        <v>idn3</v>
      </c>
      <c r="R2" s="51" t="str">
        <f>IF(ResourceAction[[#This Row],[Resource Name]]="","idn4",IF(ResourceAction[[#This Row],[IDN4]]="","",VLOOKUP(ResourceAction[[#This Row],[IDN4]],IDNMaps[[Display]:[ID]],2,0)))</f>
        <v>idn4</v>
      </c>
      <c r="S2" s="51" t="str">
        <f>IF(ResourceAction[[#This Row],[Resource Name]]="","idn5",IF(ResourceAction[[#This Row],[IDN5]]="","",VLOOKUP(ResourceAction[[#This Row],[IDN5]],IDNMaps[[Display]:[ID]],2,0)))</f>
        <v>idn5</v>
      </c>
      <c r="T2" s="59"/>
      <c r="U2" s="59"/>
      <c r="V2" s="59"/>
      <c r="W2" s="59"/>
      <c r="X2" s="59"/>
      <c r="Y2" s="56" t="str">
        <f>[No]</f>
        <v>id</v>
      </c>
      <c r="Z2"/>
      <c r="AA2" s="1"/>
      <c r="AB2" s="15" t="s">
        <v>57</v>
      </c>
      <c r="AC2" s="15"/>
      <c r="AD2" s="15"/>
      <c r="AE2" s="15" t="str">
        <f>'Table Seed Map'!$A$36&amp;"-"&amp;COUNT($AH$2:ActionListNData[[#This Row],[List]])</f>
        <v>Action List-0</v>
      </c>
      <c r="AF2" s="15" t="str">
        <f>IF(ActionListNData[[#This Row],[Action Name]]="","id",COUNTA($AC$3:ActionListNData[[#This Row],[Resource List]])+IF(VLOOKUP('Table Seed Map'!$A$36,SeedMap[],9,0),VLOOKUP('Table Seed Map'!$A$36,SeedMap[],9,0),0))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Map'!$A$37&amp;"-"&amp;COUNT($AL$2:ActionListNData[[#This Row],[Data]])</f>
        <v>Action Data-0</v>
      </c>
      <c r="AJ2" s="15" t="str">
        <f>IF(ActionListNData[[#This Row],[Action Name]]="","id",COUNTA($AD$3:ActionListNData[[#This Row],[Resource Data]])+IF(VLOOKUP('Table Seed Map'!$A$37,SeedMap[],9,0),VLOOKUP('Table Seed Map'!$A$37,SeedMap[],9,0),0))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39" t="str">
        <f>IF(ActionAttr[[#This Row],[Action Name for Attr]]="","resource_action",VLOOKUP(ActionAttr[[#This Row],[Action Name for Attr]],ResourceAction[[Display]:[No]],3,0))</f>
        <v>resource_action</v>
      </c>
      <c r="AR2" s="37" t="s">
        <v>26</v>
      </c>
      <c r="AS2" s="37" t="s">
        <v>56</v>
      </c>
    </row>
    <row r="3" spans="1:45">
      <c r="A3" s="70" t="str">
        <f>'Table Seed Map'!$A$33&amp;"-"&amp;(COUNTA($E$1:ResourceAction[[#This Row],[Resource]])-2)</f>
        <v>Resource Actions-1</v>
      </c>
      <c r="B3" s="70" t="str">
        <f>ResourceAction[[#This Row],[Resource Name]]&amp;"/"&amp;ResourceAction[[#This Row],[Name]]</f>
        <v>GroupDetail/Group01ListAction</v>
      </c>
      <c r="C3" s="78" t="s">
        <v>659</v>
      </c>
      <c r="D3" s="70">
        <f>IF(ResourceAction[[#This Row],[Resource Name]]="","id",COUNTA($C$1:ResourceAction[[#This Row],[Resource Name]])-1+IF(VLOOKUP('Table Seed Map'!$A$33,SeedMap[],9,0),VLOOKUP('Table Seed Map'!$A$33,SeedMap[],9,0),0))</f>
        <v>50001</v>
      </c>
      <c r="E3" s="70">
        <f>IF(ResourceAction[[#This Row],[Resource Name]]="","resource",VLOOKUP(ResourceAction[[#This Row],[Resource Name]],ResourceTable[[RName]:[RID]],2,0))</f>
        <v>50002</v>
      </c>
      <c r="F3" s="70" t="s">
        <v>945</v>
      </c>
      <c r="G3" s="70" t="s">
        <v>949</v>
      </c>
      <c r="H3" s="70"/>
      <c r="I3" s="70"/>
      <c r="J3" s="70" t="s">
        <v>767</v>
      </c>
      <c r="K3" s="68" t="str">
        <f>'Table Seed Map'!$A$34&amp;"-"&amp;(COUNTA($E$1:ResourceAction[[#This Row],[Resource]])-2)</f>
        <v>Action Method-1</v>
      </c>
      <c r="L3" s="70">
        <f>IF(ResourceAction[[#This Row],[Resource Name]]="","id",COUNTA($C$3:ResourceAction[[#This Row],[Resource Name]])+IF(VLOOKUP('Table Seed Map'!$A$34,SeedMap[],9,0),VLOOKUP('Table Seed Map'!$A$34,SeedMap[],9,0),0))</f>
        <v>50001</v>
      </c>
      <c r="M3" s="70">
        <f>[No]</f>
        <v>50001</v>
      </c>
      <c r="N3" s="96" t="s">
        <v>123</v>
      </c>
      <c r="O3" s="97">
        <f ca="1">IF(ResourceAction[[#This Row],[Resource Name]]="","idn1",IF(ResourceAction[[#This Row],[IDN1]]="","",VLOOKUP(ResourceAction[[#This Row],[IDN1]],IDNMaps[[Display]:[ID]],2,0)))</f>
        <v>50001</v>
      </c>
      <c r="P3" s="97" t="str">
        <f>IF(ResourceAction[[#This Row],[Resource Name]]="","idn2",IF(ResourceAction[[#This Row],[IDN2]]="","",VLOOKUP(ResourceAction[[#This Row],[IDN2]],IDNMaps[[Display]:[ID]],2,0)))</f>
        <v/>
      </c>
      <c r="Q3" s="97" t="str">
        <f>IF(ResourceAction[[#This Row],[Resource Name]]="","idn3",IF(ResourceAction[[#This Row],[IDN3]]="","",VLOOKUP(ResourceAction[[#This Row],[IDN3]],IDNMaps[[Display]:[ID]],2,0)))</f>
        <v/>
      </c>
      <c r="R3" s="97" t="str">
        <f>IF(ResourceAction[[#This Row],[Resource Name]]="","idn4",IF(ResourceAction[[#This Row],[IDN4]]="","",VLOOKUP(ResourceAction[[#This Row],[IDN4]],IDNMaps[[Display]:[ID]],2,0)))</f>
        <v/>
      </c>
      <c r="S3" s="97" t="str">
        <f>IF(ResourceAction[[#This Row],[Resource Name]]="","idn5",IF(ResourceAction[[#This Row],[IDN5]]="","",VLOOKUP(ResourceAction[[#This Row],[IDN5]],IDNMaps[[Display]:[ID]],2,0)))</f>
        <v/>
      </c>
      <c r="T3" s="98" t="s">
        <v>892</v>
      </c>
      <c r="U3" s="98"/>
      <c r="V3" s="98"/>
      <c r="W3" s="98"/>
      <c r="X3" s="98"/>
      <c r="Y3" s="77">
        <f>[No]</f>
        <v>50001</v>
      </c>
      <c r="Z3"/>
      <c r="AA3" s="4" t="s">
        <v>961</v>
      </c>
      <c r="AB3" s="61">
        <f>VLOOKUP(ActionListNData[[#This Row],[Action Name]],ResourceAction[[Display]:[No]],3,0)</f>
        <v>50011</v>
      </c>
      <c r="AC3" s="61" t="s">
        <v>773</v>
      </c>
      <c r="AD3" s="61"/>
      <c r="AE3" s="61" t="str">
        <f>'Table Seed Map'!$A$36&amp;"-"&amp;COUNT($AH$2:ActionListNData[[#This Row],[List]])</f>
        <v>Action List-1</v>
      </c>
      <c r="AF3" s="61">
        <f>IF(ActionListNData[[#This Row],[Action Name]]="","id",COUNTA($AC$3:ActionListNData[[#This Row],[Resource List]])+IF(VLOOKUP('Table Seed Map'!$A$36,SeedMap[],9,0),VLOOKUP('Table Seed Map'!$A$36,SeedMap[],9,0),0))</f>
        <v>50001</v>
      </c>
      <c r="AG3" s="61">
        <f>ActionListNData[[#This Row],[Action]]</f>
        <v>50011</v>
      </c>
      <c r="AH3" s="61">
        <f>IF(ActionListNData[[#This Row],[Action Name]]="","resource_list",IFERROR(VLOOKUP(ActionListNData[[#This Row],[Resource List]],ResourceList[[ListDisplayName]:[No]],2,0),""))</f>
        <v>50001</v>
      </c>
      <c r="AI3" s="61" t="str">
        <f>'Table Seed Map'!$A$37&amp;"-"&amp;COUNT($AL$2:ActionListNData[[#This Row],[Data]])</f>
        <v>Action Data-0</v>
      </c>
      <c r="AJ3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3" s="61">
        <f>ActionListNData[[#This Row],[Action]]</f>
        <v>50011</v>
      </c>
      <c r="AL3" s="61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70" t="str">
        <f>'Table Seed Map'!$A$33&amp;"-"&amp;(COUNTA($E$1:ResourceAction[[#This Row],[Resource]])-2)</f>
        <v>Resource Actions-2</v>
      </c>
      <c r="B4" s="70" t="str">
        <f>ResourceAction[[#This Row],[Resource Name]]&amp;"/"&amp;ResourceAction[[#This Row],[Name]]</f>
        <v>GroupDetail/Group02ListAction</v>
      </c>
      <c r="C4" s="78" t="s">
        <v>659</v>
      </c>
      <c r="D4" s="70">
        <f>IF(ResourceAction[[#This Row],[Resource Name]]="","id",COUNTA($C$1:ResourceAction[[#This Row],[Resource Name]])-1+IF(VLOOKUP('Table Seed Map'!$A$33,SeedMap[],9,0),VLOOKUP('Table Seed Map'!$A$33,SeedMap[],9,0),0))</f>
        <v>50002</v>
      </c>
      <c r="E4" s="70">
        <f>IF(ResourceAction[[#This Row],[Resource Name]]="","resource",VLOOKUP(ResourceAction[[#This Row],[Resource Name]],ResourceTable[[RName]:[RID]],2,0))</f>
        <v>50002</v>
      </c>
      <c r="F4" s="70" t="s">
        <v>947</v>
      </c>
      <c r="G4" s="70" t="s">
        <v>952</v>
      </c>
      <c r="H4" s="70"/>
      <c r="I4" s="70"/>
      <c r="J4" s="70" t="s">
        <v>768</v>
      </c>
      <c r="K4" s="68" t="str">
        <f>'Table Seed Map'!$A$34&amp;"-"&amp;(COUNTA($E$1:ResourceAction[[#This Row],[Resource]])-2)</f>
        <v>Action Method-2</v>
      </c>
      <c r="L4" s="70">
        <f>IF(ResourceAction[[#This Row],[Resource Name]]="","id",COUNTA($C$3:ResourceAction[[#This Row],[Resource Name]])+IF(VLOOKUP('Table Seed Map'!$A$34,SeedMap[],9,0),VLOOKUP('Table Seed Map'!$A$34,SeedMap[],9,0),0))</f>
        <v>50002</v>
      </c>
      <c r="M4" s="70">
        <f>[No]</f>
        <v>50002</v>
      </c>
      <c r="N4" s="96" t="s">
        <v>123</v>
      </c>
      <c r="O4" s="97">
        <f ca="1">IF(ResourceAction[[#This Row],[Resource Name]]="","idn1",IF(ResourceAction[[#This Row],[IDN1]]="","",VLOOKUP(ResourceAction[[#This Row],[IDN1]],IDNMaps[[Display]:[ID]],2,0)))</f>
        <v>50002</v>
      </c>
      <c r="P4" s="97" t="str">
        <f>IF(ResourceAction[[#This Row],[Resource Name]]="","idn2",IF(ResourceAction[[#This Row],[IDN2]]="","",VLOOKUP(ResourceAction[[#This Row],[IDN2]],IDNMaps[[Display]:[ID]],2,0)))</f>
        <v/>
      </c>
      <c r="Q4" s="97" t="str">
        <f>IF(ResourceAction[[#This Row],[Resource Name]]="","idn3",IF(ResourceAction[[#This Row],[IDN3]]="","",VLOOKUP(ResourceAction[[#This Row],[IDN3]],IDNMaps[[Display]:[ID]],2,0)))</f>
        <v/>
      </c>
      <c r="R4" s="97" t="str">
        <f>IF(ResourceAction[[#This Row],[Resource Name]]="","idn4",IF(ResourceAction[[#This Row],[IDN4]]="","",VLOOKUP(ResourceAction[[#This Row],[IDN4]],IDNMaps[[Display]:[ID]],2,0)))</f>
        <v/>
      </c>
      <c r="S4" s="97" t="str">
        <f>IF(ResourceAction[[#This Row],[Resource Name]]="","idn5",IF(ResourceAction[[#This Row],[IDN5]]="","",VLOOKUP(ResourceAction[[#This Row],[IDN5]],IDNMaps[[Display]:[ID]],2,0)))</f>
        <v/>
      </c>
      <c r="T4" s="98" t="s">
        <v>893</v>
      </c>
      <c r="U4" s="98"/>
      <c r="V4" s="98"/>
      <c r="W4" s="98"/>
      <c r="X4" s="98"/>
      <c r="Y4" s="77">
        <f>[No]</f>
        <v>50002</v>
      </c>
      <c r="Z4"/>
      <c r="AA4" s="4" t="s">
        <v>962</v>
      </c>
      <c r="AB4" s="61">
        <f>VLOOKUP(ActionListNData[[#This Row],[Action Name]],ResourceAction[[Display]:[No]],3,0)</f>
        <v>50012</v>
      </c>
      <c r="AC4" s="61" t="s">
        <v>774</v>
      </c>
      <c r="AD4" s="61"/>
      <c r="AE4" s="61" t="str">
        <f>'Table Seed Map'!$A$36&amp;"-"&amp;COUNT($AH$2:ActionListNData[[#This Row],[List]])</f>
        <v>Action List-2</v>
      </c>
      <c r="AF4" s="61">
        <f>IF(ActionListNData[[#This Row],[Action Name]]="","id",COUNTA($AC$3:ActionListNData[[#This Row],[Resource List]])+IF(VLOOKUP('Table Seed Map'!$A$36,SeedMap[],9,0),VLOOKUP('Table Seed Map'!$A$36,SeedMap[],9,0),0))</f>
        <v>50002</v>
      </c>
      <c r="AG4" s="61">
        <f>ActionListNData[[#This Row],[Action]]</f>
        <v>50012</v>
      </c>
      <c r="AH4" s="61">
        <f>IF(ActionListNData[[#This Row],[Action Name]]="","resource_list",IFERROR(VLOOKUP(ActionListNData[[#This Row],[Resource List]],ResourceList[[ListDisplayName]:[No]],2,0),""))</f>
        <v>50002</v>
      </c>
      <c r="AI4" s="61" t="str">
        <f>'Table Seed Map'!$A$37&amp;"-"&amp;COUNT($AL$2:ActionListNData[[#This Row],[Data]])</f>
        <v>Action Data-0</v>
      </c>
      <c r="AJ4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4" s="61">
        <f>ActionListNData[[#This Row],[Action]]</f>
        <v>50012</v>
      </c>
      <c r="AL4" s="61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70" t="str">
        <f>'Table Seed Map'!$A$33&amp;"-"&amp;(COUNTA($E$1:ResourceAction[[#This Row],[Resource]])-2)</f>
        <v>Resource Actions-3</v>
      </c>
      <c r="B5" s="70" t="str">
        <f>ResourceAction[[#This Row],[Resource Name]]&amp;"/"&amp;ResourceAction[[#This Row],[Name]]</f>
        <v>GroupDetail/Group03ListAction</v>
      </c>
      <c r="C5" s="78" t="s">
        <v>659</v>
      </c>
      <c r="D5" s="70">
        <f>IF(ResourceAction[[#This Row],[Resource Name]]="","id",COUNTA($C$1:ResourceAction[[#This Row],[Resource Name]])-1+IF(VLOOKUP('Table Seed Map'!$A$33,SeedMap[],9,0),VLOOKUP('Table Seed Map'!$A$33,SeedMap[],9,0),0))</f>
        <v>50003</v>
      </c>
      <c r="E5" s="70">
        <f>IF(ResourceAction[[#This Row],[Resource Name]]="","resource",VLOOKUP(ResourceAction[[#This Row],[Resource Name]],ResourceTable[[RName]:[RID]],2,0))</f>
        <v>50002</v>
      </c>
      <c r="F5" s="70" t="s">
        <v>948</v>
      </c>
      <c r="G5" s="70" t="s">
        <v>951</v>
      </c>
      <c r="H5" s="70"/>
      <c r="I5" s="70"/>
      <c r="J5" s="70" t="s">
        <v>769</v>
      </c>
      <c r="K5" s="68" t="str">
        <f>'Table Seed Map'!$A$34&amp;"-"&amp;(COUNTA($E$1:ResourceAction[[#This Row],[Resource]])-2)</f>
        <v>Action Method-3</v>
      </c>
      <c r="L5" s="70">
        <f>IF(ResourceAction[[#This Row],[Resource Name]]="","id",COUNTA($C$3:ResourceAction[[#This Row],[Resource Name]])+IF(VLOOKUP('Table Seed Map'!$A$34,SeedMap[],9,0),VLOOKUP('Table Seed Map'!$A$34,SeedMap[],9,0),0))</f>
        <v>50003</v>
      </c>
      <c r="M5" s="70">
        <f>[No]</f>
        <v>50003</v>
      </c>
      <c r="N5" s="96" t="s">
        <v>123</v>
      </c>
      <c r="O5" s="97">
        <f ca="1">IF(ResourceAction[[#This Row],[Resource Name]]="","idn1",IF(ResourceAction[[#This Row],[IDN1]]="","",VLOOKUP(ResourceAction[[#This Row],[IDN1]],IDNMaps[[Display]:[ID]],2,0)))</f>
        <v>50003</v>
      </c>
      <c r="P5" s="97" t="str">
        <f>IF(ResourceAction[[#This Row],[Resource Name]]="","idn2",IF(ResourceAction[[#This Row],[IDN2]]="","",VLOOKUP(ResourceAction[[#This Row],[IDN2]],IDNMaps[[Display]:[ID]],2,0)))</f>
        <v/>
      </c>
      <c r="Q5" s="97" t="str">
        <f>IF(ResourceAction[[#This Row],[Resource Name]]="","idn3",IF(ResourceAction[[#This Row],[IDN3]]="","",VLOOKUP(ResourceAction[[#This Row],[IDN3]],IDNMaps[[Display]:[ID]],2,0)))</f>
        <v/>
      </c>
      <c r="R5" s="97" t="str">
        <f>IF(ResourceAction[[#This Row],[Resource Name]]="","idn4",IF(ResourceAction[[#This Row],[IDN4]]="","",VLOOKUP(ResourceAction[[#This Row],[IDN4]],IDNMaps[[Display]:[ID]],2,0)))</f>
        <v/>
      </c>
      <c r="S5" s="97" t="str">
        <f>IF(ResourceAction[[#This Row],[Resource Name]]="","idn5",IF(ResourceAction[[#This Row],[IDN5]]="","",VLOOKUP(ResourceAction[[#This Row],[IDN5]],IDNMaps[[Display]:[ID]],2,0)))</f>
        <v/>
      </c>
      <c r="T5" s="98" t="s">
        <v>894</v>
      </c>
      <c r="U5" s="98"/>
      <c r="V5" s="98"/>
      <c r="W5" s="98"/>
      <c r="X5" s="98"/>
      <c r="Y5" s="77">
        <f>[No]</f>
        <v>50003</v>
      </c>
      <c r="Z5"/>
      <c r="AA5" s="4" t="s">
        <v>963</v>
      </c>
      <c r="AB5" s="61">
        <f>VLOOKUP(ActionListNData[[#This Row],[Action Name]],ResourceAction[[Display]:[No]],3,0)</f>
        <v>50013</v>
      </c>
      <c r="AC5" s="61" t="s">
        <v>775</v>
      </c>
      <c r="AD5" s="61"/>
      <c r="AE5" s="61" t="str">
        <f>'Table Seed Map'!$A$36&amp;"-"&amp;COUNT($AH$2:ActionListNData[[#This Row],[List]])</f>
        <v>Action List-3</v>
      </c>
      <c r="AF5" s="61">
        <f>IF(ActionListNData[[#This Row],[Action Name]]="","id",COUNTA($AC$3:ActionListNData[[#This Row],[Resource List]])+IF(VLOOKUP('Table Seed Map'!$A$36,SeedMap[],9,0),VLOOKUP('Table Seed Map'!$A$36,SeedMap[],9,0),0))</f>
        <v>50003</v>
      </c>
      <c r="AG5" s="61">
        <f>ActionListNData[[#This Row],[Action]]</f>
        <v>50013</v>
      </c>
      <c r="AH5" s="61">
        <f>IF(ActionListNData[[#This Row],[Action Name]]="","resource_list",IFERROR(VLOOKUP(ActionListNData[[#This Row],[Resource List]],ResourceList[[ListDisplayName]:[No]],2,0),""))</f>
        <v>50003</v>
      </c>
      <c r="AI5" s="61" t="str">
        <f>'Table Seed Map'!$A$37&amp;"-"&amp;COUNT($AL$2:ActionListNData[[#This Row],[Data]])</f>
        <v>Action Data-0</v>
      </c>
      <c r="AJ5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5" s="61">
        <f>ActionListNData[[#This Row],[Action]]</f>
        <v>50013</v>
      </c>
      <c r="AL5" s="61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70" t="str">
        <f>'Table Seed Map'!$A$33&amp;"-"&amp;(COUNTA($E$1:ResourceAction[[#This Row],[Resource]])-2)</f>
        <v>Resource Actions-4</v>
      </c>
      <c r="B6" s="70" t="str">
        <f>ResourceAction[[#This Row],[Resource Name]]&amp;"/"&amp;ResourceAction[[#This Row],[Name]]</f>
        <v>GroupDetail/Group04ListAction</v>
      </c>
      <c r="C6" s="78" t="s">
        <v>659</v>
      </c>
      <c r="D6" s="70">
        <f>IF(ResourceAction[[#This Row],[Resource Name]]="","id",COUNTA($C$1:ResourceAction[[#This Row],[Resource Name]])-1+IF(VLOOKUP('Table Seed Map'!$A$33,SeedMap[],9,0),VLOOKUP('Table Seed Map'!$A$33,SeedMap[],9,0),0))</f>
        <v>50004</v>
      </c>
      <c r="E6" s="70">
        <f>IF(ResourceAction[[#This Row],[Resource Name]]="","resource",VLOOKUP(ResourceAction[[#This Row],[Resource Name]],ResourceTable[[RName]:[RID]],2,0))</f>
        <v>50002</v>
      </c>
      <c r="F6" s="70" t="s">
        <v>946</v>
      </c>
      <c r="G6" s="70" t="s">
        <v>950</v>
      </c>
      <c r="H6" s="70"/>
      <c r="I6" s="70"/>
      <c r="J6" s="70" t="s">
        <v>770</v>
      </c>
      <c r="K6" s="68" t="str">
        <f>'Table Seed Map'!$A$34&amp;"-"&amp;(COUNTA($E$1:ResourceAction[[#This Row],[Resource]])-2)</f>
        <v>Action Method-4</v>
      </c>
      <c r="L6" s="70">
        <f>IF(ResourceAction[[#This Row],[Resource Name]]="","id",COUNTA($C$3:ResourceAction[[#This Row],[Resource Name]])+IF(VLOOKUP('Table Seed Map'!$A$34,SeedMap[],9,0),VLOOKUP('Table Seed Map'!$A$34,SeedMap[],9,0),0))</f>
        <v>50004</v>
      </c>
      <c r="M6" s="70">
        <f>[No]</f>
        <v>50004</v>
      </c>
      <c r="N6" s="96" t="s">
        <v>123</v>
      </c>
      <c r="O6" s="97">
        <f ca="1">IF(ResourceAction[[#This Row],[Resource Name]]="","idn1",IF(ResourceAction[[#This Row],[IDN1]]="","",VLOOKUP(ResourceAction[[#This Row],[IDN1]],IDNMaps[[Display]:[ID]],2,0)))</f>
        <v>50004</v>
      </c>
      <c r="P6" s="97" t="str">
        <f>IF(ResourceAction[[#This Row],[Resource Name]]="","idn2",IF(ResourceAction[[#This Row],[IDN2]]="","",VLOOKUP(ResourceAction[[#This Row],[IDN2]],IDNMaps[[Display]:[ID]],2,0)))</f>
        <v/>
      </c>
      <c r="Q6" s="97" t="str">
        <f>IF(ResourceAction[[#This Row],[Resource Name]]="","idn3",IF(ResourceAction[[#This Row],[IDN3]]="","",VLOOKUP(ResourceAction[[#This Row],[IDN3]],IDNMaps[[Display]:[ID]],2,0)))</f>
        <v/>
      </c>
      <c r="R6" s="97" t="str">
        <f>IF(ResourceAction[[#This Row],[Resource Name]]="","idn4",IF(ResourceAction[[#This Row],[IDN4]]="","",VLOOKUP(ResourceAction[[#This Row],[IDN4]],IDNMaps[[Display]:[ID]],2,0)))</f>
        <v/>
      </c>
      <c r="S6" s="97" t="str">
        <f>IF(ResourceAction[[#This Row],[Resource Name]]="","idn5",IF(ResourceAction[[#This Row],[IDN5]]="","",VLOOKUP(ResourceAction[[#This Row],[IDN5]],IDNMaps[[Display]:[ID]],2,0)))</f>
        <v/>
      </c>
      <c r="T6" s="98" t="s">
        <v>895</v>
      </c>
      <c r="U6" s="98"/>
      <c r="V6" s="98"/>
      <c r="W6" s="98"/>
      <c r="X6" s="98"/>
      <c r="Y6" s="77">
        <f>[No]</f>
        <v>50004</v>
      </c>
      <c r="Z6"/>
      <c r="AA6" s="4" t="s">
        <v>964</v>
      </c>
      <c r="AB6" s="61">
        <f>VLOOKUP(ActionListNData[[#This Row],[Action Name]],ResourceAction[[Display]:[No]],3,0)</f>
        <v>50014</v>
      </c>
      <c r="AC6" s="61" t="s">
        <v>776</v>
      </c>
      <c r="AD6" s="61"/>
      <c r="AE6" s="61" t="str">
        <f>'Table Seed Map'!$A$36&amp;"-"&amp;COUNT($AH$2:ActionListNData[[#This Row],[List]])</f>
        <v>Action List-4</v>
      </c>
      <c r="AF6" s="61">
        <f>IF(ActionListNData[[#This Row],[Action Name]]="","id",COUNTA($AC$3:ActionListNData[[#This Row],[Resource List]])+IF(VLOOKUP('Table Seed Map'!$A$36,SeedMap[],9,0),VLOOKUP('Table Seed Map'!$A$36,SeedMap[],9,0),0))</f>
        <v>50004</v>
      </c>
      <c r="AG6" s="61">
        <f>ActionListNData[[#This Row],[Action]]</f>
        <v>50014</v>
      </c>
      <c r="AH6" s="61">
        <f>IF(ActionListNData[[#This Row],[Action Name]]="","resource_list",IFERROR(VLOOKUP(ActionListNData[[#This Row],[Resource List]],ResourceList[[ListDisplayName]:[No]],2,0),""))</f>
        <v>50004</v>
      </c>
      <c r="AI6" s="61" t="str">
        <f>'Table Seed Map'!$A$37&amp;"-"&amp;COUNT($AL$2:ActionListNData[[#This Row],[Data]])</f>
        <v>Action Data-0</v>
      </c>
      <c r="AJ6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6" s="61">
        <f>ActionListNData[[#This Row],[Action]]</f>
        <v>50014</v>
      </c>
      <c r="AL6" s="61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70" t="str">
        <f>'Table Seed Map'!$A$33&amp;"-"&amp;(COUNTA($E$1:ResourceAction[[#This Row],[Resource]])-2)</f>
        <v>Resource Actions-5</v>
      </c>
      <c r="B7" s="70" t="str">
        <f>ResourceAction[[#This Row],[Resource Name]]&amp;"/"&amp;ResourceAction[[#This Row],[Name]]</f>
        <v>Product/ProductsListAction</v>
      </c>
      <c r="C7" s="78" t="s">
        <v>569</v>
      </c>
      <c r="D7" s="70">
        <f>IF(ResourceAction[[#This Row],[Resource Name]]="","id",COUNTA($C$1:ResourceAction[[#This Row],[Resource Name]])-1+IF(VLOOKUP('Table Seed Map'!$A$33,SeedMap[],9,0),VLOOKUP('Table Seed Map'!$A$33,SeedMap[],9,0),0))</f>
        <v>50005</v>
      </c>
      <c r="E7" s="70">
        <f>IF(ResourceAction[[#This Row],[Resource Name]]="","resource",VLOOKUP(ResourceAction[[#This Row],[Resource Name]],ResourceTable[[RName]:[RID]],2,0))</f>
        <v>50003</v>
      </c>
      <c r="F7" s="70" t="s">
        <v>835</v>
      </c>
      <c r="G7" s="70" t="s">
        <v>836</v>
      </c>
      <c r="H7" s="70" t="s">
        <v>571</v>
      </c>
      <c r="I7" s="70"/>
      <c r="J7" s="70" t="s">
        <v>571</v>
      </c>
      <c r="K7" s="68" t="str">
        <f>'Table Seed Map'!$A$34&amp;"-"&amp;(COUNTA($E$1:ResourceAction[[#This Row],[Resource]])-2)</f>
        <v>Action Method-5</v>
      </c>
      <c r="L7" s="70">
        <f>IF(ResourceAction[[#This Row],[Resource Name]]="","id",COUNTA($C$3:ResourceAction[[#This Row],[Resource Name]])+IF(VLOOKUP('Table Seed Map'!$A$34,SeedMap[],9,0),VLOOKUP('Table Seed Map'!$A$34,SeedMap[],9,0),0))</f>
        <v>50005</v>
      </c>
      <c r="M7" s="70">
        <f>[No]</f>
        <v>50005</v>
      </c>
      <c r="N7" s="96" t="s">
        <v>123</v>
      </c>
      <c r="O7" s="97">
        <f ca="1">IF(ResourceAction[[#This Row],[Resource Name]]="","idn1",IF(ResourceAction[[#This Row],[IDN1]]="","",VLOOKUP(ResourceAction[[#This Row],[IDN1]],IDNMaps[[Display]:[ID]],2,0)))</f>
        <v>50005</v>
      </c>
      <c r="P7" s="97" t="str">
        <f>IF(ResourceAction[[#This Row],[Resource Name]]="","idn2",IF(ResourceAction[[#This Row],[IDN2]]="","",VLOOKUP(ResourceAction[[#This Row],[IDN2]],IDNMaps[[Display]:[ID]],2,0)))</f>
        <v/>
      </c>
      <c r="Q7" s="97" t="str">
        <f>IF(ResourceAction[[#This Row],[Resource Name]]="","idn3",IF(ResourceAction[[#This Row],[IDN3]]="","",VLOOKUP(ResourceAction[[#This Row],[IDN3]],IDNMaps[[Display]:[ID]],2,0)))</f>
        <v/>
      </c>
      <c r="R7" s="97" t="str">
        <f>IF(ResourceAction[[#This Row],[Resource Name]]="","idn4",IF(ResourceAction[[#This Row],[IDN4]]="","",VLOOKUP(ResourceAction[[#This Row],[IDN4]],IDNMaps[[Display]:[ID]],2,0)))</f>
        <v/>
      </c>
      <c r="S7" s="97" t="str">
        <f>IF(ResourceAction[[#This Row],[Resource Name]]="","idn5",IF(ResourceAction[[#This Row],[IDN5]]="","",VLOOKUP(ResourceAction[[#This Row],[IDN5]],IDNMaps[[Display]:[ID]],2,0)))</f>
        <v/>
      </c>
      <c r="T7" s="98" t="s">
        <v>896</v>
      </c>
      <c r="U7" s="98"/>
      <c r="V7" s="98"/>
      <c r="W7" s="98"/>
      <c r="X7" s="98"/>
      <c r="Y7" s="77">
        <f>[No]</f>
        <v>50005</v>
      </c>
      <c r="Z7"/>
      <c r="AA7" s="4" t="s">
        <v>927</v>
      </c>
      <c r="AB7" s="61">
        <f>VLOOKUP(ActionListNData[[#This Row],[Action Name]],ResourceAction[[Display]:[No]],3,0)</f>
        <v>50015</v>
      </c>
      <c r="AC7" s="61" t="s">
        <v>783</v>
      </c>
      <c r="AD7" s="61"/>
      <c r="AE7" s="61" t="str">
        <f>'Table Seed Map'!$A$36&amp;"-"&amp;COUNT($AH$2:ActionListNData[[#This Row],[List]])</f>
        <v>Action List-5</v>
      </c>
      <c r="AF7" s="61">
        <f>IF(ActionListNData[[#This Row],[Action Name]]="","id",COUNTA($AC$3:ActionListNData[[#This Row],[Resource List]])+IF(VLOOKUP('Table Seed Map'!$A$36,SeedMap[],9,0),VLOOKUP('Table Seed Map'!$A$36,SeedMap[],9,0),0))</f>
        <v>50005</v>
      </c>
      <c r="AG7" s="61">
        <f>ActionListNData[[#This Row],[Action]]</f>
        <v>50015</v>
      </c>
      <c r="AH7" s="61">
        <f>IF(ActionListNData[[#This Row],[Action Name]]="","resource_list",IFERROR(VLOOKUP(ActionListNData[[#This Row],[Resource List]],ResourceList[[ListDisplayName]:[No]],2,0),""))</f>
        <v>50005</v>
      </c>
      <c r="AI7" s="61" t="str">
        <f>'Table Seed Map'!$A$37&amp;"-"&amp;COUNT($AL$2:ActionListNData[[#This Row],[Data]])</f>
        <v>Action Data-0</v>
      </c>
      <c r="AJ7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7" s="61">
        <f>ActionListNData[[#This Row],[Action]]</f>
        <v>50015</v>
      </c>
      <c r="AL7" s="61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Map'!$A$33&amp;"-"&amp;(COUNTA($E$1:ResourceAction[[#This Row],[Resource]])-2)</f>
        <v>Resource Actions-6</v>
      </c>
      <c r="B8" s="70" t="str">
        <f>ResourceAction[[#This Row],[Resource Name]]&amp;"/"&amp;ResourceAction[[#This Row],[Name]]</f>
        <v>Visitor/VisitorListAction</v>
      </c>
      <c r="C8" s="78" t="s">
        <v>575</v>
      </c>
      <c r="D8" s="70">
        <f>IF(ResourceAction[[#This Row],[Resource Name]]="","id",COUNTA($C$1:ResourceAction[[#This Row],[Resource Name]])-1+IF(VLOOKUP('Table Seed Map'!$A$33,SeedMap[],9,0),VLOOKUP('Table Seed Map'!$A$33,SeedMap[],9,0),0))</f>
        <v>50006</v>
      </c>
      <c r="E8" s="70">
        <f>IF(ResourceAction[[#This Row],[Resource Name]]="","resource",VLOOKUP(ResourceAction[[#This Row],[Resource Name]],ResourceTable[[RName]:[RID]],2,0))</f>
        <v>50005</v>
      </c>
      <c r="F8" s="70" t="s">
        <v>837</v>
      </c>
      <c r="G8" s="70" t="s">
        <v>838</v>
      </c>
      <c r="H8" s="70" t="s">
        <v>577</v>
      </c>
      <c r="I8" s="70"/>
      <c r="J8" s="70" t="s">
        <v>577</v>
      </c>
      <c r="K8" s="68" t="str">
        <f>'Table Seed Map'!$A$34&amp;"-"&amp;(COUNTA($E$1:ResourceAction[[#This Row],[Resource]])-2)</f>
        <v>Action Method-6</v>
      </c>
      <c r="L8" s="70">
        <f>IF(ResourceAction[[#This Row],[Resource Name]]="","id",COUNTA($C$3:ResourceAction[[#This Row],[Resource Name]])+IF(VLOOKUP('Table Seed Map'!$A$34,SeedMap[],9,0),VLOOKUP('Table Seed Map'!$A$34,SeedMap[],9,0),0))</f>
        <v>50006</v>
      </c>
      <c r="M8" s="70">
        <f>[No]</f>
        <v>50006</v>
      </c>
      <c r="N8" s="96" t="s">
        <v>123</v>
      </c>
      <c r="O8" s="97">
        <f ca="1">IF(ResourceAction[[#This Row],[Resource Name]]="","idn1",IF(ResourceAction[[#This Row],[IDN1]]="","",VLOOKUP(ResourceAction[[#This Row],[IDN1]],IDNMaps[[Display]:[ID]],2,0)))</f>
        <v>50006</v>
      </c>
      <c r="P8" s="97" t="str">
        <f>IF(ResourceAction[[#This Row],[Resource Name]]="","idn2",IF(ResourceAction[[#This Row],[IDN2]]="","",VLOOKUP(ResourceAction[[#This Row],[IDN2]],IDNMaps[[Display]:[ID]],2,0)))</f>
        <v/>
      </c>
      <c r="Q8" s="97" t="str">
        <f>IF(ResourceAction[[#This Row],[Resource Name]]="","idn3",IF(ResourceAction[[#This Row],[IDN3]]="","",VLOOKUP(ResourceAction[[#This Row],[IDN3]],IDNMaps[[Display]:[ID]],2,0)))</f>
        <v/>
      </c>
      <c r="R8" s="97" t="str">
        <f>IF(ResourceAction[[#This Row],[Resource Name]]="","idn4",IF(ResourceAction[[#This Row],[IDN4]]="","",VLOOKUP(ResourceAction[[#This Row],[IDN4]],IDNMaps[[Display]:[ID]],2,0)))</f>
        <v/>
      </c>
      <c r="S8" s="97" t="str">
        <f>IF(ResourceAction[[#This Row],[Resource Name]]="","idn5",IF(ResourceAction[[#This Row],[IDN5]]="","",VLOOKUP(ResourceAction[[#This Row],[IDN5]],IDNMaps[[Display]:[ID]],2,0)))</f>
        <v/>
      </c>
      <c r="T8" s="98" t="s">
        <v>897</v>
      </c>
      <c r="U8" s="98"/>
      <c r="V8" s="98"/>
      <c r="W8" s="98"/>
      <c r="X8" s="98"/>
      <c r="Y8" s="77">
        <f>[No]</f>
        <v>50006</v>
      </c>
      <c r="Z8"/>
      <c r="AA8" s="4" t="s">
        <v>928</v>
      </c>
      <c r="AB8" s="61">
        <f>VLOOKUP(ActionListNData[[#This Row],[Action Name]],ResourceAction[[Display]:[No]],3,0)</f>
        <v>50016</v>
      </c>
      <c r="AC8" s="61" t="s">
        <v>783</v>
      </c>
      <c r="AD8" s="61"/>
      <c r="AE8" s="61" t="str">
        <f>'Table Seed Map'!$A$36&amp;"-"&amp;COUNT($AH$2:ActionListNData[[#This Row],[List]])</f>
        <v>Action List-6</v>
      </c>
      <c r="AF8" s="61">
        <f>IF(ActionListNData[[#This Row],[Action Name]]="","id",COUNTA($AC$3:ActionListNData[[#This Row],[Resource List]])+IF(VLOOKUP('Table Seed Map'!$A$36,SeedMap[],9,0),VLOOKUP('Table Seed Map'!$A$36,SeedMap[],9,0),0))</f>
        <v>50006</v>
      </c>
      <c r="AG8" s="61">
        <f>ActionListNData[[#This Row],[Action]]</f>
        <v>50016</v>
      </c>
      <c r="AH8" s="61">
        <f>IF(ActionListNData[[#This Row],[Action Name]]="","resource_list",IFERROR(VLOOKUP(ActionListNData[[#This Row],[Resource List]],ResourceList[[ListDisplayName]:[No]],2,0),""))</f>
        <v>50005</v>
      </c>
      <c r="AI8" s="61" t="str">
        <f>'Table Seed Map'!$A$37&amp;"-"&amp;COUNT($AL$2:ActionListNData[[#This Row],[Data]])</f>
        <v>Action Data-0</v>
      </c>
      <c r="AJ8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8" s="61">
        <f>ActionListNData[[#This Row],[Action]]</f>
        <v>50016</v>
      </c>
      <c r="AL8" s="61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Map'!$A$33&amp;"-"&amp;(COUNTA($E$1:ResourceAction[[#This Row],[Resource]])-2)</f>
        <v>Resource Actions-7</v>
      </c>
      <c r="B9" s="70" t="str">
        <f>ResourceAction[[#This Row],[Resource Name]]&amp;"/"&amp;ResourceAction[[#This Row],[Name]]</f>
        <v>Visitor/VisitorAddAction</v>
      </c>
      <c r="C9" s="78" t="s">
        <v>575</v>
      </c>
      <c r="D9" s="70">
        <f>IF(ResourceAction[[#This Row],[Resource Name]]="","id",COUNTA($C$1:ResourceAction[[#This Row],[Resource Name]])-1+IF(VLOOKUP('Table Seed Map'!$A$33,SeedMap[],9,0),VLOOKUP('Table Seed Map'!$A$33,SeedMap[],9,0),0))</f>
        <v>50007</v>
      </c>
      <c r="E9" s="70">
        <f>IF(ResourceAction[[#This Row],[Resource Name]]="","resource",VLOOKUP(ResourceAction[[#This Row],[Resource Name]],ResourceTable[[RName]:[RID]],2,0))</f>
        <v>50005</v>
      </c>
      <c r="F9" s="70" t="s">
        <v>839</v>
      </c>
      <c r="G9" s="70" t="s">
        <v>840</v>
      </c>
      <c r="H9" s="70" t="s">
        <v>683</v>
      </c>
      <c r="I9" s="70"/>
      <c r="J9" s="70" t="s">
        <v>841</v>
      </c>
      <c r="K9" s="68" t="str">
        <f>'Table Seed Map'!$A$34&amp;"-"&amp;(COUNTA($E$1:ResourceAction[[#This Row],[Resource]])-2)</f>
        <v>Action Method-7</v>
      </c>
      <c r="L9" s="70">
        <f>IF(ResourceAction[[#This Row],[Resource Name]]="","id",COUNTA($C$3:ResourceAction[[#This Row],[Resource Name]])+IF(VLOOKUP('Table Seed Map'!$A$34,SeedMap[],9,0),VLOOKUP('Table Seed Map'!$A$34,SeedMap[],9,0),0))</f>
        <v>50007</v>
      </c>
      <c r="M9" s="70">
        <f>[No]</f>
        <v>50007</v>
      </c>
      <c r="N9" s="96" t="s">
        <v>122</v>
      </c>
      <c r="O9" s="97">
        <f ca="1">IF(ResourceAction[[#This Row],[Resource Name]]="","idn1",IF(ResourceAction[[#This Row],[IDN1]]="","",VLOOKUP(ResourceAction[[#This Row],[IDN1]],IDNMaps[[Display]:[ID]],2,0)))</f>
        <v>50003</v>
      </c>
      <c r="P9" s="97" t="str">
        <f>IF(ResourceAction[[#This Row],[Resource Name]]="","idn2",IF(ResourceAction[[#This Row],[IDN2]]="","",VLOOKUP(ResourceAction[[#This Row],[IDN2]],IDNMaps[[Display]:[ID]],2,0)))</f>
        <v/>
      </c>
      <c r="Q9" s="97" t="str">
        <f>IF(ResourceAction[[#This Row],[Resource Name]]="","idn3",IF(ResourceAction[[#This Row],[IDN3]]="","",VLOOKUP(ResourceAction[[#This Row],[IDN3]],IDNMaps[[Display]:[ID]],2,0)))</f>
        <v/>
      </c>
      <c r="R9" s="97" t="str">
        <f>IF(ResourceAction[[#This Row],[Resource Name]]="","idn4",IF(ResourceAction[[#This Row],[IDN4]]="","",VLOOKUP(ResourceAction[[#This Row],[IDN4]],IDNMaps[[Display]:[ID]],2,0)))</f>
        <v/>
      </c>
      <c r="S9" s="97" t="str">
        <f>IF(ResourceAction[[#This Row],[Resource Name]]="","idn5",IF(ResourceAction[[#This Row],[IDN5]]="","",VLOOKUP(ResourceAction[[#This Row],[IDN5]],IDNMaps[[Display]:[ID]],2,0)))</f>
        <v/>
      </c>
      <c r="T9" s="98" t="s">
        <v>898</v>
      </c>
      <c r="U9" s="98"/>
      <c r="V9" s="98"/>
      <c r="W9" s="98"/>
      <c r="X9" s="98"/>
      <c r="Y9" s="77">
        <f>[No]</f>
        <v>50007</v>
      </c>
      <c r="Z9"/>
      <c r="AA9" s="4" t="s">
        <v>929</v>
      </c>
      <c r="AB9" s="61">
        <f>VLOOKUP(ActionListNData[[#This Row],[Action Name]],ResourceAction[[Display]:[No]],3,0)</f>
        <v>50017</v>
      </c>
      <c r="AC9" s="61" t="s">
        <v>797</v>
      </c>
      <c r="AD9" s="61"/>
      <c r="AE9" s="61" t="str">
        <f>'Table Seed Map'!$A$36&amp;"-"&amp;COUNT($AH$2:ActionListNData[[#This Row],[List]])</f>
        <v>Action List-7</v>
      </c>
      <c r="AF9" s="61">
        <f>IF(ActionListNData[[#This Row],[Action Name]]="","id",COUNTA($AC$3:ActionListNData[[#This Row],[Resource List]])+IF(VLOOKUP('Table Seed Map'!$A$36,SeedMap[],9,0),VLOOKUP('Table Seed Map'!$A$36,SeedMap[],9,0),0))</f>
        <v>50007</v>
      </c>
      <c r="AG9" s="61">
        <f>ActionListNData[[#This Row],[Action]]</f>
        <v>50017</v>
      </c>
      <c r="AH9" s="61">
        <f>IF(ActionListNData[[#This Row],[Action Name]]="","resource_list",IFERROR(VLOOKUP(ActionListNData[[#This Row],[Resource List]],ResourceList[[ListDisplayName]:[No]],2,0),""))</f>
        <v>50010</v>
      </c>
      <c r="AI9" s="61" t="str">
        <f>'Table Seed Map'!$A$37&amp;"-"&amp;COUNT($AL$2:ActionListNData[[#This Row],[Data]])</f>
        <v>Action Data-0</v>
      </c>
      <c r="AJ9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9" s="61">
        <f>ActionListNData[[#This Row],[Action]]</f>
        <v>50017</v>
      </c>
      <c r="AL9" s="61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Map'!$A$33&amp;"-"&amp;(COUNTA($E$1:ResourceAction[[#This Row],[Resource]])-2)</f>
        <v>Resource Actions-8</v>
      </c>
      <c r="B10" s="70" t="str">
        <f>ResourceAction[[#This Row],[Resource Name]]&amp;"/"&amp;ResourceAction[[#This Row],[Name]]</f>
        <v>Wishlist/WishlistListAction</v>
      </c>
      <c r="C10" s="78" t="s">
        <v>578</v>
      </c>
      <c r="D10" s="70">
        <f>IF(ResourceAction[[#This Row],[Resource Name]]="","id",COUNTA($C$1:ResourceAction[[#This Row],[Resource Name]])-1+IF(VLOOKUP('Table Seed Map'!$A$33,SeedMap[],9,0),VLOOKUP('Table Seed Map'!$A$33,SeedMap[],9,0),0))</f>
        <v>50008</v>
      </c>
      <c r="E10" s="70">
        <f>IF(ResourceAction[[#This Row],[Resource Name]]="","resource",VLOOKUP(ResourceAction[[#This Row],[Resource Name]],ResourceTable[[RName]:[RID]],2,0))</f>
        <v>50006</v>
      </c>
      <c r="F10" s="70" t="s">
        <v>842</v>
      </c>
      <c r="G10" s="70" t="s">
        <v>843</v>
      </c>
      <c r="H10" s="70" t="s">
        <v>580</v>
      </c>
      <c r="I10" s="70"/>
      <c r="J10" s="70" t="s">
        <v>580</v>
      </c>
      <c r="K10" s="68" t="str">
        <f>'Table Seed Map'!$A$34&amp;"-"&amp;(COUNTA($E$1:ResourceAction[[#This Row],[Resource]])-2)</f>
        <v>Action Method-8</v>
      </c>
      <c r="L10" s="70">
        <f>IF(ResourceAction[[#This Row],[Resource Name]]="","id",COUNTA($C$3:ResourceAction[[#This Row],[Resource Name]])+IF(VLOOKUP('Table Seed Map'!$A$34,SeedMap[],9,0),VLOOKUP('Table Seed Map'!$A$34,SeedMap[],9,0),0))</f>
        <v>50008</v>
      </c>
      <c r="M10" s="70">
        <f>[No]</f>
        <v>50008</v>
      </c>
      <c r="N10" s="96" t="s">
        <v>123</v>
      </c>
      <c r="O10" s="97">
        <f ca="1">IF(ResourceAction[[#This Row],[Resource Name]]="","idn1",IF(ResourceAction[[#This Row],[IDN1]]="","",VLOOKUP(ResourceAction[[#This Row],[IDN1]],IDNMaps[[Display]:[ID]],2,0)))</f>
        <v>50007</v>
      </c>
      <c r="P10" s="97" t="str">
        <f>IF(ResourceAction[[#This Row],[Resource Name]]="","idn2",IF(ResourceAction[[#This Row],[IDN2]]="","",VLOOKUP(ResourceAction[[#This Row],[IDN2]],IDNMaps[[Display]:[ID]],2,0)))</f>
        <v/>
      </c>
      <c r="Q10" s="97" t="str">
        <f>IF(ResourceAction[[#This Row],[Resource Name]]="","idn3",IF(ResourceAction[[#This Row],[IDN3]]="","",VLOOKUP(ResourceAction[[#This Row],[IDN3]],IDNMaps[[Display]:[ID]],2,0)))</f>
        <v/>
      </c>
      <c r="R10" s="97" t="str">
        <f>IF(ResourceAction[[#This Row],[Resource Name]]="","idn4",IF(ResourceAction[[#This Row],[IDN4]]="","",VLOOKUP(ResourceAction[[#This Row],[IDN4]],IDNMaps[[Display]:[ID]],2,0)))</f>
        <v/>
      </c>
      <c r="S10" s="97" t="str">
        <f>IF(ResourceAction[[#This Row],[Resource Name]]="","idn5",IF(ResourceAction[[#This Row],[IDN5]]="","",VLOOKUP(ResourceAction[[#This Row],[IDN5]],IDNMaps[[Display]:[ID]],2,0)))</f>
        <v/>
      </c>
      <c r="T10" s="98" t="s">
        <v>899</v>
      </c>
      <c r="U10" s="98"/>
      <c r="V10" s="98"/>
      <c r="W10" s="98"/>
      <c r="X10" s="98"/>
      <c r="Y10" s="77">
        <f>[No]</f>
        <v>50008</v>
      </c>
      <c r="Z10"/>
      <c r="AA10" s="4" t="s">
        <v>930</v>
      </c>
      <c r="AB10" s="61">
        <f>VLOOKUP(ActionListNData[[#This Row],[Action Name]],ResourceAction[[Display]:[No]],3,0)</f>
        <v>50018</v>
      </c>
      <c r="AC10" s="61" t="s">
        <v>796</v>
      </c>
      <c r="AD10" s="61"/>
      <c r="AE10" s="61" t="str">
        <f>'Table Seed Map'!$A$36&amp;"-"&amp;COUNT($AH$2:ActionListNData[[#This Row],[List]])</f>
        <v>Action List-8</v>
      </c>
      <c r="AF10" s="61">
        <f>IF(ActionListNData[[#This Row],[Action Name]]="","id",COUNTA($AC$3:ActionListNData[[#This Row],[Resource List]])+IF(VLOOKUP('Table Seed Map'!$A$36,SeedMap[],9,0),VLOOKUP('Table Seed Map'!$A$36,SeedMap[],9,0),0))</f>
        <v>50008</v>
      </c>
      <c r="AG10" s="61">
        <f>ActionListNData[[#This Row],[Action]]</f>
        <v>50018</v>
      </c>
      <c r="AH10" s="61">
        <f>IF(ActionListNData[[#This Row],[Action Name]]="","resource_list",IFERROR(VLOOKUP(ActionListNData[[#This Row],[Resource List]],ResourceList[[ListDisplayName]:[No]],2,0),""))</f>
        <v>50006</v>
      </c>
      <c r="AI10" s="61" t="str">
        <f>'Table Seed Map'!$A$37&amp;"-"&amp;COUNT($AL$2:ActionListNData[[#This Row],[Data]])</f>
        <v>Action Data-0</v>
      </c>
      <c r="AJ10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0" s="61">
        <f>ActionListNData[[#This Row],[Action]]</f>
        <v>50018</v>
      </c>
      <c r="AL10" s="61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Map'!$A$33&amp;"-"&amp;(COUNTA($E$1:ResourceAction[[#This Row],[Resource]])-2)</f>
        <v>Resource Actions-9</v>
      </c>
      <c r="B11" s="70" t="str">
        <f>ResourceAction[[#This Row],[Resource Name]]&amp;"/"&amp;ResourceAction[[#This Row],[Name]]</f>
        <v>Wishlist/WishlistCreateAction</v>
      </c>
      <c r="C11" s="78" t="s">
        <v>578</v>
      </c>
      <c r="D11" s="70">
        <f>IF(ResourceAction[[#This Row],[Resource Name]]="","id",COUNTA($C$1:ResourceAction[[#This Row],[Resource Name]])-1+IF(VLOOKUP('Table Seed Map'!$A$33,SeedMap[],9,0),VLOOKUP('Table Seed Map'!$A$33,SeedMap[],9,0),0))</f>
        <v>50009</v>
      </c>
      <c r="E11" s="70">
        <f>IF(ResourceAction[[#This Row],[Resource Name]]="","resource",VLOOKUP(ResourceAction[[#This Row],[Resource Name]],ResourceTable[[RName]:[RID]],2,0))</f>
        <v>50006</v>
      </c>
      <c r="F11" s="70" t="s">
        <v>844</v>
      </c>
      <c r="G11" s="70" t="s">
        <v>845</v>
      </c>
      <c r="H11" s="70" t="s">
        <v>846</v>
      </c>
      <c r="I11" s="70"/>
      <c r="J11" s="70" t="s">
        <v>686</v>
      </c>
      <c r="K11" s="68" t="str">
        <f>'Table Seed Map'!$A$34&amp;"-"&amp;(COUNTA($E$1:ResourceAction[[#This Row],[Resource]])-2)</f>
        <v>Action Method-9</v>
      </c>
      <c r="L11" s="70">
        <f>IF(ResourceAction[[#This Row],[Resource Name]]="","id",COUNTA($C$3:ResourceAction[[#This Row],[Resource Name]])+IF(VLOOKUP('Table Seed Map'!$A$34,SeedMap[],9,0),VLOOKUP('Table Seed Map'!$A$34,SeedMap[],9,0),0))</f>
        <v>50009</v>
      </c>
      <c r="M11" s="70">
        <f>[No]</f>
        <v>50009</v>
      </c>
      <c r="N11" s="96" t="s">
        <v>122</v>
      </c>
      <c r="O11" s="97">
        <f ca="1">IF(ResourceAction[[#This Row],[Resource Name]]="","idn1",IF(ResourceAction[[#This Row],[IDN1]]="","",VLOOKUP(ResourceAction[[#This Row],[IDN1]],IDNMaps[[Display]:[ID]],2,0)))</f>
        <v>50004</v>
      </c>
      <c r="P11" s="97" t="str">
        <f>IF(ResourceAction[[#This Row],[Resource Name]]="","idn2",IF(ResourceAction[[#This Row],[IDN2]]="","",VLOOKUP(ResourceAction[[#This Row],[IDN2]],IDNMaps[[Display]:[ID]],2,0)))</f>
        <v/>
      </c>
      <c r="Q11" s="97" t="str">
        <f>IF(ResourceAction[[#This Row],[Resource Name]]="","idn3",IF(ResourceAction[[#This Row],[IDN3]]="","",VLOOKUP(ResourceAction[[#This Row],[IDN3]],IDNMaps[[Display]:[ID]],2,0)))</f>
        <v/>
      </c>
      <c r="R11" s="97" t="str">
        <f>IF(ResourceAction[[#This Row],[Resource Name]]="","idn4",IF(ResourceAction[[#This Row],[IDN4]]="","",VLOOKUP(ResourceAction[[#This Row],[IDN4]],IDNMaps[[Display]:[ID]],2,0)))</f>
        <v/>
      </c>
      <c r="S11" s="97" t="str">
        <f>IF(ResourceAction[[#This Row],[Resource Name]]="","idn5",IF(ResourceAction[[#This Row],[IDN5]]="","",VLOOKUP(ResourceAction[[#This Row],[IDN5]],IDNMaps[[Display]:[ID]],2,0)))</f>
        <v/>
      </c>
      <c r="T11" s="98" t="s">
        <v>900</v>
      </c>
      <c r="U11" s="98"/>
      <c r="V11" s="98"/>
      <c r="W11" s="98"/>
      <c r="X11" s="98"/>
      <c r="Y11" s="77">
        <f>[No]</f>
        <v>50009</v>
      </c>
      <c r="Z11"/>
      <c r="AA11" s="4" t="s">
        <v>931</v>
      </c>
      <c r="AB11" s="61">
        <f>VLOOKUP(ActionListNData[[#This Row],[Action Name]],ResourceAction[[Display]:[No]],3,0)</f>
        <v>50019</v>
      </c>
      <c r="AC11" s="61" t="s">
        <v>796</v>
      </c>
      <c r="AD11" s="61"/>
      <c r="AE11" s="61" t="str">
        <f>'Table Seed Map'!$A$36&amp;"-"&amp;COUNT($AH$2:ActionListNData[[#This Row],[List]])</f>
        <v>Action List-9</v>
      </c>
      <c r="AF11" s="61">
        <f>IF(ActionListNData[[#This Row],[Action Name]]="","id",COUNTA($AC$3:ActionListNData[[#This Row],[Resource List]])+IF(VLOOKUP('Table Seed Map'!$A$36,SeedMap[],9,0),VLOOKUP('Table Seed Map'!$A$36,SeedMap[],9,0),0))</f>
        <v>50009</v>
      </c>
      <c r="AG11" s="61">
        <f>ActionListNData[[#This Row],[Action]]</f>
        <v>50019</v>
      </c>
      <c r="AH11" s="61">
        <f>IF(ActionListNData[[#This Row],[Action Name]]="","resource_list",IFERROR(VLOOKUP(ActionListNData[[#This Row],[Resource List]],ResourceList[[ListDisplayName]:[No]],2,0),""))</f>
        <v>50006</v>
      </c>
      <c r="AI11" s="61" t="str">
        <f>'Table Seed Map'!$A$37&amp;"-"&amp;COUNT($AL$2:ActionListNData[[#This Row],[Data]])</f>
        <v>Action Data-0</v>
      </c>
      <c r="AJ11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1" s="61">
        <f>ActionListNData[[#This Row],[Action]]</f>
        <v>50019</v>
      </c>
      <c r="AL11" s="61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Map'!$A$33&amp;"-"&amp;(COUNTA($E$1:ResourceAction[[#This Row],[Resource]])-2)</f>
        <v>Resource Actions-10</v>
      </c>
      <c r="B12" s="70" t="str">
        <f>ResourceAction[[#This Row],[Resource Name]]&amp;"/"&amp;ResourceAction[[#This Row],[Name]]</f>
        <v>Wishlist/VendorWishlistAction</v>
      </c>
      <c r="C12" s="78" t="s">
        <v>578</v>
      </c>
      <c r="D12" s="70">
        <f>IF(ResourceAction[[#This Row],[Resource Name]]="","id",COUNTA($C$1:ResourceAction[[#This Row],[Resource Name]])-1+IF(VLOOKUP('Table Seed Map'!$A$33,SeedMap[],9,0),VLOOKUP('Table Seed Map'!$A$33,SeedMap[],9,0),0))</f>
        <v>50010</v>
      </c>
      <c r="E12" s="70">
        <f>IF(ResourceAction[[#This Row],[Resource Name]]="","resource",VLOOKUP(ResourceAction[[#This Row],[Resource Name]],ResourceTable[[RName]:[RID]],2,0))</f>
        <v>50006</v>
      </c>
      <c r="F12" s="70" t="s">
        <v>847</v>
      </c>
      <c r="G12" s="70" t="s">
        <v>848</v>
      </c>
      <c r="H12" s="70" t="s">
        <v>823</v>
      </c>
      <c r="I12" s="70"/>
      <c r="J12" s="70" t="s">
        <v>849</v>
      </c>
      <c r="K12" s="68" t="str">
        <f>'Table Seed Map'!$A$34&amp;"-"&amp;(COUNTA($E$1:ResourceAction[[#This Row],[Resource]])-2)</f>
        <v>Action Method-10</v>
      </c>
      <c r="L12" s="70">
        <f>IF(ResourceAction[[#This Row],[Resource Name]]="","id",COUNTA($C$3:ResourceAction[[#This Row],[Resource Name]])+IF(VLOOKUP('Table Seed Map'!$A$34,SeedMap[],9,0),VLOOKUP('Table Seed Map'!$A$34,SeedMap[],9,0),0))</f>
        <v>50010</v>
      </c>
      <c r="M12" s="70">
        <f>[No]</f>
        <v>50010</v>
      </c>
      <c r="N12" s="96" t="s">
        <v>123</v>
      </c>
      <c r="O12" s="97">
        <f ca="1">IF(ResourceAction[[#This Row],[Resource Name]]="","idn1",IF(ResourceAction[[#This Row],[IDN1]]="","",VLOOKUP(ResourceAction[[#This Row],[IDN1]],IDNMaps[[Display]:[ID]],2,0)))</f>
        <v>50008</v>
      </c>
      <c r="P12" s="97" t="str">
        <f>IF(ResourceAction[[#This Row],[Resource Name]]="","idn2",IF(ResourceAction[[#This Row],[IDN2]]="","",VLOOKUP(ResourceAction[[#This Row],[IDN2]],IDNMaps[[Display]:[ID]],2,0)))</f>
        <v/>
      </c>
      <c r="Q12" s="97" t="str">
        <f>IF(ResourceAction[[#This Row],[Resource Name]]="","idn3",IF(ResourceAction[[#This Row],[IDN3]]="","",VLOOKUP(ResourceAction[[#This Row],[IDN3]],IDNMaps[[Display]:[ID]],2,0)))</f>
        <v/>
      </c>
      <c r="R12" s="97" t="str">
        <f>IF(ResourceAction[[#This Row],[Resource Name]]="","idn4",IF(ResourceAction[[#This Row],[IDN4]]="","",VLOOKUP(ResourceAction[[#This Row],[IDN4]],IDNMaps[[Display]:[ID]],2,0)))</f>
        <v/>
      </c>
      <c r="S12" s="97" t="str">
        <f>IF(ResourceAction[[#This Row],[Resource Name]]="","idn5",IF(ResourceAction[[#This Row],[IDN5]]="","",VLOOKUP(ResourceAction[[#This Row],[IDN5]],IDNMaps[[Display]:[ID]],2,0)))</f>
        <v/>
      </c>
      <c r="T12" s="98" t="s">
        <v>901</v>
      </c>
      <c r="U12" s="98"/>
      <c r="V12" s="98"/>
      <c r="W12" s="98"/>
      <c r="X12" s="98"/>
      <c r="Y12" s="77">
        <f>[No]</f>
        <v>50010</v>
      </c>
      <c r="Z12"/>
      <c r="AA12" s="4" t="s">
        <v>932</v>
      </c>
      <c r="AB12" s="61">
        <f>VLOOKUP(ActionListNData[[#This Row],[Action Name]],ResourceAction[[Display]:[No]],3,0)</f>
        <v>50020</v>
      </c>
      <c r="AC12" s="61" t="s">
        <v>788</v>
      </c>
      <c r="AD12" s="61"/>
      <c r="AE12" s="61" t="str">
        <f>'Table Seed Map'!$A$36&amp;"-"&amp;COUNT($AH$2:ActionListNData[[#This Row],[List]])</f>
        <v>Action List-10</v>
      </c>
      <c r="AF12" s="61">
        <f>IF(ActionListNData[[#This Row],[Action Name]]="","id",COUNTA($AC$3:ActionListNData[[#This Row],[Resource List]])+IF(VLOOKUP('Table Seed Map'!$A$36,SeedMap[],9,0),VLOOKUP('Table Seed Map'!$A$36,SeedMap[],9,0),0))</f>
        <v>50010</v>
      </c>
      <c r="AG12" s="61">
        <f>ActionListNData[[#This Row],[Action]]</f>
        <v>50020</v>
      </c>
      <c r="AH12" s="61">
        <f>IF(ActionListNData[[#This Row],[Action Name]]="","resource_list",IFERROR(VLOOKUP(ActionListNData[[#This Row],[Resource List]],ResourceList[[ListDisplayName]:[No]],2,0),""))</f>
        <v>50007</v>
      </c>
      <c r="AI12" s="61" t="str">
        <f>'Table Seed Map'!$A$37&amp;"-"&amp;COUNT($AL$2:ActionListNData[[#This Row],[Data]])</f>
        <v>Action Data-0</v>
      </c>
      <c r="AJ12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2" s="61">
        <f>ActionListNData[[#This Row],[Action]]</f>
        <v>50020</v>
      </c>
      <c r="AL12" s="61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70" t="str">
        <f>'Table Seed Map'!$A$33&amp;"-"&amp;(COUNTA($E$1:ResourceAction[[#This Row],[Resource]])-2)</f>
        <v>Resource Actions-11</v>
      </c>
      <c r="B13" s="70" t="str">
        <f>ResourceAction[[#This Row],[Resource Name]]&amp;"/"&amp;ResourceAction[[#This Row],[Name]]</f>
        <v>GroupDetail/Group01ProductsListAction</v>
      </c>
      <c r="C13" s="78" t="s">
        <v>659</v>
      </c>
      <c r="D13" s="70">
        <f>IF(ResourceAction[[#This Row],[Resource Name]]="","id",COUNTA($C$1:ResourceAction[[#This Row],[Resource Name]])-1+IF(VLOOKUP('Table Seed Map'!$A$33,SeedMap[],9,0),VLOOKUP('Table Seed Map'!$A$33,SeedMap[],9,0),0))</f>
        <v>50011</v>
      </c>
      <c r="E13" s="70">
        <f>IF(ResourceAction[[#This Row],[Resource Name]]="","resource",VLOOKUP(ResourceAction[[#This Row],[Resource Name]],ResourceTable[[RName]:[RID]],2,0))</f>
        <v>50002</v>
      </c>
      <c r="F13" s="70" t="s">
        <v>953</v>
      </c>
      <c r="G13" s="70" t="s">
        <v>957</v>
      </c>
      <c r="H13" s="70" t="s">
        <v>571</v>
      </c>
      <c r="I13" s="70"/>
      <c r="J13" s="70"/>
      <c r="K13" s="68" t="str">
        <f>'Table Seed Map'!$A$34&amp;"-"&amp;(COUNTA($E$1:ResourceAction[[#This Row],[Resource]])-2)</f>
        <v>Action Method-11</v>
      </c>
      <c r="L13" s="70">
        <f>IF(ResourceAction[[#This Row],[Resource Name]]="","id",COUNTA($C$3:ResourceAction[[#This Row],[Resource Name]])+IF(VLOOKUP('Table Seed Map'!$A$34,SeedMap[],9,0),VLOOKUP('Table Seed Map'!$A$34,SeedMap[],9,0),0))</f>
        <v>50011</v>
      </c>
      <c r="M13" s="70">
        <f>[No]</f>
        <v>50011</v>
      </c>
      <c r="N13" s="96" t="s">
        <v>889</v>
      </c>
      <c r="O13" s="97">
        <f ca="1">IF(ResourceAction[[#This Row],[Resource Name]]="","idn1",IF(ResourceAction[[#This Row],[IDN1]]="","",VLOOKUP(ResourceAction[[#This Row],[IDN1]],IDNMaps[[Display]:[ID]],2,0)))</f>
        <v>50001</v>
      </c>
      <c r="P13" s="97">
        <f ca="1">IF(ResourceAction[[#This Row],[Resource Name]]="","idn2",IF(ResourceAction[[#This Row],[IDN2]]="","",VLOOKUP(ResourceAction[[#This Row],[IDN2]],IDNMaps[[Display]:[ID]],2,0)))</f>
        <v>50005</v>
      </c>
      <c r="Q13" s="97" t="str">
        <f>IF(ResourceAction[[#This Row],[Resource Name]]="","idn3",IF(ResourceAction[[#This Row],[IDN3]]="","",VLOOKUP(ResourceAction[[#This Row],[IDN3]],IDNMaps[[Display]:[ID]],2,0)))</f>
        <v/>
      </c>
      <c r="R13" s="97" t="str">
        <f>IF(ResourceAction[[#This Row],[Resource Name]]="","idn4",IF(ResourceAction[[#This Row],[IDN4]]="","",VLOOKUP(ResourceAction[[#This Row],[IDN4]],IDNMaps[[Display]:[ID]],2,0)))</f>
        <v/>
      </c>
      <c r="S13" s="97" t="str">
        <f>IF(ResourceAction[[#This Row],[Resource Name]]="","idn5",IF(ResourceAction[[#This Row],[IDN5]]="","",VLOOKUP(ResourceAction[[#This Row],[IDN5]],IDNMaps[[Display]:[ID]],2,0)))</f>
        <v/>
      </c>
      <c r="T13" s="98" t="s">
        <v>902</v>
      </c>
      <c r="U13" s="98" t="s">
        <v>896</v>
      </c>
      <c r="V13" s="98"/>
      <c r="W13" s="98"/>
      <c r="X13" s="98"/>
      <c r="Y13" s="77">
        <f>[No]</f>
        <v>50011</v>
      </c>
      <c r="AA13" s="4" t="s">
        <v>933</v>
      </c>
      <c r="AB13" s="61">
        <f>VLOOKUP(ActionListNData[[#This Row],[Action Name]],ResourceAction[[Display]:[No]],3,0)</f>
        <v>50021</v>
      </c>
      <c r="AC13" s="61" t="s">
        <v>788</v>
      </c>
      <c r="AD13" s="61"/>
      <c r="AE13" s="61" t="str">
        <f>'Table Seed Map'!$A$36&amp;"-"&amp;COUNT($AH$2:ActionListNData[[#This Row],[List]])</f>
        <v>Action List-11</v>
      </c>
      <c r="AF13" s="61">
        <f>IF(ActionListNData[[#This Row],[Action Name]]="","id",COUNTA($AC$3:ActionListNData[[#This Row],[Resource List]])+IF(VLOOKUP('Table Seed Map'!$A$36,SeedMap[],9,0),VLOOKUP('Table Seed Map'!$A$36,SeedMap[],9,0),0))</f>
        <v>50011</v>
      </c>
      <c r="AG13" s="61">
        <f>ActionListNData[[#This Row],[Action]]</f>
        <v>50021</v>
      </c>
      <c r="AH13" s="61">
        <f>IF(ActionListNData[[#This Row],[Action Name]]="","resource_list",IFERROR(VLOOKUP(ActionListNData[[#This Row],[Resource List]],ResourceList[[ListDisplayName]:[No]],2,0),""))</f>
        <v>50007</v>
      </c>
      <c r="AI13" s="61" t="str">
        <f>'Table Seed Map'!$A$37&amp;"-"&amp;COUNT($AL$2:ActionListNData[[#This Row],[Data]])</f>
        <v>Action Data-0</v>
      </c>
      <c r="AJ13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3" s="61">
        <f>ActionListNData[[#This Row],[Action]]</f>
        <v>50021</v>
      </c>
      <c r="AL13" s="61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0" t="str">
        <f>'Table Seed Map'!$A$33&amp;"-"&amp;(COUNTA($E$1:ResourceAction[[#This Row],[Resource]])-2)</f>
        <v>Resource Actions-12</v>
      </c>
      <c r="B14" s="70" t="str">
        <f>ResourceAction[[#This Row],[Resource Name]]&amp;"/"&amp;ResourceAction[[#This Row],[Name]]</f>
        <v>GroupDetail/Group02ProductsListAction</v>
      </c>
      <c r="C14" s="78" t="s">
        <v>659</v>
      </c>
      <c r="D14" s="70">
        <f>IF(ResourceAction[[#This Row],[Resource Name]]="","id",COUNTA($C$1:ResourceAction[[#This Row],[Resource Name]])-1+IF(VLOOKUP('Table Seed Map'!$A$33,SeedMap[],9,0),VLOOKUP('Table Seed Map'!$A$33,SeedMap[],9,0),0))</f>
        <v>50012</v>
      </c>
      <c r="E14" s="70">
        <f>IF(ResourceAction[[#This Row],[Resource Name]]="","resource",VLOOKUP(ResourceAction[[#This Row],[Resource Name]],ResourceTable[[RName]:[RID]],2,0))</f>
        <v>50002</v>
      </c>
      <c r="F14" s="70" t="s">
        <v>954</v>
      </c>
      <c r="G14" s="70" t="s">
        <v>960</v>
      </c>
      <c r="H14" s="70" t="s">
        <v>571</v>
      </c>
      <c r="I14" s="70"/>
      <c r="J14" s="70"/>
      <c r="K14" s="68" t="str">
        <f>'Table Seed Map'!$A$34&amp;"-"&amp;(COUNTA($E$1:ResourceAction[[#This Row],[Resource]])-2)</f>
        <v>Action Method-12</v>
      </c>
      <c r="L14" s="70">
        <f>IF(ResourceAction[[#This Row],[Resource Name]]="","id",COUNTA($C$3:ResourceAction[[#This Row],[Resource Name]])+IF(VLOOKUP('Table Seed Map'!$A$34,SeedMap[],9,0),VLOOKUP('Table Seed Map'!$A$34,SeedMap[],9,0),0))</f>
        <v>50012</v>
      </c>
      <c r="M14" s="70">
        <f>[No]</f>
        <v>50012</v>
      </c>
      <c r="N14" s="96" t="s">
        <v>889</v>
      </c>
      <c r="O14" s="97">
        <f ca="1">IF(ResourceAction[[#This Row],[Resource Name]]="","idn1",IF(ResourceAction[[#This Row],[IDN1]]="","",VLOOKUP(ResourceAction[[#This Row],[IDN1]],IDNMaps[[Display]:[ID]],2,0)))</f>
        <v>50002</v>
      </c>
      <c r="P14" s="97">
        <f ca="1">IF(ResourceAction[[#This Row],[Resource Name]]="","idn2",IF(ResourceAction[[#This Row],[IDN2]]="","",VLOOKUP(ResourceAction[[#This Row],[IDN2]],IDNMaps[[Display]:[ID]],2,0)))</f>
        <v>50005</v>
      </c>
      <c r="Q14" s="97" t="str">
        <f>IF(ResourceAction[[#This Row],[Resource Name]]="","idn3",IF(ResourceAction[[#This Row],[IDN3]]="","",VLOOKUP(ResourceAction[[#This Row],[IDN3]],IDNMaps[[Display]:[ID]],2,0)))</f>
        <v/>
      </c>
      <c r="R14" s="97" t="str">
        <f>IF(ResourceAction[[#This Row],[Resource Name]]="","idn4",IF(ResourceAction[[#This Row],[IDN4]]="","",VLOOKUP(ResourceAction[[#This Row],[IDN4]],IDNMaps[[Display]:[ID]],2,0)))</f>
        <v/>
      </c>
      <c r="S14" s="97" t="str">
        <f>IF(ResourceAction[[#This Row],[Resource Name]]="","idn5",IF(ResourceAction[[#This Row],[IDN5]]="","",VLOOKUP(ResourceAction[[#This Row],[IDN5]],IDNMaps[[Display]:[ID]],2,0)))</f>
        <v/>
      </c>
      <c r="T14" s="98" t="s">
        <v>903</v>
      </c>
      <c r="U14" s="98" t="s">
        <v>896</v>
      </c>
      <c r="V14" s="98"/>
      <c r="W14" s="98"/>
      <c r="X14" s="98"/>
      <c r="Y14" s="77">
        <f>[No]</f>
        <v>50012</v>
      </c>
      <c r="AA14" s="4" t="s">
        <v>934</v>
      </c>
      <c r="AB14" s="61">
        <f>VLOOKUP(ActionListNData[[#This Row],[Action Name]],ResourceAction[[Display]:[No]],3,0)</f>
        <v>50022</v>
      </c>
      <c r="AC14" s="61" t="s">
        <v>796</v>
      </c>
      <c r="AD14" s="61"/>
      <c r="AE14" s="61" t="str">
        <f>'Table Seed Map'!$A$36&amp;"-"&amp;COUNT($AH$2:ActionListNData[[#This Row],[List]])</f>
        <v>Action List-12</v>
      </c>
      <c r="AF14" s="61">
        <f>IF(ActionListNData[[#This Row],[Action Name]]="","id",COUNTA($AC$3:ActionListNData[[#This Row],[Resource List]])+IF(VLOOKUP('Table Seed Map'!$A$36,SeedMap[],9,0),VLOOKUP('Table Seed Map'!$A$36,SeedMap[],9,0),0))</f>
        <v>50012</v>
      </c>
      <c r="AG14" s="61">
        <f>ActionListNData[[#This Row],[Action]]</f>
        <v>50022</v>
      </c>
      <c r="AH14" s="61">
        <f>IF(ActionListNData[[#This Row],[Action Name]]="","resource_list",IFERROR(VLOOKUP(ActionListNData[[#This Row],[Resource List]],ResourceList[[ListDisplayName]:[No]],2,0),""))</f>
        <v>50006</v>
      </c>
      <c r="AI14" s="61" t="str">
        <f>'Table Seed Map'!$A$37&amp;"-"&amp;COUNT($AL$2:ActionListNData[[#This Row],[Data]])</f>
        <v>Action Data-0</v>
      </c>
      <c r="AJ14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4" s="61">
        <f>ActionListNData[[#This Row],[Action]]</f>
        <v>50022</v>
      </c>
      <c r="AL14" s="61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70" t="str">
        <f>'Table Seed Map'!$A$33&amp;"-"&amp;(COUNTA($E$1:ResourceAction[[#This Row],[Resource]])-2)</f>
        <v>Resource Actions-13</v>
      </c>
      <c r="B15" s="70" t="str">
        <f>ResourceAction[[#This Row],[Resource Name]]&amp;"/"&amp;ResourceAction[[#This Row],[Name]]</f>
        <v>GroupDetail/Group03ProductsListAction</v>
      </c>
      <c r="C15" s="78" t="s">
        <v>659</v>
      </c>
      <c r="D15" s="70">
        <f>IF(ResourceAction[[#This Row],[Resource Name]]="","id",COUNTA($C$1:ResourceAction[[#This Row],[Resource Name]])-1+IF(VLOOKUP('Table Seed Map'!$A$33,SeedMap[],9,0),VLOOKUP('Table Seed Map'!$A$33,SeedMap[],9,0),0))</f>
        <v>50013</v>
      </c>
      <c r="E15" s="70">
        <f>IF(ResourceAction[[#This Row],[Resource Name]]="","resource",VLOOKUP(ResourceAction[[#This Row],[Resource Name]],ResourceTable[[RName]:[RID]],2,0))</f>
        <v>50002</v>
      </c>
      <c r="F15" s="70" t="s">
        <v>955</v>
      </c>
      <c r="G15" s="70" t="s">
        <v>959</v>
      </c>
      <c r="H15" s="70" t="s">
        <v>571</v>
      </c>
      <c r="I15" s="70"/>
      <c r="J15" s="70"/>
      <c r="K15" s="68" t="str">
        <f>'Table Seed Map'!$A$34&amp;"-"&amp;(COUNTA($E$1:ResourceAction[[#This Row],[Resource]])-2)</f>
        <v>Action Method-13</v>
      </c>
      <c r="L15" s="70">
        <f>IF(ResourceAction[[#This Row],[Resource Name]]="","id",COUNTA($C$3:ResourceAction[[#This Row],[Resource Name]])+IF(VLOOKUP('Table Seed Map'!$A$34,SeedMap[],9,0),VLOOKUP('Table Seed Map'!$A$34,SeedMap[],9,0),0))</f>
        <v>50013</v>
      </c>
      <c r="M15" s="70">
        <f>[No]</f>
        <v>50013</v>
      </c>
      <c r="N15" s="96" t="s">
        <v>889</v>
      </c>
      <c r="O15" s="97">
        <f ca="1">IF(ResourceAction[[#This Row],[Resource Name]]="","idn1",IF(ResourceAction[[#This Row],[IDN1]]="","",VLOOKUP(ResourceAction[[#This Row],[IDN1]],IDNMaps[[Display]:[ID]],2,0)))</f>
        <v>50003</v>
      </c>
      <c r="P15" s="97">
        <f ca="1">IF(ResourceAction[[#This Row],[Resource Name]]="","idn2",IF(ResourceAction[[#This Row],[IDN2]]="","",VLOOKUP(ResourceAction[[#This Row],[IDN2]],IDNMaps[[Display]:[ID]],2,0)))</f>
        <v>50005</v>
      </c>
      <c r="Q15" s="97" t="str">
        <f>IF(ResourceAction[[#This Row],[Resource Name]]="","idn3",IF(ResourceAction[[#This Row],[IDN3]]="","",VLOOKUP(ResourceAction[[#This Row],[IDN3]],IDNMaps[[Display]:[ID]],2,0)))</f>
        <v/>
      </c>
      <c r="R15" s="97" t="str">
        <f>IF(ResourceAction[[#This Row],[Resource Name]]="","idn4",IF(ResourceAction[[#This Row],[IDN4]]="","",VLOOKUP(ResourceAction[[#This Row],[IDN4]],IDNMaps[[Display]:[ID]],2,0)))</f>
        <v/>
      </c>
      <c r="S15" s="97" t="str">
        <f>IF(ResourceAction[[#This Row],[Resource Name]]="","idn5",IF(ResourceAction[[#This Row],[IDN5]]="","",VLOOKUP(ResourceAction[[#This Row],[IDN5]],IDNMaps[[Display]:[ID]],2,0)))</f>
        <v/>
      </c>
      <c r="T15" s="98" t="s">
        <v>904</v>
      </c>
      <c r="U15" s="98" t="s">
        <v>896</v>
      </c>
      <c r="V15" s="98"/>
      <c r="W15" s="98"/>
      <c r="X15" s="98"/>
      <c r="Y15" s="77">
        <f>[No]</f>
        <v>50013</v>
      </c>
      <c r="AA15" s="4" t="s">
        <v>935</v>
      </c>
      <c r="AB15" s="61">
        <f>VLOOKUP(ActionListNData[[#This Row],[Action Name]],ResourceAction[[Display]:[No]],3,0)</f>
        <v>50023</v>
      </c>
      <c r="AC15" s="61" t="s">
        <v>788</v>
      </c>
      <c r="AD15" s="61"/>
      <c r="AE15" s="61" t="str">
        <f>'Table Seed Map'!$A$36&amp;"-"&amp;COUNT($AH$2:ActionListNData[[#This Row],[List]])</f>
        <v>Action List-13</v>
      </c>
      <c r="AF15" s="61">
        <f>IF(ActionListNData[[#This Row],[Action Name]]="","id",COUNTA($AC$3:ActionListNData[[#This Row],[Resource List]])+IF(VLOOKUP('Table Seed Map'!$A$36,SeedMap[],9,0),VLOOKUP('Table Seed Map'!$A$36,SeedMap[],9,0),0))</f>
        <v>50013</v>
      </c>
      <c r="AG15" s="61">
        <f>ActionListNData[[#This Row],[Action]]</f>
        <v>50023</v>
      </c>
      <c r="AH15" s="61">
        <f>IF(ActionListNData[[#This Row],[Action Name]]="","resource_list",IFERROR(VLOOKUP(ActionListNData[[#This Row],[Resource List]],ResourceList[[ListDisplayName]:[No]],2,0),""))</f>
        <v>50007</v>
      </c>
      <c r="AI15" s="61" t="str">
        <f>'Table Seed Map'!$A$37&amp;"-"&amp;COUNT($AL$2:ActionListNData[[#This Row],[Data]])</f>
        <v>Action Data-0</v>
      </c>
      <c r="AJ15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5" s="61">
        <f>ActionListNData[[#This Row],[Action]]</f>
        <v>50023</v>
      </c>
      <c r="AL15" s="61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0" t="str">
        <f>'Table Seed Map'!$A$33&amp;"-"&amp;(COUNTA($E$1:ResourceAction[[#This Row],[Resource]])-2)</f>
        <v>Resource Actions-14</v>
      </c>
      <c r="B16" s="70" t="str">
        <f>ResourceAction[[#This Row],[Resource Name]]&amp;"/"&amp;ResourceAction[[#This Row],[Name]]</f>
        <v>GroupDetail/Group04ProductsListAction</v>
      </c>
      <c r="C16" s="78" t="s">
        <v>659</v>
      </c>
      <c r="D16" s="70">
        <f>IF(ResourceAction[[#This Row],[Resource Name]]="","id",COUNTA($C$1:ResourceAction[[#This Row],[Resource Name]])-1+IF(VLOOKUP('Table Seed Map'!$A$33,SeedMap[],9,0),VLOOKUP('Table Seed Map'!$A$33,SeedMap[],9,0),0))</f>
        <v>50014</v>
      </c>
      <c r="E16" s="70">
        <f>IF(ResourceAction[[#This Row],[Resource Name]]="","resource",VLOOKUP(ResourceAction[[#This Row],[Resource Name]],ResourceTable[[RName]:[RID]],2,0))</f>
        <v>50002</v>
      </c>
      <c r="F16" s="70" t="s">
        <v>956</v>
      </c>
      <c r="G16" s="70" t="s">
        <v>958</v>
      </c>
      <c r="H16" s="70" t="s">
        <v>571</v>
      </c>
      <c r="I16" s="70"/>
      <c r="J16" s="70"/>
      <c r="K16" s="68" t="str">
        <f>'Table Seed Map'!$A$34&amp;"-"&amp;(COUNTA($E$1:ResourceAction[[#This Row],[Resource]])-2)</f>
        <v>Action Method-14</v>
      </c>
      <c r="L16" s="70">
        <f>IF(ResourceAction[[#This Row],[Resource Name]]="","id",COUNTA($C$3:ResourceAction[[#This Row],[Resource Name]])+IF(VLOOKUP('Table Seed Map'!$A$34,SeedMap[],9,0),VLOOKUP('Table Seed Map'!$A$34,SeedMap[],9,0),0))</f>
        <v>50014</v>
      </c>
      <c r="M16" s="70">
        <f>[No]</f>
        <v>50014</v>
      </c>
      <c r="N16" s="96" t="s">
        <v>889</v>
      </c>
      <c r="O16" s="97">
        <f ca="1">IF(ResourceAction[[#This Row],[Resource Name]]="","idn1",IF(ResourceAction[[#This Row],[IDN1]]="","",VLOOKUP(ResourceAction[[#This Row],[IDN1]],IDNMaps[[Display]:[ID]],2,0)))</f>
        <v>50004</v>
      </c>
      <c r="P16" s="97">
        <f ca="1">IF(ResourceAction[[#This Row],[Resource Name]]="","idn2",IF(ResourceAction[[#This Row],[IDN2]]="","",VLOOKUP(ResourceAction[[#This Row],[IDN2]],IDNMaps[[Display]:[ID]],2,0)))</f>
        <v>50005</v>
      </c>
      <c r="Q16" s="97" t="str">
        <f>IF(ResourceAction[[#This Row],[Resource Name]]="","idn3",IF(ResourceAction[[#This Row],[IDN3]]="","",VLOOKUP(ResourceAction[[#This Row],[IDN3]],IDNMaps[[Display]:[ID]],2,0)))</f>
        <v/>
      </c>
      <c r="R16" s="97" t="str">
        <f>IF(ResourceAction[[#This Row],[Resource Name]]="","idn4",IF(ResourceAction[[#This Row],[IDN4]]="","",VLOOKUP(ResourceAction[[#This Row],[IDN4]],IDNMaps[[Display]:[ID]],2,0)))</f>
        <v/>
      </c>
      <c r="S16" s="97" t="str">
        <f>IF(ResourceAction[[#This Row],[Resource Name]]="","idn5",IF(ResourceAction[[#This Row],[IDN5]]="","",VLOOKUP(ResourceAction[[#This Row],[IDN5]],IDNMaps[[Display]:[ID]],2,0)))</f>
        <v/>
      </c>
      <c r="T16" s="98" t="s">
        <v>905</v>
      </c>
      <c r="U16" s="98" t="s">
        <v>896</v>
      </c>
      <c r="V16" s="98"/>
      <c r="W16" s="98"/>
      <c r="X16" s="98"/>
      <c r="Y16" s="77">
        <f>[No]</f>
        <v>50014</v>
      </c>
      <c r="AA16" s="4" t="s">
        <v>936</v>
      </c>
      <c r="AB16" s="61">
        <f>VLOOKUP(ActionListNData[[#This Row],[Action Name]],ResourceAction[[Display]:[No]],3,0)</f>
        <v>50024</v>
      </c>
      <c r="AC16" s="61" t="s">
        <v>788</v>
      </c>
      <c r="AD16" s="61" t="s">
        <v>816</v>
      </c>
      <c r="AE16" s="61" t="str">
        <f>'Table Seed Map'!$A$36&amp;"-"&amp;COUNT($AH$2:ActionListNData[[#This Row],[List]])</f>
        <v>Action List-14</v>
      </c>
      <c r="AF16" s="61">
        <f>IF(ActionListNData[[#This Row],[Action Name]]="","id",COUNTA($AC$3:ActionListNData[[#This Row],[Resource List]])+IF(VLOOKUP('Table Seed Map'!$A$36,SeedMap[],9,0),VLOOKUP('Table Seed Map'!$A$36,SeedMap[],9,0),0))</f>
        <v>50014</v>
      </c>
      <c r="AG16" s="61">
        <f>ActionListNData[[#This Row],[Action]]</f>
        <v>50024</v>
      </c>
      <c r="AH16" s="61">
        <f>IF(ActionListNData[[#This Row],[Action Name]]="","resource_list",IFERROR(VLOOKUP(ActionListNData[[#This Row],[Resource List]],ResourceList[[ListDisplayName]:[No]],2,0),""))</f>
        <v>50007</v>
      </c>
      <c r="AI16" s="61" t="str">
        <f>'Table Seed Map'!$A$37&amp;"-"&amp;COUNT($AL$2:ActionListNData[[#This Row],[Data]])</f>
        <v>Action Data-1</v>
      </c>
      <c r="AJ16" s="61">
        <f>IF(ActionListNData[[#This Row],[Action Name]]="","id",COUNTA($AD$3:ActionListNData[[#This Row],[Resource Data]])+IF(VLOOKUP('Table Seed Map'!$A$37,SeedMap[],9,0),VLOOKUP('Table Seed Map'!$A$37,SeedMap[],9,0),0))</f>
        <v>50001</v>
      </c>
      <c r="AK16" s="61">
        <f>ActionListNData[[#This Row],[Action]]</f>
        <v>50024</v>
      </c>
      <c r="AL16" s="61">
        <f>IF(ActionListNData[[#This Row],[Action Name]]="","resource_data",IFERROR(VLOOKUP(ActionListNData[[#This Row],[Resource Data]],ResourceData[[DataDisplayName]:[No]],2,0),""))</f>
        <v>50003</v>
      </c>
    </row>
    <row r="17" spans="1:38">
      <c r="A17" s="70" t="str">
        <f>'Table Seed Map'!$A$33&amp;"-"&amp;(COUNTA($E$1:ResourceAction[[#This Row],[Resource]])-2)</f>
        <v>Resource Actions-15</v>
      </c>
      <c r="B17" s="70" t="str">
        <f>ResourceAction[[#This Row],[Resource Name]]&amp;"/"&amp;ResourceAction[[#This Row],[Name]]</f>
        <v>Product/AddProductImageAction</v>
      </c>
      <c r="C17" s="78" t="s">
        <v>569</v>
      </c>
      <c r="D17" s="70">
        <f>IF(ResourceAction[[#This Row],[Resource Name]]="","id",COUNTA($C$1:ResourceAction[[#This Row],[Resource Name]])-1+IF(VLOOKUP('Table Seed Map'!$A$33,SeedMap[],9,0),VLOOKUP('Table Seed Map'!$A$33,SeedMap[],9,0),0))</f>
        <v>50015</v>
      </c>
      <c r="E17" s="70">
        <f>IF(ResourceAction[[#This Row],[Resource Name]]="","resource",VLOOKUP(ResourceAction[[#This Row],[Resource Name]],ResourceTable[[RName]:[RID]],2,0))</f>
        <v>50003</v>
      </c>
      <c r="F17" s="70" t="s">
        <v>850</v>
      </c>
      <c r="G17" s="70" t="s">
        <v>851</v>
      </c>
      <c r="H17" s="70" t="s">
        <v>676</v>
      </c>
      <c r="I17" s="70"/>
      <c r="J17" s="70"/>
      <c r="K17" s="68" t="str">
        <f>'Table Seed Map'!$A$34&amp;"-"&amp;(COUNTA($E$1:ResourceAction[[#This Row],[Resource]])-2)</f>
        <v>Action Method-15</v>
      </c>
      <c r="L17" s="70">
        <f>IF(ResourceAction[[#This Row],[Resource Name]]="","id",COUNTA($C$3:ResourceAction[[#This Row],[Resource Name]])+IF(VLOOKUP('Table Seed Map'!$A$34,SeedMap[],9,0),VLOOKUP('Table Seed Map'!$A$34,SeedMap[],9,0),0))</f>
        <v>50015</v>
      </c>
      <c r="M17" s="70">
        <f>[No]</f>
        <v>50015</v>
      </c>
      <c r="N17" s="96" t="s">
        <v>890</v>
      </c>
      <c r="O17" s="97">
        <f ca="1">IF(ResourceAction[[#This Row],[Resource Name]]="","idn1",IF(ResourceAction[[#This Row],[IDN1]]="","",VLOOKUP(ResourceAction[[#This Row],[IDN1]],IDNMaps[[Display]:[ID]],2,0)))</f>
        <v>50009</v>
      </c>
      <c r="P17" s="97">
        <f ca="1">IF(ResourceAction[[#This Row],[Resource Name]]="","idn2",IF(ResourceAction[[#This Row],[IDN2]]="","",VLOOKUP(ResourceAction[[#This Row],[IDN2]],IDNMaps[[Display]:[ID]],2,0)))</f>
        <v>50001</v>
      </c>
      <c r="Q17" s="97" t="str">
        <f>IF(ResourceAction[[#This Row],[Resource Name]]="","idn3",IF(ResourceAction[[#This Row],[IDN3]]="","",VLOOKUP(ResourceAction[[#This Row],[IDN3]],IDNMaps[[Display]:[ID]],2,0)))</f>
        <v/>
      </c>
      <c r="R17" s="97" t="str">
        <f>IF(ResourceAction[[#This Row],[Resource Name]]="","idn4",IF(ResourceAction[[#This Row],[IDN4]]="","",VLOOKUP(ResourceAction[[#This Row],[IDN4]],IDNMaps[[Display]:[ID]],2,0)))</f>
        <v/>
      </c>
      <c r="S17" s="97" t="str">
        <f>IF(ResourceAction[[#This Row],[Resource Name]]="","idn5",IF(ResourceAction[[#This Row],[IDN5]]="","",VLOOKUP(ResourceAction[[#This Row],[IDN5]],IDNMaps[[Display]:[ID]],2,0)))</f>
        <v/>
      </c>
      <c r="T17" s="98" t="s">
        <v>906</v>
      </c>
      <c r="U17" s="98" t="s">
        <v>919</v>
      </c>
      <c r="V17" s="98"/>
      <c r="W17" s="98"/>
      <c r="X17" s="98"/>
      <c r="Y17" s="77">
        <f>[No]</f>
        <v>50015</v>
      </c>
      <c r="AA17" s="4" t="s">
        <v>937</v>
      </c>
      <c r="AB17" s="61">
        <f>VLOOKUP(ActionListNData[[#This Row],[Action Name]],ResourceAction[[Display]:[No]],3,0)</f>
        <v>50025</v>
      </c>
      <c r="AC17" s="61" t="s">
        <v>788</v>
      </c>
      <c r="AD17" s="61" t="s">
        <v>816</v>
      </c>
      <c r="AE17" s="61" t="str">
        <f>'Table Seed Map'!$A$36&amp;"-"&amp;COUNT($AH$2:ActionListNData[[#This Row],[List]])</f>
        <v>Action List-15</v>
      </c>
      <c r="AF17" s="61">
        <f>IF(ActionListNData[[#This Row],[Action Name]]="","id",COUNTA($AC$3:ActionListNData[[#This Row],[Resource List]])+IF(VLOOKUP('Table Seed Map'!$A$36,SeedMap[],9,0),VLOOKUP('Table Seed Map'!$A$36,SeedMap[],9,0),0))</f>
        <v>50015</v>
      </c>
      <c r="AG17" s="61">
        <f>ActionListNData[[#This Row],[Action]]</f>
        <v>50025</v>
      </c>
      <c r="AH17" s="61">
        <f>IF(ActionListNData[[#This Row],[Action Name]]="","resource_list",IFERROR(VLOOKUP(ActionListNData[[#This Row],[Resource List]],ResourceList[[ListDisplayName]:[No]],2,0),""))</f>
        <v>50007</v>
      </c>
      <c r="AI17" s="61" t="str">
        <f>'Table Seed Map'!$A$37&amp;"-"&amp;COUNT($AL$2:ActionListNData[[#This Row],[Data]])</f>
        <v>Action Data-2</v>
      </c>
      <c r="AJ17" s="61">
        <f>IF(ActionListNData[[#This Row],[Action Name]]="","id",COUNTA($AD$3:ActionListNData[[#This Row],[Resource Data]])+IF(VLOOKUP('Table Seed Map'!$A$37,SeedMap[],9,0),VLOOKUP('Table Seed Map'!$A$37,SeedMap[],9,0),0))</f>
        <v>50002</v>
      </c>
      <c r="AK17" s="61">
        <f>ActionListNData[[#This Row],[Action]]</f>
        <v>50025</v>
      </c>
      <c r="AL17" s="61">
        <f>IF(ActionListNData[[#This Row],[Action Name]]="","resource_data",IFERROR(VLOOKUP(ActionListNData[[#This Row],[Resource Data]],ResourceData[[DataDisplayName]:[No]],2,0),""))</f>
        <v>50003</v>
      </c>
    </row>
    <row r="18" spans="1:38">
      <c r="A18" s="70" t="str">
        <f>'Table Seed Map'!$A$33&amp;"-"&amp;(COUNTA($E$1:ResourceAction[[#This Row],[Resource]])-2)</f>
        <v>Resource Actions-16</v>
      </c>
      <c r="B18" s="70" t="str">
        <f>ResourceAction[[#This Row],[Resource Name]]&amp;"/"&amp;ResourceAction[[#This Row],[Name]]</f>
        <v>Product/ProductImagesListAction</v>
      </c>
      <c r="C18" s="78" t="s">
        <v>569</v>
      </c>
      <c r="D18" s="70">
        <f>IF(ResourceAction[[#This Row],[Resource Name]]="","id",COUNTA($C$1:ResourceAction[[#This Row],[Resource Name]])-1+IF(VLOOKUP('Table Seed Map'!$A$33,SeedMap[],9,0),VLOOKUP('Table Seed Map'!$A$33,SeedMap[],9,0),0))</f>
        <v>50016</v>
      </c>
      <c r="E18" s="70">
        <f>IF(ResourceAction[[#This Row],[Resource Name]]="","resource",VLOOKUP(ResourceAction[[#This Row],[Resource Name]],ResourceTable[[RName]:[RID]],2,0))</f>
        <v>50003</v>
      </c>
      <c r="F18" s="70" t="s">
        <v>852</v>
      </c>
      <c r="G18" s="70" t="s">
        <v>853</v>
      </c>
      <c r="H18" s="70" t="s">
        <v>574</v>
      </c>
      <c r="I18" s="70"/>
      <c r="J18" s="70"/>
      <c r="K18" s="68" t="str">
        <f>'Table Seed Map'!$A$34&amp;"-"&amp;(COUNTA($E$1:ResourceAction[[#This Row],[Resource]])-2)</f>
        <v>Action Method-16</v>
      </c>
      <c r="L18" s="70">
        <f>IF(ResourceAction[[#This Row],[Resource Name]]="","id",COUNTA($C$3:ResourceAction[[#This Row],[Resource Name]])+IF(VLOOKUP('Table Seed Map'!$A$34,SeedMap[],9,0),VLOOKUP('Table Seed Map'!$A$34,SeedMap[],9,0),0))</f>
        <v>50016</v>
      </c>
      <c r="M18" s="70">
        <f>[No]</f>
        <v>50016</v>
      </c>
      <c r="N18" s="96" t="s">
        <v>889</v>
      </c>
      <c r="O18" s="97">
        <f ca="1">IF(ResourceAction[[#This Row],[Resource Name]]="","idn1",IF(ResourceAction[[#This Row],[IDN1]]="","",VLOOKUP(ResourceAction[[#This Row],[IDN1]],IDNMaps[[Display]:[ID]],2,0)))</f>
        <v>50009</v>
      </c>
      <c r="P18" s="97">
        <f ca="1">IF(ResourceAction[[#This Row],[Resource Name]]="","idn2",IF(ResourceAction[[#This Row],[IDN2]]="","",VLOOKUP(ResourceAction[[#This Row],[IDN2]],IDNMaps[[Display]:[ID]],2,0)))</f>
        <v>50010</v>
      </c>
      <c r="Q18" s="97" t="str">
        <f>IF(ResourceAction[[#This Row],[Resource Name]]="","idn3",IF(ResourceAction[[#This Row],[IDN3]]="","",VLOOKUP(ResourceAction[[#This Row],[IDN3]],IDNMaps[[Display]:[ID]],2,0)))</f>
        <v/>
      </c>
      <c r="R18" s="97" t="str">
        <f>IF(ResourceAction[[#This Row],[Resource Name]]="","idn4",IF(ResourceAction[[#This Row],[IDN4]]="","",VLOOKUP(ResourceAction[[#This Row],[IDN4]],IDNMaps[[Display]:[ID]],2,0)))</f>
        <v/>
      </c>
      <c r="S18" s="97" t="str">
        <f>IF(ResourceAction[[#This Row],[Resource Name]]="","idn5",IF(ResourceAction[[#This Row],[IDN5]]="","",VLOOKUP(ResourceAction[[#This Row],[IDN5]],IDNMaps[[Display]:[ID]],2,0)))</f>
        <v/>
      </c>
      <c r="T18" s="98" t="s">
        <v>906</v>
      </c>
      <c r="U18" s="98" t="s">
        <v>920</v>
      </c>
      <c r="V18" s="98"/>
      <c r="W18" s="98"/>
      <c r="X18" s="98"/>
      <c r="Y18" s="77">
        <f>[No]</f>
        <v>50016</v>
      </c>
      <c r="AA18" s="4" t="s">
        <v>938</v>
      </c>
      <c r="AB18" s="61">
        <f>VLOOKUP(ActionListNData[[#This Row],[Action Name]],ResourceAction[[Display]:[No]],3,0)</f>
        <v>50026</v>
      </c>
      <c r="AC18" s="61" t="s">
        <v>788</v>
      </c>
      <c r="AD18" s="61"/>
      <c r="AE18" s="61" t="str">
        <f>'Table Seed Map'!$A$36&amp;"-"&amp;COUNT($AH$2:ActionListNData[[#This Row],[List]])</f>
        <v>Action List-16</v>
      </c>
      <c r="AF18" s="61">
        <f>IF(ActionListNData[[#This Row],[Action Name]]="","id",COUNTA($AC$3:ActionListNData[[#This Row],[Resource List]])+IF(VLOOKUP('Table Seed Map'!$A$36,SeedMap[],9,0),VLOOKUP('Table Seed Map'!$A$36,SeedMap[],9,0),0))</f>
        <v>50016</v>
      </c>
      <c r="AG18" s="61">
        <f>ActionListNData[[#This Row],[Action]]</f>
        <v>50026</v>
      </c>
      <c r="AH18" s="61">
        <f>IF(ActionListNData[[#This Row],[Action Name]]="","resource_list",IFERROR(VLOOKUP(ActionListNData[[#This Row],[Resource List]],ResourceList[[ListDisplayName]:[No]],2,0),""))</f>
        <v>50007</v>
      </c>
      <c r="AI18" s="61" t="str">
        <f>'Table Seed Map'!$A$37&amp;"-"&amp;COUNT($AL$2:ActionListNData[[#This Row],[Data]])</f>
        <v>Action Data-2</v>
      </c>
      <c r="AJ18" s="61">
        <f>IF(ActionListNData[[#This Row],[Action Name]]="","id",COUNTA($AD$3:ActionListNData[[#This Row],[Resource Data]])+IF(VLOOKUP('Table Seed Map'!$A$37,SeedMap[],9,0),VLOOKUP('Table Seed Map'!$A$37,SeedMap[],9,0),0))</f>
        <v>50002</v>
      </c>
      <c r="AK18" s="61">
        <f>ActionListNData[[#This Row],[Action]]</f>
        <v>50026</v>
      </c>
      <c r="AL18" s="61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70" t="str">
        <f>'Table Seed Map'!$A$33&amp;"-"&amp;(COUNTA($E$1:ResourceAction[[#This Row],[Resource]])-2)</f>
        <v>Resource Actions-17</v>
      </c>
      <c r="B19" s="70" t="str">
        <f>ResourceAction[[#This Row],[Resource Name]]&amp;"/"&amp;ResourceAction[[#This Row],[Name]]</f>
        <v>ProductImage/ImageStatusChangeAction</v>
      </c>
      <c r="C19" s="78" t="s">
        <v>572</v>
      </c>
      <c r="D19" s="70">
        <f>IF(ResourceAction[[#This Row],[Resource Name]]="","id",COUNTA($C$1:ResourceAction[[#This Row],[Resource Name]])-1+IF(VLOOKUP('Table Seed Map'!$A$33,SeedMap[],9,0),VLOOKUP('Table Seed Map'!$A$33,SeedMap[],9,0),0))</f>
        <v>50017</v>
      </c>
      <c r="E19" s="70">
        <f>IF(ResourceAction[[#This Row],[Resource Name]]="","resource",VLOOKUP(ResourceAction[[#This Row],[Resource Name]],ResourceTable[[RName]:[RID]],2,0))</f>
        <v>50004</v>
      </c>
      <c r="F19" s="70" t="s">
        <v>854</v>
      </c>
      <c r="G19" s="70" t="s">
        <v>855</v>
      </c>
      <c r="H19" s="70" t="s">
        <v>679</v>
      </c>
      <c r="I19" s="70"/>
      <c r="J19" s="70"/>
      <c r="K19" s="68" t="str">
        <f>'Table Seed Map'!$A$34&amp;"-"&amp;(COUNTA($E$1:ResourceAction[[#This Row],[Resource]])-2)</f>
        <v>Action Method-17</v>
      </c>
      <c r="L19" s="70">
        <f>IF(ResourceAction[[#This Row],[Resource Name]]="","id",COUNTA($C$3:ResourceAction[[#This Row],[Resource Name]])+IF(VLOOKUP('Table Seed Map'!$A$34,SeedMap[],9,0),VLOOKUP('Table Seed Map'!$A$34,SeedMap[],9,0),0))</f>
        <v>50017</v>
      </c>
      <c r="M19" s="70">
        <f>[No]</f>
        <v>50017</v>
      </c>
      <c r="N19" s="96" t="s">
        <v>186</v>
      </c>
      <c r="O19" s="97">
        <f ca="1">IF(ResourceAction[[#This Row],[Resource Name]]="","idn1",IF(ResourceAction[[#This Row],[IDN1]]="","",VLOOKUP(ResourceAction[[#This Row],[IDN1]],IDNMaps[[Display]:[ID]],2,0)))</f>
        <v>50002</v>
      </c>
      <c r="P19" s="97">
        <f ca="1">IF(ResourceAction[[#This Row],[Resource Name]]="","idn2",IF(ResourceAction[[#This Row],[IDN2]]="","",VLOOKUP(ResourceAction[[#This Row],[IDN2]],IDNMaps[[Display]:[ID]],2,0)))</f>
        <v>50002</v>
      </c>
      <c r="Q19" s="97" t="str">
        <f>IF(ResourceAction[[#This Row],[Resource Name]]="","idn3",IF(ResourceAction[[#This Row],[IDN3]]="","",VLOOKUP(ResourceAction[[#This Row],[IDN3]],IDNMaps[[Display]:[ID]],2,0)))</f>
        <v/>
      </c>
      <c r="R19" s="97" t="str">
        <f>IF(ResourceAction[[#This Row],[Resource Name]]="","idn4",IF(ResourceAction[[#This Row],[IDN4]]="","",VLOOKUP(ResourceAction[[#This Row],[IDN4]],IDNMaps[[Display]:[ID]],2,0)))</f>
        <v/>
      </c>
      <c r="S19" s="97" t="str">
        <f>IF(ResourceAction[[#This Row],[Resource Name]]="","idn5",IF(ResourceAction[[#This Row],[IDN5]]="","",VLOOKUP(ResourceAction[[#This Row],[IDN5]],IDNMaps[[Display]:[ID]],2,0)))</f>
        <v/>
      </c>
      <c r="T19" s="98" t="s">
        <v>907</v>
      </c>
      <c r="U19" s="98" t="s">
        <v>921</v>
      </c>
      <c r="V19" s="98"/>
      <c r="W19" s="98"/>
      <c r="X19" s="98"/>
      <c r="Y19" s="77">
        <f>[No]</f>
        <v>50017</v>
      </c>
      <c r="AA19" s="4" t="s">
        <v>940</v>
      </c>
      <c r="AB19" s="61">
        <f>VLOOKUP(ActionListNData[[#This Row],[Action Name]],ResourceAction[[Display]:[No]],3,0)</f>
        <v>50028</v>
      </c>
      <c r="AC19" s="61" t="s">
        <v>788</v>
      </c>
      <c r="AD19" s="61" t="s">
        <v>816</v>
      </c>
      <c r="AE19" s="61" t="str">
        <f>'Table Seed Map'!$A$36&amp;"-"&amp;COUNT($AH$2:ActionListNData[[#This Row],[List]])</f>
        <v>Action List-17</v>
      </c>
      <c r="AF19" s="61">
        <f>IF(ActionListNData[[#This Row],[Action Name]]="","id",COUNTA($AC$3:ActionListNData[[#This Row],[Resource List]])+IF(VLOOKUP('Table Seed Map'!$A$36,SeedMap[],9,0),VLOOKUP('Table Seed Map'!$A$36,SeedMap[],9,0),0))</f>
        <v>50017</v>
      </c>
      <c r="AG19" s="61">
        <f>ActionListNData[[#This Row],[Action]]</f>
        <v>50028</v>
      </c>
      <c r="AH19" s="61">
        <f>IF(ActionListNData[[#This Row],[Action Name]]="","resource_list",IFERROR(VLOOKUP(ActionListNData[[#This Row],[Resource List]],ResourceList[[ListDisplayName]:[No]],2,0),""))</f>
        <v>50007</v>
      </c>
      <c r="AI19" s="61" t="str">
        <f>'Table Seed Map'!$A$37&amp;"-"&amp;COUNT($AL$2:ActionListNData[[#This Row],[Data]])</f>
        <v>Action Data-3</v>
      </c>
      <c r="AJ19" s="61">
        <f>IF(ActionListNData[[#This Row],[Action Name]]="","id",COUNTA($AD$3:ActionListNData[[#This Row],[Resource Data]])+IF(VLOOKUP('Table Seed Map'!$A$37,SeedMap[],9,0),VLOOKUP('Table Seed Map'!$A$37,SeedMap[],9,0),0))</f>
        <v>50003</v>
      </c>
      <c r="AK19" s="61">
        <f>ActionListNData[[#This Row],[Action]]</f>
        <v>50028</v>
      </c>
      <c r="AL19" s="61">
        <f>IF(ActionListNData[[#This Row],[Action Name]]="","resource_data",IFERROR(VLOOKUP(ActionListNData[[#This Row],[Resource Data]],ResourceData[[DataDisplayName]:[No]],2,0),""))</f>
        <v>50003</v>
      </c>
    </row>
    <row r="20" spans="1:38">
      <c r="A20" s="70" t="str">
        <f>'Table Seed Map'!$A$33&amp;"-"&amp;(COUNTA($E$1:ResourceAction[[#This Row],[Resource]])-2)</f>
        <v>Resource Actions-18</v>
      </c>
      <c r="B20" s="70" t="str">
        <f>ResourceAction[[#This Row],[Resource Name]]&amp;"/"&amp;ResourceAction[[#This Row],[Name]]</f>
        <v>Visitor/VisitorWishlistListAction</v>
      </c>
      <c r="C20" s="78" t="s">
        <v>575</v>
      </c>
      <c r="D20" s="70">
        <f>IF(ResourceAction[[#This Row],[Resource Name]]="","id",COUNTA($C$1:ResourceAction[[#This Row],[Resource Name]])-1+IF(VLOOKUP('Table Seed Map'!$A$33,SeedMap[],9,0),VLOOKUP('Table Seed Map'!$A$33,SeedMap[],9,0),0))</f>
        <v>50018</v>
      </c>
      <c r="E20" s="70">
        <f>IF(ResourceAction[[#This Row],[Resource Name]]="","resource",VLOOKUP(ResourceAction[[#This Row],[Resource Name]],ResourceTable[[RName]:[RID]],2,0))</f>
        <v>50005</v>
      </c>
      <c r="F20" s="70" t="s">
        <v>856</v>
      </c>
      <c r="G20" s="70" t="s">
        <v>857</v>
      </c>
      <c r="H20" s="70" t="s">
        <v>858</v>
      </c>
      <c r="I20" s="70"/>
      <c r="J20" s="70"/>
      <c r="K20" s="68" t="str">
        <f>'Table Seed Map'!$A$34&amp;"-"&amp;(COUNTA($E$1:ResourceAction[[#This Row],[Resource]])-2)</f>
        <v>Action Method-18</v>
      </c>
      <c r="L20" s="70">
        <f>IF(ResourceAction[[#This Row],[Resource Name]]="","id",COUNTA($C$3:ResourceAction[[#This Row],[Resource Name]])+IF(VLOOKUP('Table Seed Map'!$A$34,SeedMap[],9,0),VLOOKUP('Table Seed Map'!$A$34,SeedMap[],9,0),0))</f>
        <v>50018</v>
      </c>
      <c r="M20" s="70">
        <f>[No]</f>
        <v>50018</v>
      </c>
      <c r="N20" s="96" t="s">
        <v>889</v>
      </c>
      <c r="O20" s="97">
        <f ca="1">IF(ResourceAction[[#This Row],[Resource Name]]="","idn1",IF(ResourceAction[[#This Row],[IDN1]]="","",VLOOKUP(ResourceAction[[#This Row],[IDN1]],IDNMaps[[Display]:[ID]],2,0)))</f>
        <v>50011</v>
      </c>
      <c r="P20" s="97">
        <f ca="1">IF(ResourceAction[[#This Row],[Resource Name]]="","idn2",IF(ResourceAction[[#This Row],[IDN2]]="","",VLOOKUP(ResourceAction[[#This Row],[IDN2]],IDNMaps[[Display]:[ID]],2,0)))</f>
        <v>50007</v>
      </c>
      <c r="Q20" s="97" t="str">
        <f>IF(ResourceAction[[#This Row],[Resource Name]]="","idn3",IF(ResourceAction[[#This Row],[IDN3]]="","",VLOOKUP(ResourceAction[[#This Row],[IDN3]],IDNMaps[[Display]:[ID]],2,0)))</f>
        <v/>
      </c>
      <c r="R20" s="97" t="str">
        <f>IF(ResourceAction[[#This Row],[Resource Name]]="","idn4",IF(ResourceAction[[#This Row],[IDN4]]="","",VLOOKUP(ResourceAction[[#This Row],[IDN4]],IDNMaps[[Display]:[ID]],2,0)))</f>
        <v/>
      </c>
      <c r="S20" s="97" t="str">
        <f>IF(ResourceAction[[#This Row],[Resource Name]]="","idn5",IF(ResourceAction[[#This Row],[IDN5]]="","",VLOOKUP(ResourceAction[[#This Row],[IDN5]],IDNMaps[[Display]:[ID]],2,0)))</f>
        <v/>
      </c>
      <c r="T20" s="98" t="s">
        <v>908</v>
      </c>
      <c r="U20" s="98" t="s">
        <v>899</v>
      </c>
      <c r="V20" s="98"/>
      <c r="W20" s="98"/>
      <c r="X20" s="98"/>
      <c r="Y20" s="77">
        <f>[No]</f>
        <v>50018</v>
      </c>
      <c r="AA20" s="4" t="s">
        <v>941</v>
      </c>
      <c r="AB20" s="61">
        <f>VLOOKUP(ActionListNData[[#This Row],[Action Name]],ResourceAction[[Display]:[No]],3,0)</f>
        <v>50029</v>
      </c>
      <c r="AC20" s="61" t="s">
        <v>773</v>
      </c>
      <c r="AD20" s="61"/>
      <c r="AE20" s="61" t="str">
        <f>'Table Seed Map'!$A$36&amp;"-"&amp;COUNT($AH$2:ActionListNData[[#This Row],[List]])</f>
        <v>Action List-18</v>
      </c>
      <c r="AF20" s="61">
        <f>IF(ActionListNData[[#This Row],[Action Name]]="","id",COUNTA($AC$3:ActionListNData[[#This Row],[Resource List]])+IF(VLOOKUP('Table Seed Map'!$A$36,SeedMap[],9,0),VLOOKUP('Table Seed Map'!$A$36,SeedMap[],9,0),0))</f>
        <v>50018</v>
      </c>
      <c r="AG20" s="61">
        <f>ActionListNData[[#This Row],[Action]]</f>
        <v>50029</v>
      </c>
      <c r="AH20" s="61">
        <f>IF(ActionListNData[[#This Row],[Action Name]]="","resource_list",IFERROR(VLOOKUP(ActionListNData[[#This Row],[Resource List]],ResourceList[[ListDisplayName]:[No]],2,0),""))</f>
        <v>50001</v>
      </c>
      <c r="AI20" s="61" t="str">
        <f>'Table Seed Map'!$A$37&amp;"-"&amp;COUNT($AL$2:ActionListNData[[#This Row],[Data]])</f>
        <v>Action Data-3</v>
      </c>
      <c r="AJ20" s="61">
        <f>IF(ActionListNData[[#This Row],[Action Name]]="","id",COUNTA($AD$3:ActionListNData[[#This Row],[Resource Data]])+IF(VLOOKUP('Table Seed Map'!$A$37,SeedMap[],9,0),VLOOKUP('Table Seed Map'!$A$37,SeedMap[],9,0),0))</f>
        <v>50003</v>
      </c>
      <c r="AK20" s="61">
        <f>ActionListNData[[#This Row],[Action]]</f>
        <v>50029</v>
      </c>
      <c r="AL20" s="61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70" t="str">
        <f>'Table Seed Map'!$A$33&amp;"-"&amp;(COUNTA($E$1:ResourceAction[[#This Row],[Resource]])-2)</f>
        <v>Resource Actions-19</v>
      </c>
      <c r="B21" s="70" t="str">
        <f>ResourceAction[[#This Row],[Resource Name]]&amp;"/"&amp;ResourceAction[[#This Row],[Name]]</f>
        <v>Visitor/VisitorSharedWishlistListAction</v>
      </c>
      <c r="C21" s="78" t="s">
        <v>575</v>
      </c>
      <c r="D21" s="70">
        <f>IF(ResourceAction[[#This Row],[Resource Name]]="","id",COUNTA($C$1:ResourceAction[[#This Row],[Resource Name]])-1+IF(VLOOKUP('Table Seed Map'!$A$33,SeedMap[],9,0),VLOOKUP('Table Seed Map'!$A$33,SeedMap[],9,0),0))</f>
        <v>50019</v>
      </c>
      <c r="E21" s="70">
        <f>IF(ResourceAction[[#This Row],[Resource Name]]="","resource",VLOOKUP(ResourceAction[[#This Row],[Resource Name]],ResourceTable[[RName]:[RID]],2,0))</f>
        <v>50005</v>
      </c>
      <c r="F21" s="70" t="s">
        <v>859</v>
      </c>
      <c r="G21" s="70" t="s">
        <v>860</v>
      </c>
      <c r="H21" s="70" t="s">
        <v>824</v>
      </c>
      <c r="I21" s="70"/>
      <c r="J21" s="70"/>
      <c r="K21" s="68" t="str">
        <f>'Table Seed Map'!$A$34&amp;"-"&amp;(COUNTA($E$1:ResourceAction[[#This Row],[Resource]])-2)</f>
        <v>Action Method-19</v>
      </c>
      <c r="L21" s="70">
        <f>IF(ResourceAction[[#This Row],[Resource Name]]="","id",COUNTA($C$3:ResourceAction[[#This Row],[Resource Name]])+IF(VLOOKUP('Table Seed Map'!$A$34,SeedMap[],9,0),VLOOKUP('Table Seed Map'!$A$34,SeedMap[],9,0),0))</f>
        <v>50019</v>
      </c>
      <c r="M21" s="70">
        <f>[No]</f>
        <v>50019</v>
      </c>
      <c r="N21" s="96" t="s">
        <v>889</v>
      </c>
      <c r="O21" s="97">
        <f ca="1">IF(ResourceAction[[#This Row],[Resource Name]]="","idn1",IF(ResourceAction[[#This Row],[IDN1]]="","",VLOOKUP(ResourceAction[[#This Row],[IDN1]],IDNMaps[[Display]:[ID]],2,0)))</f>
        <v>50012</v>
      </c>
      <c r="P21" s="97">
        <f ca="1">IF(ResourceAction[[#This Row],[Resource Name]]="","idn2",IF(ResourceAction[[#This Row],[IDN2]]="","",VLOOKUP(ResourceAction[[#This Row],[IDN2]],IDNMaps[[Display]:[ID]],2,0)))</f>
        <v>50007</v>
      </c>
      <c r="Q21" s="97" t="str">
        <f>IF(ResourceAction[[#This Row],[Resource Name]]="","idn3",IF(ResourceAction[[#This Row],[IDN3]]="","",VLOOKUP(ResourceAction[[#This Row],[IDN3]],IDNMaps[[Display]:[ID]],2,0)))</f>
        <v/>
      </c>
      <c r="R21" s="97" t="str">
        <f>IF(ResourceAction[[#This Row],[Resource Name]]="","idn4",IF(ResourceAction[[#This Row],[IDN4]]="","",VLOOKUP(ResourceAction[[#This Row],[IDN4]],IDNMaps[[Display]:[ID]],2,0)))</f>
        <v/>
      </c>
      <c r="S21" s="97" t="str">
        <f>IF(ResourceAction[[#This Row],[Resource Name]]="","idn5",IF(ResourceAction[[#This Row],[IDN5]]="","",VLOOKUP(ResourceAction[[#This Row],[IDN5]],IDNMaps[[Display]:[ID]],2,0)))</f>
        <v/>
      </c>
      <c r="T21" s="98" t="s">
        <v>909</v>
      </c>
      <c r="U21" s="98" t="s">
        <v>899</v>
      </c>
      <c r="V21" s="98"/>
      <c r="W21" s="98"/>
      <c r="X21" s="98"/>
      <c r="Y21" s="77">
        <f>[No]</f>
        <v>50019</v>
      </c>
      <c r="AA21" s="4" t="s">
        <v>941</v>
      </c>
      <c r="AB21" s="61">
        <f>VLOOKUP(ActionListNData[[#This Row],[Action Name]],ResourceAction[[Display]:[No]],3,0)</f>
        <v>50029</v>
      </c>
      <c r="AC21" s="61" t="s">
        <v>774</v>
      </c>
      <c r="AD21" s="61"/>
      <c r="AE21" s="61" t="str">
        <f>'Table Seed Map'!$A$36&amp;"-"&amp;COUNT($AH$2:ActionListNData[[#This Row],[List]])</f>
        <v>Action List-19</v>
      </c>
      <c r="AF21" s="61">
        <f>IF(ActionListNData[[#This Row],[Action Name]]="","id",COUNTA($AC$3:ActionListNData[[#This Row],[Resource List]])+IF(VLOOKUP('Table Seed Map'!$A$36,SeedMap[],9,0),VLOOKUP('Table Seed Map'!$A$36,SeedMap[],9,0),0))</f>
        <v>50019</v>
      </c>
      <c r="AG21" s="61">
        <f>ActionListNData[[#This Row],[Action]]</f>
        <v>50029</v>
      </c>
      <c r="AH21" s="61">
        <f>IF(ActionListNData[[#This Row],[Action Name]]="","resource_list",IFERROR(VLOOKUP(ActionListNData[[#This Row],[Resource List]],ResourceList[[ListDisplayName]:[No]],2,0),""))</f>
        <v>50002</v>
      </c>
      <c r="AI21" s="61" t="str">
        <f>'Table Seed Map'!$A$37&amp;"-"&amp;COUNT($AL$2:ActionListNData[[#This Row],[Data]])</f>
        <v>Action Data-3</v>
      </c>
      <c r="AJ21" s="61">
        <f>IF(ActionListNData[[#This Row],[Action Name]]="","id",COUNTA($AD$3:ActionListNData[[#This Row],[Resource Data]])+IF(VLOOKUP('Table Seed Map'!$A$37,SeedMap[],9,0),VLOOKUP('Table Seed Map'!$A$37,SeedMap[],9,0),0))</f>
        <v>50003</v>
      </c>
      <c r="AK21" s="61">
        <f>ActionListNData[[#This Row],[Action]]</f>
        <v>50029</v>
      </c>
      <c r="AL21" s="61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70" t="str">
        <f>'Table Seed Map'!$A$33&amp;"-"&amp;(COUNTA($E$1:ResourceAction[[#This Row],[Resource]])-2)</f>
        <v>Resource Actions-20</v>
      </c>
      <c r="B22" s="70" t="str">
        <f>ResourceAction[[#This Row],[Resource Name]]&amp;"/"&amp;ResourceAction[[#This Row],[Name]]</f>
        <v>Wishlist/WishlistSharesListAction</v>
      </c>
      <c r="C22" s="78" t="s">
        <v>578</v>
      </c>
      <c r="D22" s="70">
        <f>IF(ResourceAction[[#This Row],[Resource Name]]="","id",COUNTA($C$1:ResourceAction[[#This Row],[Resource Name]])-1+IF(VLOOKUP('Table Seed Map'!$A$33,SeedMap[],9,0),VLOOKUP('Table Seed Map'!$A$33,SeedMap[],9,0),0))</f>
        <v>50020</v>
      </c>
      <c r="E22" s="70">
        <f>IF(ResourceAction[[#This Row],[Resource Name]]="","resource",VLOOKUP(ResourceAction[[#This Row],[Resource Name]],ResourceTable[[RName]:[RID]],2,0))</f>
        <v>50006</v>
      </c>
      <c r="F22" s="70" t="s">
        <v>861</v>
      </c>
      <c r="G22" s="70" t="s">
        <v>862</v>
      </c>
      <c r="H22" s="70" t="s">
        <v>863</v>
      </c>
      <c r="I22" s="70"/>
      <c r="J22" s="70"/>
      <c r="K22" s="68" t="str">
        <f>'Table Seed Map'!$A$34&amp;"-"&amp;(COUNTA($E$1:ResourceAction[[#This Row],[Resource]])-2)</f>
        <v>Action Method-20</v>
      </c>
      <c r="L22" s="70">
        <f>IF(ResourceAction[[#This Row],[Resource Name]]="","id",COUNTA($C$3:ResourceAction[[#This Row],[Resource Name]])+IF(VLOOKUP('Table Seed Map'!$A$34,SeedMap[],9,0),VLOOKUP('Table Seed Map'!$A$34,SeedMap[],9,0),0))</f>
        <v>50020</v>
      </c>
      <c r="M22" s="70">
        <f>[No]</f>
        <v>50020</v>
      </c>
      <c r="N22" s="96" t="s">
        <v>889</v>
      </c>
      <c r="O22" s="97">
        <f ca="1">IF(ResourceAction[[#This Row],[Resource Name]]="","idn1",IF(ResourceAction[[#This Row],[IDN1]]="","",VLOOKUP(ResourceAction[[#This Row],[IDN1]],IDNMaps[[Display]:[ID]],2,0)))</f>
        <v>50015</v>
      </c>
      <c r="P22" s="97">
        <f ca="1">IF(ResourceAction[[#This Row],[Resource Name]]="","idn2",IF(ResourceAction[[#This Row],[IDN2]]="","",VLOOKUP(ResourceAction[[#This Row],[IDN2]],IDNMaps[[Display]:[ID]],2,0)))</f>
        <v>50006</v>
      </c>
      <c r="Q22" s="97" t="str">
        <f>IF(ResourceAction[[#This Row],[Resource Name]]="","idn3",IF(ResourceAction[[#This Row],[IDN3]]="","",VLOOKUP(ResourceAction[[#This Row],[IDN3]],IDNMaps[[Display]:[ID]],2,0)))</f>
        <v/>
      </c>
      <c r="R22" s="97" t="str">
        <f>IF(ResourceAction[[#This Row],[Resource Name]]="","idn4",IF(ResourceAction[[#This Row],[IDN4]]="","",VLOOKUP(ResourceAction[[#This Row],[IDN4]],IDNMaps[[Display]:[ID]],2,0)))</f>
        <v/>
      </c>
      <c r="S22" s="97" t="str">
        <f>IF(ResourceAction[[#This Row],[Resource Name]]="","idn5",IF(ResourceAction[[#This Row],[IDN5]]="","",VLOOKUP(ResourceAction[[#This Row],[IDN5]],IDNMaps[[Display]:[ID]],2,0)))</f>
        <v/>
      </c>
      <c r="T22" s="98" t="s">
        <v>910</v>
      </c>
      <c r="U22" s="98" t="s">
        <v>897</v>
      </c>
      <c r="V22" s="98"/>
      <c r="W22" s="98"/>
      <c r="X22" s="98"/>
      <c r="Y22" s="77">
        <f>[No]</f>
        <v>50020</v>
      </c>
      <c r="AA22" s="4" t="s">
        <v>941</v>
      </c>
      <c r="AB22" s="61">
        <f>VLOOKUP(ActionListNData[[#This Row],[Action Name]],ResourceAction[[Display]:[No]],3,0)</f>
        <v>50029</v>
      </c>
      <c r="AC22" s="61" t="s">
        <v>775</v>
      </c>
      <c r="AD22" s="61"/>
      <c r="AE22" s="61" t="str">
        <f>'Table Seed Map'!$A$36&amp;"-"&amp;COUNT($AH$2:ActionListNData[[#This Row],[List]])</f>
        <v>Action List-20</v>
      </c>
      <c r="AF22" s="61">
        <f>IF(ActionListNData[[#This Row],[Action Name]]="","id",COUNTA($AC$3:ActionListNData[[#This Row],[Resource List]])+IF(VLOOKUP('Table Seed Map'!$A$36,SeedMap[],9,0),VLOOKUP('Table Seed Map'!$A$36,SeedMap[],9,0),0))</f>
        <v>50020</v>
      </c>
      <c r="AG22" s="61">
        <f>ActionListNData[[#This Row],[Action]]</f>
        <v>50029</v>
      </c>
      <c r="AH22" s="61">
        <f>IF(ActionListNData[[#This Row],[Action Name]]="","resource_list",IFERROR(VLOOKUP(ActionListNData[[#This Row],[Resource List]],ResourceList[[ListDisplayName]:[No]],2,0),""))</f>
        <v>50003</v>
      </c>
      <c r="AI22" s="61" t="str">
        <f>'Table Seed Map'!$A$37&amp;"-"&amp;COUNT($AL$2:ActionListNData[[#This Row],[Data]])</f>
        <v>Action Data-3</v>
      </c>
      <c r="AJ22" s="61">
        <f>IF(ActionListNData[[#This Row],[Action Name]]="","id",COUNTA($AD$3:ActionListNData[[#This Row],[Resource Data]])+IF(VLOOKUP('Table Seed Map'!$A$37,SeedMap[],9,0),VLOOKUP('Table Seed Map'!$A$37,SeedMap[],9,0),0))</f>
        <v>50003</v>
      </c>
      <c r="AK22" s="61">
        <f>ActionListNData[[#This Row],[Action]]</f>
        <v>50029</v>
      </c>
      <c r="AL22" s="61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70" t="str">
        <f>'Table Seed Map'!$A$33&amp;"-"&amp;(COUNTA($E$1:ResourceAction[[#This Row],[Resource]])-2)</f>
        <v>Resource Actions-21</v>
      </c>
      <c r="B23" s="70" t="str">
        <f>ResourceAction[[#This Row],[Resource Name]]&amp;"/"&amp;ResourceAction[[#This Row],[Name]]</f>
        <v>Wishlist/WishlistProductsListAction</v>
      </c>
      <c r="C23" s="78" t="s">
        <v>578</v>
      </c>
      <c r="D23" s="70">
        <f>IF(ResourceAction[[#This Row],[Resource Name]]="","id",COUNTA($C$1:ResourceAction[[#This Row],[Resource Name]])-1+IF(VLOOKUP('Table Seed Map'!$A$33,SeedMap[],9,0),VLOOKUP('Table Seed Map'!$A$33,SeedMap[],9,0),0))</f>
        <v>50021</v>
      </c>
      <c r="E23" s="70">
        <f>IF(ResourceAction[[#This Row],[Resource Name]]="","resource",VLOOKUP(ResourceAction[[#This Row],[Resource Name]],ResourceTable[[RName]:[RID]],2,0))</f>
        <v>50006</v>
      </c>
      <c r="F23" s="70" t="s">
        <v>864</v>
      </c>
      <c r="G23" s="70" t="s">
        <v>865</v>
      </c>
      <c r="H23" s="70" t="s">
        <v>866</v>
      </c>
      <c r="I23" s="70"/>
      <c r="J23" s="70"/>
      <c r="K23" s="68" t="str">
        <f>'Table Seed Map'!$A$34&amp;"-"&amp;(COUNTA($E$1:ResourceAction[[#This Row],[Resource]])-2)</f>
        <v>Action Method-21</v>
      </c>
      <c r="L23" s="70">
        <f>IF(ResourceAction[[#This Row],[Resource Name]]="","id",COUNTA($C$3:ResourceAction[[#This Row],[Resource Name]])+IF(VLOOKUP('Table Seed Map'!$A$34,SeedMap[],9,0),VLOOKUP('Table Seed Map'!$A$34,SeedMap[],9,0),0))</f>
        <v>50021</v>
      </c>
      <c r="M23" s="70">
        <f>[No]</f>
        <v>50021</v>
      </c>
      <c r="N23" s="96" t="s">
        <v>889</v>
      </c>
      <c r="O23" s="97">
        <f ca="1">IF(ResourceAction[[#This Row],[Resource Name]]="","idn1",IF(ResourceAction[[#This Row],[IDN1]]="","",VLOOKUP(ResourceAction[[#This Row],[IDN1]],IDNMaps[[Display]:[ID]],2,0)))</f>
        <v>50017</v>
      </c>
      <c r="P23" s="97">
        <f ca="1">IF(ResourceAction[[#This Row],[Resource Name]]="","idn2",IF(ResourceAction[[#This Row],[IDN2]]="","",VLOOKUP(ResourceAction[[#This Row],[IDN2]],IDNMaps[[Display]:[ID]],2,0)))</f>
        <v>50011</v>
      </c>
      <c r="Q23" s="97" t="str">
        <f>IF(ResourceAction[[#This Row],[Resource Name]]="","idn3",IF(ResourceAction[[#This Row],[IDN3]]="","",VLOOKUP(ResourceAction[[#This Row],[IDN3]],IDNMaps[[Display]:[ID]],2,0)))</f>
        <v/>
      </c>
      <c r="R23" s="97" t="str">
        <f>IF(ResourceAction[[#This Row],[Resource Name]]="","idn4",IF(ResourceAction[[#This Row],[IDN4]]="","",VLOOKUP(ResourceAction[[#This Row],[IDN4]],IDNMaps[[Display]:[ID]],2,0)))</f>
        <v/>
      </c>
      <c r="S23" s="97" t="str">
        <f>IF(ResourceAction[[#This Row],[Resource Name]]="","idn5",IF(ResourceAction[[#This Row],[IDN5]]="","",VLOOKUP(ResourceAction[[#This Row],[IDN5]],IDNMaps[[Display]:[ID]],2,0)))</f>
        <v/>
      </c>
      <c r="T23" s="98" t="s">
        <v>911</v>
      </c>
      <c r="U23" s="98" t="s">
        <v>922</v>
      </c>
      <c r="V23" s="98"/>
      <c r="W23" s="98"/>
      <c r="X23" s="98"/>
      <c r="Y23" s="77">
        <f>[No]</f>
        <v>50021</v>
      </c>
      <c r="AA23" s="4" t="s">
        <v>941</v>
      </c>
      <c r="AB23" s="61">
        <f>VLOOKUP(ActionListNData[[#This Row],[Action Name]],ResourceAction[[Display]:[No]],3,0)</f>
        <v>50029</v>
      </c>
      <c r="AC23" s="61" t="s">
        <v>776</v>
      </c>
      <c r="AD23" s="61"/>
      <c r="AE23" s="61" t="str">
        <f>'Table Seed Map'!$A$36&amp;"-"&amp;COUNT($AH$2:ActionListNData[[#This Row],[List]])</f>
        <v>Action List-21</v>
      </c>
      <c r="AF23" s="61">
        <f>IF(ActionListNData[[#This Row],[Action Name]]="","id",COUNTA($AC$3:ActionListNData[[#This Row],[Resource List]])+IF(VLOOKUP('Table Seed Map'!$A$36,SeedMap[],9,0),VLOOKUP('Table Seed Map'!$A$36,SeedMap[],9,0),0))</f>
        <v>50021</v>
      </c>
      <c r="AG23" s="61">
        <f>ActionListNData[[#This Row],[Action]]</f>
        <v>50029</v>
      </c>
      <c r="AH23" s="61">
        <f>IF(ActionListNData[[#This Row],[Action Name]]="","resource_list",IFERROR(VLOOKUP(ActionListNData[[#This Row],[Resource List]],ResourceList[[ListDisplayName]:[No]],2,0),""))</f>
        <v>50004</v>
      </c>
      <c r="AI23" s="61" t="str">
        <f>'Table Seed Map'!$A$37&amp;"-"&amp;COUNT($AL$2:ActionListNData[[#This Row],[Data]])</f>
        <v>Action Data-3</v>
      </c>
      <c r="AJ23" s="61">
        <f>IF(ActionListNData[[#This Row],[Action Name]]="","id",COUNTA($AD$3:ActionListNData[[#This Row],[Resource Data]])+IF(VLOOKUP('Table Seed Map'!$A$37,SeedMap[],9,0),VLOOKUP('Table Seed Map'!$A$37,SeedMap[],9,0),0))</f>
        <v>50003</v>
      </c>
      <c r="AK23" s="61">
        <f>ActionListNData[[#This Row],[Action]]</f>
        <v>50029</v>
      </c>
      <c r="AL23" s="61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70" t="str">
        <f>'Table Seed Map'!$A$33&amp;"-"&amp;(COUNTA($E$1:ResourceAction[[#This Row],[Resource]])-2)</f>
        <v>Resource Actions-22</v>
      </c>
      <c r="B24" s="70" t="str">
        <f>ResourceAction[[#This Row],[Resource Name]]&amp;"/"&amp;ResourceAction[[#This Row],[Name]]</f>
        <v>Visitor/VisitorDetailsAction</v>
      </c>
      <c r="C24" s="78" t="s">
        <v>575</v>
      </c>
      <c r="D24" s="70">
        <f>IF(ResourceAction[[#This Row],[Resource Name]]="","id",COUNTA($C$1:ResourceAction[[#This Row],[Resource Name]])-1+IF(VLOOKUP('Table Seed Map'!$A$33,SeedMap[],9,0),VLOOKUP('Table Seed Map'!$A$33,SeedMap[],9,0),0))</f>
        <v>50022</v>
      </c>
      <c r="E24" s="70">
        <f>IF(ResourceAction[[#This Row],[Resource Name]]="","resource",VLOOKUP(ResourceAction[[#This Row],[Resource Name]],ResourceTable[[RName]:[RID]],2,0))</f>
        <v>50005</v>
      </c>
      <c r="F24" s="70" t="s">
        <v>867</v>
      </c>
      <c r="G24" s="70" t="s">
        <v>868</v>
      </c>
      <c r="H24" s="70" t="s">
        <v>869</v>
      </c>
      <c r="I24" s="70"/>
      <c r="J24" s="70"/>
      <c r="K24" s="68" t="str">
        <f>'Table Seed Map'!$A$34&amp;"-"&amp;(COUNTA($E$1:ResourceAction[[#This Row],[Resource]])-2)</f>
        <v>Action Method-22</v>
      </c>
      <c r="L24" s="70">
        <f>IF(ResourceAction[[#This Row],[Resource Name]]="","id",COUNTA($C$3:ResourceAction[[#This Row],[Resource Name]])+IF(VLOOKUP('Table Seed Map'!$A$34,SeedMap[],9,0),VLOOKUP('Table Seed Map'!$A$34,SeedMap[],9,0),0))</f>
        <v>50022</v>
      </c>
      <c r="M24" s="70">
        <f>[No]</f>
        <v>50022</v>
      </c>
      <c r="N24" s="96" t="s">
        <v>127</v>
      </c>
      <c r="O24" s="97">
        <f ca="1">IF(ResourceAction[[#This Row],[Resource Name]]="","idn1",IF(ResourceAction[[#This Row],[IDN1]]="","",VLOOKUP(ResourceAction[[#This Row],[IDN1]],IDNMaps[[Display]:[ID]],2,0)))</f>
        <v>50001</v>
      </c>
      <c r="P24" s="97" t="str">
        <f>IF(ResourceAction[[#This Row],[Resource Name]]="","idn2",IF(ResourceAction[[#This Row],[IDN2]]="","",VLOOKUP(ResourceAction[[#This Row],[IDN2]],IDNMaps[[Display]:[ID]],2,0)))</f>
        <v/>
      </c>
      <c r="Q24" s="97" t="str">
        <f>IF(ResourceAction[[#This Row],[Resource Name]]="","idn3",IF(ResourceAction[[#This Row],[IDN3]]="","",VLOOKUP(ResourceAction[[#This Row],[IDN3]],IDNMaps[[Display]:[ID]],2,0)))</f>
        <v/>
      </c>
      <c r="R24" s="97" t="str">
        <f>IF(ResourceAction[[#This Row],[Resource Name]]="","idn4",IF(ResourceAction[[#This Row],[IDN4]]="","",VLOOKUP(ResourceAction[[#This Row],[IDN4]],IDNMaps[[Display]:[ID]],2,0)))</f>
        <v/>
      </c>
      <c r="S24" s="97" t="str">
        <f>IF(ResourceAction[[#This Row],[Resource Name]]="","idn5",IF(ResourceAction[[#This Row],[IDN5]]="","",VLOOKUP(ResourceAction[[#This Row],[IDN5]],IDNMaps[[Display]:[ID]],2,0)))</f>
        <v/>
      </c>
      <c r="T24" s="98" t="s">
        <v>912</v>
      </c>
      <c r="U24" s="98"/>
      <c r="V24" s="98"/>
      <c r="W24" s="98"/>
      <c r="X24" s="98"/>
      <c r="Y24" s="77">
        <f>[No]</f>
        <v>50022</v>
      </c>
      <c r="AA24" s="4" t="s">
        <v>939</v>
      </c>
      <c r="AB24" s="61">
        <f>VLOOKUP(ActionListNData[[#This Row],[Action Name]],ResourceAction[[Display]:[No]],3,0)</f>
        <v>50027</v>
      </c>
      <c r="AC24" s="61"/>
      <c r="AD24" s="61" t="s">
        <v>816</v>
      </c>
      <c r="AE24" s="61" t="str">
        <f>'Table Seed Map'!$A$36&amp;"-"&amp;COUNT($AH$2:ActionListNData[[#This Row],[List]])</f>
        <v>Action List-21</v>
      </c>
      <c r="AF24" s="61">
        <f>IF(ActionListNData[[#This Row],[Action Name]]="","id",COUNTA($AC$3:ActionListNData[[#This Row],[Resource List]])+IF(VLOOKUP('Table Seed Map'!$A$36,SeedMap[],9,0),VLOOKUP('Table Seed Map'!$A$36,SeedMap[],9,0),0))</f>
        <v>50021</v>
      </c>
      <c r="AG24" s="61">
        <f>ActionListNData[[#This Row],[Action]]</f>
        <v>50027</v>
      </c>
      <c r="AH24" s="61" t="str">
        <f>IF(ActionListNData[[#This Row],[Action Name]]="","resource_list",IFERROR(VLOOKUP(ActionListNData[[#This Row],[Resource List]],ResourceList[[ListDisplayName]:[No]],2,0),""))</f>
        <v/>
      </c>
      <c r="AI24" s="61" t="str">
        <f>'Table Seed Map'!$A$37&amp;"-"&amp;COUNT($AL$2:ActionListNData[[#This Row],[Data]])</f>
        <v>Action Data-4</v>
      </c>
      <c r="AJ24" s="61">
        <f>IF(ActionListNData[[#This Row],[Action Name]]="","id",COUNTA($AD$3:ActionListNData[[#This Row],[Resource Data]])+IF(VLOOKUP('Table Seed Map'!$A$37,SeedMap[],9,0),VLOOKUP('Table Seed Map'!$A$37,SeedMap[],9,0),0))</f>
        <v>50004</v>
      </c>
      <c r="AK24" s="61">
        <f>ActionListNData[[#This Row],[Action]]</f>
        <v>50027</v>
      </c>
      <c r="AL24" s="61">
        <f>IF(ActionListNData[[#This Row],[Action Name]]="","resource_data",IFERROR(VLOOKUP(ActionListNData[[#This Row],[Resource Data]],ResourceData[[DataDisplayName]:[No]],2,0),""))</f>
        <v>50003</v>
      </c>
    </row>
    <row r="25" spans="1:38">
      <c r="A25" s="70" t="str">
        <f>'Table Seed Map'!$A$33&amp;"-"&amp;(COUNTA($E$1:ResourceAction[[#This Row],[Resource]])-2)</f>
        <v>Resource Actions-23</v>
      </c>
      <c r="B25" s="70" t="str">
        <f>ResourceAction[[#This Row],[Resource Name]]&amp;"/"&amp;ResourceAction[[#This Row],[Name]]</f>
        <v>Wishlist/WishlistMessagesListAction</v>
      </c>
      <c r="C25" s="78" t="s">
        <v>578</v>
      </c>
      <c r="D25" s="70">
        <f>IF(ResourceAction[[#This Row],[Resource Name]]="","id",COUNTA($C$1:ResourceAction[[#This Row],[Resource Name]])-1+IF(VLOOKUP('Table Seed Map'!$A$33,SeedMap[],9,0),VLOOKUP('Table Seed Map'!$A$33,SeedMap[],9,0),0))</f>
        <v>50023</v>
      </c>
      <c r="E25" s="70">
        <f>IF(ResourceAction[[#This Row],[Resource Name]]="","resource",VLOOKUP(ResourceAction[[#This Row],[Resource Name]],ResourceTable[[RName]:[RID]],2,0))</f>
        <v>50006</v>
      </c>
      <c r="F25" s="70" t="s">
        <v>870</v>
      </c>
      <c r="G25" s="70" t="s">
        <v>871</v>
      </c>
      <c r="H25" s="70" t="s">
        <v>872</v>
      </c>
      <c r="I25" s="70"/>
      <c r="J25" s="70"/>
      <c r="K25" s="68" t="str">
        <f>'Table Seed Map'!$A$34&amp;"-"&amp;(COUNTA($E$1:ResourceAction[[#This Row],[Resource]])-2)</f>
        <v>Action Method-23</v>
      </c>
      <c r="L25" s="70">
        <f>IF(ResourceAction[[#This Row],[Resource Name]]="","id",COUNTA($C$3:ResourceAction[[#This Row],[Resource Name]])+IF(VLOOKUP('Table Seed Map'!$A$34,SeedMap[],9,0),VLOOKUP('Table Seed Map'!$A$34,SeedMap[],9,0),0))</f>
        <v>50023</v>
      </c>
      <c r="M25" s="70">
        <f>[No]</f>
        <v>50023</v>
      </c>
      <c r="N25" s="96" t="s">
        <v>889</v>
      </c>
      <c r="O25" s="97">
        <f ca="1">IF(ResourceAction[[#This Row],[Resource Name]]="","idn1",IF(ResourceAction[[#This Row],[IDN1]]="","",VLOOKUP(ResourceAction[[#This Row],[IDN1]],IDNMaps[[Display]:[ID]],2,0)))</f>
        <v>50016</v>
      </c>
      <c r="P25" s="97">
        <f ca="1">IF(ResourceAction[[#This Row],[Resource Name]]="","idn2",IF(ResourceAction[[#This Row],[IDN2]]="","",VLOOKUP(ResourceAction[[#This Row],[IDN2]],IDNMaps[[Display]:[ID]],2,0)))</f>
        <v>50009</v>
      </c>
      <c r="Q25" s="97" t="str">
        <f>IF(ResourceAction[[#This Row],[Resource Name]]="","idn3",IF(ResourceAction[[#This Row],[IDN3]]="","",VLOOKUP(ResourceAction[[#This Row],[IDN3]],IDNMaps[[Display]:[ID]],2,0)))</f>
        <v/>
      </c>
      <c r="R25" s="97" t="str">
        <f>IF(ResourceAction[[#This Row],[Resource Name]]="","idn4",IF(ResourceAction[[#This Row],[IDN4]]="","",VLOOKUP(ResourceAction[[#This Row],[IDN4]],IDNMaps[[Display]:[ID]],2,0)))</f>
        <v/>
      </c>
      <c r="S25" s="97" t="str">
        <f>IF(ResourceAction[[#This Row],[Resource Name]]="","idn5",IF(ResourceAction[[#This Row],[IDN5]]="","",VLOOKUP(ResourceAction[[#This Row],[IDN5]],IDNMaps[[Display]:[ID]],2,0)))</f>
        <v/>
      </c>
      <c r="T25" s="98" t="s">
        <v>913</v>
      </c>
      <c r="U25" s="98" t="s">
        <v>923</v>
      </c>
      <c r="V25" s="98"/>
      <c r="W25" s="98"/>
      <c r="X25" s="98"/>
      <c r="Y25" s="77">
        <f>[No]</f>
        <v>50023</v>
      </c>
    </row>
    <row r="26" spans="1:38">
      <c r="A26" s="70" t="str">
        <f>'Table Seed Map'!$A$33&amp;"-"&amp;(COUNTA($E$1:ResourceAction[[#This Row],[Resource]])-2)</f>
        <v>Resource Actions-24</v>
      </c>
      <c r="B26" s="70" t="str">
        <f>ResourceAction[[#This Row],[Resource Name]]&amp;"/"&amp;ResourceAction[[#This Row],[Name]]</f>
        <v>Wishlist/ManageWishlistProductsAction</v>
      </c>
      <c r="C26" s="78" t="s">
        <v>578</v>
      </c>
      <c r="D26" s="70">
        <f>IF(ResourceAction[[#This Row],[Resource Name]]="","id",COUNTA($C$1:ResourceAction[[#This Row],[Resource Name]])-1+IF(VLOOKUP('Table Seed Map'!$A$33,SeedMap[],9,0),VLOOKUP('Table Seed Map'!$A$33,SeedMap[],9,0),0))</f>
        <v>50024</v>
      </c>
      <c r="E26" s="70">
        <f>IF(ResourceAction[[#This Row],[Resource Name]]="","resource",VLOOKUP(ResourceAction[[#This Row],[Resource Name]],ResourceTable[[RName]:[RID]],2,0))</f>
        <v>50006</v>
      </c>
      <c r="F26" s="70" t="s">
        <v>873</v>
      </c>
      <c r="G26" s="70" t="s">
        <v>874</v>
      </c>
      <c r="H26" s="70" t="s">
        <v>875</v>
      </c>
      <c r="I26" s="70"/>
      <c r="J26" s="70"/>
      <c r="K26" s="68" t="str">
        <f>'Table Seed Map'!$A$34&amp;"-"&amp;(COUNTA($E$1:ResourceAction[[#This Row],[Resource]])-2)</f>
        <v>Action Method-24</v>
      </c>
      <c r="L26" s="70">
        <f>IF(ResourceAction[[#This Row],[Resource Name]]="","id",COUNTA($C$3:ResourceAction[[#This Row],[Resource Name]])+IF(VLOOKUP('Table Seed Map'!$A$34,SeedMap[],9,0),VLOOKUP('Table Seed Map'!$A$34,SeedMap[],9,0),0))</f>
        <v>50024</v>
      </c>
      <c r="M26" s="70">
        <f>[No]</f>
        <v>50024</v>
      </c>
      <c r="N26" s="96" t="s">
        <v>891</v>
      </c>
      <c r="O26" s="97">
        <f ca="1">IF(ResourceAction[[#This Row],[Resource Name]]="","idn1",IF(ResourceAction[[#This Row],[IDN1]]="","",VLOOKUP(ResourceAction[[#This Row],[IDN1]],IDNMaps[[Display]:[ID]],2,0)))</f>
        <v>50018</v>
      </c>
      <c r="P26" s="97">
        <f ca="1">IF(ResourceAction[[#This Row],[Resource Name]]="","idn2",IF(ResourceAction[[#This Row],[IDN2]]="","",VLOOKUP(ResourceAction[[#This Row],[IDN2]],IDNMaps[[Display]:[ID]],2,0)))</f>
        <v>50005</v>
      </c>
      <c r="Q26" s="97" t="str">
        <f>IF(ResourceAction[[#This Row],[Resource Name]]="","idn3",IF(ResourceAction[[#This Row],[IDN3]]="","",VLOOKUP(ResourceAction[[#This Row],[IDN3]],IDNMaps[[Display]:[ID]],2,0)))</f>
        <v/>
      </c>
      <c r="R26" s="97" t="str">
        <f>IF(ResourceAction[[#This Row],[Resource Name]]="","idn4",IF(ResourceAction[[#This Row],[IDN4]]="","",VLOOKUP(ResourceAction[[#This Row],[IDN4]],IDNMaps[[Display]:[ID]],2,0)))</f>
        <v/>
      </c>
      <c r="S26" s="97" t="str">
        <f>IF(ResourceAction[[#This Row],[Resource Name]]="","idn5",IF(ResourceAction[[#This Row],[IDN5]]="","",VLOOKUP(ResourceAction[[#This Row],[IDN5]],IDNMaps[[Display]:[ID]],2,0)))</f>
        <v/>
      </c>
      <c r="T26" s="98" t="s">
        <v>914</v>
      </c>
      <c r="U26" s="98" t="s">
        <v>896</v>
      </c>
      <c r="V26" s="98"/>
      <c r="W26" s="98"/>
      <c r="X26" s="98"/>
      <c r="Y26" s="77">
        <f>[No]</f>
        <v>50024</v>
      </c>
    </row>
    <row r="27" spans="1:38">
      <c r="A27" s="70" t="str">
        <f>'Table Seed Map'!$A$33&amp;"-"&amp;(COUNTA($E$1:ResourceAction[[#This Row],[Resource]])-2)</f>
        <v>Resource Actions-25</v>
      </c>
      <c r="B27" s="70" t="str">
        <f>ResourceAction[[#This Row],[Resource Name]]&amp;"/"&amp;ResourceAction[[#This Row],[Name]]</f>
        <v>Wishlist/ShareWishlistAction</v>
      </c>
      <c r="C27" s="78" t="s">
        <v>578</v>
      </c>
      <c r="D27" s="70">
        <f>IF(ResourceAction[[#This Row],[Resource Name]]="","id",COUNTA($C$1:ResourceAction[[#This Row],[Resource Name]])-1+IF(VLOOKUP('Table Seed Map'!$A$33,SeedMap[],9,0),VLOOKUP('Table Seed Map'!$A$33,SeedMap[],9,0),0))</f>
        <v>50025</v>
      </c>
      <c r="E27" s="70">
        <f>IF(ResourceAction[[#This Row],[Resource Name]]="","resource",VLOOKUP(ResourceAction[[#This Row],[Resource Name]],ResourceTable[[RName]:[RID]],2,0))</f>
        <v>50006</v>
      </c>
      <c r="F27" s="70" t="s">
        <v>876</v>
      </c>
      <c r="G27" s="70" t="s">
        <v>877</v>
      </c>
      <c r="H27" s="70" t="s">
        <v>878</v>
      </c>
      <c r="I27" s="70"/>
      <c r="J27" s="70"/>
      <c r="K27" s="68" t="str">
        <f>'Table Seed Map'!$A$34&amp;"-"&amp;(COUNTA($E$1:ResourceAction[[#This Row],[Resource]])-2)</f>
        <v>Action Method-25</v>
      </c>
      <c r="L27" s="70">
        <f>IF(ResourceAction[[#This Row],[Resource Name]]="","id",COUNTA($C$3:ResourceAction[[#This Row],[Resource Name]])+IF(VLOOKUP('Table Seed Map'!$A$34,SeedMap[],9,0),VLOOKUP('Table Seed Map'!$A$34,SeedMap[],9,0),0))</f>
        <v>50025</v>
      </c>
      <c r="M27" s="70">
        <f>[No]</f>
        <v>50025</v>
      </c>
      <c r="N27" s="96" t="s">
        <v>890</v>
      </c>
      <c r="O27" s="97">
        <f ca="1">IF(ResourceAction[[#This Row],[Resource Name]]="","idn1",IF(ResourceAction[[#This Row],[IDN1]]="","",VLOOKUP(ResourceAction[[#This Row],[IDN1]],IDNMaps[[Display]:[ID]],2,0)))</f>
        <v>50028</v>
      </c>
      <c r="P27" s="97">
        <f ca="1">IF(ResourceAction[[#This Row],[Resource Name]]="","idn2",IF(ResourceAction[[#This Row],[IDN2]]="","",VLOOKUP(ResourceAction[[#This Row],[IDN2]],IDNMaps[[Display]:[ID]],2,0)))</f>
        <v>50006</v>
      </c>
      <c r="Q27" s="97" t="str">
        <f>IF(ResourceAction[[#This Row],[Resource Name]]="","idn3",IF(ResourceAction[[#This Row],[IDN3]]="","",VLOOKUP(ResourceAction[[#This Row],[IDN3]],IDNMaps[[Display]:[ID]],2,0)))</f>
        <v/>
      </c>
      <c r="R27" s="97" t="str">
        <f>IF(ResourceAction[[#This Row],[Resource Name]]="","idn4",IF(ResourceAction[[#This Row],[IDN4]]="","",VLOOKUP(ResourceAction[[#This Row],[IDN4]],IDNMaps[[Display]:[ID]],2,0)))</f>
        <v/>
      </c>
      <c r="S27" s="97" t="str">
        <f>IF(ResourceAction[[#This Row],[Resource Name]]="","idn5",IF(ResourceAction[[#This Row],[IDN5]]="","",VLOOKUP(ResourceAction[[#This Row],[IDN5]],IDNMaps[[Display]:[ID]],2,0)))</f>
        <v/>
      </c>
      <c r="T27" s="98" t="s">
        <v>915</v>
      </c>
      <c r="U27" s="98" t="s">
        <v>924</v>
      </c>
      <c r="V27" s="98"/>
      <c r="W27" s="98"/>
      <c r="X27" s="98"/>
      <c r="Y27" s="77">
        <f>[No]</f>
        <v>50025</v>
      </c>
    </row>
    <row r="28" spans="1:38">
      <c r="A28" s="70" t="str">
        <f>'Table Seed Map'!$A$33&amp;"-"&amp;(COUNTA($E$1:ResourceAction[[#This Row],[Resource]])-2)</f>
        <v>Resource Actions-26</v>
      </c>
      <c r="B28" s="70" t="str">
        <f>ResourceAction[[#This Row],[Resource Name]]&amp;"/"&amp;ResourceAction[[#This Row],[Name]]</f>
        <v>Wishlist/WishlistDetailsAction</v>
      </c>
      <c r="C28" s="78" t="s">
        <v>578</v>
      </c>
      <c r="D28" s="70">
        <f>IF(ResourceAction[[#This Row],[Resource Name]]="","id",COUNTA($C$1:ResourceAction[[#This Row],[Resource Name]])-1+IF(VLOOKUP('Table Seed Map'!$A$33,SeedMap[],9,0),VLOOKUP('Table Seed Map'!$A$33,SeedMap[],9,0),0))</f>
        <v>50026</v>
      </c>
      <c r="E28" s="70">
        <f>IF(ResourceAction[[#This Row],[Resource Name]]="","resource",VLOOKUP(ResourceAction[[#This Row],[Resource Name]],ResourceTable[[RName]:[RID]],2,0))</f>
        <v>50006</v>
      </c>
      <c r="F28" s="70" t="s">
        <v>879</v>
      </c>
      <c r="G28" s="70" t="s">
        <v>880</v>
      </c>
      <c r="H28" s="70" t="s">
        <v>869</v>
      </c>
      <c r="I28" s="70"/>
      <c r="J28" s="70"/>
      <c r="K28" s="68" t="str">
        <f>'Table Seed Map'!$A$34&amp;"-"&amp;(COUNTA($E$1:ResourceAction[[#This Row],[Resource]])-2)</f>
        <v>Action Method-26</v>
      </c>
      <c r="L28" s="70">
        <f>IF(ResourceAction[[#This Row],[Resource Name]]="","id",COUNTA($C$3:ResourceAction[[#This Row],[Resource Name]])+IF(VLOOKUP('Table Seed Map'!$A$34,SeedMap[],9,0),VLOOKUP('Table Seed Map'!$A$34,SeedMap[],9,0),0))</f>
        <v>50026</v>
      </c>
      <c r="M28" s="70">
        <f>[No]</f>
        <v>50026</v>
      </c>
      <c r="N28" s="96" t="s">
        <v>127</v>
      </c>
      <c r="O28" s="97">
        <f ca="1">IF(ResourceAction[[#This Row],[Resource Name]]="","idn1",IF(ResourceAction[[#This Row],[IDN1]]="","",VLOOKUP(ResourceAction[[#This Row],[IDN1]],IDNMaps[[Display]:[ID]],2,0)))</f>
        <v>50003</v>
      </c>
      <c r="P28" s="97" t="str">
        <f>IF(ResourceAction[[#This Row],[Resource Name]]="","idn2",IF(ResourceAction[[#This Row],[IDN2]]="","",VLOOKUP(ResourceAction[[#This Row],[IDN2]],IDNMaps[[Display]:[ID]],2,0)))</f>
        <v/>
      </c>
      <c r="Q28" s="97" t="str">
        <f>IF(ResourceAction[[#This Row],[Resource Name]]="","idn3",IF(ResourceAction[[#This Row],[IDN3]]="","",VLOOKUP(ResourceAction[[#This Row],[IDN3]],IDNMaps[[Display]:[ID]],2,0)))</f>
        <v/>
      </c>
      <c r="R28" s="97" t="str">
        <f>IF(ResourceAction[[#This Row],[Resource Name]]="","idn4",IF(ResourceAction[[#This Row],[IDN4]]="","",VLOOKUP(ResourceAction[[#This Row],[IDN4]],IDNMaps[[Display]:[ID]],2,0)))</f>
        <v/>
      </c>
      <c r="S28" s="97" t="str">
        <f>IF(ResourceAction[[#This Row],[Resource Name]]="","idn5",IF(ResourceAction[[#This Row],[IDN5]]="","",VLOOKUP(ResourceAction[[#This Row],[IDN5]],IDNMaps[[Display]:[ID]],2,0)))</f>
        <v/>
      </c>
      <c r="T28" s="98" t="s">
        <v>916</v>
      </c>
      <c r="U28" s="98"/>
      <c r="V28" s="98"/>
      <c r="W28" s="98"/>
      <c r="X28" s="98"/>
      <c r="Y28" s="77">
        <f>[No]</f>
        <v>50026</v>
      </c>
    </row>
    <row r="29" spans="1:38">
      <c r="A29" s="70" t="str">
        <f>'Table Seed Map'!$A$33&amp;"-"&amp;(COUNTA($E$1:ResourceAction[[#This Row],[Resource]])-2)</f>
        <v>Resource Actions-27</v>
      </c>
      <c r="B29" s="70" t="str">
        <f>ResourceAction[[#This Row],[Resource Name]]&amp;"/"&amp;ResourceAction[[#This Row],[Name]]</f>
        <v>Wishlist/UpdateWishlistDetailsAction</v>
      </c>
      <c r="C29" s="78" t="s">
        <v>578</v>
      </c>
      <c r="D29" s="70">
        <f>IF(ResourceAction[[#This Row],[Resource Name]]="","id",COUNTA($C$1:ResourceAction[[#This Row],[Resource Name]])-1+IF(VLOOKUP('Table Seed Map'!$A$33,SeedMap[],9,0),VLOOKUP('Table Seed Map'!$A$33,SeedMap[],9,0),0))</f>
        <v>50027</v>
      </c>
      <c r="E29" s="70">
        <f>IF(ResourceAction[[#This Row],[Resource Name]]="","resource",VLOOKUP(ResourceAction[[#This Row],[Resource Name]],ResourceTable[[RName]:[RID]],2,0))</f>
        <v>50006</v>
      </c>
      <c r="F29" s="70" t="s">
        <v>881</v>
      </c>
      <c r="G29" s="70" t="s">
        <v>882</v>
      </c>
      <c r="H29" s="70" t="s">
        <v>274</v>
      </c>
      <c r="I29" s="70"/>
      <c r="J29" s="70"/>
      <c r="K29" s="68" t="str">
        <f>'Table Seed Map'!$A$34&amp;"-"&amp;(COUNTA($E$1:ResourceAction[[#This Row],[Resource]])-2)</f>
        <v>Action Method-27</v>
      </c>
      <c r="L29" s="70">
        <f>IF(ResourceAction[[#This Row],[Resource Name]]="","id",COUNTA($C$3:ResourceAction[[#This Row],[Resource Name]])+IF(VLOOKUP('Table Seed Map'!$A$34,SeedMap[],9,0),VLOOKUP('Table Seed Map'!$A$34,SeedMap[],9,0),0))</f>
        <v>50027</v>
      </c>
      <c r="M29" s="70">
        <f>[No]</f>
        <v>50027</v>
      </c>
      <c r="N29" s="96" t="s">
        <v>186</v>
      </c>
      <c r="O29" s="97">
        <f ca="1">IF(ResourceAction[[#This Row],[Resource Name]]="","idn1",IF(ResourceAction[[#This Row],[IDN1]]="","",VLOOKUP(ResourceAction[[#This Row],[IDN1]],IDNMaps[[Display]:[ID]],2,0)))</f>
        <v>50005</v>
      </c>
      <c r="P29" s="97">
        <f ca="1">IF(ResourceAction[[#This Row],[Resource Name]]="","idn2",IF(ResourceAction[[#This Row],[IDN2]]="","",VLOOKUP(ResourceAction[[#This Row],[IDN2]],IDNMaps[[Display]:[ID]],2,0)))</f>
        <v>50003</v>
      </c>
      <c r="Q29" s="97" t="str">
        <f>IF(ResourceAction[[#This Row],[Resource Name]]="","idn3",IF(ResourceAction[[#This Row],[IDN3]]="","",VLOOKUP(ResourceAction[[#This Row],[IDN3]],IDNMaps[[Display]:[ID]],2,0)))</f>
        <v/>
      </c>
      <c r="R29" s="97" t="str">
        <f>IF(ResourceAction[[#This Row],[Resource Name]]="","idn4",IF(ResourceAction[[#This Row],[IDN4]]="","",VLOOKUP(ResourceAction[[#This Row],[IDN4]],IDNMaps[[Display]:[ID]],2,0)))</f>
        <v/>
      </c>
      <c r="S29" s="97" t="str">
        <f>IF(ResourceAction[[#This Row],[Resource Name]]="","idn5",IF(ResourceAction[[#This Row],[IDN5]]="","",VLOOKUP(ResourceAction[[#This Row],[IDN5]],IDNMaps[[Display]:[ID]],2,0)))</f>
        <v/>
      </c>
      <c r="T29" s="98" t="s">
        <v>917</v>
      </c>
      <c r="U29" s="98" t="s">
        <v>916</v>
      </c>
      <c r="V29" s="98"/>
      <c r="W29" s="98"/>
      <c r="X29" s="98"/>
      <c r="Y29" s="77">
        <f>[No]</f>
        <v>50027</v>
      </c>
    </row>
    <row r="30" spans="1:38">
      <c r="A30" s="70" t="str">
        <f>'Table Seed Map'!$A$33&amp;"-"&amp;(COUNTA($E$1:ResourceAction[[#This Row],[Resource]])-2)</f>
        <v>Resource Actions-28</v>
      </c>
      <c r="B30" s="70" t="str">
        <f>ResourceAction[[#This Row],[Resource Name]]&amp;"/"&amp;ResourceAction[[#This Row],[Name]]</f>
        <v>Wishlist/AddWishlistNoteAction</v>
      </c>
      <c r="C30" s="78" t="s">
        <v>578</v>
      </c>
      <c r="D30" s="70">
        <f>IF(ResourceAction[[#This Row],[Resource Name]]="","id",COUNTA($C$1:ResourceAction[[#This Row],[Resource Name]])-1+IF(VLOOKUP('Table Seed Map'!$A$33,SeedMap[],9,0),VLOOKUP('Table Seed Map'!$A$33,SeedMap[],9,0),0))</f>
        <v>50028</v>
      </c>
      <c r="E30" s="70">
        <f>IF(ResourceAction[[#This Row],[Resource Name]]="","resource",VLOOKUP(ResourceAction[[#This Row],[Resource Name]],ResourceTable[[RName]:[RID]],2,0))</f>
        <v>50006</v>
      </c>
      <c r="F30" s="70" t="s">
        <v>883</v>
      </c>
      <c r="G30" s="70" t="s">
        <v>884</v>
      </c>
      <c r="H30" s="70" t="s">
        <v>885</v>
      </c>
      <c r="I30" s="70"/>
      <c r="J30" s="70"/>
      <c r="K30" s="68" t="str">
        <f>'Table Seed Map'!$A$34&amp;"-"&amp;(COUNTA($E$1:ResourceAction[[#This Row],[Resource]])-2)</f>
        <v>Action Method-28</v>
      </c>
      <c r="L30" s="70">
        <f>IF(ResourceAction[[#This Row],[Resource Name]]="","id",COUNTA($C$3:ResourceAction[[#This Row],[Resource Name]])+IF(VLOOKUP('Table Seed Map'!$A$34,SeedMap[],9,0),VLOOKUP('Table Seed Map'!$A$34,SeedMap[],9,0),0))</f>
        <v>50028</v>
      </c>
      <c r="M30" s="70">
        <f>[No]</f>
        <v>50028</v>
      </c>
      <c r="N30" s="96" t="s">
        <v>890</v>
      </c>
      <c r="O30" s="97">
        <f ca="1">IF(ResourceAction[[#This Row],[Resource Name]]="","idn1",IF(ResourceAction[[#This Row],[IDN1]]="","",VLOOKUP(ResourceAction[[#This Row],[IDN1]],IDNMaps[[Display]:[ID]],2,0)))</f>
        <v>50016</v>
      </c>
      <c r="P30" s="97">
        <f ca="1">IF(ResourceAction[[#This Row],[Resource Name]]="","idn2",IF(ResourceAction[[#This Row],[IDN2]]="","",VLOOKUP(ResourceAction[[#This Row],[IDN2]],IDNMaps[[Display]:[ID]],2,0)))</f>
        <v>50007</v>
      </c>
      <c r="Q30" s="97" t="str">
        <f>IF(ResourceAction[[#This Row],[Resource Name]]="","idn3",IF(ResourceAction[[#This Row],[IDN3]]="","",VLOOKUP(ResourceAction[[#This Row],[IDN3]],IDNMaps[[Display]:[ID]],2,0)))</f>
        <v/>
      </c>
      <c r="R30" s="97" t="str">
        <f>IF(ResourceAction[[#This Row],[Resource Name]]="","idn4",IF(ResourceAction[[#This Row],[IDN4]]="","",VLOOKUP(ResourceAction[[#This Row],[IDN4]],IDNMaps[[Display]:[ID]],2,0)))</f>
        <v/>
      </c>
      <c r="S30" s="97" t="str">
        <f>IF(ResourceAction[[#This Row],[Resource Name]]="","idn5",IF(ResourceAction[[#This Row],[IDN5]]="","",VLOOKUP(ResourceAction[[#This Row],[IDN5]],IDNMaps[[Display]:[ID]],2,0)))</f>
        <v/>
      </c>
      <c r="T30" s="98" t="s">
        <v>913</v>
      </c>
      <c r="U30" s="98" t="s">
        <v>925</v>
      </c>
      <c r="V30" s="98"/>
      <c r="W30" s="98"/>
      <c r="X30" s="98"/>
      <c r="Y30" s="77">
        <f>[No]</f>
        <v>50028</v>
      </c>
    </row>
    <row r="31" spans="1:38">
      <c r="A31" s="83" t="str">
        <f>'Table Seed Map'!$A$33&amp;"-"&amp;(COUNTA($E$1:ResourceAction[[#This Row],[Resource]])-2)</f>
        <v>Resource Actions-29</v>
      </c>
      <c r="B31" s="83" t="str">
        <f>ResourceAction[[#This Row],[Resource Name]]&amp;"/"&amp;ResourceAction[[#This Row],[Name]]</f>
        <v>GroupDetail/AlterWebListAction</v>
      </c>
      <c r="C31" s="78" t="s">
        <v>659</v>
      </c>
      <c r="D31" s="83">
        <f>IF(ResourceAction[[#This Row],[Resource Name]]="","id",COUNTA($C$1:ResourceAction[[#This Row],[Resource Name]])-1+IF(VLOOKUP('Table Seed Map'!$A$33,SeedMap[],9,0),VLOOKUP('Table Seed Map'!$A$33,SeedMap[],9,0),0))</f>
        <v>50029</v>
      </c>
      <c r="E31" s="83">
        <f>IF(ResourceAction[[#This Row],[Resource Name]]="","resource",VLOOKUP(ResourceAction[[#This Row],[Resource Name]],ResourceTable[[RName]:[RID]],2,0))</f>
        <v>50002</v>
      </c>
      <c r="F31" s="83" t="s">
        <v>886</v>
      </c>
      <c r="G31" s="83" t="s">
        <v>887</v>
      </c>
      <c r="H31" s="83" t="s">
        <v>888</v>
      </c>
      <c r="I31" s="83"/>
      <c r="J31" s="83"/>
      <c r="K31" s="81" t="str">
        <f>'Table Seed Map'!$A$34&amp;"-"&amp;(COUNTA($E$1:ResourceAction[[#This Row],[Resource]])-2)</f>
        <v>Action Method-29</v>
      </c>
      <c r="L31" s="83">
        <f>IF(ResourceAction[[#This Row],[Resource Name]]="","id",COUNTA($C$3:ResourceAction[[#This Row],[Resource Name]])+IF(VLOOKUP('Table Seed Map'!$A$34,SeedMap[],9,0),VLOOKUP('Table Seed Map'!$A$34,SeedMap[],9,0),0))</f>
        <v>50029</v>
      </c>
      <c r="M31" s="83">
        <f>[No]</f>
        <v>50029</v>
      </c>
      <c r="N31" s="99" t="s">
        <v>186</v>
      </c>
      <c r="O31" s="100">
        <f ca="1">IF(ResourceAction[[#This Row],[Resource Name]]="","idn1",IF(ResourceAction[[#This Row],[IDN1]]="","",VLOOKUP(ResourceAction[[#This Row],[IDN1]],IDNMaps[[Display]:[ID]],2,0)))</f>
        <v>50008</v>
      </c>
      <c r="P31" s="100">
        <f ca="1">IF(ResourceAction[[#This Row],[Resource Name]]="","idn2",IF(ResourceAction[[#This Row],[IDN2]]="","",VLOOKUP(ResourceAction[[#This Row],[IDN2]],IDNMaps[[Display]:[ID]],2,0)))</f>
        <v>50004</v>
      </c>
      <c r="Q31" s="100" t="str">
        <f>IF(ResourceAction[[#This Row],[Resource Name]]="","idn3",IF(ResourceAction[[#This Row],[IDN3]]="","",VLOOKUP(ResourceAction[[#This Row],[IDN3]],IDNMaps[[Display]:[ID]],2,0)))</f>
        <v/>
      </c>
      <c r="R31" s="100" t="str">
        <f>IF(ResourceAction[[#This Row],[Resource Name]]="","idn4",IF(ResourceAction[[#This Row],[IDN4]]="","",VLOOKUP(ResourceAction[[#This Row],[IDN4]],IDNMaps[[Display]:[ID]],2,0)))</f>
        <v/>
      </c>
      <c r="S31" s="100" t="str">
        <f>IF(ResourceAction[[#This Row],[Resource Name]]="","idn5",IF(ResourceAction[[#This Row],[IDN5]]="","",VLOOKUP(ResourceAction[[#This Row],[IDN5]],IDNMaps[[Display]:[ID]],2,0)))</f>
        <v/>
      </c>
      <c r="T31" s="101" t="s">
        <v>918</v>
      </c>
      <c r="U31" s="98" t="s">
        <v>926</v>
      </c>
      <c r="V31" s="101"/>
      <c r="W31" s="101"/>
      <c r="X31" s="101"/>
      <c r="Y31" s="90">
        <f>[No]</f>
        <v>50029</v>
      </c>
    </row>
  </sheetData>
  <dataValidations count="6">
    <dataValidation type="list" allowBlank="1" showInputMessage="1" showErrorMessage="1" sqref="AN2 AA2:AA24">
      <formula1>ActionsName</formula1>
    </dataValidation>
    <dataValidation type="list" allowBlank="1" showInputMessage="1" showErrorMessage="1" sqref="AC2:AC24">
      <formula1>ListNames</formula1>
    </dataValidation>
    <dataValidation type="list" allowBlank="1" showInputMessage="1" showErrorMessage="1" sqref="AD2:AD24">
      <formula1>DataNames</formula1>
    </dataValidation>
    <dataValidation type="list" allowBlank="1" showInputMessage="1" showErrorMessage="1" sqref="I2:I31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1">
      <formula1>Resources</formula1>
    </dataValidation>
    <dataValidation type="list" allowBlank="1" showInputMessage="1" showErrorMessage="1" sqref="T2:X31">
      <formula1>IDNs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Framework 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2019-02-11T17:59:37Z</dcterms:modified>
</cp:coreProperties>
</file>