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2" i="26"/>
  <c r="D3"/>
  <c r="D4"/>
  <c r="D5"/>
  <c r="D6"/>
  <c r="D7"/>
  <c r="D8"/>
  <c r="D9"/>
  <c r="D10"/>
  <c r="D11"/>
  <c r="D12"/>
  <c r="D13"/>
  <c r="C105" i="3"/>
  <c r="D105"/>
  <c r="E105"/>
  <c r="F105"/>
  <c r="G105"/>
  <c r="H105"/>
  <c r="I105"/>
  <c r="J105"/>
  <c r="C22"/>
  <c r="D22"/>
  <c r="E22"/>
  <c r="F22"/>
  <c r="G22"/>
  <c r="H22"/>
  <c r="I22"/>
  <c r="J22"/>
  <c r="C18"/>
  <c r="C19"/>
  <c r="C20"/>
  <c r="C21"/>
  <c r="C23"/>
  <c r="C24"/>
  <c r="C25"/>
  <c r="D18"/>
  <c r="D19"/>
  <c r="D20"/>
  <c r="D21"/>
  <c r="D23"/>
  <c r="D24"/>
  <c r="D25"/>
  <c r="E18"/>
  <c r="E19"/>
  <c r="E20"/>
  <c r="E21"/>
  <c r="E23"/>
  <c r="E24"/>
  <c r="E25"/>
  <c r="F18"/>
  <c r="F19"/>
  <c r="F20"/>
  <c r="F21"/>
  <c r="F23"/>
  <c r="F24"/>
  <c r="F25"/>
  <c r="G18"/>
  <c r="G19"/>
  <c r="G20"/>
  <c r="G21"/>
  <c r="G23"/>
  <c r="G24"/>
  <c r="G25"/>
  <c r="H18"/>
  <c r="H19"/>
  <c r="H20"/>
  <c r="H21"/>
  <c r="H23"/>
  <c r="H24"/>
  <c r="H25"/>
  <c r="I18"/>
  <c r="I19"/>
  <c r="I20"/>
  <c r="I21"/>
  <c r="I23"/>
  <c r="I24"/>
  <c r="I25"/>
  <c r="J18"/>
  <c r="J19"/>
  <c r="J20"/>
  <c r="J21"/>
  <c r="J23"/>
  <c r="J24"/>
  <c r="J25"/>
  <c r="D48" i="1"/>
  <c r="B48"/>
  <c r="H48" s="1"/>
  <c r="C48"/>
  <c r="E48" s="1"/>
  <c r="A11" i="24"/>
  <c r="A12"/>
  <c r="A13"/>
  <c r="A14"/>
  <c r="A15"/>
  <c r="A16"/>
  <c r="A17"/>
  <c r="A18"/>
  <c r="A19"/>
  <c r="A20"/>
  <c r="C11"/>
  <c r="C12"/>
  <c r="C13"/>
  <c r="C14"/>
  <c r="C15"/>
  <c r="C16"/>
  <c r="C17"/>
  <c r="C18"/>
  <c r="C19"/>
  <c r="C20"/>
  <c r="A10"/>
  <c r="C10"/>
  <c r="A9"/>
  <c r="C9"/>
  <c r="A8"/>
  <c r="C8"/>
  <c r="A7"/>
  <c r="C7"/>
  <c r="A4" i="19"/>
  <c r="B4"/>
  <c r="C4"/>
  <c r="A5"/>
  <c r="B5"/>
  <c r="C5"/>
  <c r="A9"/>
  <c r="A10"/>
  <c r="A11"/>
  <c r="A12"/>
  <c r="A13"/>
  <c r="A14"/>
  <c r="B9"/>
  <c r="D9" s="1"/>
  <c r="N9" s="1"/>
  <c r="B10"/>
  <c r="G10" s="1"/>
  <c r="B11"/>
  <c r="D11" s="1"/>
  <c r="N11" s="1"/>
  <c r="B12"/>
  <c r="D12" s="1"/>
  <c r="N12" s="1"/>
  <c r="B13"/>
  <c r="G13" s="1"/>
  <c r="B14"/>
  <c r="D14" s="1"/>
  <c r="N14" s="1"/>
  <c r="C9"/>
  <c r="C10"/>
  <c r="C11"/>
  <c r="C12"/>
  <c r="C13"/>
  <c r="C14"/>
  <c r="A19"/>
  <c r="A20"/>
  <c r="A21"/>
  <c r="A22"/>
  <c r="A23"/>
  <c r="A24"/>
  <c r="B19"/>
  <c r="D19" s="1"/>
  <c r="N19" s="1"/>
  <c r="B20"/>
  <c r="G20" s="1"/>
  <c r="B21"/>
  <c r="D21" s="1"/>
  <c r="N21" s="1"/>
  <c r="B22"/>
  <c r="D22" s="1"/>
  <c r="N22" s="1"/>
  <c r="B23"/>
  <c r="G23" s="1"/>
  <c r="B24"/>
  <c r="D24" s="1"/>
  <c r="N24" s="1"/>
  <c r="C19"/>
  <c r="C20"/>
  <c r="C21"/>
  <c r="C22"/>
  <c r="C23"/>
  <c r="C24"/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105" i="3" l="1"/>
  <c r="K22"/>
  <c r="K19"/>
  <c r="K21"/>
  <c r="K24"/>
  <c r="K18"/>
  <c r="K20"/>
  <c r="K23"/>
  <c r="K25"/>
  <c r="G48" i="1"/>
  <c r="I48"/>
  <c r="J48"/>
  <c r="F48"/>
  <c r="D4" i="19"/>
  <c r="N4" s="1"/>
  <c r="G4"/>
  <c r="G5"/>
  <c r="D10"/>
  <c r="N10" s="1"/>
  <c r="G9"/>
  <c r="D5"/>
  <c r="N5" s="1"/>
  <c r="D20"/>
  <c r="N20" s="1"/>
  <c r="G19"/>
  <c r="D13"/>
  <c r="N13" s="1"/>
  <c r="G12"/>
  <c r="G11"/>
  <c r="G14"/>
  <c r="G21"/>
  <c r="G22"/>
  <c r="G24"/>
  <c r="D23"/>
  <c r="N23" s="1"/>
  <c r="O2" i="9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F24" i="27" l="1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Y3" l="1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3"/>
  <c r="A4"/>
  <c r="A5"/>
  <c r="A6"/>
  <c r="C3"/>
  <c r="C4"/>
  <c r="C5"/>
  <c r="C6"/>
  <c r="AV40" i="28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P3" i="19"/>
  <c r="P4"/>
  <c r="P5"/>
  <c r="P6"/>
  <c r="P7"/>
  <c r="R3"/>
  <c r="R4"/>
  <c r="R5"/>
  <c r="R6"/>
  <c r="R7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AI5" s="1"/>
  <c r="D6"/>
  <c r="AW17" s="1"/>
  <c r="D7"/>
  <c r="D8"/>
  <c r="AW24" s="1"/>
  <c r="D9"/>
  <c r="AW29" s="1"/>
  <c r="D10"/>
  <c r="K10" s="1"/>
  <c r="D11"/>
  <c r="K11" s="1"/>
  <c r="D12"/>
  <c r="AW37" s="1"/>
  <c r="D13"/>
  <c r="K13" s="1"/>
  <c r="BC4" i="9"/>
  <c r="BC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44" i="19"/>
  <c r="B44"/>
  <c r="C44"/>
  <c r="A35"/>
  <c r="A36"/>
  <c r="A37"/>
  <c r="A38"/>
  <c r="A39"/>
  <c r="A40"/>
  <c r="A41"/>
  <c r="A42"/>
  <c r="A43"/>
  <c r="B35"/>
  <c r="D35" s="1"/>
  <c r="N35" s="1"/>
  <c r="B36"/>
  <c r="B37"/>
  <c r="B38"/>
  <c r="B39"/>
  <c r="D39" s="1"/>
  <c r="N39" s="1"/>
  <c r="B40"/>
  <c r="D40" s="1"/>
  <c r="N40" s="1"/>
  <c r="B41"/>
  <c r="B42"/>
  <c r="D42" s="1"/>
  <c r="N42" s="1"/>
  <c r="B43"/>
  <c r="D43" s="1"/>
  <c r="N43" s="1"/>
  <c r="C35"/>
  <c r="C36"/>
  <c r="C37"/>
  <c r="C38"/>
  <c r="C39"/>
  <c r="C40"/>
  <c r="C41"/>
  <c r="C42"/>
  <c r="C43"/>
  <c r="A3"/>
  <c r="A6"/>
  <c r="A7"/>
  <c r="A8"/>
  <c r="A15"/>
  <c r="A16"/>
  <c r="A17"/>
  <c r="A18"/>
  <c r="A25"/>
  <c r="A26"/>
  <c r="A27"/>
  <c r="A28"/>
  <c r="A29"/>
  <c r="A30"/>
  <c r="A31"/>
  <c r="A32"/>
  <c r="A33"/>
  <c r="A34"/>
  <c r="B3"/>
  <c r="G3" s="1"/>
  <c r="B6"/>
  <c r="D6" s="1"/>
  <c r="N6" s="1"/>
  <c r="B7"/>
  <c r="G7" s="1"/>
  <c r="B8"/>
  <c r="G8" s="1"/>
  <c r="B15"/>
  <c r="G15" s="1"/>
  <c r="B16"/>
  <c r="D16" s="1"/>
  <c r="N16" s="1"/>
  <c r="B17"/>
  <c r="G17" s="1"/>
  <c r="B18"/>
  <c r="G18" s="1"/>
  <c r="B25"/>
  <c r="G25" s="1"/>
  <c r="B26"/>
  <c r="D26" s="1"/>
  <c r="N26" s="1"/>
  <c r="B27"/>
  <c r="D27" s="1"/>
  <c r="N27" s="1"/>
  <c r="B28"/>
  <c r="G28" s="1"/>
  <c r="B29"/>
  <c r="G29" s="1"/>
  <c r="B30"/>
  <c r="B31"/>
  <c r="G31" s="1"/>
  <c r="B32"/>
  <c r="G32" s="1"/>
  <c r="B33"/>
  <c r="G33" s="1"/>
  <c r="B34"/>
  <c r="D34" s="1"/>
  <c r="N34" s="1"/>
  <c r="C3"/>
  <c r="C6"/>
  <c r="C7"/>
  <c r="C8"/>
  <c r="C15"/>
  <c r="C16"/>
  <c r="C17"/>
  <c r="C18"/>
  <c r="C25"/>
  <c r="C26"/>
  <c r="C27"/>
  <c r="C28"/>
  <c r="C29"/>
  <c r="C30"/>
  <c r="C31"/>
  <c r="C32"/>
  <c r="C33"/>
  <c r="C34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N5" i="28" l="1"/>
  <c r="Z5" s="1"/>
  <c r="AW34"/>
  <c r="AI13"/>
  <c r="AI11"/>
  <c r="AW5"/>
  <c r="AW3"/>
  <c r="AW13"/>
  <c r="N13"/>
  <c r="Z13" s="1"/>
  <c r="AB24" i="27"/>
  <c r="AK24" s="1"/>
  <c r="AW11" i="28"/>
  <c r="N16"/>
  <c r="Z16" s="1"/>
  <c r="AW18"/>
  <c r="AW38"/>
  <c r="AW26"/>
  <c r="N12"/>
  <c r="Z12" s="1"/>
  <c r="AI3"/>
  <c r="AN5" i="9"/>
  <c r="N7" i="28"/>
  <c r="Z7" s="1"/>
  <c r="AI10"/>
  <c r="AW10"/>
  <c r="N15"/>
  <c r="Z15" s="1"/>
  <c r="AW14"/>
  <c r="BE3" i="9"/>
  <c r="N6" i="28"/>
  <c r="Z6" s="1"/>
  <c r="AI6"/>
  <c r="AW27"/>
  <c r="AW35"/>
  <c r="AH8" i="27"/>
  <c r="AH7"/>
  <c r="K9" i="28"/>
  <c r="AH16" i="27"/>
  <c r="AH12"/>
  <c r="AH18"/>
  <c r="AH17"/>
  <c r="AH13"/>
  <c r="AH19"/>
  <c r="AH15"/>
  <c r="AW21" i="28"/>
  <c r="N14"/>
  <c r="Z14" s="1"/>
  <c r="AI8"/>
  <c r="AW16"/>
  <c r="AW32"/>
  <c r="AW40"/>
  <c r="K8"/>
  <c r="AH14" i="27"/>
  <c r="AH10"/>
  <c r="AH11"/>
  <c r="K12" i="28"/>
  <c r="AH9" i="27"/>
  <c r="K4" i="28"/>
  <c r="AH4" i="27"/>
  <c r="AH21"/>
  <c r="AW19" i="28"/>
  <c r="K7"/>
  <c r="AW22"/>
  <c r="N4"/>
  <c r="Z4" s="1"/>
  <c r="N11"/>
  <c r="Z11" s="1"/>
  <c r="AI9"/>
  <c r="AW9"/>
  <c r="AW25"/>
  <c r="AW33"/>
  <c r="K5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41" i="19"/>
  <c r="N41" s="1"/>
  <c r="G41"/>
  <c r="G40"/>
  <c r="G39"/>
  <c r="G38"/>
  <c r="D38"/>
  <c r="N38" s="1"/>
  <c r="G34"/>
  <c r="G27"/>
  <c r="D25"/>
  <c r="N25" s="1"/>
  <c r="D18"/>
  <c r="G16"/>
  <c r="D7"/>
  <c r="N7" s="1"/>
  <c r="G6"/>
  <c r="D44"/>
  <c r="N44" s="1"/>
  <c r="G44"/>
  <c r="G30"/>
  <c r="D30"/>
  <c r="G42"/>
  <c r="G26"/>
  <c r="G43"/>
  <c r="G35"/>
  <c r="D36"/>
  <c r="N36" s="1"/>
  <c r="D32"/>
  <c r="G36"/>
  <c r="D37"/>
  <c r="D33"/>
  <c r="D3"/>
  <c r="N3" s="1"/>
  <c r="G37"/>
  <c r="D28"/>
  <c r="D8"/>
  <c r="N8" s="1"/>
  <c r="D29"/>
  <c r="D15"/>
  <c r="D31"/>
  <c r="D17"/>
  <c r="N17" s="1"/>
  <c r="V11" i="28" l="1"/>
  <c r="V5"/>
  <c r="V7"/>
  <c r="V15"/>
  <c r="V6"/>
  <c r="V14"/>
  <c r="V13"/>
  <c r="V12"/>
  <c r="V8"/>
  <c r="AG24" i="27"/>
  <c r="V10" i="28"/>
  <c r="V16"/>
  <c r="V9"/>
  <c r="N18" i="19"/>
  <c r="N15"/>
  <c r="N31"/>
  <c r="N37"/>
  <c r="N30"/>
  <c r="V4" i="28"/>
  <c r="N32" i="19"/>
  <c r="N33"/>
  <c r="N29"/>
  <c r="N28"/>
  <c r="V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A12"/>
  <c r="C12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51" i="3"/>
  <c r="C52"/>
  <c r="C53"/>
  <c r="C54"/>
  <c r="C55"/>
  <c r="C56"/>
  <c r="C57"/>
  <c r="C58"/>
  <c r="C59"/>
  <c r="C60"/>
  <c r="C61"/>
  <c r="C62"/>
  <c r="C63"/>
  <c r="C64"/>
  <c r="C65"/>
  <c r="D51"/>
  <c r="D52"/>
  <c r="D53"/>
  <c r="D54"/>
  <c r="D55"/>
  <c r="D56"/>
  <c r="D57"/>
  <c r="D58"/>
  <c r="D59"/>
  <c r="D60"/>
  <c r="D61"/>
  <c r="D62"/>
  <c r="D63"/>
  <c r="D64"/>
  <c r="D65"/>
  <c r="E51"/>
  <c r="E52"/>
  <c r="E53"/>
  <c r="E54"/>
  <c r="E55"/>
  <c r="E56"/>
  <c r="E57"/>
  <c r="E58"/>
  <c r="E59"/>
  <c r="E60"/>
  <c r="E61"/>
  <c r="E62"/>
  <c r="E63"/>
  <c r="E64"/>
  <c r="E65"/>
  <c r="F51"/>
  <c r="F52"/>
  <c r="F53"/>
  <c r="F54"/>
  <c r="F55"/>
  <c r="F56"/>
  <c r="F57"/>
  <c r="F58"/>
  <c r="F59"/>
  <c r="F60"/>
  <c r="F61"/>
  <c r="F62"/>
  <c r="F63"/>
  <c r="F64"/>
  <c r="F65"/>
  <c r="G51"/>
  <c r="G52"/>
  <c r="G53"/>
  <c r="G54"/>
  <c r="G55"/>
  <c r="G56"/>
  <c r="G57"/>
  <c r="G58"/>
  <c r="G59"/>
  <c r="G60"/>
  <c r="G61"/>
  <c r="G62"/>
  <c r="G63"/>
  <c r="G64"/>
  <c r="G65"/>
  <c r="H51"/>
  <c r="H52"/>
  <c r="H53"/>
  <c r="H54"/>
  <c r="H55"/>
  <c r="H56"/>
  <c r="H57"/>
  <c r="H58"/>
  <c r="H59"/>
  <c r="H60"/>
  <c r="H61"/>
  <c r="H62"/>
  <c r="H63"/>
  <c r="H64"/>
  <c r="H65"/>
  <c r="I51"/>
  <c r="I52"/>
  <c r="I53"/>
  <c r="I54"/>
  <c r="I55"/>
  <c r="I56"/>
  <c r="I57"/>
  <c r="I58"/>
  <c r="I59"/>
  <c r="I60"/>
  <c r="I61"/>
  <c r="I62"/>
  <c r="I63"/>
  <c r="I64"/>
  <c r="I65"/>
  <c r="J51"/>
  <c r="J52"/>
  <c r="J53"/>
  <c r="J54"/>
  <c r="J55"/>
  <c r="J56"/>
  <c r="J57"/>
  <c r="J58"/>
  <c r="J59"/>
  <c r="J60"/>
  <c r="J61"/>
  <c r="J62"/>
  <c r="J63"/>
  <c r="J64"/>
  <c r="J65"/>
  <c r="C32"/>
  <c r="C33"/>
  <c r="C34"/>
  <c r="C35"/>
  <c r="C36"/>
  <c r="C37"/>
  <c r="C38"/>
  <c r="C39"/>
  <c r="C40"/>
  <c r="C41"/>
  <c r="C42"/>
  <c r="C43"/>
  <c r="C44"/>
  <c r="C45"/>
  <c r="C46"/>
  <c r="C47"/>
  <c r="C48"/>
  <c r="D32"/>
  <c r="D33"/>
  <c r="D34"/>
  <c r="D35"/>
  <c r="D36"/>
  <c r="D37"/>
  <c r="D38"/>
  <c r="D39"/>
  <c r="D40"/>
  <c r="D41"/>
  <c r="D42"/>
  <c r="D43"/>
  <c r="D44"/>
  <c r="D45"/>
  <c r="D46"/>
  <c r="D47"/>
  <c r="D48"/>
  <c r="E32"/>
  <c r="E33"/>
  <c r="E34"/>
  <c r="E35"/>
  <c r="E36"/>
  <c r="E37"/>
  <c r="E38"/>
  <c r="E39"/>
  <c r="E40"/>
  <c r="E41"/>
  <c r="E42"/>
  <c r="E43"/>
  <c r="E44"/>
  <c r="E45"/>
  <c r="E46"/>
  <c r="E47"/>
  <c r="E48"/>
  <c r="F32"/>
  <c r="F33"/>
  <c r="F34"/>
  <c r="F35"/>
  <c r="F36"/>
  <c r="F37"/>
  <c r="F38"/>
  <c r="F39"/>
  <c r="F40"/>
  <c r="F41"/>
  <c r="F42"/>
  <c r="F43"/>
  <c r="F44"/>
  <c r="F45"/>
  <c r="F46"/>
  <c r="F47"/>
  <c r="F48"/>
  <c r="G32"/>
  <c r="G33"/>
  <c r="G34"/>
  <c r="G35"/>
  <c r="G36"/>
  <c r="G37"/>
  <c r="G38"/>
  <c r="G39"/>
  <c r="G40"/>
  <c r="G41"/>
  <c r="G42"/>
  <c r="G43"/>
  <c r="G44"/>
  <c r="G45"/>
  <c r="G46"/>
  <c r="G47"/>
  <c r="G48"/>
  <c r="H32"/>
  <c r="H33"/>
  <c r="H34"/>
  <c r="H35"/>
  <c r="H36"/>
  <c r="H37"/>
  <c r="H38"/>
  <c r="H39"/>
  <c r="H40"/>
  <c r="H41"/>
  <c r="H42"/>
  <c r="H43"/>
  <c r="H44"/>
  <c r="H45"/>
  <c r="H46"/>
  <c r="H47"/>
  <c r="H48"/>
  <c r="I32"/>
  <c r="I33"/>
  <c r="I34"/>
  <c r="I35"/>
  <c r="I36"/>
  <c r="I37"/>
  <c r="I38"/>
  <c r="I39"/>
  <c r="I40"/>
  <c r="I41"/>
  <c r="I42"/>
  <c r="I43"/>
  <c r="I44"/>
  <c r="I45"/>
  <c r="I46"/>
  <c r="I47"/>
  <c r="I48"/>
  <c r="J32"/>
  <c r="J33"/>
  <c r="J34"/>
  <c r="J35"/>
  <c r="J36"/>
  <c r="J37"/>
  <c r="J38"/>
  <c r="J39"/>
  <c r="J40"/>
  <c r="J41"/>
  <c r="J42"/>
  <c r="J43"/>
  <c r="J44"/>
  <c r="J45"/>
  <c r="J46"/>
  <c r="J47"/>
  <c r="J48"/>
  <c r="C12"/>
  <c r="D12"/>
  <c r="E12"/>
  <c r="F12"/>
  <c r="G12"/>
  <c r="H12"/>
  <c r="I12"/>
  <c r="J12"/>
  <c r="C11"/>
  <c r="C13"/>
  <c r="C14"/>
  <c r="C15"/>
  <c r="C16"/>
  <c r="C17"/>
  <c r="C26"/>
  <c r="C27"/>
  <c r="C28"/>
  <c r="C29"/>
  <c r="C30"/>
  <c r="C31"/>
  <c r="C49"/>
  <c r="C50"/>
  <c r="D11"/>
  <c r="D13"/>
  <c r="D14"/>
  <c r="D15"/>
  <c r="D16"/>
  <c r="D17"/>
  <c r="D26"/>
  <c r="D27"/>
  <c r="D28"/>
  <c r="D29"/>
  <c r="D30"/>
  <c r="D31"/>
  <c r="D49"/>
  <c r="D50"/>
  <c r="E11"/>
  <c r="E13"/>
  <c r="E14"/>
  <c r="E15"/>
  <c r="E16"/>
  <c r="E17"/>
  <c r="E26"/>
  <c r="E27"/>
  <c r="E28"/>
  <c r="E29"/>
  <c r="E30"/>
  <c r="E31"/>
  <c r="E49"/>
  <c r="E50"/>
  <c r="F11"/>
  <c r="F13"/>
  <c r="F14"/>
  <c r="F15"/>
  <c r="F16"/>
  <c r="F17"/>
  <c r="F26"/>
  <c r="F27"/>
  <c r="F28"/>
  <c r="F29"/>
  <c r="F30"/>
  <c r="F31"/>
  <c r="F49"/>
  <c r="F50"/>
  <c r="G11"/>
  <c r="G13"/>
  <c r="G14"/>
  <c r="G15"/>
  <c r="G16"/>
  <c r="G17"/>
  <c r="G26"/>
  <c r="G27"/>
  <c r="G28"/>
  <c r="G29"/>
  <c r="G30"/>
  <c r="G31"/>
  <c r="G49"/>
  <c r="G50"/>
  <c r="H11"/>
  <c r="H13"/>
  <c r="H14"/>
  <c r="H15"/>
  <c r="H16"/>
  <c r="H17"/>
  <c r="H26"/>
  <c r="H27"/>
  <c r="H28"/>
  <c r="H29"/>
  <c r="H30"/>
  <c r="H31"/>
  <c r="H49"/>
  <c r="H50"/>
  <c r="I11"/>
  <c r="I13"/>
  <c r="I14"/>
  <c r="I15"/>
  <c r="I16"/>
  <c r="I17"/>
  <c r="I26"/>
  <c r="I27"/>
  <c r="I28"/>
  <c r="I29"/>
  <c r="I30"/>
  <c r="I31"/>
  <c r="I49"/>
  <c r="I50"/>
  <c r="J11"/>
  <c r="J13"/>
  <c r="J14"/>
  <c r="J15"/>
  <c r="J16"/>
  <c r="J17"/>
  <c r="J26"/>
  <c r="J27"/>
  <c r="J28"/>
  <c r="J29"/>
  <c r="J30"/>
  <c r="J31"/>
  <c r="J49"/>
  <c r="J50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46"/>
  <c r="F52"/>
  <c r="F53"/>
  <c r="F54"/>
  <c r="F55"/>
  <c r="D46"/>
  <c r="B46"/>
  <c r="C46"/>
  <c r="E46" s="1"/>
  <c r="C66" i="3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D49" i="1"/>
  <c r="D47"/>
  <c r="D51"/>
  <c r="D52"/>
  <c r="D53"/>
  <c r="D54"/>
  <c r="D55"/>
  <c r="D56"/>
  <c r="D5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0"/>
  <c r="B49"/>
  <c r="H49" s="1"/>
  <c r="B50"/>
  <c r="H50" s="1"/>
  <c r="B51"/>
  <c r="H51" s="1"/>
  <c r="B52"/>
  <c r="B53"/>
  <c r="H53" s="1"/>
  <c r="B54"/>
  <c r="H54" s="1"/>
  <c r="B55"/>
  <c r="B56"/>
  <c r="H56" s="1"/>
  <c r="B57"/>
  <c r="H57" s="1"/>
  <c r="B47"/>
  <c r="F47" s="1"/>
  <c r="C47"/>
  <c r="E47" s="1"/>
  <c r="C49"/>
  <c r="E49" s="1"/>
  <c r="C50"/>
  <c r="E50" s="1"/>
  <c r="C51"/>
  <c r="E51" s="1"/>
  <c r="C52"/>
  <c r="E52" s="1"/>
  <c r="J52" s="1"/>
  <c r="C53"/>
  <c r="E53" s="1"/>
  <c r="G53" s="1"/>
  <c r="C54"/>
  <c r="E54" s="1"/>
  <c r="C55"/>
  <c r="E55" s="1"/>
  <c r="C56"/>
  <c r="E56" s="1"/>
  <c r="C57"/>
  <c r="E57" s="1"/>
  <c r="F50" l="1"/>
  <c r="F51"/>
  <c r="F56"/>
  <c r="F57"/>
  <c r="F49"/>
  <c r="K54" i="3"/>
  <c r="K61"/>
  <c r="K63"/>
  <c r="K64"/>
  <c r="K56"/>
  <c r="K55"/>
  <c r="K51"/>
  <c r="K58"/>
  <c r="K65"/>
  <c r="K62"/>
  <c r="K60"/>
  <c r="K59"/>
  <c r="K57"/>
  <c r="K52"/>
  <c r="K53"/>
  <c r="K32"/>
  <c r="K43"/>
  <c r="K35"/>
  <c r="K44"/>
  <c r="K36"/>
  <c r="K45"/>
  <c r="K37"/>
  <c r="K46"/>
  <c r="K38"/>
  <c r="K47"/>
  <c r="K39"/>
  <c r="K48"/>
  <c r="K40"/>
  <c r="K42"/>
  <c r="K41"/>
  <c r="K33"/>
  <c r="K34"/>
  <c r="K12"/>
  <c r="K28"/>
  <c r="K31"/>
  <c r="K15"/>
  <c r="K27"/>
  <c r="K49"/>
  <c r="K16"/>
  <c r="K30"/>
  <c r="K14"/>
  <c r="K50"/>
  <c r="K26"/>
  <c r="K29"/>
  <c r="K17"/>
  <c r="K11"/>
  <c r="K13"/>
  <c r="K2"/>
  <c r="K8"/>
  <c r="K9"/>
  <c r="K10"/>
  <c r="K4"/>
  <c r="K3"/>
  <c r="K5"/>
  <c r="K6"/>
  <c r="K7"/>
  <c r="H46" i="1"/>
  <c r="J50"/>
  <c r="I50"/>
  <c r="J51"/>
  <c r="I51"/>
  <c r="G46"/>
  <c r="J46"/>
  <c r="I46"/>
  <c r="H55"/>
  <c r="K73" i="3"/>
  <c r="K122"/>
  <c r="K97"/>
  <c r="K81"/>
  <c r="K114"/>
  <c r="K130"/>
  <c r="K106"/>
  <c r="K89"/>
  <c r="K123"/>
  <c r="K115"/>
  <c r="K107"/>
  <c r="K98"/>
  <c r="K90"/>
  <c r="K82"/>
  <c r="K74"/>
  <c r="K66"/>
  <c r="K125"/>
  <c r="K117"/>
  <c r="K109"/>
  <c r="K100"/>
  <c r="K92"/>
  <c r="K84"/>
  <c r="K76"/>
  <c r="K68"/>
  <c r="K126"/>
  <c r="K118"/>
  <c r="K110"/>
  <c r="K101"/>
  <c r="K93"/>
  <c r="K85"/>
  <c r="K77"/>
  <c r="K69"/>
  <c r="K127"/>
  <c r="K119"/>
  <c r="K111"/>
  <c r="K102"/>
  <c r="K94"/>
  <c r="K86"/>
  <c r="K78"/>
  <c r="K70"/>
  <c r="K128"/>
  <c r="K120"/>
  <c r="K112"/>
  <c r="K103"/>
  <c r="K95"/>
  <c r="K87"/>
  <c r="K79"/>
  <c r="K71"/>
  <c r="K129"/>
  <c r="K121"/>
  <c r="K113"/>
  <c r="K104"/>
  <c r="K96"/>
  <c r="K88"/>
  <c r="K80"/>
  <c r="K72"/>
  <c r="K116"/>
  <c r="K99"/>
  <c r="K83"/>
  <c r="K75"/>
  <c r="K67"/>
  <c r="K108"/>
  <c r="K91"/>
  <c r="K124"/>
  <c r="H52" i="1"/>
  <c r="H47"/>
  <c r="J54"/>
  <c r="G54"/>
  <c r="I54"/>
  <c r="J55"/>
  <c r="I55"/>
  <c r="G55"/>
  <c r="G56"/>
  <c r="J56"/>
  <c r="I56"/>
  <c r="G47"/>
  <c r="I47"/>
  <c r="J47"/>
  <c r="I57"/>
  <c r="G57"/>
  <c r="J57"/>
  <c r="I49"/>
  <c r="G49"/>
  <c r="J49"/>
  <c r="G50"/>
  <c r="J53"/>
  <c r="G51"/>
  <c r="I53"/>
  <c r="G52"/>
  <c r="I52"/>
  <c r="Q2" i="9" l="1"/>
  <c r="U2" i="14"/>
  <c r="T2"/>
  <c r="C38" i="21"/>
  <c r="J38"/>
  <c r="Z2" i="14"/>
  <c r="Y2"/>
  <c r="X2"/>
  <c r="W2"/>
  <c r="V2"/>
  <c r="C19" i="21"/>
  <c r="C33" i="1"/>
  <c r="E33" s="1"/>
  <c r="D19" i="21" s="1"/>
  <c r="B33" i="1"/>
  <c r="F33" s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S3" s="1"/>
  <c r="S4" s="1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AV15" i="29" l="1"/>
  <c r="AV5"/>
  <c r="BA40" i="28"/>
  <c r="AZ29"/>
  <c r="BA27"/>
  <c r="BA25"/>
  <c r="BA23"/>
  <c r="BB21"/>
  <c r="AZ18"/>
  <c r="AZ16"/>
  <c r="AZ14"/>
  <c r="AZ12"/>
  <c r="AZ10"/>
  <c r="AZ8"/>
  <c r="AZ6"/>
  <c r="AK15"/>
  <c r="AN12"/>
  <c r="AM10"/>
  <c r="AM8"/>
  <c r="AM6"/>
  <c r="AM4"/>
  <c r="AN9"/>
  <c r="BA26"/>
  <c r="AZ17"/>
  <c r="AZ11"/>
  <c r="AK14"/>
  <c r="AM9"/>
  <c r="AM3"/>
  <c r="BA31"/>
  <c r="BB23"/>
  <c r="BA12"/>
  <c r="AZ4"/>
  <c r="AN8"/>
  <c r="BB38"/>
  <c r="BB36"/>
  <c r="BB34"/>
  <c r="BB32"/>
  <c r="AZ27"/>
  <c r="AZ25"/>
  <c r="AZ23"/>
  <c r="BA21"/>
  <c r="BB5"/>
  <c r="BB3"/>
  <c r="AN14"/>
  <c r="AM12"/>
  <c r="AL10"/>
  <c r="AL8"/>
  <c r="AL6"/>
  <c r="AL4"/>
  <c r="BB28"/>
  <c r="BA15"/>
  <c r="BA9"/>
  <c r="AZ5"/>
  <c r="AL14"/>
  <c r="AN11"/>
  <c r="AN5"/>
  <c r="AZ30"/>
  <c r="BA24"/>
  <c r="AZ15"/>
  <c r="AZ9"/>
  <c r="AN13"/>
  <c r="AM7"/>
  <c r="AV9" i="29"/>
  <c r="BA35" i="28"/>
  <c r="BB25"/>
  <c r="BA16"/>
  <c r="BA10"/>
  <c r="AK13"/>
  <c r="AN4"/>
  <c r="AV16" i="29"/>
  <c r="AV6"/>
  <c r="AL3"/>
  <c r="BA38" i="28"/>
  <c r="BA36"/>
  <c r="BA34"/>
  <c r="BA32"/>
  <c r="BB30"/>
  <c r="BB19"/>
  <c r="BB17"/>
  <c r="BB15"/>
  <c r="BB13"/>
  <c r="BB11"/>
  <c r="BB9"/>
  <c r="BB7"/>
  <c r="BA5"/>
  <c r="BA3"/>
  <c r="AM14"/>
  <c r="AL12"/>
  <c r="AK10"/>
  <c r="AK8"/>
  <c r="AK6"/>
  <c r="AK4"/>
  <c r="AL6" i="29"/>
  <c r="AZ36" i="28"/>
  <c r="AZ34"/>
  <c r="AZ32"/>
  <c r="BA30"/>
  <c r="BB26"/>
  <c r="BB24"/>
  <c r="BB22"/>
  <c r="BA19"/>
  <c r="BA17"/>
  <c r="BA13"/>
  <c r="BA11"/>
  <c r="BA7"/>
  <c r="AZ3"/>
  <c r="AK12"/>
  <c r="AN7"/>
  <c r="AN3"/>
  <c r="AV13" i="29"/>
  <c r="AV3"/>
  <c r="BB39" i="28"/>
  <c r="BA28"/>
  <c r="BA22"/>
  <c r="AZ13"/>
  <c r="AZ7"/>
  <c r="AM11"/>
  <c r="AM5"/>
  <c r="AV20" i="29"/>
  <c r="AZ37" i="28"/>
  <c r="BB27"/>
  <c r="BA18"/>
  <c r="BA6"/>
  <c r="AN10"/>
  <c r="AV8" i="29"/>
  <c r="BA39" i="28"/>
  <c r="BB37"/>
  <c r="BB33"/>
  <c r="AZ26"/>
  <c r="AZ24"/>
  <c r="AZ22"/>
  <c r="BB20"/>
  <c r="BB4"/>
  <c r="AN15"/>
  <c r="AM13"/>
  <c r="AL11"/>
  <c r="AL9"/>
  <c r="AL7"/>
  <c r="AL5"/>
  <c r="AL3"/>
  <c r="AV14" i="29"/>
  <c r="AV4"/>
  <c r="BA37" i="28"/>
  <c r="BB35"/>
  <c r="BA33"/>
  <c r="BB31"/>
  <c r="BB29"/>
  <c r="BA20"/>
  <c r="BB18"/>
  <c r="BB16"/>
  <c r="BB14"/>
  <c r="BB12"/>
  <c r="BB10"/>
  <c r="BB8"/>
  <c r="BB6"/>
  <c r="BA4"/>
  <c r="AM15"/>
  <c r="AL13"/>
  <c r="AK11"/>
  <c r="AK9"/>
  <c r="AK7"/>
  <c r="AK5"/>
  <c r="AK3"/>
  <c r="BB40"/>
  <c r="AZ33"/>
  <c r="BA29"/>
  <c r="BA14"/>
  <c r="BA8"/>
  <c r="AL15"/>
  <c r="AN6"/>
  <c r="AZ40"/>
  <c r="Z4" i="29"/>
  <c r="AC7" i="28"/>
  <c r="AC5"/>
  <c r="AV7" i="29"/>
  <c r="AA5"/>
  <c r="AD15" i="28"/>
  <c r="AB12"/>
  <c r="AB8"/>
  <c r="AA15"/>
  <c r="AD13"/>
  <c r="AB3"/>
  <c r="AL4" i="29"/>
  <c r="AA10"/>
  <c r="AC15" i="28"/>
  <c r="AC9"/>
  <c r="AA6"/>
  <c r="Y6" s="1"/>
  <c r="AB6"/>
  <c r="AA5"/>
  <c r="Y5" s="1"/>
  <c r="AV18" i="29"/>
  <c r="AV17"/>
  <c r="AZ21" i="28"/>
  <c r="AB16"/>
  <c r="AA14"/>
  <c r="AD6"/>
  <c r="AB5"/>
  <c r="AZ39"/>
  <c r="AV19" i="29"/>
  <c r="AA16" i="28"/>
  <c r="AD5"/>
  <c r="AV10" i="29"/>
  <c r="AZ38" i="28"/>
  <c r="AA4" i="29"/>
  <c r="AD12" i="28"/>
  <c r="AD7"/>
  <c r="AA11" i="29"/>
  <c r="AA9" i="28"/>
  <c r="AA12" i="29"/>
  <c r="AB13" i="28"/>
  <c r="AZ19"/>
  <c r="AD11"/>
  <c r="AV11" i="29"/>
  <c r="AC4" i="28"/>
  <c r="AB15"/>
  <c r="AB9"/>
  <c r="AZ35"/>
  <c r="AD8"/>
  <c r="AL8" i="29"/>
  <c r="AZ31" i="28"/>
  <c r="AC11"/>
  <c r="AC16"/>
  <c r="AA9" i="29"/>
  <c r="AL7"/>
  <c r="AL9"/>
  <c r="AC6" i="28"/>
  <c r="AA4"/>
  <c r="Y4" s="1"/>
  <c r="AB11"/>
  <c r="Z8" i="29"/>
  <c r="AA3" i="28"/>
  <c r="Y3" s="1"/>
  <c r="AB14"/>
  <c r="AD4"/>
  <c r="AD3"/>
  <c r="Z6" i="29"/>
  <c r="AC10" i="28"/>
  <c r="AV12" i="29"/>
  <c r="Z5"/>
  <c r="AD16" i="28"/>
  <c r="AC13"/>
  <c r="AB10"/>
  <c r="AC14"/>
  <c r="AV21" i="29"/>
  <c r="Z11"/>
  <c r="AZ28" i="28"/>
  <c r="AA8"/>
  <c r="AC12"/>
  <c r="AD9"/>
  <c r="AD10"/>
  <c r="AA10"/>
  <c r="AB4"/>
  <c r="AB7"/>
  <c r="AC8"/>
  <c r="Z7" i="29"/>
  <c r="AA7" i="28"/>
  <c r="Z10" i="29"/>
  <c r="Z12"/>
  <c r="AD14" i="28"/>
  <c r="AZ20"/>
  <c r="AA11"/>
  <c r="AL5" i="29"/>
  <c r="AA13" i="28"/>
  <c r="AC3"/>
  <c r="Z9" i="29"/>
  <c r="AA12" i="28"/>
  <c r="W13"/>
  <c r="U13" s="1"/>
  <c r="W16"/>
  <c r="U16" s="1"/>
  <c r="W11"/>
  <c r="U11" s="1"/>
  <c r="W15"/>
  <c r="U15" s="1"/>
  <c r="W10"/>
  <c r="U10" s="1"/>
  <c r="W8"/>
  <c r="U8" s="1"/>
  <c r="W12"/>
  <c r="U12" s="1"/>
  <c r="W9"/>
  <c r="U9" s="1"/>
  <c r="W14"/>
  <c r="U14" s="1"/>
  <c r="J3" i="29"/>
  <c r="M5"/>
  <c r="AI5"/>
  <c r="M4"/>
  <c r="AI4"/>
  <c r="AI3"/>
  <c r="D4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M22" i="19" l="1"/>
  <c r="M4"/>
  <c r="H10"/>
  <c r="H9"/>
  <c r="H13"/>
  <c r="D4" i="14"/>
  <c r="M4" s="1"/>
  <c r="E5" i="27"/>
  <c r="E16"/>
  <c r="C5" i="14"/>
  <c r="C6" s="1"/>
  <c r="E4" i="27"/>
  <c r="E31"/>
  <c r="E3"/>
  <c r="E15"/>
  <c r="E6"/>
  <c r="E14"/>
  <c r="E13"/>
  <c r="E3" i="28"/>
  <c r="F10" i="9"/>
  <c r="T3" i="19"/>
  <c r="T6"/>
  <c r="E5" i="28"/>
  <c r="E4"/>
  <c r="T7" i="19"/>
  <c r="E6" i="28"/>
  <c r="E6" i="29"/>
  <c r="Y5"/>
  <c r="U5"/>
  <c r="AC5"/>
  <c r="V5"/>
  <c r="T5" s="1"/>
  <c r="AB5"/>
  <c r="J4"/>
  <c r="D5"/>
  <c r="Y4"/>
  <c r="U4"/>
  <c r="AC4"/>
  <c r="AB4"/>
  <c r="V4"/>
  <c r="T4" s="1"/>
  <c r="W4" i="28"/>
  <c r="T4" s="1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4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AB4" i="9"/>
  <c r="AF5"/>
  <c r="Z3"/>
  <c r="AA3"/>
  <c r="AC3" s="1"/>
  <c r="M3" i="14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B26"/>
  <c r="F26" s="1"/>
  <c r="B27"/>
  <c r="F27" s="1"/>
  <c r="C24"/>
  <c r="E24" s="1"/>
  <c r="C25"/>
  <c r="E25" s="1"/>
  <c r="C26"/>
  <c r="E26" s="1"/>
  <c r="C27"/>
  <c r="E27" s="1"/>
  <c r="G27" s="1"/>
  <c r="B10"/>
  <c r="C10"/>
  <c r="E10" s="1"/>
  <c r="D8" i="21" s="1"/>
  <c r="C8"/>
  <c r="B19" i="1"/>
  <c r="B20"/>
  <c r="F20" s="1"/>
  <c r="B21"/>
  <c r="C19"/>
  <c r="E19" s="1"/>
  <c r="D18" i="21" s="1"/>
  <c r="C20" i="1"/>
  <c r="E20" s="1"/>
  <c r="D21" i="21" s="1"/>
  <c r="C21" i="1"/>
  <c r="E21" s="1"/>
  <c r="C18" i="21"/>
  <c r="C21"/>
  <c r="C22"/>
  <c r="B12" i="1"/>
  <c r="B13"/>
  <c r="F13" s="1"/>
  <c r="B14"/>
  <c r="B15"/>
  <c r="F15" s="1"/>
  <c r="B16"/>
  <c r="B17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C11"/>
  <c r="E11" s="1"/>
  <c r="C10" i="21"/>
  <c r="B9" i="1"/>
  <c r="C9"/>
  <c r="E9" s="1"/>
  <c r="B8"/>
  <c r="C8"/>
  <c r="E8" s="1"/>
  <c r="M24" i="19" l="1"/>
  <c r="D5" i="14"/>
  <c r="M10" i="19"/>
  <c r="H5"/>
  <c r="H21"/>
  <c r="H10" i="1"/>
  <c r="F10"/>
  <c r="H8"/>
  <c r="F8"/>
  <c r="H14"/>
  <c r="F14"/>
  <c r="H14" i="19"/>
  <c r="H12"/>
  <c r="M12"/>
  <c r="M5"/>
  <c r="H11" i="1"/>
  <c r="F11"/>
  <c r="H17"/>
  <c r="F17"/>
  <c r="H19"/>
  <c r="F19"/>
  <c r="M3" i="19"/>
  <c r="H8"/>
  <c r="H22"/>
  <c r="M19"/>
  <c r="M20"/>
  <c r="M21"/>
  <c r="M16"/>
  <c r="H4"/>
  <c r="H23"/>
  <c r="M13"/>
  <c r="H16" i="1"/>
  <c r="F16"/>
  <c r="H25"/>
  <c r="F25"/>
  <c r="H9"/>
  <c r="F9"/>
  <c r="H12"/>
  <c r="F12"/>
  <c r="H21"/>
  <c r="F21"/>
  <c r="M9" i="19"/>
  <c r="H20"/>
  <c r="H11"/>
  <c r="M23"/>
  <c r="AS3" i="29"/>
  <c r="AS6"/>
  <c r="AS7"/>
  <c r="AS5"/>
  <c r="M8" i="19"/>
  <c r="M7"/>
  <c r="H7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42" i="19"/>
  <c r="A6" i="27"/>
  <c r="A3"/>
  <c r="A4"/>
  <c r="K6"/>
  <c r="A5"/>
  <c r="K3"/>
  <c r="K5"/>
  <c r="K4"/>
  <c r="E7"/>
  <c r="K7" s="1"/>
  <c r="E17"/>
  <c r="E7" i="28"/>
  <c r="E18" i="27"/>
  <c r="M18" i="19"/>
  <c r="M17"/>
  <c r="W5" i="28"/>
  <c r="T5" s="1"/>
  <c r="U4"/>
  <c r="M15" i="19"/>
  <c r="H6"/>
  <c r="E19" i="27"/>
  <c r="T5" i="19"/>
  <c r="E4" i="29"/>
  <c r="F4" i="9"/>
  <c r="F3"/>
  <c r="E12" i="28"/>
  <c r="M6" i="19"/>
  <c r="M5" i="14"/>
  <c r="H25" i="19"/>
  <c r="H16"/>
  <c r="H15"/>
  <c r="H26"/>
  <c r="H17"/>
  <c r="H18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M34" i="19" l="1"/>
  <c r="M11"/>
  <c r="H19"/>
  <c r="H24"/>
  <c r="M14"/>
  <c r="A7" i="27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25" i="19"/>
  <c r="M26"/>
  <c r="M43"/>
  <c r="AH6" i="29"/>
  <c r="AG5"/>
  <c r="AE5"/>
  <c r="AA5" i="9"/>
  <c r="AC5" s="1"/>
  <c r="AF7"/>
  <c r="AB6"/>
  <c r="Z5"/>
  <c r="C8" i="14"/>
  <c r="D7"/>
  <c r="M39" i="19" s="1"/>
  <c r="M6" i="14"/>
  <c r="J9" i="31"/>
  <c r="AS8" i="29" l="1"/>
  <c r="AS10"/>
  <c r="AS9"/>
  <c r="S5" i="19"/>
  <c r="S6" s="1"/>
  <c r="S7" s="1"/>
  <c r="V3" i="29" s="1"/>
  <c r="T3" s="1"/>
  <c r="W7" i="28"/>
  <c r="T9" s="1"/>
  <c r="Y3" i="29"/>
  <c r="AB3"/>
  <c r="AC3"/>
  <c r="Z3"/>
  <c r="AA3"/>
  <c r="U3"/>
  <c r="U6" i="28"/>
  <c r="T16"/>
  <c r="T6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36" i="19"/>
  <c r="H27"/>
  <c r="H28"/>
  <c r="M37"/>
  <c r="A5" i="9"/>
  <c r="M29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4" i="19"/>
  <c r="F6" i="9"/>
  <c r="F7"/>
  <c r="E10" i="28"/>
  <c r="H35" i="19"/>
  <c r="M40"/>
  <c r="AE6" i="29"/>
  <c r="AH7"/>
  <c r="AG6"/>
  <c r="AS13" s="1"/>
  <c r="Z6" i="9"/>
  <c r="AA6"/>
  <c r="AC6" s="1"/>
  <c r="AF8"/>
  <c r="AB7"/>
  <c r="C9" i="14"/>
  <c r="D8"/>
  <c r="H31" i="19" s="1"/>
  <c r="J10" i="31"/>
  <c r="A8" i="9" l="1"/>
  <c r="T13" i="28"/>
  <c r="AS12" i="29"/>
  <c r="AS11"/>
  <c r="A6" i="9"/>
  <c r="C8"/>
  <c r="R16" s="1"/>
  <c r="AX16" s="1"/>
  <c r="A22" i="27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E7" s="1"/>
  <c r="K7" s="1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E8" i="9"/>
  <c r="K8" s="1"/>
  <c r="K21" i="27"/>
  <c r="A13"/>
  <c r="A14"/>
  <c r="K29"/>
  <c r="K12"/>
  <c r="A15"/>
  <c r="A31"/>
  <c r="A20"/>
  <c r="H34" i="19"/>
  <c r="K24" i="27"/>
  <c r="K10"/>
  <c r="A17"/>
  <c r="A25"/>
  <c r="K14"/>
  <c r="K18"/>
  <c r="H32" i="19"/>
  <c r="E5" i="9"/>
  <c r="K5" s="1"/>
  <c r="R10"/>
  <c r="AX10" s="1"/>
  <c r="R8"/>
  <c r="AX8" s="1"/>
  <c r="R9"/>
  <c r="AX9" s="1"/>
  <c r="A30" i="27"/>
  <c r="A19"/>
  <c r="A18"/>
  <c r="H44" i="19"/>
  <c r="K22" i="27"/>
  <c r="K23"/>
  <c r="K31"/>
  <c r="A28"/>
  <c r="A10"/>
  <c r="K13"/>
  <c r="K11"/>
  <c r="M27" i="19"/>
  <c r="H33"/>
  <c r="M38"/>
  <c r="M28"/>
  <c r="M35"/>
  <c r="H30"/>
  <c r="K28" i="27"/>
  <c r="A24"/>
  <c r="A29"/>
  <c r="K20"/>
  <c r="K15"/>
  <c r="A21"/>
  <c r="A26"/>
  <c r="K19"/>
  <c r="K30"/>
  <c r="A23"/>
  <c r="K25"/>
  <c r="K27"/>
  <c r="K16"/>
  <c r="A27"/>
  <c r="K26"/>
  <c r="A12"/>
  <c r="A11"/>
  <c r="H29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5" i="9" l="1"/>
  <c r="AX15" s="1"/>
  <c r="R14"/>
  <c r="AX14" s="1"/>
  <c r="R17"/>
  <c r="AX17" s="1"/>
  <c r="R11"/>
  <c r="AX11" s="1"/>
  <c r="AS15" i="29"/>
  <c r="AS16"/>
  <c r="R13" i="9"/>
  <c r="AX13" s="1"/>
  <c r="AS14" i="29"/>
  <c r="R12" i="9"/>
  <c r="AX12" s="1"/>
  <c r="M30" i="19"/>
  <c r="AG9" i="29"/>
  <c r="AG8"/>
  <c r="AS17" s="1"/>
  <c r="AH9"/>
  <c r="AE8"/>
  <c r="AF10" i="9"/>
  <c r="AB9"/>
  <c r="AA8"/>
  <c r="AC8" s="1"/>
  <c r="C11" i="14"/>
  <c r="D10"/>
  <c r="M36" i="19" s="1"/>
  <c r="J12" i="31"/>
  <c r="A3" i="26"/>
  <c r="A4" s="1"/>
  <c r="A5" s="1"/>
  <c r="AS19" i="29" l="1"/>
  <c r="AS20"/>
  <c r="AS21"/>
  <c r="AE9"/>
  <c r="AS18"/>
  <c r="F9" i="9"/>
  <c r="E11" i="28"/>
  <c r="M31" i="19"/>
  <c r="M44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32" i="19"/>
  <c r="AF12" i="9"/>
  <c r="AB11"/>
  <c r="Z10"/>
  <c r="AA10"/>
  <c r="AC10" s="1"/>
  <c r="C13" i="14"/>
  <c r="D13" s="1"/>
  <c r="D12"/>
  <c r="J14" i="31"/>
  <c r="A7" i="26"/>
  <c r="B38" i="1"/>
  <c r="C38"/>
  <c r="E38" s="1"/>
  <c r="B32"/>
  <c r="C32"/>
  <c r="E32" s="1"/>
  <c r="D32" i="21" s="1"/>
  <c r="C32"/>
  <c r="B31" i="1"/>
  <c r="C31"/>
  <c r="E31" s="1"/>
  <c r="D31" i="21" s="1"/>
  <c r="C31"/>
  <c r="H43" i="19" l="1"/>
  <c r="H32" i="1"/>
  <c r="F32"/>
  <c r="H38"/>
  <c r="F38"/>
  <c r="H31"/>
  <c r="F31"/>
  <c r="R18" i="9"/>
  <c r="AX18" s="1"/>
  <c r="E9"/>
  <c r="K9" s="1"/>
  <c r="R19"/>
  <c r="AX19" s="1"/>
  <c r="M13" i="14"/>
  <c r="H37" i="19"/>
  <c r="H42"/>
  <c r="H40"/>
  <c r="H41"/>
  <c r="M33"/>
  <c r="H39"/>
  <c r="H38"/>
  <c r="M41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F30" s="1"/>
  <c r="C30"/>
  <c r="E30" s="1"/>
  <c r="D29" i="21" s="1"/>
  <c r="C29"/>
  <c r="B37" i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H37" i="1" l="1"/>
  <c r="F37"/>
  <c r="AA12" i="9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B5"/>
  <c r="B6"/>
  <c r="F6" s="1"/>
  <c r="B7"/>
  <c r="B22"/>
  <c r="F22" s="1"/>
  <c r="B23"/>
  <c r="F23" s="1"/>
  <c r="B28"/>
  <c r="B29"/>
  <c r="B34"/>
  <c r="B35"/>
  <c r="F35" s="1"/>
  <c r="B36"/>
  <c r="B39"/>
  <c r="B40"/>
  <c r="F40" s="1"/>
  <c r="B41"/>
  <c r="F41" s="1"/>
  <c r="B42"/>
  <c r="B43"/>
  <c r="B44"/>
  <c r="B45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H43" i="1" l="1"/>
  <c r="F43"/>
  <c r="H29"/>
  <c r="F29"/>
  <c r="F3"/>
  <c r="E12" i="26"/>
  <c r="E13"/>
  <c r="F13" s="1"/>
  <c r="G13" s="1"/>
  <c r="H13" s="1"/>
  <c r="H44" i="1"/>
  <c r="F44"/>
  <c r="H34"/>
  <c r="F34"/>
  <c r="H4"/>
  <c r="F4"/>
  <c r="H45"/>
  <c r="F45"/>
  <c r="H5"/>
  <c r="F5"/>
  <c r="H36"/>
  <c r="F36"/>
  <c r="H42"/>
  <c r="F42"/>
  <c r="H28"/>
  <c r="F28"/>
  <c r="H39"/>
  <c r="F39"/>
  <c r="H7"/>
  <c r="F7"/>
  <c r="AF15" i="9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F12" i="26" l="1"/>
  <c r="G12" s="1"/>
  <c r="H12" s="1"/>
  <c r="AF16" i="9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 i="25"/>
  <c r="L5"/>
  <c r="C5"/>
  <c r="E5" i="31"/>
  <c r="Q5" i="25"/>
  <c r="O5"/>
  <c r="N5"/>
  <c r="I5"/>
  <c r="D5"/>
  <c r="K5"/>
  <c r="H5"/>
  <c r="M5"/>
  <c r="G5"/>
  <c r="J5"/>
  <c r="P5"/>
  <c r="B9"/>
  <c r="F5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D9" i="25"/>
  <c r="P9"/>
  <c r="E9"/>
  <c r="O9"/>
  <c r="J9"/>
  <c r="B10"/>
  <c r="M9"/>
  <c r="G9"/>
  <c r="I9"/>
  <c r="H9"/>
  <c r="N9"/>
  <c r="Q9"/>
  <c r="L9"/>
  <c r="K9"/>
  <c r="P2" i="31"/>
  <c r="L13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P57"/>
  <c r="N39"/>
  <c r="P27"/>
  <c r="G10" i="25"/>
  <c r="D10"/>
  <c r="N30" i="31"/>
  <c r="P10" i="25"/>
  <c r="N35" i="31"/>
  <c r="N60"/>
  <c r="P12"/>
  <c r="B11" i="25"/>
  <c r="H10"/>
  <c r="P7" i="31"/>
  <c r="K10" i="25"/>
  <c r="P33" i="31"/>
  <c r="N13"/>
  <c r="P3"/>
  <c r="N2"/>
  <c r="N48"/>
  <c r="N7"/>
  <c r="P53"/>
  <c r="P14"/>
  <c r="N9"/>
  <c r="P47"/>
  <c r="N23"/>
  <c r="P38"/>
  <c r="N10" i="25"/>
  <c r="P18" i="31"/>
  <c r="P51"/>
  <c r="P54"/>
  <c r="P25"/>
  <c r="P4"/>
  <c r="N15"/>
  <c r="P31"/>
  <c r="I10" i="25"/>
  <c r="N14" i="31"/>
  <c r="P19"/>
  <c r="O10" i="25"/>
  <c r="N10" i="31"/>
  <c r="E10" i="25"/>
  <c r="N37" i="31"/>
  <c r="P10"/>
  <c r="C10" i="25"/>
  <c r="Q10"/>
  <c r="N56" i="31"/>
  <c r="P15"/>
  <c r="N11"/>
  <c r="P20"/>
  <c r="P50"/>
  <c r="P22"/>
  <c r="N12"/>
  <c r="J10" i="25"/>
  <c r="M10"/>
  <c r="N59" i="31"/>
  <c r="P11"/>
  <c r="P16"/>
  <c r="N52"/>
  <c r="P40"/>
  <c r="N29"/>
  <c r="L10" i="25"/>
  <c r="N6" i="31"/>
  <c r="N3"/>
  <c r="N42"/>
  <c r="P36"/>
  <c r="P41"/>
  <c r="P58"/>
  <c r="N55"/>
  <c r="N28"/>
  <c r="N17"/>
  <c r="N46"/>
  <c r="P44"/>
  <c r="P49"/>
  <c r="P43"/>
  <c r="N45"/>
  <c r="N34"/>
  <c r="P24"/>
  <c r="N61"/>
  <c r="N21"/>
  <c r="P5"/>
  <c r="N26"/>
  <c r="N8"/>
  <c r="N32"/>
  <c r="O13" l="1"/>
  <c r="O3"/>
  <c r="O9"/>
  <c r="O12"/>
  <c r="O10"/>
  <c r="O8"/>
  <c r="O17"/>
  <c r="O15"/>
  <c r="O11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P59"/>
  <c r="N47"/>
  <c r="D11" i="25"/>
  <c r="N31" i="31"/>
  <c r="Q11" i="25"/>
  <c r="N22" i="31"/>
  <c r="N38"/>
  <c r="P23"/>
  <c r="L11" i="25"/>
  <c r="E11"/>
  <c r="N11"/>
  <c r="N5" i="31"/>
  <c r="N16"/>
  <c r="P46"/>
  <c r="P8"/>
  <c r="N25"/>
  <c r="N19"/>
  <c r="N49"/>
  <c r="P30"/>
  <c r="P28"/>
  <c r="P6"/>
  <c r="K11" i="25"/>
  <c r="N36" i="31"/>
  <c r="P52"/>
  <c r="N53"/>
  <c r="M11" i="25"/>
  <c r="P39" i="31"/>
  <c r="P37"/>
  <c r="N41"/>
  <c r="P26"/>
  <c r="P11" i="25"/>
  <c r="J11"/>
  <c r="N58" i="31"/>
  <c r="N44"/>
  <c r="P21"/>
  <c r="C11" i="25"/>
  <c r="N54" i="31"/>
  <c r="N57"/>
  <c r="B12" i="25"/>
  <c r="N51" i="31"/>
  <c r="P29"/>
  <c r="P13"/>
  <c r="N20"/>
  <c r="P55"/>
  <c r="N40"/>
  <c r="P35"/>
  <c r="N27"/>
  <c r="P60"/>
  <c r="P9"/>
  <c r="H11" i="25"/>
  <c r="N18" i="31"/>
  <c r="P61"/>
  <c r="P45"/>
  <c r="N33"/>
  <c r="N43"/>
  <c r="P56"/>
  <c r="P32"/>
  <c r="P17"/>
  <c r="O11" i="25"/>
  <c r="N50" i="31"/>
  <c r="I11" i="25"/>
  <c r="N24" i="31"/>
  <c r="P48"/>
  <c r="P42"/>
  <c r="P34"/>
  <c r="N4"/>
  <c r="N62"/>
  <c r="O16" l="1"/>
  <c r="O5"/>
  <c r="O4"/>
  <c r="P17" i="27"/>
  <c r="O19"/>
  <c r="O19" i="3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E12" i="25"/>
  <c r="N12"/>
  <c r="M12"/>
  <c r="D12"/>
  <c r="P62" i="31"/>
  <c r="N63"/>
  <c r="P12" i="25"/>
  <c r="L12"/>
  <c r="H12"/>
  <c r="K12"/>
  <c r="C12"/>
  <c r="B13"/>
  <c r="J12"/>
  <c r="I12"/>
  <c r="O12"/>
  <c r="Q12"/>
  <c r="P16" i="27" l="1"/>
  <c r="O10"/>
  <c r="P26"/>
  <c r="O8"/>
  <c r="P13"/>
  <c r="P27"/>
  <c r="P15"/>
  <c r="P14"/>
  <c r="O31"/>
  <c r="O6"/>
  <c r="P21"/>
  <c r="O5"/>
  <c r="P20"/>
  <c r="O9"/>
  <c r="O7"/>
  <c r="O4"/>
  <c r="O12"/>
  <c r="P30"/>
  <c r="P22"/>
  <c r="O29"/>
  <c r="O3"/>
  <c r="O11"/>
  <c r="P31"/>
  <c r="P29"/>
  <c r="P25"/>
  <c r="P23"/>
  <c r="P18"/>
  <c r="P19"/>
  <c r="O30"/>
  <c r="O28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J13" i="25"/>
  <c r="N13"/>
  <c r="P63" i="31"/>
  <c r="Q13" i="25"/>
  <c r="C13"/>
  <c r="L13"/>
  <c r="P13"/>
  <c r="E13"/>
  <c r="O13"/>
  <c r="I13"/>
  <c r="B14"/>
  <c r="H13"/>
  <c r="K13"/>
  <c r="M13"/>
  <c r="P64" i="31"/>
  <c r="D13" i="25"/>
  <c r="R14" l="1"/>
  <c r="M65" i="31"/>
  <c r="K66"/>
  <c r="L66" s="1"/>
  <c r="J67"/>
  <c r="H14" i="25"/>
  <c r="Q14"/>
  <c r="P14"/>
  <c r="M14"/>
  <c r="N14"/>
  <c r="E14"/>
  <c r="D14"/>
  <c r="K14"/>
  <c r="L14"/>
  <c r="I14"/>
  <c r="N64" i="31"/>
  <c r="O14" i="25"/>
  <c r="C14"/>
  <c r="B15"/>
  <c r="J14"/>
  <c r="N65" i="31"/>
  <c r="R15" i="25" l="1"/>
  <c r="O64" i="31"/>
  <c r="O65"/>
  <c r="M66"/>
  <c r="K67"/>
  <c r="L67" s="1"/>
  <c r="J68"/>
  <c r="Q15" i="25"/>
  <c r="O15"/>
  <c r="C15"/>
  <c r="E15"/>
  <c r="P65" i="31"/>
  <c r="I15" i="25"/>
  <c r="H15"/>
  <c r="B16"/>
  <c r="D15"/>
  <c r="J15"/>
  <c r="P15"/>
  <c r="L15"/>
  <c r="N15"/>
  <c r="K15"/>
  <c r="M15"/>
  <c r="N66" i="31"/>
  <c r="R16" i="25" l="1"/>
  <c r="O66" i="31"/>
  <c r="M67"/>
  <c r="K68"/>
  <c r="L68" s="1"/>
  <c r="J69"/>
  <c r="C16" i="25"/>
  <c r="I16"/>
  <c r="D16"/>
  <c r="N16"/>
  <c r="K16"/>
  <c r="L16"/>
  <c r="H16"/>
  <c r="G16"/>
  <c r="E16"/>
  <c r="P66" i="31"/>
  <c r="J16" i="25"/>
  <c r="O16"/>
  <c r="M16"/>
  <c r="P16"/>
  <c r="Q16"/>
  <c r="B17"/>
  <c r="N67" i="31"/>
  <c r="O27" i="27" l="1"/>
  <c r="R17" i="25"/>
  <c r="O67" i="31"/>
  <c r="M68"/>
  <c r="K69"/>
  <c r="L69" s="1"/>
  <c r="J70"/>
  <c r="P67"/>
  <c r="Q17" i="25"/>
  <c r="C17"/>
  <c r="H17"/>
  <c r="I17"/>
  <c r="N68" i="31"/>
  <c r="J17" i="25"/>
  <c r="D17"/>
  <c r="O17"/>
  <c r="B18"/>
  <c r="M17"/>
  <c r="K17"/>
  <c r="N17"/>
  <c r="P17"/>
  <c r="L17"/>
  <c r="E17"/>
  <c r="R18" l="1"/>
  <c r="O68" i="31"/>
  <c r="M69"/>
  <c r="K70"/>
  <c r="L70" s="1"/>
  <c r="J71"/>
  <c r="B19" i="25"/>
  <c r="G18"/>
  <c r="M18"/>
  <c r="K18"/>
  <c r="Q18"/>
  <c r="E18"/>
  <c r="P18"/>
  <c r="L18"/>
  <c r="I18"/>
  <c r="N18"/>
  <c r="H18"/>
  <c r="P68" i="31"/>
  <c r="C18" i="25"/>
  <c r="D18"/>
  <c r="O18"/>
  <c r="J18"/>
  <c r="N69" i="31"/>
  <c r="R19" i="25" l="1"/>
  <c r="O69" i="31"/>
  <c r="M70"/>
  <c r="K71"/>
  <c r="L71" s="1"/>
  <c r="J72"/>
  <c r="Q19" i="25"/>
  <c r="P19"/>
  <c r="C19"/>
  <c r="N19"/>
  <c r="J19"/>
  <c r="I19"/>
  <c r="M19"/>
  <c r="O19"/>
  <c r="L19"/>
  <c r="B20"/>
  <c r="H19"/>
  <c r="K19"/>
  <c r="P69" i="31"/>
  <c r="E19" i="25"/>
  <c r="D19"/>
  <c r="N70" i="31"/>
  <c r="R20" i="25" l="1"/>
  <c r="O70" i="31"/>
  <c r="M71"/>
  <c r="K72"/>
  <c r="L72" s="1"/>
  <c r="J73"/>
  <c r="J20" i="25"/>
  <c r="M20"/>
  <c r="O20"/>
  <c r="Q20"/>
  <c r="L20"/>
  <c r="P20"/>
  <c r="K20"/>
  <c r="N20"/>
  <c r="C20"/>
  <c r="I20"/>
  <c r="H20"/>
  <c r="D20"/>
  <c r="E20"/>
  <c r="B21"/>
  <c r="G20"/>
  <c r="P70" i="31"/>
  <c r="N71"/>
  <c r="R21" i="25" l="1"/>
  <c r="O71" i="31"/>
  <c r="M72"/>
  <c r="K73"/>
  <c r="L73" s="1"/>
  <c r="J74"/>
  <c r="K21" i="25"/>
  <c r="O21"/>
  <c r="J21"/>
  <c r="Q21"/>
  <c r="N21"/>
  <c r="M21"/>
  <c r="L21"/>
  <c r="P21"/>
  <c r="D21"/>
  <c r="I21"/>
  <c r="B22"/>
  <c r="E21"/>
  <c r="C21"/>
  <c r="H21"/>
  <c r="N72" i="31"/>
  <c r="P71"/>
  <c r="R22" i="25" l="1"/>
  <c r="O72" i="31"/>
  <c r="M73"/>
  <c r="K74"/>
  <c r="L74" s="1"/>
  <c r="J75"/>
  <c r="N22" i="25"/>
  <c r="K22"/>
  <c r="J22"/>
  <c r="M22"/>
  <c r="O22"/>
  <c r="P22"/>
  <c r="L22"/>
  <c r="Q22"/>
  <c r="E22"/>
  <c r="I22"/>
  <c r="G22"/>
  <c r="H22"/>
  <c r="C22"/>
  <c r="D22"/>
  <c r="B23"/>
  <c r="P72" i="31"/>
  <c r="N73"/>
  <c r="R23" i="25" l="1"/>
  <c r="O73" i="31"/>
  <c r="M74"/>
  <c r="K75"/>
  <c r="L75" s="1"/>
  <c r="J76"/>
  <c r="J23" i="25"/>
  <c r="O23"/>
  <c r="N23"/>
  <c r="M23"/>
  <c r="P23"/>
  <c r="Q23"/>
  <c r="L23"/>
  <c r="K23"/>
  <c r="E23"/>
  <c r="I23"/>
  <c r="C23"/>
  <c r="B24"/>
  <c r="D23"/>
  <c r="H23"/>
  <c r="P73" i="31"/>
  <c r="N74"/>
  <c r="R24" i="25" l="1"/>
  <c r="O74" i="31"/>
  <c r="M75"/>
  <c r="K76"/>
  <c r="L76" s="1"/>
  <c r="J77"/>
  <c r="K24" i="25"/>
  <c r="O24"/>
  <c r="J24"/>
  <c r="M24"/>
  <c r="Q24"/>
  <c r="L24"/>
  <c r="N24"/>
  <c r="P24"/>
  <c r="E24"/>
  <c r="H24"/>
  <c r="I24"/>
  <c r="C24"/>
  <c r="B25"/>
  <c r="D24"/>
  <c r="P74" i="31"/>
  <c r="N75"/>
  <c r="R25" i="25" l="1"/>
  <c r="O75" i="31"/>
  <c r="M76"/>
  <c r="K77"/>
  <c r="L77" s="1"/>
  <c r="J78"/>
  <c r="Q25" i="25"/>
  <c r="M25"/>
  <c r="L25"/>
  <c r="J25"/>
  <c r="P25"/>
  <c r="K25"/>
  <c r="O25"/>
  <c r="N25"/>
  <c r="H25"/>
  <c r="G25"/>
  <c r="I25"/>
  <c r="E25"/>
  <c r="C25"/>
  <c r="D25"/>
  <c r="B26"/>
  <c r="P75" i="31"/>
  <c r="N76"/>
  <c r="R26" i="25" l="1"/>
  <c r="O76" i="31"/>
  <c r="M77"/>
  <c r="K78"/>
  <c r="L78" s="1"/>
  <c r="J79"/>
  <c r="Q26" i="25"/>
  <c r="K26"/>
  <c r="O26"/>
  <c r="J26"/>
  <c r="N26"/>
  <c r="M26"/>
  <c r="L26"/>
  <c r="P26"/>
  <c r="D26"/>
  <c r="B27"/>
  <c r="I26"/>
  <c r="C26"/>
  <c r="H26"/>
  <c r="E26"/>
  <c r="P76" i="31"/>
  <c r="N77"/>
  <c r="R27" i="25" l="1"/>
  <c r="O77" i="31"/>
  <c r="M78"/>
  <c r="K79"/>
  <c r="L79" s="1"/>
  <c r="J80"/>
  <c r="Q27" i="25"/>
  <c r="N27"/>
  <c r="M27"/>
  <c r="L27"/>
  <c r="P27"/>
  <c r="K27"/>
  <c r="O27"/>
  <c r="J27"/>
  <c r="D27"/>
  <c r="H27"/>
  <c r="I27"/>
  <c r="E27"/>
  <c r="C27"/>
  <c r="B28"/>
  <c r="P77" i="31"/>
  <c r="N78"/>
  <c r="R28" i="25" l="1"/>
  <c r="O78" i="31"/>
  <c r="M79"/>
  <c r="K80"/>
  <c r="L80" s="1"/>
  <c r="J81"/>
  <c r="M28" i="25"/>
  <c r="J28"/>
  <c r="O28"/>
  <c r="L28"/>
  <c r="Q28"/>
  <c r="N28"/>
  <c r="P28"/>
  <c r="K28"/>
  <c r="B29"/>
  <c r="H28"/>
  <c r="I28"/>
  <c r="D28"/>
  <c r="E28"/>
  <c r="C28"/>
  <c r="P78" i="31"/>
  <c r="N79"/>
  <c r="R29" i="25" l="1"/>
  <c r="O79" i="31"/>
  <c r="M80"/>
  <c r="K81"/>
  <c r="L81" s="1"/>
  <c r="J82"/>
  <c r="O29" i="25"/>
  <c r="P29"/>
  <c r="J29"/>
  <c r="L29"/>
  <c r="N29"/>
  <c r="Q29"/>
  <c r="K29"/>
  <c r="M29"/>
  <c r="E29"/>
  <c r="H29"/>
  <c r="I29"/>
  <c r="D29"/>
  <c r="B30"/>
  <c r="C29"/>
  <c r="P79" i="31"/>
  <c r="N80"/>
  <c r="R30" i="25" l="1"/>
  <c r="O80" i="31"/>
  <c r="M81"/>
  <c r="K82"/>
  <c r="L82" s="1"/>
  <c r="J83"/>
  <c r="L30" i="25"/>
  <c r="N30"/>
  <c r="O30"/>
  <c r="J30"/>
  <c r="M30"/>
  <c r="Q30"/>
  <c r="K30"/>
  <c r="P30"/>
  <c r="B31"/>
  <c r="E30"/>
  <c r="C30"/>
  <c r="D30"/>
  <c r="H30"/>
  <c r="I30"/>
  <c r="P80" i="31"/>
  <c r="N81"/>
  <c r="R31" i="25" l="1"/>
  <c r="O81" i="31"/>
  <c r="M82"/>
  <c r="K83"/>
  <c r="L83" s="1"/>
  <c r="J84"/>
  <c r="K31" i="25"/>
  <c r="N31"/>
  <c r="J31"/>
  <c r="P31"/>
  <c r="M31"/>
  <c r="O31"/>
  <c r="L31"/>
  <c r="Q31"/>
  <c r="E31"/>
  <c r="D31"/>
  <c r="I31"/>
  <c r="H31"/>
  <c r="C31"/>
  <c r="B32"/>
  <c r="P81" i="31"/>
  <c r="N82"/>
  <c r="R32" i="25" l="1"/>
  <c r="O82" i="31"/>
  <c r="M83"/>
  <c r="K84"/>
  <c r="L84" s="1"/>
  <c r="J85"/>
  <c r="N32" i="25"/>
  <c r="O32"/>
  <c r="Q32"/>
  <c r="J32"/>
  <c r="L32"/>
  <c r="K32"/>
  <c r="P32"/>
  <c r="M32"/>
  <c r="B33"/>
  <c r="H32"/>
  <c r="D32"/>
  <c r="I32"/>
  <c r="E32"/>
  <c r="C32"/>
  <c r="P82" i="31"/>
  <c r="N83"/>
  <c r="R33" i="25" l="1"/>
  <c r="O83" i="31"/>
  <c r="M84"/>
  <c r="K85"/>
  <c r="L85" s="1"/>
  <c r="J86"/>
  <c r="O33" i="25"/>
  <c r="L33"/>
  <c r="M33"/>
  <c r="J33"/>
  <c r="Q33"/>
  <c r="P33"/>
  <c r="N33"/>
  <c r="K33"/>
  <c r="D33"/>
  <c r="B34"/>
  <c r="I33"/>
  <c r="H33"/>
  <c r="E33"/>
  <c r="C33"/>
  <c r="P83" i="31"/>
  <c r="N84"/>
  <c r="R34" i="25" l="1"/>
  <c r="O84" i="31"/>
  <c r="M85"/>
  <c r="K86"/>
  <c r="L86" s="1"/>
  <c r="J87"/>
  <c r="K34" i="25"/>
  <c r="J34"/>
  <c r="Q34"/>
  <c r="M34"/>
  <c r="P34"/>
  <c r="N34"/>
  <c r="L34"/>
  <c r="O34"/>
  <c r="D34"/>
  <c r="B35"/>
  <c r="I34"/>
  <c r="H34"/>
  <c r="C34"/>
  <c r="E34"/>
  <c r="P84" i="31"/>
  <c r="N85"/>
  <c r="R35" i="25" l="1"/>
  <c r="O85" i="31"/>
  <c r="M86"/>
  <c r="K87"/>
  <c r="L87" s="1"/>
  <c r="J88"/>
  <c r="P35" i="25"/>
  <c r="K35"/>
  <c r="J35"/>
  <c r="O35"/>
  <c r="M35"/>
  <c r="L35"/>
  <c r="Q35"/>
  <c r="N35"/>
  <c r="D35"/>
  <c r="H35"/>
  <c r="B36"/>
  <c r="I35"/>
  <c r="C35"/>
  <c r="E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D36"/>
  <c r="I36"/>
  <c r="H36"/>
  <c r="E36"/>
  <c r="C36"/>
  <c r="B37"/>
  <c r="P86" i="31"/>
  <c r="N87"/>
  <c r="R37" i="25" l="1"/>
  <c r="O87" i="31"/>
  <c r="M88"/>
  <c r="K89"/>
  <c r="L89" s="1"/>
  <c r="J90"/>
  <c r="O37" i="25"/>
  <c r="Q37"/>
  <c r="L37"/>
  <c r="J37"/>
  <c r="P37"/>
  <c r="K37"/>
  <c r="N37"/>
  <c r="M37"/>
  <c r="C37"/>
  <c r="I37"/>
  <c r="H37"/>
  <c r="E37"/>
  <c r="B38"/>
  <c r="D37"/>
  <c r="P87" i="31"/>
  <c r="N88"/>
  <c r="R38" i="25" l="1"/>
  <c r="O88" i="31"/>
  <c r="M89"/>
  <c r="K90"/>
  <c r="L90" s="1"/>
  <c r="J91"/>
  <c r="Q38" i="25"/>
  <c r="P38"/>
  <c r="N38"/>
  <c r="J38"/>
  <c r="K38"/>
  <c r="M38"/>
  <c r="O38"/>
  <c r="L38"/>
  <c r="H38"/>
  <c r="C38"/>
  <c r="D38"/>
  <c r="E38"/>
  <c r="I38"/>
  <c r="B39"/>
  <c r="P88" i="31"/>
  <c r="N89"/>
  <c r="R39" i="25" l="1"/>
  <c r="O89" i="31"/>
  <c r="M90"/>
  <c r="K91"/>
  <c r="L91" s="1"/>
  <c r="J92"/>
  <c r="N39" i="25"/>
  <c r="P39"/>
  <c r="Q39"/>
  <c r="M39"/>
  <c r="O39"/>
  <c r="J39"/>
  <c r="L39"/>
  <c r="K39"/>
  <c r="D39"/>
  <c r="H39"/>
  <c r="E39"/>
  <c r="I39"/>
  <c r="B40"/>
  <c r="C39"/>
  <c r="P89" i="31"/>
  <c r="N90"/>
  <c r="R40" i="25" l="1"/>
  <c r="O90" i="31"/>
  <c r="M91"/>
  <c r="K92"/>
  <c r="L92" s="1"/>
  <c r="J93"/>
  <c r="L40" i="25"/>
  <c r="O40"/>
  <c r="K40"/>
  <c r="P40"/>
  <c r="N40"/>
  <c r="J40"/>
  <c r="M40"/>
  <c r="Q40"/>
  <c r="H40"/>
  <c r="E40"/>
  <c r="C40"/>
  <c r="B41"/>
  <c r="I40"/>
  <c r="D40"/>
  <c r="P90" i="31"/>
  <c r="N91"/>
  <c r="R41" i="25" l="1"/>
  <c r="O91" i="31"/>
  <c r="M92"/>
  <c r="K93"/>
  <c r="L93" s="1"/>
  <c r="J94"/>
  <c r="J41" i="25"/>
  <c r="L41"/>
  <c r="O41"/>
  <c r="M41"/>
  <c r="N41"/>
  <c r="K41"/>
  <c r="P41"/>
  <c r="Q41"/>
  <c r="H41"/>
  <c r="E41"/>
  <c r="B42"/>
  <c r="D41"/>
  <c r="I41"/>
  <c r="C41"/>
  <c r="P91" i="31"/>
  <c r="N92"/>
  <c r="R42" i="25" l="1"/>
  <c r="O92" i="31"/>
  <c r="M93"/>
  <c r="K94"/>
  <c r="L94" s="1"/>
  <c r="J95"/>
  <c r="Q42" i="25"/>
  <c r="L42"/>
  <c r="J42"/>
  <c r="P42"/>
  <c r="N42"/>
  <c r="M42"/>
  <c r="O42"/>
  <c r="K42"/>
  <c r="I42"/>
  <c r="H42"/>
  <c r="B43"/>
  <c r="E42"/>
  <c r="C42"/>
  <c r="D42"/>
  <c r="P92" i="31"/>
  <c r="N93"/>
  <c r="R43" i="25" l="1"/>
  <c r="O93" i="31"/>
  <c r="M94"/>
  <c r="K95"/>
  <c r="L95" s="1"/>
  <c r="J96"/>
  <c r="J43" i="25"/>
  <c r="O43"/>
  <c r="K43"/>
  <c r="L43"/>
  <c r="P43"/>
  <c r="M43"/>
  <c r="N43"/>
  <c r="Q43"/>
  <c r="D43"/>
  <c r="H43"/>
  <c r="E43"/>
  <c r="C43"/>
  <c r="B44"/>
  <c r="I43"/>
  <c r="P93" i="31"/>
  <c r="N94"/>
  <c r="R44" i="25" l="1"/>
  <c r="O94" i="31"/>
  <c r="M95"/>
  <c r="K96"/>
  <c r="L96" s="1"/>
  <c r="J97"/>
  <c r="K44" i="25"/>
  <c r="M44"/>
  <c r="P44"/>
  <c r="N44"/>
  <c r="L44"/>
  <c r="Q44"/>
  <c r="J44"/>
  <c r="O44"/>
  <c r="C44"/>
  <c r="H44"/>
  <c r="I44"/>
  <c r="D44"/>
  <c r="E44"/>
  <c r="B45"/>
  <c r="P94" i="31"/>
  <c r="N95"/>
  <c r="R45" i="25" l="1"/>
  <c r="O95" i="31"/>
  <c r="M96"/>
  <c r="K97"/>
  <c r="L97" s="1"/>
  <c r="J98"/>
  <c r="Q45" i="25"/>
  <c r="J45"/>
  <c r="K45"/>
  <c r="P45"/>
  <c r="L45"/>
  <c r="M45"/>
  <c r="N45"/>
  <c r="O45"/>
  <c r="I45"/>
  <c r="H45"/>
  <c r="E45"/>
  <c r="D45"/>
  <c r="C45"/>
  <c r="B46"/>
  <c r="P95" i="31"/>
  <c r="N96"/>
  <c r="R46" i="25" l="1"/>
  <c r="O96" i="31"/>
  <c r="M97"/>
  <c r="K98"/>
  <c r="L98" s="1"/>
  <c r="J99"/>
  <c r="K46" i="25"/>
  <c r="J46"/>
  <c r="O46"/>
  <c r="M46"/>
  <c r="L46"/>
  <c r="Q46"/>
  <c r="P46"/>
  <c r="N46"/>
  <c r="H46"/>
  <c r="D46"/>
  <c r="B47"/>
  <c r="E46"/>
  <c r="C46"/>
  <c r="I46"/>
  <c r="N97" i="31"/>
  <c r="P96"/>
  <c r="R47" i="25" l="1"/>
  <c r="O97" i="31"/>
  <c r="M98"/>
  <c r="K99"/>
  <c r="L99" s="1"/>
  <c r="J100"/>
  <c r="O47" i="25"/>
  <c r="P47"/>
  <c r="L47"/>
  <c r="N47"/>
  <c r="Q47"/>
  <c r="J47"/>
  <c r="M47"/>
  <c r="K47"/>
  <c r="D47"/>
  <c r="H47"/>
  <c r="E47"/>
  <c r="B48"/>
  <c r="C47"/>
  <c r="I47"/>
  <c r="P97" i="31"/>
  <c r="N98"/>
  <c r="R48" i="25" l="1"/>
  <c r="O98" i="31"/>
  <c r="M99"/>
  <c r="K100"/>
  <c r="L100" s="1"/>
  <c r="J101"/>
  <c r="M48" i="25"/>
  <c r="N48"/>
  <c r="Q48"/>
  <c r="L48"/>
  <c r="J48"/>
  <c r="P48"/>
  <c r="K48"/>
  <c r="O48"/>
  <c r="E48"/>
  <c r="I48"/>
  <c r="H48"/>
  <c r="B49"/>
  <c r="D48"/>
  <c r="C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D49"/>
  <c r="I49"/>
  <c r="B50"/>
  <c r="H49"/>
  <c r="C49"/>
  <c r="E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C50"/>
  <c r="B51"/>
  <c r="E50"/>
  <c r="D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5" i="25"/>
  <c r="F11"/>
  <c r="G14"/>
  <c r="G12"/>
  <c r="P501" i="31"/>
  <c r="G11" i="25"/>
  <c r="G13"/>
  <c r="P500" i="31"/>
  <c r="F57" i="25" l="1"/>
  <c r="G60"/>
  <c r="G53"/>
  <c r="F58"/>
  <c r="F54"/>
  <c r="F59"/>
  <c r="G51"/>
  <c r="F51"/>
  <c r="G57"/>
  <c r="F52"/>
  <c r="G59"/>
  <c r="G55"/>
  <c r="F53"/>
  <c r="G61"/>
  <c r="F56"/>
  <c r="G58"/>
  <c r="F60"/>
  <c r="F55"/>
  <c r="G56"/>
  <c r="G52"/>
  <c r="F50"/>
  <c r="G46"/>
  <c r="F40"/>
  <c r="G21"/>
  <c r="F37"/>
  <c r="F32"/>
  <c r="F20"/>
  <c r="G50"/>
  <c r="F41"/>
  <c r="G41"/>
  <c r="G36"/>
  <c r="G42"/>
  <c r="G29"/>
  <c r="G39"/>
  <c r="F34"/>
  <c r="G34"/>
  <c r="G38"/>
  <c r="F42"/>
  <c r="G37"/>
  <c r="G28"/>
  <c r="G32"/>
  <c r="F36"/>
  <c r="F35"/>
  <c r="F23"/>
  <c r="G27"/>
  <c r="G49"/>
  <c r="F38"/>
  <c r="G23"/>
  <c r="G40"/>
  <c r="F31"/>
  <c r="F48"/>
  <c r="F29"/>
  <c r="G44"/>
  <c r="F43"/>
  <c r="G43"/>
  <c r="F33"/>
  <c r="G33"/>
  <c r="F25"/>
  <c r="F28"/>
  <c r="F45"/>
  <c r="G31"/>
  <c r="F47"/>
  <c r="G26"/>
  <c r="F26"/>
  <c r="G30"/>
  <c r="F44"/>
  <c r="F27"/>
  <c r="F49"/>
  <c r="G48"/>
  <c r="F46"/>
  <c r="G45"/>
  <c r="F24"/>
  <c r="G35"/>
  <c r="F21"/>
  <c r="G24"/>
  <c r="G47"/>
  <c r="F22"/>
  <c r="F39"/>
  <c r="F30"/>
  <c r="F17"/>
  <c r="G19"/>
  <c r="F19"/>
  <c r="F18"/>
  <c r="F12"/>
  <c r="F16"/>
  <c r="G17"/>
  <c r="F15"/>
  <c r="F10"/>
  <c r="F13"/>
  <c r="F9"/>
  <c r="F14"/>
</calcChain>
</file>

<file path=xl/sharedStrings.xml><?xml version="1.0" encoding="utf-8"?>
<sst xmlns="http://schemas.openxmlformats.org/spreadsheetml/2006/main" count="2575" uniqueCount="1016">
  <si>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</si>
  <si>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</si>
  <si>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</si>
  <si>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</si>
  <si>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</si>
  <si>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</si>
  <si>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</si>
  <si>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</si>
  <si>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</si>
  <si>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</si>
  <si>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</si>
  <si>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</si>
  <si>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</si>
  <si>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</si>
  <si>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</si>
  <si>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</si>
  <si>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</si>
  <si>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</si>
  <si>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</si>
  <si>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</si>
  <si>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</si>
  <si>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</si>
  <si>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</si>
  <si>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</si>
  <si>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</si>
  <si>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</si>
  <si>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</si>
  <si>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</si>
  <si>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</si>
  <si>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</si>
  <si>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</si>
  <si>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</si>
  <si>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</si>
  <si>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</si>
  <si>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</si>
  <si>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</si>
  <si>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</si>
  <si>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</si>
  <si>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</si>
  <si>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</si>
  <si>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</si>
  <si>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</si>
  <si>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</si>
  <si>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</si>
  <si>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</si>
  <si>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</si>
  <si>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</si>
  <si>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</si>
  <si>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</si>
  <si>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</si>
  <si>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</si>
  <si>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</si>
  <si>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</si>
  <si>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</si>
  <si>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</si>
  <si>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</si>
  <si>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</si>
  <si>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</si>
  <si>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</si>
  <si>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</si>
  <si>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</si>
  <si>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</si>
  <si>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</si>
  <si>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</si>
  <si>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</si>
  <si>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</si>
  <si>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</si>
  <si>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</si>
  <si>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</si>
  <si>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</si>
  <si>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</si>
  <si>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</si>
  <si>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</si>
  <si>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</si>
  <si>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</si>
  <si>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</si>
  <si>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</si>
  <si>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</si>
  <si>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</si>
  <si>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</si>
  <si>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</si>
  <si>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</si>
  <si>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</si>
  <si>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</si>
  <si>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</si>
  <si>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</si>
  <si>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</si>
  <si>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</si>
  <si>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</si>
  <si>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</si>
  <si>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</si>
  <si>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</si>
  <si>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</si>
  <si>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</si>
  <si>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</si>
  <si>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</si>
  <si>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</si>
  <si>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</si>
  <si>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</si>
  <si>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</si>
  <si>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</si>
  <si>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</si>
  <si>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</si>
  <si>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</si>
  <si>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</si>
  <si>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</si>
  <si>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</si>
  <si>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</si>
  <si>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</si>
  <si>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</si>
  <si>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</si>
  <si>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</si>
  <si>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</si>
  <si>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</si>
  <si>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</si>
  <si>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</si>
  <si>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</si>
  <si>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</si>
  <si>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</si>
  <si>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</si>
  <si>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</si>
  <si>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</si>
  <si>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</si>
  <si>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</si>
  <si>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</si>
  <si>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</si>
  <si>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</si>
  <si>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</si>
  <si>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</si>
  <si>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</si>
  <si>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</si>
  <si>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</si>
  <si>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</si>
  <si>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</si>
  <si>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</si>
  <si>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</si>
  <si>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</si>
  <si>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</si>
  <si>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</si>
  <si>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</si>
  <si>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</si>
  <si>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</si>
  <si>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</si>
  <si>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</si>
  <si>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</si>
  <si>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</si>
  <si>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</si>
  <si>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</si>
  <si>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</si>
  <si>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</si>
  <si>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</si>
  <si>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</si>
  <si>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</si>
  <si>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</si>
  <si>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</si>
  <si>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</si>
  <si>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</si>
  <si>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</si>
  <si>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</si>
  <si>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</si>
  <si>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</si>
  <si>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</si>
  <si>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</si>
  <si>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</si>
  <si>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</si>
  <si>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</si>
  <si>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</si>
  <si>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</si>
  <si>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</si>
  <si>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</si>
  <si>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</si>
  <si>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</si>
  <si>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</si>
  <si>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</si>
  <si>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</si>
  <si>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</si>
  <si>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</si>
  <si>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</si>
  <si>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</si>
  <si>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</si>
  <si>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</si>
  <si>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</si>
  <si>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</si>
  <si>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</si>
  <si>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</si>
  <si>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</si>
  <si>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</si>
  <si>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</si>
  <si>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</si>
  <si>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</si>
  <si>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</si>
  <si>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</si>
  <si>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</si>
  <si>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</si>
  <si>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</si>
  <si>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</si>
  <si>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</si>
  <si>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</si>
  <si>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</si>
  <si>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</si>
  <si>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</si>
  <si>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</si>
  <si>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</si>
  <si>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</si>
  <si>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</si>
  <si>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</si>
  <si>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</si>
  <si>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</si>
  <si>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</si>
  <si>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</si>
  <si>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</si>
  <si>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</si>
  <si>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</si>
  <si>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</si>
  <si>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</si>
  <si>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</si>
  <si>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</si>
  <si>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</si>
  <si>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</si>
  <si>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</si>
  <si>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</si>
  <si>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</si>
  <si>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</si>
  <si>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</si>
  <si>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</si>
  <si>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</si>
  <si>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</si>
  <si>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</si>
  <si>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</si>
  <si>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</si>
  <si>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</si>
  <si>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</si>
  <si>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</si>
  <si>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</si>
  <si>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</si>
  <si>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</si>
  <si>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</si>
  <si>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</si>
  <si>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</si>
  <si>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</si>
  <si>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</si>
  <si>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</si>
  <si>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</si>
  <si>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</si>
  <si>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</si>
  <si>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</si>
  <si>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</si>
  <si>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</si>
  <si>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</si>
  <si>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</si>
  <si>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</si>
  <si>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</si>
  <si>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</si>
  <si>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</si>
  <si>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</si>
  <si>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</si>
  <si>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</si>
  <si>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</si>
  <si>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</si>
  <si>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</si>
  <si>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</si>
  <si>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</si>
  <si>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</si>
  <si>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</si>
  <si>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</si>
  <si>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</si>
  <si>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</si>
  <si>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</si>
  <si>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</si>
  <si>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</si>
  <si>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</si>
  <si>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</si>
  <si>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</si>
  <si>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</si>
  <si>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</si>
  <si>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</si>
  <si>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</si>
  <si>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</si>
  <si>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</si>
  <si>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</si>
  <si>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</si>
  <si>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</si>
  <si>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</si>
  <si>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</si>
  <si>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</si>
  <si>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</si>
  <si>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</si>
  <si>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</si>
  <si>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</si>
  <si>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</si>
  <si>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</si>
  <si>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</si>
  <si>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</si>
  <si>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</si>
  <si>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</si>
  <si>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</si>
  <si>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</si>
  <si>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</si>
  <si>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</si>
  <si>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</si>
  <si>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</si>
  <si>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</si>
  <si>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</si>
  <si>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</si>
  <si>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</si>
  <si>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</si>
  <si>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</si>
  <si>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</si>
  <si>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</si>
  <si>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</si>
  <si>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</si>
  <si>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</si>
  <si>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</si>
  <si>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</si>
  <si>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</si>
  <si>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</si>
  <si>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</si>
  <si>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</si>
  <si>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</si>
  <si>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</si>
  <si>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</si>
  <si>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</si>
  <si>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</si>
  <si>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</si>
  <si>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</si>
  <si>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</si>
  <si>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</si>
  <si>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</si>
  <si>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</si>
  <si>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</si>
  <si>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</si>
  <si>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</si>
  <si>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</si>
  <si>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</si>
  <si>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</si>
  <si>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</si>
  <si>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</si>
  <si>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</si>
  <si>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</si>
  <si>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</si>
  <si>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</si>
  <si>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</si>
  <si>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</si>
  <si>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</si>
  <si>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</si>
  <si>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</si>
  <si>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</si>
  <si>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</si>
  <si>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</si>
  <si>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</si>
  <si>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</si>
  <si>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</si>
  <si>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</si>
  <si>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</si>
  <si>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</si>
  <si>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</si>
  <si>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</si>
  <si>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</si>
  <si>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</si>
  <si>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</si>
  <si>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</si>
  <si>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</si>
  <si>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</si>
  <si>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</si>
  <si>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</si>
  <si>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</si>
  <si>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</si>
  <si>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</si>
  <si>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</si>
  <si>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</si>
  <si>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</si>
  <si>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</si>
  <si>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</si>
  <si>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</si>
  <si>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</si>
  <si>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</si>
  <si>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</si>
  <si>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</si>
  <si>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</si>
  <si>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</si>
  <si>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</si>
  <si>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</si>
  <si>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</si>
  <si>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</si>
  <si>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</si>
  <si>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</si>
  <si>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</si>
  <si>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</si>
  <si>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</si>
  <si>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</si>
  <si>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</si>
  <si>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</si>
  <si>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</si>
  <si>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</si>
  <si>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</si>
  <si>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</si>
  <si>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</si>
  <si>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</si>
  <si>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</si>
  <si>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</si>
  <si>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</si>
  <si>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</si>
  <si>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</si>
  <si>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</si>
  <si>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</si>
  <si>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</si>
  <si>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</si>
  <si>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</si>
  <si>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</si>
  <si>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</si>
  <si>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</si>
  <si>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</si>
  <si>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</si>
  <si>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</si>
  <si>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</si>
  <si>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</si>
  <si>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</si>
  <si>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</si>
  <si>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</si>
  <si>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</si>
  <si>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</si>
  <si>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</si>
  <si>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</si>
  <si>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</si>
  <si>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</si>
  <si>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</si>
  <si>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</si>
  <si>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</si>
  <si>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</si>
  <si>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</si>
  <si>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</si>
  <si>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</si>
  <si>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</si>
  <si>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</si>
  <si>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</si>
  <si>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</si>
  <si>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</si>
  <si>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</si>
  <si>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</si>
  <si>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</si>
  <si>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</si>
  <si>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</si>
  <si>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</si>
  <si>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</si>
  <si>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</si>
  <si>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</si>
  <si>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</si>
  <si>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</si>
  <si>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</si>
  <si>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</si>
  <si>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</si>
  <si>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</si>
  <si>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</si>
  <si>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</si>
  <si>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</si>
  <si>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</si>
  <si>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</si>
  <si>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</si>
  <si>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</si>
  <si>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</si>
  <si>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</si>
  <si>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</si>
  <si>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</si>
  <si>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</si>
  <si>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</si>
  <si>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</si>
  <si>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</si>
  <si>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</si>
  <si>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</si>
  <si>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</si>
  <si>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</si>
  <si>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</si>
  <si>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</si>
  <si>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</si>
  <si>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</si>
  <si>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</si>
  <si>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</si>
  <si>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</si>
  <si>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</si>
  <si>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</si>
  <si>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</si>
  <si>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</si>
  <si>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</si>
  <si>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</si>
  <si>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</si>
  <si>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</si>
  <si>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</si>
  <si>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</si>
  <si>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</si>
  <si>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</si>
  <si>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</si>
  <si>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</si>
  <si>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</si>
  <si>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</si>
  <si>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</si>
  <si>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</si>
  <si>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</si>
  <si>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</si>
  <si>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</si>
  <si>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</si>
  <si>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</si>
  <si>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</si>
  <si>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</si>
  <si>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</si>
  <si>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</si>
  <si>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</si>
  <si>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</si>
  <si>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</si>
  <si>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</si>
  <si>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</si>
  <si>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</si>
  <si>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</si>
  <si>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</si>
  <si>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</si>
  <si>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</si>
  <si>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</si>
  <si>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</si>
  <si>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</si>
  <si>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</si>
  <si>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</si>
  <si>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</si>
  <si>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</si>
  <si>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</si>
  <si>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</si>
  <si>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</si>
  <si>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</si>
  <si>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</si>
  <si>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</si>
  <si>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</si>
  <si>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</si>
  <si>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</si>
  <si>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</si>
  <si>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</si>
  <si>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</si>
  <si>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</si>
  <si>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</si>
  <si>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</si>
  <si>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</si>
  <si>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</si>
  <si>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</si>
  <si>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</si>
  <si>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</si>
  <si>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</si>
  <si>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</si>
  <si>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</si>
  <si>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</si>
  <si>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</si>
  <si>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</si>
  <si>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</si>
  <si>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</si>
  <si>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</si>
  <si>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</si>
  <si>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</si>
  <si>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audit</t>
  </si>
  <si>
    <t>group_details</t>
  </si>
  <si>
    <t>on('group_details')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</si>
  <si>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</si>
  <si>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</si>
  <si>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</si>
  <si>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</si>
  <si>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</si>
  <si>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</si>
  <si>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</si>
  <si>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</si>
  <si>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</si>
  <si>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</si>
  <si>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</si>
  <si>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</si>
  <si>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</si>
  <si>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</si>
  <si>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</si>
  <si>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</si>
  <si>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</si>
  <si>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</si>
  <si>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</si>
  <si>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</si>
  <si>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</si>
  <si>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</si>
  <si>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</si>
  <si>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</si>
  <si>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</si>
  <si>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</si>
  <si>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</si>
  <si>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</si>
  <si>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</si>
  <si>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</si>
  <si>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belongsTo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</si>
  <si>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</si>
  <si>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</si>
  <si>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</si>
  <si>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</si>
  <si>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</si>
  <si>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</si>
  <si>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</si>
  <si>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</si>
  <si>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</si>
  <si>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</si>
  <si>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</si>
  <si>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</si>
  <si>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</si>
  <si>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</si>
  <si>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</si>
  <si>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</si>
  <si>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</si>
  <si>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</si>
  <si>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</si>
  <si>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</si>
  <si>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</si>
  <si>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</si>
  <si>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</si>
  <si>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</si>
  <si>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</si>
  <si>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</si>
  <si>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</si>
  <si>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</si>
  <si>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</si>
  <si>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</si>
  <si>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</si>
  <si>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</si>
  <si>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</si>
  <si>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</si>
  <si>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</si>
  <si>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</si>
  <si>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</si>
  <si>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</si>
  <si>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</si>
  <si>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</si>
  <si>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</si>
  <si>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</si>
  <si>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</si>
  <si>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</si>
  <si>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</si>
  <si>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</si>
  <si>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</si>
  <si>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</si>
  <si>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</si>
  <si>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</si>
  <si>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</si>
  <si>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</si>
  <si>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</si>
  <si>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</si>
  <si>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</si>
  <si>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</si>
  <si>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</si>
  <si>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</si>
  <si>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</si>
  <si>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</si>
  <si>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</si>
  <si>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</si>
  <si>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</si>
  <si>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</si>
  <si>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</si>
  <si>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</si>
  <si>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</si>
  <si>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</si>
  <si>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</si>
  <si>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</si>
  <si>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</si>
  <si>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</si>
  <si>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</si>
  <si>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</si>
  <si>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</si>
  <si>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</si>
  <si>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</si>
  <si>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</si>
  <si>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</si>
  <si>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</si>
  <si>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</si>
  <si>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</si>
  <si>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</si>
  <si>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</si>
  <si>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</si>
  <si>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</si>
  <si>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</si>
  <si>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</si>
  <si>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</si>
  <si>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</si>
  <si>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</si>
  <si>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</si>
  <si>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</si>
  <si>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</si>
  <si>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</si>
  <si>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</si>
  <si>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</si>
  <si>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</si>
  <si>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</si>
  <si>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</si>
  <si>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</si>
  <si>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</si>
  <si>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</si>
  <si>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</si>
  <si>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</si>
  <si>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</si>
  <si>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</si>
  <si>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</si>
  <si>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</si>
  <si>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</si>
  <si>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</si>
  <si>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</si>
  <si>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</si>
  <si>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</si>
  <si>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</si>
  <si>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</si>
  <si>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</si>
  <si>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</si>
  <si>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</si>
  <si>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</si>
  <si>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</si>
  <si>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</si>
  <si>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</si>
  <si>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</si>
  <si>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</si>
  <si>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</si>
  <si>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</si>
  <si>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</si>
  <si>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</si>
  <si>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</si>
  <si>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</si>
  <si>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</si>
  <si>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</si>
  <si>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</si>
  <si>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</si>
  <si>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</si>
  <si>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</si>
  <si>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</si>
  <si>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</si>
  <si>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</si>
  <si>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</si>
  <si>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</si>
  <si>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</si>
  <si>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</si>
  <si>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</si>
  <si>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</si>
  <si>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</si>
  <si>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</si>
  <si>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</si>
  <si>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</si>
  <si>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</si>
  <si>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</si>
  <si>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</si>
  <si>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</si>
  <si>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</si>
  <si>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</si>
  <si>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</si>
  <si>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</si>
  <si>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</si>
  <si>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</si>
  <si>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</si>
  <si>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</si>
  <si>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</si>
  <si>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</si>
  <si>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</si>
  <si>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</si>
  <si>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</si>
  <si>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</si>
  <si>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</si>
  <si>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</si>
  <si>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</si>
  <si>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</si>
  <si>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</si>
  <si>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</si>
  <si>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</si>
  <si>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</si>
  <si>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</si>
  <si>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</si>
  <si>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</si>
  <si>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</si>
  <si>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</si>
  <si>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</si>
  <si>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</si>
  <si>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</si>
  <si>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</si>
  <si>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</si>
  <si>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</si>
  <si>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</si>
  <si>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</si>
  <si>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</si>
  <si>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</si>
  <si>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</si>
  <si>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</si>
  <si>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</si>
  <si>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</si>
  <si>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</si>
  <si>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</si>
  <si>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</si>
  <si>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</si>
  <si>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</si>
  <si>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</si>
  <si>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</si>
  <si>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</si>
  <si>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</si>
  <si>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</si>
  <si>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</si>
  <si>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</si>
  <si>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</si>
  <si>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</si>
  <si>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</si>
  <si>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</si>
  <si>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</si>
  <si>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</si>
  <si>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</si>
  <si>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</si>
  <si>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</si>
  <si>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</si>
  <si>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</si>
  <si>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</si>
  <si>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</si>
  <si>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</si>
  <si>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</si>
  <si>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</si>
  <si>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</si>
  <si>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</si>
  <si>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</si>
  <si>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</si>
  <si>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</si>
  <si>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</si>
  <si>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</si>
  <si>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</si>
  <si>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</si>
  <si>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</si>
  <si>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</si>
  <si>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</si>
  <si>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</si>
  <si>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</si>
  <si>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</si>
  <si>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</si>
  <si>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</si>
  <si>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</si>
  <si>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</si>
  <si>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</si>
  <si>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</si>
  <si>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</si>
  <si>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</si>
  <si>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</si>
  <si>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</si>
  <si>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</si>
  <si>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</si>
  <si>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</si>
  <si>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</si>
  <si>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</si>
  <si>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</si>
  <si>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</si>
  <si>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</si>
  <si>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</si>
  <si>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</si>
  <si>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</si>
  <si>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</si>
  <si>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</si>
  <si>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</si>
  <si>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</si>
  <si>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</si>
  <si>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</si>
  <si>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</si>
  <si>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</si>
  <si>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</si>
  <si>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</si>
  <si>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</si>
  <si>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</si>
  <si>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</si>
  <si>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</si>
  <si>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</si>
  <si>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</si>
  <si>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</si>
  <si>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</si>
  <si>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</si>
  <si>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</si>
  <si>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</si>
  <si>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</si>
  <si>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</si>
  <si>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</si>
  <si>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</si>
  <si>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</si>
  <si>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</si>
  <si>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</si>
  <si>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</si>
  <si>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</si>
  <si>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</si>
  <si>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</si>
  <si>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</si>
  <si>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</si>
  <si>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</si>
  <si>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</si>
  <si>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</si>
  <si>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</si>
  <si>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</si>
  <si>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</si>
  <si>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</si>
  <si>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</si>
  <si>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</si>
  <si>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</si>
  <si>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</si>
  <si>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</si>
  <si>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</si>
  <si>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</si>
  <si>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</si>
  <si>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</si>
  <si>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</si>
  <si>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</si>
  <si>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</si>
  <si>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</si>
  <si>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</si>
  <si>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</si>
  <si>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</si>
  <si>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</si>
  <si>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</si>
  <si>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</si>
  <si>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</si>
  <si>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</si>
  <si>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</si>
  <si>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</si>
  <si>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</si>
  <si>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</si>
  <si>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</si>
  <si>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</si>
  <si>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</si>
  <si>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</si>
  <si>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</si>
  <si>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</si>
  <si>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</si>
  <si>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</si>
  <si>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</si>
  <si>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</si>
  <si>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</si>
  <si>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</si>
  <si>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</si>
  <si>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</si>
  <si>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</si>
  <si>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</si>
  <si>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</si>
  <si>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</si>
  <si>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</si>
  <si>
    <t>Group 01</t>
  </si>
  <si>
    <t>Group 02</t>
  </si>
  <si>
    <t>Group01ListAction</t>
  </si>
  <si>
    <t>Group04ListAction</t>
  </si>
  <si>
    <t>Group02ListAction</t>
  </si>
  <si>
    <t>Group03ListAction</t>
  </si>
  <si>
    <t>Action to call list of items in group 01</t>
  </si>
  <si>
    <t>Action to call list of items in group 04</t>
  </si>
  <si>
    <t>Action to call list of items in group 03</t>
  </si>
  <si>
    <t>Action to call list of items in group 02</t>
  </si>
  <si>
    <t>Group01ProductsListAction</t>
  </si>
  <si>
    <t>Group02ProductsListAction</t>
  </si>
  <si>
    <t>Group03ProductsListAction</t>
  </si>
  <si>
    <t>Group04ProductsListAction</t>
  </si>
  <si>
    <t>Action to list all products of group 01</t>
  </si>
  <si>
    <t>Action to list all products of group 04</t>
  </si>
  <si>
    <t>Action to list all products of group 03</t>
  </si>
  <si>
    <t>Action to list all products of group 02</t>
  </si>
  <si>
    <t>GroupDetail/Group01ProductsListAction</t>
  </si>
  <si>
    <t>GroupDetail/Group02ProductsListAction</t>
  </si>
  <si>
    <t>GroupDetail/Group03ProductsListAction</t>
  </si>
  <si>
    <t>GroupDetail/Group04ProductsListAction</t>
  </si>
  <si>
    <t>ProductGroup05</t>
  </si>
  <si>
    <t>ProductGroup06</t>
  </si>
  <si>
    <t>ProductGroup07</t>
  </si>
  <si>
    <t>ProductGroup08</t>
  </si>
  <si>
    <t>ProductGroup09</t>
  </si>
  <si>
    <t>ProductGroup10</t>
  </si>
  <si>
    <t>Details of group 05 of this product belongs</t>
  </si>
  <si>
    <t>Details of group 06 of this product belongs</t>
  </si>
  <si>
    <t>Details of group 07 of this product belongs</t>
  </si>
  <si>
    <t>Details of group 08 of this product belongs</t>
  </si>
  <si>
    <t>Details of group 09 of this product belongs</t>
  </si>
  <si>
    <t>Details of group 10 of this product belongs</t>
  </si>
  <si>
    <t>Group05</t>
  </si>
  <si>
    <t>Group06</t>
  </si>
  <si>
    <t>Group07</t>
  </si>
  <si>
    <t>Group08</t>
  </si>
  <si>
    <t>Group09</t>
  </si>
  <si>
    <t>Group10</t>
  </si>
  <si>
    <t>Group05Products</t>
  </si>
  <si>
    <t>Group06Products</t>
  </si>
  <si>
    <t>Group07Products</t>
  </si>
  <si>
    <t>Group08Products</t>
  </si>
  <si>
    <t>Group09Products</t>
  </si>
  <si>
    <t>Group10Products</t>
  </si>
  <si>
    <t>Products of a group 5</t>
  </si>
  <si>
    <t>Products of a group 6</t>
  </si>
  <si>
    <t>Products of a group 7</t>
  </si>
  <si>
    <t>Products of a group 8</t>
  </si>
  <si>
    <t>Products of a group 9</t>
  </si>
  <si>
    <t>Products of a group 10</t>
  </si>
  <si>
    <t>Group</t>
  </si>
  <si>
    <t>GroupMasterItems</t>
  </si>
  <si>
    <t>Items of a group master</t>
  </si>
  <si>
    <t>Master</t>
  </si>
  <si>
    <t>Master details of a group item</t>
  </si>
  <si>
    <t>PDAdmin</t>
  </si>
  <si>
    <t>Administrator for product demonstration portal</t>
  </si>
  <si>
    <t>Administrator</t>
  </si>
  <si>
    <t>All</t>
  </si>
  <si>
    <t>refno_index</t>
  </si>
  <si>
    <t>ref2no</t>
  </si>
  <si>
    <t>product_fields</t>
  </si>
  <si>
    <t>field_name</t>
  </si>
  <si>
    <t>display_name</t>
  </si>
  <si>
    <t>order</t>
  </si>
  <si>
    <t>unsignedTinyInteger</t>
  </si>
  <si>
    <t>default(1)</t>
  </si>
  <si>
    <t>priority</t>
  </si>
  <si>
    <t>default(0)</t>
  </si>
  <si>
    <t>quantity</t>
  </si>
  <si>
    <t>mediumInteger</t>
  </si>
  <si>
    <t>2019_02_11_000045_create_group_master_table.php</t>
  </si>
  <si>
    <t>2019_02_11_000046_create_group_details_table.php</t>
  </si>
  <si>
    <t>2019_02_11_000047_create_products_table.php</t>
  </si>
  <si>
    <t>2019_02_11_000048_create_product_images_table.php</t>
  </si>
  <si>
    <t>2019_02_11_000049_create_visitors_table.php</t>
  </si>
  <si>
    <t>2019_02_11_000050_create_wishlists_table.php</t>
  </si>
  <si>
    <t>2019_02_11_000051_create_wishlist_products_table.php</t>
  </si>
  <si>
    <t>2019_02_11_000052_create_visitor_wishlists_table.php</t>
  </si>
  <si>
    <t>2019_02_11_000053_create_vendor_wishlists_table.php</t>
  </si>
  <si>
    <t>2019_02_11_000054_create_wishlist_notes_table.php</t>
  </si>
  <si>
    <t>2019_02_11_000055_create_wishlist_product_notes_table.php</t>
  </si>
  <si>
    <t>2019_02_19_155732_create_product_fields_table.php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</si>
</sst>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7" totalsRowShown="0" dataDxfId="461">
  <autoFilter ref="A1:J57"/>
  <tableColumns count="10">
    <tableColumn id="2" name="Name" dataDxfId="460"/>
    <tableColumn id="10" name="Table" dataDxfId="459">
      <calculatedColumnFormula>"__"&amp;[Name]</calculatedColumnFormula>
    </tableColumn>
    <tableColumn id="5" name="Singular Name" dataDxfId="458">
      <calculatedColumnFormula>IF(RIGHT([Name],3)="ies",MID([Name],1,LEN([Name])-3)&amp;"y",IF(RIGHT([Name],1)="s",MID([Name],1,LEN([Name])-1),[Name]))</calculatedColumnFormula>
    </tableColumn>
    <tableColumn id="8" name="Model NS" dataDxfId="457">
      <calculatedColumnFormula>"Milestone\Appframe\Model"</calculatedColumnFormula>
    </tableColumn>
    <tableColumn id="4" name="Class Name" dataDxfId="456">
      <calculatedColumnFormula>SUBSTITUTE(PROPER([Singular Name]),"_","")</calculatedColumnFormula>
    </tableColumn>
    <tableColumn id="1" name="Migration Artisan" dataDxfId="455">
      <calculatedColumnFormula>"php artisan make:migration create_"&amp;[Table]&amp;"_table --create="&amp;[Table]</calculatedColumnFormula>
    </tableColumn>
    <tableColumn id="6" name="Model Artisan" dataDxfId="454">
      <calculatedColumnFormula>"php artisan make:model "&amp;[Class Name]</calculatedColumnFormula>
    </tableColumn>
    <tableColumn id="3" name="Model Statement" dataDxfId="453">
      <calculatedColumnFormula>"protected $table = '"&amp;[Table]&amp;"';"</calculatedColumnFormula>
    </tableColumn>
    <tableColumn id="7" name="Seeder Artisan" dataDxfId="452">
      <calculatedColumnFormula>"php artisan make:seed "&amp;[Class Name]&amp;"TableSeeder"</calculatedColumnFormula>
    </tableColumn>
    <tableColumn id="9" name="Seeder Class" dataDxfId="45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45" dataDxfId="344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IF(ResourceAction[[#This Row],[Resource Name]]="","resource",VLOOKUP(ResourceAction[[#This Row],[Resource Name]],ResourceTable[[RName]:[RID]],2,0))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18" dataDxfId="317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296" dataDxfId="295">
  <autoFilter ref="A1:K1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83" dataDxfId="282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41" dataDxfId="240">
  <autoFilter ref="BB1:BG4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3" dataDxfId="232">
  <autoFilter ref="BI1:BQ2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1" dataDxfId="200">
  <autoFilter ref="BS1:CB2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89" dataDxfId="188">
  <autoFilter ref="CZ1:DJ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90" totalsRowShown="0" dataDxfId="449">
  <autoFilter ref="A1:I90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6" dataDxfId="175">
  <autoFilter ref="DL1:DU2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4" dataDxfId="163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1">
  <autoFilter ref="A1:H13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"2019_03_11_"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32">
  <autoFilter ref="A1:K13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20" dataDxfId="119">
  <autoFilter ref="M1:AD16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00" dataDxfId="99">
  <autoFilter ref="AF1:AR15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85" dataDxfId="84">
  <autoFilter ref="AT1:BE4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1">
  <autoFilter ref="A1:J6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60" dataDxfId="59">
  <autoFilter ref="L1:AC1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40" dataDxfId="39">
  <autoFilter ref="AE1:AN9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30" totalsRowShown="0" dataDxfId="439">
  <autoFilter ref="A1:K130">
    <filterColumn colId="0">
      <filters>
        <filter val="wishlist_produc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28" dataDxfId="27">
  <autoFilter ref="AP1:AW21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0" totalsRowShown="0" headerRowDxfId="427" dataDxfId="426">
  <autoFilter ref="A1:R20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"query"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396">
  <autoFilter ref="A1:M1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/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69">
  <autoFilter ref="A1:N4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54">
  <autoFilter ref="P1:W7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opLeftCell="F40" workbookViewId="0">
      <selection activeCell="F48" sqref="F4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9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554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994</v>
      </c>
      <c r="B48" s="8" t="str">
        <f>[Name]</f>
        <v>product_fields</v>
      </c>
      <c r="C48" s="8" t="str">
        <f>IF(RIGHT([Name],3)="ies",MID([Name],1,LEN([Name])-3)&amp;"y",IF(RIGHT([Name],1)="s",MID([Name],1,LEN([Name])-1),[Name]))</f>
        <v>product_field</v>
      </c>
      <c r="D48" s="8" t="str">
        <f t="shared" si="2"/>
        <v>Milestone\PD\Model</v>
      </c>
      <c r="E48" s="8" t="str">
        <f>SUBSTITUTE(PROPER([Singular Name]),"_","")</f>
        <v>ProductField</v>
      </c>
      <c r="F48" s="8" t="str">
        <f>"php artisan make:migration create_"&amp;[Table]&amp;"_table --create="&amp;[Table]</f>
        <v>php artisan make:migration create_product_fields_table --create=product_fields</v>
      </c>
      <c r="G48" s="8" t="str">
        <f>"php artisan make:model "&amp;[Class Name]</f>
        <v>php artisan make:model ProductField</v>
      </c>
      <c r="H48" s="8" t="str">
        <f>"protected $table = '"&amp;[Table]&amp;"';"</f>
        <v>protected $table = 'product_fields';</v>
      </c>
      <c r="I48" s="8" t="str">
        <f>"php artisan make:seed "&amp;[Class Name]&amp;"TableSeeder"</f>
        <v>php artisan make:seed ProductFieldTableSeeder</v>
      </c>
      <c r="J48" s="8" t="str">
        <f>[Class Name]&amp;"TableSeeder"&amp;"::class,"</f>
        <v>ProductFieldTableSeeder::class,</v>
      </c>
    </row>
    <row r="49" spans="1:10">
      <c r="A49" s="5" t="s">
        <v>442</v>
      </c>
      <c r="B49" s="8" t="str">
        <f>[Name]</f>
        <v>products</v>
      </c>
      <c r="C49" s="8" t="str">
        <f>IF(RIGHT([Name],3)="ies",MID([Name],1,LEN([Name])-3)&amp;"y",IF(RIGHT([Name],1)="s",MID([Name],1,LEN([Name])-1),[Name]))</f>
        <v>product</v>
      </c>
      <c r="D49" s="8" t="str">
        <f t="shared" si="2"/>
        <v>Milestone\PD\Model</v>
      </c>
      <c r="E49" s="8" t="str">
        <f>SUBSTITUTE(PROPER([Singular Name]),"_","")</f>
        <v>Product</v>
      </c>
      <c r="F49" s="8" t="str">
        <f>"php artisan make:migration create_"&amp;[Table]&amp;"_table --create="&amp;[Table]</f>
        <v>php artisan make:migration create_products_table --create=products</v>
      </c>
      <c r="G49" s="8" t="str">
        <f>"php artisan make:model "&amp;[Class Name]</f>
        <v>php artisan make:model Product</v>
      </c>
      <c r="H49" s="8" t="str">
        <f>"protected $table = '"&amp;[Table]&amp;"';"</f>
        <v>protected $table = 'products';</v>
      </c>
      <c r="I49" s="8" t="str">
        <f>"php artisan make:seed "&amp;[Class Name]&amp;"TableSeeder"</f>
        <v>php artisan make:seed ProductTableSeeder</v>
      </c>
      <c r="J49" s="8" t="str">
        <f>[Class Name]&amp;"TableSeeder"&amp;"::class,"</f>
        <v>ProductTableSeeder::class,</v>
      </c>
    </row>
    <row r="50" spans="1:10">
      <c r="A50" s="5" t="s">
        <v>443</v>
      </c>
      <c r="B50" s="8" t="str">
        <f>[Name]</f>
        <v>product_images</v>
      </c>
      <c r="C50" s="8" t="str">
        <f>IF(RIGHT([Name],3)="ies",MID([Name],1,LEN([Name])-3)&amp;"y",IF(RIGHT([Name],1)="s",MID([Name],1,LEN([Name])-1),[Name]))</f>
        <v>product_image</v>
      </c>
      <c r="D50" s="8" t="str">
        <f>"Milestone\PD\Model"</f>
        <v>Milestone\PD\Model</v>
      </c>
      <c r="E50" s="8" t="str">
        <f>SUBSTITUTE(PROPER([Singular Name]),"_","")</f>
        <v>ProductImage</v>
      </c>
      <c r="F50" s="8" t="str">
        <f>"php artisan make:migration create_"&amp;[Table]&amp;"_table --create="&amp;[Table]</f>
        <v>php artisan make:migration create_product_images_table --create=product_images</v>
      </c>
      <c r="G50" s="8" t="str">
        <f>"php artisan make:model "&amp;[Class Name]</f>
        <v>php artisan make:model ProductImage</v>
      </c>
      <c r="H50" s="8" t="str">
        <f>"protected $table = '"&amp;[Table]&amp;"';"</f>
        <v>protected $table = 'product_images';</v>
      </c>
      <c r="I50" s="8" t="str">
        <f>"php artisan make:seed "&amp;[Class Name]&amp;"TableSeeder"</f>
        <v>php artisan make:seed ProductImageTableSeeder</v>
      </c>
      <c r="J50" s="8" t="str">
        <f>[Class Name]&amp;"TableSeeder"&amp;"::class,"</f>
        <v>ProductImageTableSeeder::class,</v>
      </c>
    </row>
    <row r="51" spans="1:10">
      <c r="A51" s="5" t="s">
        <v>444</v>
      </c>
      <c r="B51" s="8" t="str">
        <f>[Name]</f>
        <v>visitors</v>
      </c>
      <c r="C51" s="8" t="str">
        <f>IF(RIGHT([Name],3)="ies",MID([Name],1,LEN([Name])-3)&amp;"y",IF(RIGHT([Name],1)="s",MID([Name],1,LEN([Name])-1),[Name]))</f>
        <v>visitor</v>
      </c>
      <c r="D51" s="8" t="str">
        <f t="shared" ref="D51:D57" si="3">"Milestone\PD\Model"</f>
        <v>Milestone\PD\Model</v>
      </c>
      <c r="E51" s="8" t="str">
        <f>SUBSTITUTE(PROPER([Singular Name]),"_","")</f>
        <v>Visitor</v>
      </c>
      <c r="F51" s="8" t="str">
        <f>"php artisan make:migration create_"&amp;[Table]&amp;"_table --create="&amp;[Table]</f>
        <v>php artisan make:migration create_visitors_table --create=visitors</v>
      </c>
      <c r="G51" s="8" t="str">
        <f>"php artisan make:model "&amp;[Class Name]</f>
        <v>php artisan make:model Visitor</v>
      </c>
      <c r="H51" s="8" t="str">
        <f>"protected $table = '"&amp;[Table]&amp;"';"</f>
        <v>protected $table = 'visitors';</v>
      </c>
      <c r="I51" s="8" t="str">
        <f>"php artisan make:seed "&amp;[Class Name]&amp;"TableSeeder"</f>
        <v>php artisan make:seed VisitorTableSeeder</v>
      </c>
      <c r="J51" s="8" t="str">
        <f>[Class Name]&amp;"TableSeeder"&amp;"::class,"</f>
        <v>VisitorTableSeeder::class,</v>
      </c>
    </row>
    <row r="52" spans="1:10">
      <c r="A52" s="5" t="s">
        <v>445</v>
      </c>
      <c r="B52" s="8" t="str">
        <f>[Name]</f>
        <v>wishlists</v>
      </c>
      <c r="C52" s="8" t="str">
        <f>IF(RIGHT([Name],3)="ies",MID([Name],1,LEN([Name])-3)&amp;"y",IF(RIGHT([Name],1)="s",MID([Name],1,LEN([Name])-1),[Name]))</f>
        <v>wishlist</v>
      </c>
      <c r="D52" s="8" t="str">
        <f t="shared" si="3"/>
        <v>Milestone\PD\Model</v>
      </c>
      <c r="E52" s="8" t="str">
        <f>SUBSTITUTE(PROPER([Singular Name]),"_","")</f>
        <v>Wishlist</v>
      </c>
      <c r="F52" s="8" t="str">
        <f>"php artisan make:migration create_"&amp;[Table]&amp;"_table --create="&amp;[Table]</f>
        <v>php artisan make:migration create_wishlists_table --create=wishlists</v>
      </c>
      <c r="G52" s="8" t="str">
        <f>"php artisan make:model "&amp;[Class Name]</f>
        <v>php artisan make:model Wishlist</v>
      </c>
      <c r="H52" s="8" t="str">
        <f>"protected $table = '"&amp;[Table]&amp;"';"</f>
        <v>protected $table = 'wishlists';</v>
      </c>
      <c r="I52" s="8" t="str">
        <f>"php artisan make:seed "&amp;[Class Name]&amp;"TableSeeder"</f>
        <v>php artisan make:seed WishlistTableSeeder</v>
      </c>
      <c r="J52" s="8" t="str">
        <f>[Class Name]&amp;"TableSeeder"&amp;"::class,"</f>
        <v>WishlistTableSeeder::class,</v>
      </c>
    </row>
    <row r="53" spans="1:10">
      <c r="A53" s="5" t="s">
        <v>446</v>
      </c>
      <c r="B53" s="8" t="str">
        <f>[Name]</f>
        <v>wishlist_products</v>
      </c>
      <c r="C53" s="8" t="str">
        <f>IF(RIGHT([Name],3)="ies",MID([Name],1,LEN([Name])-3)&amp;"y",IF(RIGHT([Name],1)="s",MID([Name],1,LEN([Name])-1),[Name]))</f>
        <v>wishlist_product</v>
      </c>
      <c r="D53" s="8" t="str">
        <f t="shared" si="3"/>
        <v>Milestone\PD\Model</v>
      </c>
      <c r="E53" s="8" t="str">
        <f>SUBSTITUTE(PROPER([Singular Name]),"_","")</f>
        <v>WishlistProduct</v>
      </c>
      <c r="F53" s="8" t="str">
        <f>"php artisan make:migration create_"&amp;[Table]&amp;"_table --create="&amp;[Table]</f>
        <v>php artisan make:migration create_wishlist_products_table --create=wishlist_products</v>
      </c>
      <c r="G53" s="8" t="str">
        <f>"php artisan make:model "&amp;[Class Name]</f>
        <v>php artisan make:model WishlistProduct</v>
      </c>
      <c r="H53" s="8" t="str">
        <f>"protected $table = '"&amp;[Table]&amp;"';"</f>
        <v>protected $table = 'wishlist_products';</v>
      </c>
      <c r="I53" s="8" t="str">
        <f>"php artisan make:seed "&amp;[Class Name]&amp;"TableSeeder"</f>
        <v>php artisan make:seed WishlistProductTableSeeder</v>
      </c>
      <c r="J53" s="8" t="str">
        <f>[Class Name]&amp;"TableSeeder"&amp;"::class,"</f>
        <v>WishlistProductTableSeeder::class,</v>
      </c>
    </row>
    <row r="54" spans="1:10">
      <c r="A54" s="5" t="s">
        <v>447</v>
      </c>
      <c r="B54" s="8" t="str">
        <f>[Name]</f>
        <v>visitor_wishlists</v>
      </c>
      <c r="C54" s="8" t="str">
        <f>IF(RIGHT([Name],3)="ies",MID([Name],1,LEN([Name])-3)&amp;"y",IF(RIGHT([Name],1)="s",MID([Name],1,LEN([Name])-1),[Name]))</f>
        <v>visitor_wishlist</v>
      </c>
      <c r="D54" s="8" t="str">
        <f t="shared" si="3"/>
        <v>Milestone\PD\Model</v>
      </c>
      <c r="E54" s="8" t="str">
        <f>SUBSTITUTE(PROPER([Singular Name]),"_","")</f>
        <v>VisitorWishlist</v>
      </c>
      <c r="F54" s="8" t="str">
        <f>"php artisan make:migration create_"&amp;[Table]&amp;"_table --create="&amp;[Table]</f>
        <v>php artisan make:migration create_visitor_wishlists_table --create=visitor_wishlists</v>
      </c>
      <c r="G54" s="8" t="str">
        <f>"php artisan make:model "&amp;[Class Name]</f>
        <v>php artisan make:model VisitorWishlist</v>
      </c>
      <c r="H54" s="8" t="str">
        <f>"protected $table = '"&amp;[Table]&amp;"';"</f>
        <v>protected $table = 'visitor_wishlists';</v>
      </c>
      <c r="I54" s="8" t="str">
        <f>"php artisan make:seed "&amp;[Class Name]&amp;"TableSeeder"</f>
        <v>php artisan make:seed VisitorWishlistTableSeeder</v>
      </c>
      <c r="J54" s="8" t="str">
        <f>[Class Name]&amp;"TableSeeder"&amp;"::class,"</f>
        <v>VisitorWishlistTableSeeder::class,</v>
      </c>
    </row>
    <row r="55" spans="1:10">
      <c r="A55" s="5" t="s">
        <v>448</v>
      </c>
      <c r="B55" s="8" t="str">
        <f>[Name]</f>
        <v>vendor_wishlists</v>
      </c>
      <c r="C55" s="8" t="str">
        <f>IF(RIGHT([Name],3)="ies",MID([Name],1,LEN([Name])-3)&amp;"y",IF(RIGHT([Name],1)="s",MID([Name],1,LEN([Name])-1),[Name]))</f>
        <v>vendor_wishlist</v>
      </c>
      <c r="D55" s="8" t="str">
        <f t="shared" si="3"/>
        <v>Milestone\PD\Model</v>
      </c>
      <c r="E55" s="8" t="str">
        <f>SUBSTITUTE(PROPER([Singular Name]),"_","")</f>
        <v>VendorWishlist</v>
      </c>
      <c r="F55" s="8" t="str">
        <f>"php artisan make:migration create_"&amp;[Table]&amp;"_table --create="&amp;[Table]</f>
        <v>php artisan make:migration create_vendor_wishlists_table --create=vendor_wishlists</v>
      </c>
      <c r="G55" s="8" t="str">
        <f>"php artisan make:model "&amp;[Class Name]</f>
        <v>php artisan make:model VendorWishlist</v>
      </c>
      <c r="H55" s="8" t="str">
        <f>"protected $table = '"&amp;[Table]&amp;"';"</f>
        <v>protected $table = 'vendor_wishlists';</v>
      </c>
      <c r="I55" s="8" t="str">
        <f>"php artisan make:seed "&amp;[Class Name]&amp;"TableSeeder"</f>
        <v>php artisan make:seed VendorWishlistTableSeeder</v>
      </c>
      <c r="J55" s="8" t="str">
        <f>[Class Name]&amp;"TableSeeder"&amp;"::class,"</f>
        <v>VendorWishlistTableSeeder::class,</v>
      </c>
    </row>
    <row r="56" spans="1:10">
      <c r="A56" s="5" t="s">
        <v>449</v>
      </c>
      <c r="B56" s="8" t="str">
        <f>[Name]</f>
        <v>wishlist_notes</v>
      </c>
      <c r="C56" s="8" t="str">
        <f>IF(RIGHT([Name],3)="ies",MID([Name],1,LEN([Name])-3)&amp;"y",IF(RIGHT([Name],1)="s",MID([Name],1,LEN([Name])-1),[Name]))</f>
        <v>wishlist_note</v>
      </c>
      <c r="D56" s="8" t="str">
        <f t="shared" si="3"/>
        <v>Milestone\PD\Model</v>
      </c>
      <c r="E56" s="8" t="str">
        <f>SUBSTITUTE(PROPER([Singular Name]),"_","")</f>
        <v>WishlistNote</v>
      </c>
      <c r="F56" s="8" t="str">
        <f>"php artisan make:migration create_"&amp;[Table]&amp;"_table --create="&amp;[Table]</f>
        <v>php artisan make:migration create_wishlist_notes_table --create=wishlist_notes</v>
      </c>
      <c r="G56" s="8" t="str">
        <f>"php artisan make:model "&amp;[Class Name]</f>
        <v>php artisan make:model WishlistNote</v>
      </c>
      <c r="H56" s="8" t="str">
        <f>"protected $table = '"&amp;[Table]&amp;"';"</f>
        <v>protected $table = 'wishlist_notes';</v>
      </c>
      <c r="I56" s="8" t="str">
        <f>"php artisan make:seed "&amp;[Class Name]&amp;"TableSeeder"</f>
        <v>php artisan make:seed WishlistNoteTableSeeder</v>
      </c>
      <c r="J56" s="8" t="str">
        <f>[Class Name]&amp;"TableSeeder"&amp;"::class,"</f>
        <v>WishlistNoteTableSeeder::class,</v>
      </c>
    </row>
    <row r="57" spans="1:10">
      <c r="A57" s="4" t="s">
        <v>450</v>
      </c>
      <c r="B57" s="8" t="str">
        <f>[Name]</f>
        <v>wishlist_product_notes</v>
      </c>
      <c r="C57" s="7" t="str">
        <f>IF(RIGHT([Name],3)="ies",MID([Name],1,LEN([Name])-3)&amp;"y",IF(RIGHT([Name],1)="s",MID([Name],1,LEN([Name])-1),[Name]))</f>
        <v>wishlist_product_note</v>
      </c>
      <c r="D57" s="8" t="str">
        <f t="shared" si="3"/>
        <v>Milestone\PD\Model</v>
      </c>
      <c r="E57" s="7" t="str">
        <f>SUBSTITUTE(PROPER([Singular Name]),"_","")</f>
        <v>WishlistProductNote</v>
      </c>
      <c r="F57" s="7" t="str">
        <f>"php artisan make:migration create_"&amp;[Table]&amp;"_table --create="&amp;[Table]</f>
        <v>php artisan make:migration create_wishlist_product_notes_table --create=wishlist_product_notes</v>
      </c>
      <c r="G57" s="7" t="str">
        <f>"php artisan make:model "&amp;[Class Name]</f>
        <v>php artisan make:model WishlistProductNote</v>
      </c>
      <c r="H57" s="7" t="str">
        <f>"protected $table = '"&amp;[Table]&amp;"';"</f>
        <v>protected $table = 'wishlist_product_notes';</v>
      </c>
      <c r="I57" s="7" t="str">
        <f>"php artisan make:seed "&amp;[Class Name]&amp;"TableSeeder"</f>
        <v>php artisan make:seed WishlistProductNoteTableSeeder</v>
      </c>
      <c r="J57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D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560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661</v>
      </c>
      <c r="H3" s="31" t="s">
        <v>662</v>
      </c>
      <c r="I3" s="8" t="s">
        <v>663</v>
      </c>
      <c r="J3" s="8" t="s">
        <v>664</v>
      </c>
      <c r="K3" s="34">
        <f>[ID]</f>
        <v>50001</v>
      </c>
      <c r="M3" s="68" t="str">
        <f>'Table Seed Map'!$A$11&amp;"-"&amp;(COUNTA($Q$1:FormFields[[#This Row],[ID]])-2)</f>
        <v>Form Fields-1</v>
      </c>
      <c r="N3" s="69" t="s">
        <v>705</v>
      </c>
      <c r="O3" s="70">
        <f>IF(FormFields[[#This Row],[Form Name]]="","id",COUNTA($N$3:FormFields[[#This Row],[Form Name]])+IF(VLOOKUP('Table Seed Map'!$A$11,SeedMap[],9,0),VLOOKUP('Table Seed Map'!$A$11,SeedMap[],9,0),0))</f>
        <v>50001</v>
      </c>
      <c r="P3" s="68" t="str">
        <f>FormFields[[#This Row],[Form Name]]&amp;"/"&amp;FormFields[[#This Row],[Name]]</f>
        <v>ProductImage/AddProductImageForm/product</v>
      </c>
      <c r="Q3" s="70">
        <f>FormFields[[#This Row],[No]]</f>
        <v>50001</v>
      </c>
      <c r="R3" s="71">
        <f>VLOOKUP(FormFields[[#This Row],[Form Name]],ResourceForms[[FormName]:[No]],2,0)</f>
        <v>50001</v>
      </c>
      <c r="S3" s="72" t="s">
        <v>467</v>
      </c>
      <c r="T3" s="72" t="s">
        <v>687</v>
      </c>
      <c r="U3" s="72" t="s">
        <v>688</v>
      </c>
      <c r="V3" s="73"/>
      <c r="W3" s="73"/>
      <c r="X3" s="73"/>
      <c r="Y3" s="73"/>
      <c r="Z3" s="74" t="str">
        <f>'Table Seed Map'!$A$12&amp;"-"&amp;(COUNTIF($AB$2:FormFields[[#This Row],[Exists]],1)-1)</f>
        <v>Field Data-1</v>
      </c>
      <c r="AA3" s="75">
        <f>COUNTIF($AB$2:FormFields[[#This Row],[Exists]],1)-1+VLOOKUP('Table Seed Map'!$A$11,SeedMap[],9,0)</f>
        <v>50001</v>
      </c>
      <c r="AB3" s="75">
        <f>IF(AND(FormFields[[#This Row],[Attribute]]="",FormFields[[#This Row],[Relation]]=""),0,1)</f>
        <v>1</v>
      </c>
      <c r="AC3" s="75">
        <f>FormFields[[#This Row],[NO2]]</f>
        <v>50001</v>
      </c>
      <c r="AD3" s="76">
        <f>[ID]</f>
        <v>50001</v>
      </c>
      <c r="AE3" s="75" t="str">
        <f>[Name]</f>
        <v>product</v>
      </c>
      <c r="AF3" s="77" t="str">
        <f>IF(FormFields[[#This Row],[Rel]]="",IF(EXACT($AF2,FormFields[[#Headers],[Relation]]),"relation",""),VLOOKUP(FormFields[[#This Row],[Rel]],RelationTable[[Display]:[RELID]],2,0))</f>
        <v/>
      </c>
      <c r="AG3" s="77" t="str">
        <f>IF(FormFields[[#This Row],[Rel1]]="",IF(EXACT($AG2,FormFields[[#Headers],[R1]]),"nest_relation1",""),VLOOKUP(FormFields[[#This Row],[Rel1]],RelationTable[[Display]:[RELID]],2,0))</f>
        <v/>
      </c>
      <c r="AH3" s="77" t="str">
        <f>IF(FormFields[[#This Row],[Rel2]]="",IF(EXACT($AH2,FormFields[[#Headers],[R2]]),"nest_relation2",""),VLOOKUP(FormFields[[#This Row],[Rel2]],RelationTable[[Display]:[RELID]],2,0))</f>
        <v/>
      </c>
      <c r="AI3" s="77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8">
        <f>[ID]</f>
        <v>50001</v>
      </c>
      <c r="AO3" s="79"/>
      <c r="AP3" s="79"/>
      <c r="AQ3" s="79"/>
      <c r="AR3" s="79"/>
      <c r="AS3" s="79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50001</v>
      </c>
      <c r="AY3" s="70">
        <f>[ID]</f>
        <v>50001</v>
      </c>
      <c r="AZ3" s="80"/>
      <c r="BB3" s="4" t="s">
        <v>719</v>
      </c>
      <c r="BC3" s="7" t="str">
        <f>'Table Seed Map'!$A$14&amp;"-"&amp;(COUNTA($BB$2:FieldAttrs[[#This Row],[ATTR Field]]))</f>
        <v>Field Attrs-1</v>
      </c>
      <c r="BD3" s="61">
        <f>IF($BD2="id",IF(ISNUMBER(VLOOKUP('Table Seed Map'!$A$14,SeedMap[],9,0)),VLOOKUP('Table Seed Map'!$A$14,SeedMap[],9,0)+1,1),IFERROR($BD2+1,"id"))</f>
        <v>50001</v>
      </c>
      <c r="BE3" s="91">
        <f>VLOOKUP([ATTR Field],FormFields[[Field Name]:[ID]],2,0)</f>
        <v>50005</v>
      </c>
      <c r="BF3" s="91" t="s">
        <v>721</v>
      </c>
      <c r="BG3" s="91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560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665</v>
      </c>
      <c r="H4" s="31" t="s">
        <v>666</v>
      </c>
      <c r="I4" s="8" t="s">
        <v>667</v>
      </c>
      <c r="J4" s="8" t="s">
        <v>668</v>
      </c>
      <c r="K4" s="34">
        <f>[ID]</f>
        <v>50002</v>
      </c>
      <c r="M4" s="68" t="str">
        <f>'Table Seed Map'!$A$11&amp;"-"&amp;(COUNTA($Q$1:FormFields[[#This Row],[ID]])-2)</f>
        <v>Form Fields-2</v>
      </c>
      <c r="N4" s="69" t="s">
        <v>705</v>
      </c>
      <c r="O4" s="70">
        <f>IF(FormFields[[#This Row],[Form Name]]="","id",COUNTA($N$3:FormFields[[#This Row],[Form Name]])+IF(VLOOKUP('Table Seed Map'!$A$11,SeedMap[],9,0),VLOOKUP('Table Seed Map'!$A$11,SeedMap[],9,0),0))</f>
        <v>50002</v>
      </c>
      <c r="P4" s="68" t="str">
        <f>FormFields[[#This Row],[Form Name]]&amp;"/"&amp;FormFields[[#This Row],[Name]]</f>
        <v>ProductImage/AddProductImageForm/name</v>
      </c>
      <c r="Q4" s="70">
        <f>FormFields[[#This Row],[No]]</f>
        <v>50002</v>
      </c>
      <c r="R4" s="71">
        <f>VLOOKUP(FormFields[[#This Row],[Form Name]],ResourceForms[[FormName]:[No]],2,0)</f>
        <v>50001</v>
      </c>
      <c r="S4" s="72" t="s">
        <v>26</v>
      </c>
      <c r="T4" s="72" t="s">
        <v>687</v>
      </c>
      <c r="U4" s="72" t="s">
        <v>689</v>
      </c>
      <c r="V4" s="73"/>
      <c r="W4" s="73"/>
      <c r="X4" s="73"/>
      <c r="Y4" s="73"/>
      <c r="Z4" s="74" t="str">
        <f>'Table Seed Map'!$A$12&amp;"-"&amp;(COUNTIF($AB$2:FormFields[[#This Row],[Exists]],1)-1)</f>
        <v>Field Data-2</v>
      </c>
      <c r="AA4" s="75">
        <f>COUNTIF($AB$2:FormFields[[#This Row],[Exists]],1)-1+VLOOKUP('Table Seed Map'!$A$11,SeedMap[],9,0)</f>
        <v>50002</v>
      </c>
      <c r="AB4" s="75">
        <f>IF(AND(FormFields[[#This Row],[Attribute]]="",FormFields[[#This Row],[Relation]]=""),0,1)</f>
        <v>1</v>
      </c>
      <c r="AC4" s="75">
        <f>FormFields[[#This Row],[NO2]]</f>
        <v>50002</v>
      </c>
      <c r="AD4" s="76">
        <f>[ID]</f>
        <v>50002</v>
      </c>
      <c r="AE4" s="75" t="str">
        <f>[Name]</f>
        <v>name</v>
      </c>
      <c r="AF4" s="77" t="str">
        <f>IF(FormFields[[#This Row],[Rel]]="",IF(EXACT($AF3,FormFields[[#Headers],[Relation]]),"relation",""),VLOOKUP(FormFields[[#This Row],[Rel]],RelationTable[[Display]:[RELID]],2,0))</f>
        <v/>
      </c>
      <c r="AG4" s="77" t="str">
        <f>IF(FormFields[[#This Row],[Rel1]]="",IF(EXACT($AG3,FormFields[[#Headers],[R1]]),"nest_relation1",""),VLOOKUP(FormFields[[#This Row],[Rel1]],RelationTable[[Display]:[RELID]],2,0))</f>
        <v/>
      </c>
      <c r="AH4" s="77" t="str">
        <f>IF(FormFields[[#This Row],[Rel2]]="",IF(EXACT($AH3,FormFields[[#Headers],[R2]]),"nest_relation2",""),VLOOKUP(FormFields[[#This Row],[Rel2]],RelationTable[[Display]:[RELID]],2,0))</f>
        <v/>
      </c>
      <c r="AI4" s="77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8">
        <f>[ID]</f>
        <v>50002</v>
      </c>
      <c r="AO4" s="79"/>
      <c r="AP4" s="79"/>
      <c r="AQ4" s="79"/>
      <c r="AR4" s="79"/>
      <c r="AS4" s="79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50001</v>
      </c>
      <c r="AY4" s="70">
        <f>[ID]</f>
        <v>50002</v>
      </c>
      <c r="AZ4" s="80"/>
      <c r="BB4" s="4" t="s">
        <v>720</v>
      </c>
      <c r="BC4" s="7" t="str">
        <f>'Table Seed Map'!$A$14&amp;"-"&amp;(COUNTA($BB$2:FieldAttrs[[#This Row],[ATTR Field]]))</f>
        <v>Field Attrs-2</v>
      </c>
      <c r="BD4" s="61">
        <f>IF($BD3="id",IF(ISNUMBER(VLOOKUP('Table Seed Map'!$A$14,SeedMap[],9,0)),VLOOKUP('Table Seed Map'!$A$14,SeedMap[],9,0)+1,1),IFERROR($BD3+1,"id"))</f>
        <v>50002</v>
      </c>
      <c r="BE4" s="91">
        <f>VLOOKUP([ATTR Field],FormFields[[Field Name]:[ID]],2,0)</f>
        <v>50018</v>
      </c>
      <c r="BF4" s="91" t="s">
        <v>721</v>
      </c>
      <c r="BG4" s="91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563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669</v>
      </c>
      <c r="H5" s="31" t="s">
        <v>670</v>
      </c>
      <c r="I5" s="8" t="s">
        <v>671</v>
      </c>
      <c r="J5" s="8" t="s">
        <v>671</v>
      </c>
      <c r="K5" s="34">
        <f>[ID]</f>
        <v>50003</v>
      </c>
      <c r="M5" s="68" t="str">
        <f>'Table Seed Map'!$A$11&amp;"-"&amp;(COUNTA($Q$1:FormFields[[#This Row],[ID]])-2)</f>
        <v>Form Fields-3</v>
      </c>
      <c r="N5" s="69" t="s">
        <v>705</v>
      </c>
      <c r="O5" s="70">
        <f>IF(FormFields[[#This Row],[Form Name]]="","id",COUNTA($N$3:FormFields[[#This Row],[Form Name]])+IF(VLOOKUP('Table Seed Map'!$A$11,SeedMap[],9,0),VLOOKUP('Table Seed Map'!$A$11,SeedMap[],9,0),0))</f>
        <v>50003</v>
      </c>
      <c r="P5" s="68" t="str">
        <f>FormFields[[#This Row],[Form Name]]&amp;"/"&amp;FormFields[[#This Row],[Name]]</f>
        <v>ProductImage/AddProductImageForm/image</v>
      </c>
      <c r="Q5" s="70">
        <f>FormFields[[#This Row],[No]]</f>
        <v>50003</v>
      </c>
      <c r="R5" s="71">
        <f>VLOOKUP(FormFields[[#This Row],[Form Name]],ResourceForms[[FormName]:[No]],2,0)</f>
        <v>50001</v>
      </c>
      <c r="S5" s="72" t="s">
        <v>468</v>
      </c>
      <c r="T5" s="72" t="s">
        <v>690</v>
      </c>
      <c r="U5" s="72" t="s">
        <v>691</v>
      </c>
      <c r="V5" s="73"/>
      <c r="W5" s="73"/>
      <c r="X5" s="73"/>
      <c r="Y5" s="73"/>
      <c r="Z5" s="74" t="str">
        <f>'Table Seed Map'!$A$12&amp;"-"&amp;(COUNTIF($AB$2:FormFields[[#This Row],[Exists]],1)-1)</f>
        <v>Field Data-3</v>
      </c>
      <c r="AA5" s="75">
        <f>COUNTIF($AB$2:FormFields[[#This Row],[Exists]],1)-1+VLOOKUP('Table Seed Map'!$A$11,SeedMap[],9,0)</f>
        <v>50003</v>
      </c>
      <c r="AB5" s="75">
        <f>IF(AND(FormFields[[#This Row],[Attribute]]="",FormFields[[#This Row],[Relation]]=""),0,1)</f>
        <v>1</v>
      </c>
      <c r="AC5" s="75">
        <f>FormFields[[#This Row],[NO2]]</f>
        <v>50003</v>
      </c>
      <c r="AD5" s="76">
        <f>[ID]</f>
        <v>50003</v>
      </c>
      <c r="AE5" s="75" t="str">
        <f>[Name]</f>
        <v>image</v>
      </c>
      <c r="AF5" s="77" t="str">
        <f>IF(FormFields[[#This Row],[Rel]]="",IF(EXACT($AF4,FormFields[[#Headers],[Relation]]),"relation",""),VLOOKUP(FormFields[[#This Row],[Rel]],RelationTable[[Display]:[RELID]],2,0))</f>
        <v/>
      </c>
      <c r="AG5" s="77" t="str">
        <f>IF(FormFields[[#This Row],[Rel1]]="",IF(EXACT($AG4,FormFields[[#Headers],[R1]]),"nest_relation1",""),VLOOKUP(FormFields[[#This Row],[Rel1]],RelationTable[[Display]:[RELID]],2,0))</f>
        <v/>
      </c>
      <c r="AH5" s="77" t="str">
        <f>IF(FormFields[[#This Row],[Rel2]]="",IF(EXACT($AH4,FormFields[[#Headers],[R2]]),"nest_relation2",""),VLOOKUP(FormFields[[#This Row],[Rel2]],RelationTable[[Display]:[RELID]],2,0))</f>
        <v/>
      </c>
      <c r="AI5" s="77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Map'!$A$13&amp;"-"&amp;COUNTIF($AJ$2:FormFields[[#This Row],[Exists FO]],1)</f>
        <v>Field Options-0</v>
      </c>
      <c r="AL5" s="70">
        <f>IF(FormFields[[#This Row],[Exists FO]]=0,$AL4,IF($AL4=0,IF(ISNUMBER(VLOOKUP('Table Seed Map'!$A$13,SeedMap[],9,0)),VLOOKUP('Table Seed Map'!$A$13,SeedMap[],9,0)+1,1),IFERROR($AL4+1,0)))</f>
        <v>0</v>
      </c>
      <c r="AM5" s="70">
        <f>FormFields[[#This Row],[NO4]]</f>
        <v>0</v>
      </c>
      <c r="AN5" s="78">
        <f>[ID]</f>
        <v>50003</v>
      </c>
      <c r="AO5" s="79"/>
      <c r="AP5" s="79"/>
      <c r="AQ5" s="79"/>
      <c r="AR5" s="79"/>
      <c r="AS5" s="79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50001</v>
      </c>
      <c r="AY5" s="70">
        <f>[ID]</f>
        <v>50003</v>
      </c>
      <c r="AZ5" s="80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566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672</v>
      </c>
      <c r="H6" s="31" t="s">
        <v>673</v>
      </c>
      <c r="I6" s="8" t="s">
        <v>674</v>
      </c>
      <c r="J6" s="8" t="s">
        <v>674</v>
      </c>
      <c r="K6" s="34">
        <f>[ID]</f>
        <v>50004</v>
      </c>
      <c r="M6" s="68" t="str">
        <f>'Table Seed Map'!$A$11&amp;"-"&amp;(COUNTA($Q$1:FormFields[[#This Row],[ID]])-2)</f>
        <v>Form Fields-4</v>
      </c>
      <c r="N6" s="69" t="s">
        <v>705</v>
      </c>
      <c r="O6" s="70">
        <f>IF(FormFields[[#This Row],[Form Name]]="","id",COUNTA($N$3:FormFields[[#This Row],[Form Name]])+IF(VLOOKUP('Table Seed Map'!$A$11,SeedMap[],9,0),VLOOKUP('Table Seed Map'!$A$11,SeedMap[],9,0),0))</f>
        <v>50004</v>
      </c>
      <c r="P6" s="68" t="str">
        <f>FormFields[[#This Row],[Form Name]]&amp;"/"&amp;FormFields[[#This Row],[Name]]</f>
        <v>ProductImage/AddProductImageForm/default</v>
      </c>
      <c r="Q6" s="70">
        <f>FormFields[[#This Row],[No]]</f>
        <v>50004</v>
      </c>
      <c r="R6" s="71">
        <f>VLOOKUP(FormFields[[#This Row],[Form Name]],ResourceForms[[FormName]:[No]],2,0)</f>
        <v>50001</v>
      </c>
      <c r="S6" s="72" t="s">
        <v>506</v>
      </c>
      <c r="T6" s="72" t="s">
        <v>692</v>
      </c>
      <c r="U6" s="72" t="s">
        <v>506</v>
      </c>
      <c r="V6" s="73"/>
      <c r="W6" s="73"/>
      <c r="X6" s="73"/>
      <c r="Y6" s="73"/>
      <c r="Z6" s="74" t="str">
        <f>'Table Seed Map'!$A$12&amp;"-"&amp;(COUNTIF($AB$2:FormFields[[#This Row],[Exists]],1)-1)</f>
        <v>Field Data-4</v>
      </c>
      <c r="AA6" s="75">
        <f>COUNTIF($AB$2:FormFields[[#This Row],[Exists]],1)-1+VLOOKUP('Table Seed Map'!$A$11,SeedMap[],9,0)</f>
        <v>50004</v>
      </c>
      <c r="AB6" s="75">
        <f>IF(AND(FormFields[[#This Row],[Attribute]]="",FormFields[[#This Row],[Relation]]=""),0,1)</f>
        <v>1</v>
      </c>
      <c r="AC6" s="75">
        <f>FormFields[[#This Row],[NO2]]</f>
        <v>50004</v>
      </c>
      <c r="AD6" s="76">
        <f>[ID]</f>
        <v>50004</v>
      </c>
      <c r="AE6" s="75" t="str">
        <f>[Name]</f>
        <v>default</v>
      </c>
      <c r="AF6" s="77" t="str">
        <f>IF(FormFields[[#This Row],[Rel]]="",IF(EXACT($AF5,FormFields[[#Headers],[Relation]]),"relation",""),VLOOKUP(FormFields[[#This Row],[Rel]],RelationTable[[Display]:[RELID]],2,0))</f>
        <v/>
      </c>
      <c r="AG6" s="77" t="str">
        <f>IF(FormFields[[#This Row],[Rel1]]="",IF(EXACT($AG5,FormFields[[#Headers],[R1]]),"nest_relation1",""),VLOOKUP(FormFields[[#This Row],[Rel1]],RelationTable[[Display]:[RELID]],2,0))</f>
        <v/>
      </c>
      <c r="AH6" s="77" t="str">
        <f>IF(FormFields[[#This Row],[Rel2]]="",IF(EXACT($AH5,FormFields[[#Headers],[R2]]),"nest_relation2",""),VLOOKUP(FormFields[[#This Row],[Rel2]],RelationTable[[Display]:[RELID]],2,0))</f>
        <v/>
      </c>
      <c r="AI6" s="77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Map'!$A$13&amp;"-"&amp;COUNTIF($AJ$2:FormFields[[#This Row],[Exists FO]],1)</f>
        <v>Field Options-1</v>
      </c>
      <c r="AL6" s="70">
        <f>IF(FormFields[[#This Row],[Exists FO]]=0,$AL5,IF($AL5=0,IF(ISNUMBER(VLOOKUP('Table Seed Map'!$A$13,SeedMap[],9,0)),VLOOKUP('Table Seed Map'!$A$13,SeedMap[],9,0)+1,1),IFERROR($AL5+1,0)))</f>
        <v>50001</v>
      </c>
      <c r="AM6" s="70">
        <f>FormFields[[#This Row],[NO4]]</f>
        <v>50001</v>
      </c>
      <c r="AN6" s="78">
        <f>[ID]</f>
        <v>50004</v>
      </c>
      <c r="AO6" s="79" t="s">
        <v>718</v>
      </c>
      <c r="AP6" s="79"/>
      <c r="AQ6" s="79"/>
      <c r="AR6" s="79"/>
      <c r="AS6" s="79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50001</v>
      </c>
      <c r="AY6" s="70">
        <f>[ID]</f>
        <v>50004</v>
      </c>
      <c r="AZ6" s="80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566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675</v>
      </c>
      <c r="H7" s="31" t="s">
        <v>676</v>
      </c>
      <c r="I7" s="8" t="s">
        <v>677</v>
      </c>
      <c r="J7" s="8" t="s">
        <v>274</v>
      </c>
      <c r="K7" s="34">
        <f>[ID]</f>
        <v>50005</v>
      </c>
      <c r="M7" s="68" t="str">
        <f>'Table Seed Map'!$A$11&amp;"-"&amp;(COUNTA($Q$1:FormFields[[#This Row],[ID]])-2)</f>
        <v>Form Fields-5</v>
      </c>
      <c r="N7" s="69" t="s">
        <v>706</v>
      </c>
      <c r="O7" s="70">
        <f>IF(FormFields[[#This Row],[Form Name]]="","id",COUNTA($N$3:FormFields[[#This Row],[Form Name]])+IF(VLOOKUP('Table Seed Map'!$A$11,SeedMap[],9,0),VLOOKUP('Table Seed Map'!$A$11,SeedMap[],9,0),0))</f>
        <v>50005</v>
      </c>
      <c r="P7" s="68" t="str">
        <f>FormFields[[#This Row],[Form Name]]&amp;"/"&amp;FormFields[[#This Row],[Name]]</f>
        <v>ProductImage/ChangeImageStatus/status</v>
      </c>
      <c r="Q7" s="70">
        <f>FormFields[[#This Row],[No]]</f>
        <v>50005</v>
      </c>
      <c r="R7" s="71">
        <f>VLOOKUP(FormFields[[#This Row],[Form Name]],ResourceForms[[FormName]:[No]],2,0)</f>
        <v>50002</v>
      </c>
      <c r="S7" s="72" t="s">
        <v>453</v>
      </c>
      <c r="T7" s="72" t="s">
        <v>692</v>
      </c>
      <c r="U7" s="72" t="s">
        <v>693</v>
      </c>
      <c r="V7" s="73"/>
      <c r="W7" s="73"/>
      <c r="X7" s="73"/>
      <c r="Y7" s="73"/>
      <c r="Z7" s="74" t="str">
        <f>'Table Seed Map'!$A$12&amp;"-"&amp;(COUNTIF($AB$2:FormFields[[#This Row],[Exists]],1)-1)</f>
        <v>Field Data-5</v>
      </c>
      <c r="AA7" s="75">
        <f>COUNTIF($AB$2:FormFields[[#This Row],[Exists]],1)-1+VLOOKUP('Table Seed Map'!$A$11,SeedMap[],9,0)</f>
        <v>50005</v>
      </c>
      <c r="AB7" s="75">
        <f>IF(AND(FormFields[[#This Row],[Attribute]]="",FormFields[[#This Row],[Relation]]=""),0,1)</f>
        <v>1</v>
      </c>
      <c r="AC7" s="75">
        <f>FormFields[[#This Row],[NO2]]</f>
        <v>50005</v>
      </c>
      <c r="AD7" s="76">
        <f>[ID]</f>
        <v>50005</v>
      </c>
      <c r="AE7" s="75" t="str">
        <f>[Name]</f>
        <v>status</v>
      </c>
      <c r="AF7" s="77" t="str">
        <f>IF(FormFields[[#This Row],[Rel]]="",IF(EXACT($AF6,FormFields[[#Headers],[Relation]]),"relation",""),VLOOKUP(FormFields[[#This Row],[Rel]],RelationTable[[Display]:[RELID]],2,0))</f>
        <v/>
      </c>
      <c r="AG7" s="77" t="str">
        <f>IF(FormFields[[#This Row],[Rel1]]="",IF(EXACT($AG6,FormFields[[#Headers],[R1]]),"nest_relation1",""),VLOOKUP(FormFields[[#This Row],[Rel1]],RelationTable[[Display]:[RELID]],2,0))</f>
        <v/>
      </c>
      <c r="AH7" s="77" t="str">
        <f>IF(FormFields[[#This Row],[Rel2]]="",IF(EXACT($AH6,FormFields[[#Headers],[R2]]),"nest_relation2",""),VLOOKUP(FormFields[[#This Row],[Rel2]],RelationTable[[Display]:[RELID]],2,0))</f>
        <v/>
      </c>
      <c r="AI7" s="77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1</v>
      </c>
      <c r="AK7" s="70" t="str">
        <f>'Table Seed Map'!$A$13&amp;"-"&amp;COUNTIF($AJ$2:FormFields[[#This Row],[Exists FO]],1)</f>
        <v>Field Options-2</v>
      </c>
      <c r="AL7" s="70">
        <f>IF(FormFields[[#This Row],[Exists FO]]=0,$AL6,IF($AL6=0,IF(ISNUMBER(VLOOKUP('Table Seed Map'!$A$13,SeedMap[],9,0)),VLOOKUP('Table Seed Map'!$A$13,SeedMap[],9,0)+1,1),IFERROR($AL6+1,0)))</f>
        <v>50002</v>
      </c>
      <c r="AM7" s="70">
        <f>FormFields[[#This Row],[NO4]]</f>
        <v>50002</v>
      </c>
      <c r="AN7" s="78">
        <f>[ID]</f>
        <v>50005</v>
      </c>
      <c r="AO7" s="79" t="s">
        <v>718</v>
      </c>
      <c r="AP7" s="79"/>
      <c r="AQ7" s="79"/>
      <c r="AR7" s="79"/>
      <c r="AS7" s="79"/>
      <c r="AT7" s="70">
        <f>IF(OR(FormFields[[#This Row],[Colspan]]="",FormFields[[#This Row],[Colspan]]="colspan"),0,1)</f>
        <v>0</v>
      </c>
      <c r="AU7" s="70" t="str">
        <f>'Table Seed Map'!$A$18&amp;"-"&amp;SUM($AT$2:FormFields[[#This Row],[Exists FL]])</f>
        <v>Form Layout-0</v>
      </c>
      <c r="AV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0" t="str">
        <f>FormFields[[#This Row],[NO8]]</f>
        <v/>
      </c>
      <c r="AX7" s="70">
        <f>[Form]</f>
        <v>50002</v>
      </c>
      <c r="AY7" s="70">
        <f>[ID]</f>
        <v>50005</v>
      </c>
      <c r="AZ7" s="80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563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678</v>
      </c>
      <c r="H8" s="31" t="s">
        <v>679</v>
      </c>
      <c r="I8" s="8" t="s">
        <v>671</v>
      </c>
      <c r="J8" s="8" t="s">
        <v>671</v>
      </c>
      <c r="K8" s="34">
        <f>[ID]</f>
        <v>50006</v>
      </c>
      <c r="M8" s="68" t="str">
        <f>'Table Seed Map'!$A$11&amp;"-"&amp;(COUNTA($Q$1:FormFields[[#This Row],[ID]])-2)</f>
        <v>Form Fields-6</v>
      </c>
      <c r="N8" s="69" t="s">
        <v>707</v>
      </c>
      <c r="O8" s="70">
        <f>IF(FormFields[[#This Row],[Form Name]]="","id",COUNTA($N$3:FormFields[[#This Row],[Form Name]])+IF(VLOOKUP('Table Seed Map'!$A$11,SeedMap[],9,0),VLOOKUP('Table Seed Map'!$A$11,SeedMap[],9,0),0))</f>
        <v>50006</v>
      </c>
      <c r="P8" s="68" t="str">
        <f>FormFields[[#This Row],[Form Name]]&amp;"/"&amp;FormFields[[#This Row],[Name]]</f>
        <v>Visitor/Add New Visitor/name</v>
      </c>
      <c r="Q8" s="70">
        <f>FormFields[[#This Row],[No]]</f>
        <v>50006</v>
      </c>
      <c r="R8" s="71">
        <f>VLOOKUP(FormFields[[#This Row],[Form Name]],ResourceForms[[FormName]:[No]],2,0)</f>
        <v>50003</v>
      </c>
      <c r="S8" s="72" t="s">
        <v>26</v>
      </c>
      <c r="T8" s="72" t="s">
        <v>687</v>
      </c>
      <c r="U8" s="72" t="s">
        <v>694</v>
      </c>
      <c r="V8" s="73"/>
      <c r="W8" s="73"/>
      <c r="X8" s="73"/>
      <c r="Y8" s="73"/>
      <c r="Z8" s="74" t="str">
        <f>'Table Seed Map'!$A$12&amp;"-"&amp;(COUNTIF($AB$2:FormFields[[#This Row],[Exists]],1)-1)</f>
        <v>Field Data-6</v>
      </c>
      <c r="AA8" s="75">
        <f>COUNTIF($AB$2:FormFields[[#This Row],[Exists]],1)-1+VLOOKUP('Table Seed Map'!$A$11,SeedMap[],9,0)</f>
        <v>50006</v>
      </c>
      <c r="AB8" s="75">
        <f>IF(AND(FormFields[[#This Row],[Attribute]]="",FormFields[[#This Row],[Relation]]=""),0,1)</f>
        <v>1</v>
      </c>
      <c r="AC8" s="75">
        <f>FormFields[[#This Row],[NO2]]</f>
        <v>50006</v>
      </c>
      <c r="AD8" s="76">
        <f>[ID]</f>
        <v>50006</v>
      </c>
      <c r="AE8" s="75" t="str">
        <f>[Name]</f>
        <v>name</v>
      </c>
      <c r="AF8" s="77" t="str">
        <f>IF(FormFields[[#This Row],[Rel]]="",IF(EXACT($AF7,FormFields[[#Headers],[Relation]]),"relation",""),VLOOKUP(FormFields[[#This Row],[Rel]],RelationTable[[Display]:[RELID]],2,0))</f>
        <v/>
      </c>
      <c r="AG8" s="77" t="str">
        <f>IF(FormFields[[#This Row],[Rel1]]="",IF(EXACT($AG7,FormFields[[#Headers],[R1]]),"nest_relation1",""),VLOOKUP(FormFields[[#This Row],[Rel1]],RelationTable[[Display]:[RELID]],2,0))</f>
        <v/>
      </c>
      <c r="AH8" s="77" t="str">
        <f>IF(FormFields[[#This Row],[Rel2]]="",IF(EXACT($AH7,FormFields[[#Headers],[R2]]),"nest_relation2",""),VLOOKUP(FormFields[[#This Row],[Rel2]],RelationTable[[Display]:[RELID]],2,0))</f>
        <v/>
      </c>
      <c r="AI8" s="77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Map'!$A$13&amp;"-"&amp;COUNTIF($AJ$2:FormFields[[#This Row],[Exists FO]],1)</f>
        <v>Field Options-2</v>
      </c>
      <c r="AL8" s="70">
        <f>IF(FormFields[[#This Row],[Exists FO]]=0,$AL7,IF($AL7=0,IF(ISNUMBER(VLOOKUP('Table Seed Map'!$A$13,SeedMap[],9,0)),VLOOKUP('Table Seed Map'!$A$13,SeedMap[],9,0)+1,1),IFERROR($AL7+1,0)))</f>
        <v>50002</v>
      </c>
      <c r="AM8" s="70">
        <f>FormFields[[#This Row],[NO4]]</f>
        <v>50002</v>
      </c>
      <c r="AN8" s="78">
        <f>[ID]</f>
        <v>50006</v>
      </c>
      <c r="AO8" s="79"/>
      <c r="AP8" s="79"/>
      <c r="AQ8" s="79"/>
      <c r="AR8" s="79"/>
      <c r="AS8" s="79"/>
      <c r="AT8" s="70">
        <f>IF(OR(FormFields[[#This Row],[Colspan]]="",FormFields[[#This Row],[Colspan]]="colspan"),0,1)</f>
        <v>1</v>
      </c>
      <c r="AU8" s="70" t="str">
        <f>'Table Seed Map'!$A$18&amp;"-"&amp;SUM($AT$2:FormFields[[#This Row],[Exists FL]])</f>
        <v>Form Layout-1</v>
      </c>
      <c r="AV8" s="70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0">
        <f>FormFields[[#This Row],[NO8]]</f>
        <v>50001</v>
      </c>
      <c r="AX8" s="70">
        <f>[Form]</f>
        <v>50003</v>
      </c>
      <c r="AY8" s="70">
        <f>[ID]</f>
        <v>50006</v>
      </c>
      <c r="AZ8" s="80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573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680</v>
      </c>
      <c r="H9" s="31" t="s">
        <v>681</v>
      </c>
      <c r="I9" s="8" t="s">
        <v>682</v>
      </c>
      <c r="J9" s="8" t="s">
        <v>683</v>
      </c>
      <c r="K9" s="34">
        <f>[ID]</f>
        <v>50007</v>
      </c>
      <c r="M9" s="68" t="str">
        <f>'Table Seed Map'!$A$11&amp;"-"&amp;(COUNTA($Q$1:FormFields[[#This Row],[ID]])-2)</f>
        <v>Form Fields-7</v>
      </c>
      <c r="N9" s="69" t="s">
        <v>707</v>
      </c>
      <c r="O9" s="70">
        <f>IF(FormFields[[#This Row],[Form Name]]="","id",COUNTA($N$3:FormFields[[#This Row],[Form Name]])+IF(VLOOKUP('Table Seed Map'!$A$11,SeedMap[],9,0),VLOOKUP('Table Seed Map'!$A$11,SeedMap[],9,0),0))</f>
        <v>50007</v>
      </c>
      <c r="P9" s="68" t="str">
        <f>FormFields[[#This Row],[Form Name]]&amp;"/"&amp;FormFields[[#This Row],[Name]]</f>
        <v>Visitor/Add New Visitor/email</v>
      </c>
      <c r="Q9" s="70">
        <f>FormFields[[#This Row],[No]]</f>
        <v>50007</v>
      </c>
      <c r="R9" s="71">
        <f>VLOOKUP(FormFields[[#This Row],[Form Name]],ResourceForms[[FormName]:[No]],2,0)</f>
        <v>50003</v>
      </c>
      <c r="S9" s="72" t="s">
        <v>101</v>
      </c>
      <c r="T9" s="72" t="s">
        <v>687</v>
      </c>
      <c r="U9" s="72" t="s">
        <v>695</v>
      </c>
      <c r="V9" s="73"/>
      <c r="W9" s="73"/>
      <c r="X9" s="73"/>
      <c r="Y9" s="73"/>
      <c r="Z9" s="74" t="str">
        <f>'Table Seed Map'!$A$12&amp;"-"&amp;(COUNTIF($AB$2:FormFields[[#This Row],[Exists]],1)-1)</f>
        <v>Field Data-7</v>
      </c>
      <c r="AA9" s="75">
        <f>COUNTIF($AB$2:FormFields[[#This Row],[Exists]],1)-1+VLOOKUP('Table Seed Map'!$A$11,SeedMap[],9,0)</f>
        <v>50007</v>
      </c>
      <c r="AB9" s="75">
        <f>IF(AND(FormFields[[#This Row],[Attribute]]="",FormFields[[#This Row],[Relation]]=""),0,1)</f>
        <v>1</v>
      </c>
      <c r="AC9" s="75">
        <f>FormFields[[#This Row],[NO2]]</f>
        <v>50007</v>
      </c>
      <c r="AD9" s="76">
        <f>[ID]</f>
        <v>50007</v>
      </c>
      <c r="AE9" s="75" t="str">
        <f>[Name]</f>
        <v>email</v>
      </c>
      <c r="AF9" s="77" t="str">
        <f>IF(FormFields[[#This Row],[Rel]]="",IF(EXACT($AF8,FormFields[[#Headers],[Relation]]),"relation",""),VLOOKUP(FormFields[[#This Row],[Rel]],RelationTable[[Display]:[RELID]],2,0))</f>
        <v/>
      </c>
      <c r="AG9" s="77" t="str">
        <f>IF(FormFields[[#This Row],[Rel1]]="",IF(EXACT($AG8,FormFields[[#Headers],[R1]]),"nest_relation1",""),VLOOKUP(FormFields[[#This Row],[Rel1]],RelationTable[[Display]:[RELID]],2,0))</f>
        <v/>
      </c>
      <c r="AH9" s="77" t="str">
        <f>IF(FormFields[[#This Row],[Rel2]]="",IF(EXACT($AH8,FormFields[[#Headers],[R2]]),"nest_relation2",""),VLOOKUP(FormFields[[#This Row],[Rel2]],RelationTable[[Display]:[RELID]],2,0))</f>
        <v/>
      </c>
      <c r="AI9" s="77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0</v>
      </c>
      <c r="AK9" s="70" t="str">
        <f>'Table Seed Map'!$A$13&amp;"-"&amp;COUNTIF($AJ$2:FormFields[[#This Row],[Exists FO]],1)</f>
        <v>Field Options-2</v>
      </c>
      <c r="AL9" s="70">
        <f>IF(FormFields[[#This Row],[Exists FO]]=0,$AL8,IF($AL8=0,IF(ISNUMBER(VLOOKUP('Table Seed Map'!$A$13,SeedMap[],9,0)),VLOOKUP('Table Seed Map'!$A$13,SeedMap[],9,0)+1,1),IFERROR($AL8+1,0)))</f>
        <v>50002</v>
      </c>
      <c r="AM9" s="70">
        <f>FormFields[[#This Row],[NO4]]</f>
        <v>50002</v>
      </c>
      <c r="AN9" s="78">
        <f>[ID]</f>
        <v>50007</v>
      </c>
      <c r="AO9" s="79"/>
      <c r="AP9" s="79"/>
      <c r="AQ9" s="79"/>
      <c r="AR9" s="79"/>
      <c r="AS9" s="79"/>
      <c r="AT9" s="70">
        <f>IF(OR(FormFields[[#This Row],[Colspan]]="",FormFields[[#This Row],[Colspan]]="colspan"),0,1)</f>
        <v>1</v>
      </c>
      <c r="AU9" s="70" t="str">
        <f>'Table Seed Map'!$A$18&amp;"-"&amp;SUM($AT$2:FormFields[[#This Row],[Exists FL]])</f>
        <v>Form Layout-2</v>
      </c>
      <c r="AV9" s="70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0">
        <f>FormFields[[#This Row],[NO8]]</f>
        <v>50002</v>
      </c>
      <c r="AX9" s="70">
        <f>[Form]</f>
        <v>50003</v>
      </c>
      <c r="AY9" s="70">
        <f>[ID]</f>
        <v>50007</v>
      </c>
      <c r="AZ9" s="80">
        <v>6</v>
      </c>
    </row>
    <row r="10" spans="1:147">
      <c r="A10" s="61" t="str">
        <f>'Table Seed Map'!$A$10&amp;"-"&amp;(COUNTA($F$1:ResourceForms[[#This Row],[Resource]])-2)</f>
        <v>Resource Forms-8</v>
      </c>
      <c r="B10" s="61" t="str">
        <f>ResourceForms[[#This Row],[Resource Name]]&amp;"/"&amp;ResourceForms[[#This Row],[Name]]</f>
        <v>GroupDetail/ChangeItemGroupWebListForm</v>
      </c>
      <c r="C10" s="61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647</v>
      </c>
      <c r="E10" s="61">
        <f>ResourceForms[[#This Row],[No]]</f>
        <v>50008</v>
      </c>
      <c r="F10" s="61">
        <f>VLOOKUP(ResourceForms[[#This Row],[Resource Name]],ResourceTable[[RName]:[RID]],2,0)</f>
        <v>50002</v>
      </c>
      <c r="G10" s="7" t="s">
        <v>684</v>
      </c>
      <c r="H10" s="61" t="s">
        <v>685</v>
      </c>
      <c r="I10" s="7" t="s">
        <v>686</v>
      </c>
      <c r="J10" s="7" t="s">
        <v>274</v>
      </c>
      <c r="K10" s="60">
        <f>[ID]</f>
        <v>50008</v>
      </c>
      <c r="M10" s="68" t="str">
        <f>'Table Seed Map'!$A$11&amp;"-"&amp;(COUNTA($Q$1:FormFields[[#This Row],[ID]])-2)</f>
        <v>Form Fields-8</v>
      </c>
      <c r="N10" s="69" t="s">
        <v>707</v>
      </c>
      <c r="O10" s="70">
        <f>IF(FormFields[[#This Row],[Form Name]]="","id",COUNTA($N$3:FormFields[[#This Row],[Form Name]])+IF(VLOOKUP('Table Seed Map'!$A$11,SeedMap[],9,0),VLOOKUP('Table Seed Map'!$A$11,SeedMap[],9,0),0))</f>
        <v>50008</v>
      </c>
      <c r="P10" s="68" t="str">
        <f>FormFields[[#This Row],[Form Name]]&amp;"/"&amp;FormFields[[#This Row],[Name]]</f>
        <v>Visitor/Add New Visitor/number</v>
      </c>
      <c r="Q10" s="70">
        <f>FormFields[[#This Row],[No]]</f>
        <v>50008</v>
      </c>
      <c r="R10" s="71">
        <f>VLOOKUP(FormFields[[#This Row],[Form Name]],ResourceForms[[FormName]:[No]],2,0)</f>
        <v>50003</v>
      </c>
      <c r="S10" s="72" t="s">
        <v>471</v>
      </c>
      <c r="T10" s="72" t="s">
        <v>687</v>
      </c>
      <c r="U10" s="72" t="s">
        <v>696</v>
      </c>
      <c r="V10" s="73"/>
      <c r="W10" s="73"/>
      <c r="X10" s="73"/>
      <c r="Y10" s="73"/>
      <c r="Z10" s="74" t="str">
        <f>'Table Seed Map'!$A$12&amp;"-"&amp;(COUNTIF($AB$2:FormFields[[#This Row],[Exists]],1)-1)</f>
        <v>Field Data-8</v>
      </c>
      <c r="AA10" s="75">
        <f>COUNTIF($AB$2:FormFields[[#This Row],[Exists]],1)-1+VLOOKUP('Table Seed Map'!$A$11,SeedMap[],9,0)</f>
        <v>50008</v>
      </c>
      <c r="AB10" s="75">
        <f>IF(AND(FormFields[[#This Row],[Attribute]]="",FormFields[[#This Row],[Relation]]=""),0,1)</f>
        <v>1</v>
      </c>
      <c r="AC10" s="75">
        <f>FormFields[[#This Row],[NO2]]</f>
        <v>50008</v>
      </c>
      <c r="AD10" s="76">
        <f>[ID]</f>
        <v>50008</v>
      </c>
      <c r="AE10" s="75" t="str">
        <f>[Name]</f>
        <v>number</v>
      </c>
      <c r="AF10" s="77" t="str">
        <f>IF(FormFields[[#This Row],[Rel]]="",IF(EXACT($AF9,FormFields[[#Headers],[Relation]]),"relation",""),VLOOKUP(FormFields[[#This Row],[Rel]],RelationTable[[Display]:[RELID]],2,0))</f>
        <v/>
      </c>
      <c r="AG10" s="77" t="str">
        <f>IF(FormFields[[#This Row],[Rel1]]="",IF(EXACT($AG9,FormFields[[#Headers],[R1]]),"nest_relation1",""),VLOOKUP(FormFields[[#This Row],[Rel1]],RelationTable[[Display]:[RELID]],2,0))</f>
        <v/>
      </c>
      <c r="AH10" s="77" t="str">
        <f>IF(FormFields[[#This Row],[Rel2]]="",IF(EXACT($AH9,FormFields[[#Headers],[R2]]),"nest_relation2",""),VLOOKUP(FormFields[[#This Row],[Rel2]],RelationTable[[Display]:[RELID]],2,0))</f>
        <v/>
      </c>
      <c r="AI10" s="77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Map'!$A$13&amp;"-"&amp;COUNTIF($AJ$2:FormFields[[#This Row],[Exists FO]],1)</f>
        <v>Field Options-2</v>
      </c>
      <c r="AL10" s="70">
        <f>IF(FormFields[[#This Row],[Exists FO]]=0,$AL9,IF($AL9=0,IF(ISNUMBER(VLOOKUP('Table Seed Map'!$A$13,SeedMap[],9,0)),VLOOKUP('Table Seed Map'!$A$13,SeedMap[],9,0)+1,1),IFERROR($AL9+1,0)))</f>
        <v>50002</v>
      </c>
      <c r="AM10" s="70">
        <f>FormFields[[#This Row],[NO4]]</f>
        <v>50002</v>
      </c>
      <c r="AN10" s="78">
        <f>[ID]</f>
        <v>50008</v>
      </c>
      <c r="AO10" s="79"/>
      <c r="AP10" s="79"/>
      <c r="AQ10" s="79"/>
      <c r="AR10" s="79"/>
      <c r="AS10" s="79"/>
      <c r="AT10" s="70">
        <f>IF(OR(FormFields[[#This Row],[Colspan]]="",FormFields[[#This Row],[Colspan]]="colspan"),0,1)</f>
        <v>1</v>
      </c>
      <c r="AU10" s="70" t="str">
        <f>'Table Seed Map'!$A$18&amp;"-"&amp;SUM($AT$2:FormFields[[#This Row],[Exists FL]])</f>
        <v>Form Layout-3</v>
      </c>
      <c r="AV10" s="70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0">
        <f>FormFields[[#This Row],[NO8]]</f>
        <v>50003</v>
      </c>
      <c r="AX10" s="70">
        <f>[Form]</f>
        <v>50003</v>
      </c>
      <c r="AY10" s="70">
        <f>[ID]</f>
        <v>50008</v>
      </c>
      <c r="AZ10" s="80">
        <v>6</v>
      </c>
    </row>
    <row r="11" spans="1:147">
      <c r="M11" s="68" t="str">
        <f>'Table Seed Map'!$A$11&amp;"-"&amp;(COUNTA($Q$1:FormFields[[#This Row],[ID]])-2)</f>
        <v>Form Fields-9</v>
      </c>
      <c r="N11" s="69" t="s">
        <v>708</v>
      </c>
      <c r="O11" s="70">
        <f>IF(FormFields[[#This Row],[Form Name]]="","id",COUNTA($N$3:FormFields[[#This Row],[Form Name]])+IF(VLOOKUP('Table Seed Map'!$A$11,SeedMap[],9,0),VLOOKUP('Table Seed Map'!$A$11,SeedMap[],9,0),0))</f>
        <v>50009</v>
      </c>
      <c r="P11" s="68" t="str">
        <f>FormFields[[#This Row],[Form Name]]&amp;"/"&amp;FormFields[[#This Row],[Name]]</f>
        <v>Wishlist/CreateNewWishlistForm/name</v>
      </c>
      <c r="Q11" s="70">
        <f>FormFields[[#This Row],[No]]</f>
        <v>50009</v>
      </c>
      <c r="R11" s="71">
        <f>VLOOKUP(FormFields[[#This Row],[Form Name]],ResourceForms[[FormName]:[No]],2,0)</f>
        <v>50004</v>
      </c>
      <c r="S11" s="72" t="s">
        <v>26</v>
      </c>
      <c r="T11" s="72" t="s">
        <v>687</v>
      </c>
      <c r="U11" s="72" t="s">
        <v>697</v>
      </c>
      <c r="V11" s="73"/>
      <c r="W11" s="73"/>
      <c r="X11" s="73"/>
      <c r="Y11" s="73"/>
      <c r="Z11" s="74" t="str">
        <f>'Table Seed Map'!$A$12&amp;"-"&amp;(COUNTIF($AB$2:FormFields[[#This Row],[Exists]],1)-1)</f>
        <v>Field Data-9</v>
      </c>
      <c r="AA11" s="75">
        <f>COUNTIF($AB$2:FormFields[[#This Row],[Exists]],1)-1+VLOOKUP('Table Seed Map'!$A$11,SeedMap[],9,0)</f>
        <v>50009</v>
      </c>
      <c r="AB11" s="75">
        <f>IF(AND(FormFields[[#This Row],[Attribute]]="",FormFields[[#This Row],[Relation]]=""),0,1)</f>
        <v>1</v>
      </c>
      <c r="AC11" s="75">
        <f>FormFields[[#This Row],[NO2]]</f>
        <v>50009</v>
      </c>
      <c r="AD11" s="76">
        <f>[ID]</f>
        <v>50009</v>
      </c>
      <c r="AE11" s="75" t="str">
        <f>[Name]</f>
        <v>name</v>
      </c>
      <c r="AF11" s="77" t="str">
        <f>IF(FormFields[[#This Row],[Rel]]="",IF(EXACT($AF10,FormFields[[#Headers],[Relation]]),"relation",""),VLOOKUP(FormFields[[#This Row],[Rel]],RelationTable[[Display]:[RELID]],2,0))</f>
        <v/>
      </c>
      <c r="AG11" s="77" t="str">
        <f>IF(FormFields[[#This Row],[Rel1]]="",IF(EXACT($AG10,FormFields[[#Headers],[R1]]),"nest_relation1",""),VLOOKUP(FormFields[[#This Row],[Rel1]],RelationTable[[Display]:[RELID]],2,0))</f>
        <v/>
      </c>
      <c r="AH11" s="77" t="str">
        <f>IF(FormFields[[#This Row],[Rel2]]="",IF(EXACT($AH10,FormFields[[#Headers],[R2]]),"nest_relation2",""),VLOOKUP(FormFields[[#This Row],[Rel2]],RelationTable[[Display]:[RELID]],2,0))</f>
        <v/>
      </c>
      <c r="AI11" s="77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0</v>
      </c>
      <c r="AK11" s="70" t="str">
        <f>'Table Seed Map'!$A$13&amp;"-"&amp;COUNTIF($AJ$2:FormFields[[#This Row],[Exists FO]],1)</f>
        <v>Field Options-2</v>
      </c>
      <c r="AL11" s="70">
        <f>IF(FormFields[[#This Row],[Exists FO]]=0,$AL10,IF($AL10=0,IF(ISNUMBER(VLOOKUP('Table Seed Map'!$A$13,SeedMap[],9,0)),VLOOKUP('Table Seed Map'!$A$13,SeedMap[],9,0)+1,1),IFERROR($AL10+1,0)))</f>
        <v>50002</v>
      </c>
      <c r="AM11" s="70">
        <f>FormFields[[#This Row],[NO4]]</f>
        <v>50002</v>
      </c>
      <c r="AN11" s="78">
        <f>[ID]</f>
        <v>50009</v>
      </c>
      <c r="AO11" s="79"/>
      <c r="AP11" s="79"/>
      <c r="AQ11" s="79"/>
      <c r="AR11" s="79"/>
      <c r="AS11" s="79"/>
      <c r="AT11" s="70">
        <f>IF(OR(FormFields[[#This Row],[Colspan]]="",FormFields[[#This Row],[Colspan]]="colspan"),0,1)</f>
        <v>0</v>
      </c>
      <c r="AU11" s="70" t="str">
        <f>'Table Seed Map'!$A$18&amp;"-"&amp;SUM($AT$2:FormFields[[#This Row],[Exists FL]])</f>
        <v>Form Layout-3</v>
      </c>
      <c r="AV11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0" t="str">
        <f>FormFields[[#This Row],[NO8]]</f>
        <v/>
      </c>
      <c r="AX11" s="70">
        <f>[Form]</f>
        <v>50004</v>
      </c>
      <c r="AY11" s="70">
        <f>[ID]</f>
        <v>50009</v>
      </c>
      <c r="AZ11" s="80"/>
    </row>
    <row r="12" spans="1:147">
      <c r="M12" s="68" t="str">
        <f>'Table Seed Map'!$A$11&amp;"-"&amp;(COUNTA($Q$1:FormFields[[#This Row],[ID]])-2)</f>
        <v>Form Fields-10</v>
      </c>
      <c r="N12" s="69" t="s">
        <v>708</v>
      </c>
      <c r="O12" s="70">
        <f>IF(FormFields[[#This Row],[Form Name]]="","id",COUNTA($N$3:FormFields[[#This Row],[Form Name]])+IF(VLOOKUP('Table Seed Map'!$A$11,SeedMap[],9,0),VLOOKUP('Table Seed Map'!$A$11,SeedMap[],9,0),0))</f>
        <v>50010</v>
      </c>
      <c r="P12" s="68" t="str">
        <f>FormFields[[#This Row],[Form Name]]&amp;"/"&amp;FormFields[[#This Row],[Name]]</f>
        <v>Wishlist/CreateNewWishlistForm/description</v>
      </c>
      <c r="Q12" s="70">
        <f>FormFields[[#This Row],[No]]</f>
        <v>50010</v>
      </c>
      <c r="R12" s="71">
        <f>VLOOKUP(FormFields[[#This Row],[Form Name]],ResourceForms[[FormName]:[No]],2,0)</f>
        <v>50004</v>
      </c>
      <c r="S12" s="72" t="s">
        <v>28</v>
      </c>
      <c r="T12" s="72" t="s">
        <v>698</v>
      </c>
      <c r="U12" s="72" t="s">
        <v>699</v>
      </c>
      <c r="V12" s="73"/>
      <c r="W12" s="73"/>
      <c r="X12" s="73"/>
      <c r="Y12" s="73"/>
      <c r="Z12" s="74" t="str">
        <f>'Table Seed Map'!$A$12&amp;"-"&amp;(COUNTIF($AB$2:FormFields[[#This Row],[Exists]],1)-1)</f>
        <v>Field Data-10</v>
      </c>
      <c r="AA12" s="75">
        <f>COUNTIF($AB$2:FormFields[[#This Row],[Exists]],1)-1+VLOOKUP('Table Seed Map'!$A$11,SeedMap[],9,0)</f>
        <v>50010</v>
      </c>
      <c r="AB12" s="75">
        <f>IF(AND(FormFields[[#This Row],[Attribute]]="",FormFields[[#This Row],[Relation]]=""),0,1)</f>
        <v>1</v>
      </c>
      <c r="AC12" s="75">
        <f>FormFields[[#This Row],[NO2]]</f>
        <v>50010</v>
      </c>
      <c r="AD12" s="76">
        <f>[ID]</f>
        <v>50010</v>
      </c>
      <c r="AE12" s="75" t="str">
        <f>[Name]</f>
        <v>description</v>
      </c>
      <c r="AF12" s="77" t="str">
        <f>IF(FormFields[[#This Row],[Rel]]="",IF(EXACT($AF11,FormFields[[#Headers],[Relation]]),"relation",""),VLOOKUP(FormFields[[#This Row],[Rel]],RelationTable[[Display]:[RELID]],2,0))</f>
        <v/>
      </c>
      <c r="AG12" s="77" t="str">
        <f>IF(FormFields[[#This Row],[Rel1]]="",IF(EXACT($AG11,FormFields[[#Headers],[R1]]),"nest_relation1",""),VLOOKUP(FormFields[[#This Row],[Rel1]],RelationTable[[Display]:[RELID]],2,0))</f>
        <v/>
      </c>
      <c r="AH12" s="77" t="str">
        <f>IF(FormFields[[#This Row],[Rel2]]="",IF(EXACT($AH11,FormFields[[#Headers],[R2]]),"nest_relation2",""),VLOOKUP(FormFields[[#This Row],[Rel2]],RelationTable[[Display]:[RELID]],2,0))</f>
        <v/>
      </c>
      <c r="AI12" s="77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0</v>
      </c>
      <c r="AK12" s="70" t="str">
        <f>'Table Seed Map'!$A$13&amp;"-"&amp;COUNTIF($AJ$2:FormFields[[#This Row],[Exists FO]],1)</f>
        <v>Field Options-2</v>
      </c>
      <c r="AL12" s="70">
        <f>IF(FormFields[[#This Row],[Exists FO]]=0,$AL11,IF($AL11=0,IF(ISNUMBER(VLOOKUP('Table Seed Map'!$A$13,SeedMap[],9,0)),VLOOKUP('Table Seed Map'!$A$13,SeedMap[],9,0)+1,1),IFERROR($AL11+1,0)))</f>
        <v>50002</v>
      </c>
      <c r="AM12" s="70">
        <f>FormFields[[#This Row],[NO4]]</f>
        <v>50002</v>
      </c>
      <c r="AN12" s="78">
        <f>[ID]</f>
        <v>50010</v>
      </c>
      <c r="AO12" s="79"/>
      <c r="AP12" s="79"/>
      <c r="AQ12" s="79"/>
      <c r="AR12" s="79"/>
      <c r="AS12" s="79"/>
      <c r="AT12" s="70">
        <f>IF(OR(FormFields[[#This Row],[Colspan]]="",FormFields[[#This Row],[Colspan]]="colspan"),0,1)</f>
        <v>0</v>
      </c>
      <c r="AU12" s="70" t="str">
        <f>'Table Seed Map'!$A$18&amp;"-"&amp;SUM($AT$2:FormFields[[#This Row],[Exists FL]])</f>
        <v>Form Layout-3</v>
      </c>
      <c r="AV12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0" t="str">
        <f>FormFields[[#This Row],[NO8]]</f>
        <v/>
      </c>
      <c r="AX12" s="70">
        <f>[Form]</f>
        <v>50004</v>
      </c>
      <c r="AY12" s="70">
        <f>[ID]</f>
        <v>50010</v>
      </c>
      <c r="AZ12" s="80"/>
    </row>
    <row r="13" spans="1:147">
      <c r="M13" s="68" t="str">
        <f>'Table Seed Map'!$A$11&amp;"-"&amp;(COUNTA($Q$1:FormFields[[#This Row],[ID]])-2)</f>
        <v>Form Fields-11</v>
      </c>
      <c r="N13" s="69" t="s">
        <v>708</v>
      </c>
      <c r="O13" s="70">
        <f>IF(FormFields[[#This Row],[Form Name]]="","id",COUNTA($N$3:FormFields[[#This Row],[Form Name]])+IF(VLOOKUP('Table Seed Map'!$A$11,SeedMap[],9,0),VLOOKUP('Table Seed Map'!$A$11,SeedMap[],9,0),0))</f>
        <v>50011</v>
      </c>
      <c r="P13" s="68" t="str">
        <f>FormFields[[#This Row],[Form Name]]&amp;"/"&amp;FormFields[[#This Row],[Name]]</f>
        <v>Wishlist/CreateNewWishlistForm/products</v>
      </c>
      <c r="Q13" s="70">
        <f>FormFields[[#This Row],[No]]</f>
        <v>50011</v>
      </c>
      <c r="R13" s="71">
        <f>VLOOKUP(FormFields[[#This Row],[Form Name]],ResourceForms[[FormName]:[No]],2,0)</f>
        <v>50004</v>
      </c>
      <c r="S13" s="72" t="s">
        <v>442</v>
      </c>
      <c r="T13" s="72" t="s">
        <v>700</v>
      </c>
      <c r="U13" s="72" t="s">
        <v>701</v>
      </c>
      <c r="V13" s="73" t="s">
        <v>713</v>
      </c>
      <c r="W13" s="73"/>
      <c r="X13" s="73"/>
      <c r="Y13" s="73"/>
      <c r="Z13" s="74" t="str">
        <f>'Table Seed Map'!$A$12&amp;"-"&amp;(COUNTIF($AB$2:FormFields[[#This Row],[Exists]],1)-1)</f>
        <v>Field Data-11</v>
      </c>
      <c r="AA13" s="75">
        <f>COUNTIF($AB$2:FormFields[[#This Row],[Exists]],1)-1+VLOOKUP('Table Seed Map'!$A$11,SeedMap[],9,0)</f>
        <v>50011</v>
      </c>
      <c r="AB13" s="75">
        <f>IF(AND(FormFields[[#This Row],[Attribute]]="",FormFields[[#This Row],[Relation]]=""),0,1)</f>
        <v>1</v>
      </c>
      <c r="AC13" s="75">
        <f>FormFields[[#This Row],[NO2]]</f>
        <v>50011</v>
      </c>
      <c r="AD13" s="76">
        <f>[ID]</f>
        <v>50011</v>
      </c>
      <c r="AE13" s="75" t="str">
        <f>[Name]</f>
        <v>products</v>
      </c>
      <c r="AF13" s="77">
        <f>IF(FormFields[[#This Row],[Rel]]="",IF(EXACT($AF12,FormFields[[#Headers],[Relation]]),"relation",""),VLOOKUP(FormFields[[#This Row],[Rel]],RelationTable[[Display]:[RELID]],2,0))</f>
        <v>50032</v>
      </c>
      <c r="AG13" s="77" t="str">
        <f>IF(FormFields[[#This Row],[Rel1]]="",IF(EXACT($AG12,FormFields[[#Headers],[R1]]),"nest_relation1",""),VLOOKUP(FormFields[[#This Row],[Rel1]],RelationTable[[Display]:[RELID]],2,0))</f>
        <v/>
      </c>
      <c r="AH13" s="77" t="str">
        <f>IF(FormFields[[#This Row],[Rel2]]="",IF(EXACT($AH12,FormFields[[#Headers],[R2]]),"nest_relation2",""),VLOOKUP(FormFields[[#This Row],[Rel2]],RelationTable[[Display]:[RELID]],2,0))</f>
        <v/>
      </c>
      <c r="AI13" s="77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1</v>
      </c>
      <c r="AK13" s="70" t="str">
        <f>'Table Seed Map'!$A$13&amp;"-"&amp;COUNTIF($AJ$2:FormFields[[#This Row],[Exists FO]],1)</f>
        <v>Field Options-3</v>
      </c>
      <c r="AL13" s="70">
        <f>IF(FormFields[[#This Row],[Exists FO]]=0,$AL12,IF($AL12=0,IF(ISNUMBER(VLOOKUP('Table Seed Map'!$A$13,SeedMap[],9,0)),VLOOKUP('Table Seed Map'!$A$13,SeedMap[],9,0)+1,1),IFERROR($AL12+1,0)))</f>
        <v>50003</v>
      </c>
      <c r="AM13" s="70">
        <f>FormFields[[#This Row],[NO4]]</f>
        <v>50003</v>
      </c>
      <c r="AN13" s="78">
        <f>[ID]</f>
        <v>50011</v>
      </c>
      <c r="AO13" s="79" t="s">
        <v>223</v>
      </c>
      <c r="AP13" s="79"/>
      <c r="AQ13" s="79" t="s">
        <v>21</v>
      </c>
      <c r="AR13" s="79" t="s">
        <v>26</v>
      </c>
      <c r="AS13" s="79"/>
      <c r="AT13" s="70">
        <f>IF(OR(FormFields[[#This Row],[Colspan]]="",FormFields[[#This Row],[Colspan]]="colspan"),0,1)</f>
        <v>0</v>
      </c>
      <c r="AU13" s="70" t="str">
        <f>'Table Seed Map'!$A$18&amp;"-"&amp;SUM($AT$2:FormFields[[#This Row],[Exists FL]])</f>
        <v>Form Layout-3</v>
      </c>
      <c r="AV1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0" t="str">
        <f>FormFields[[#This Row],[NO8]]</f>
        <v/>
      </c>
      <c r="AX13" s="70">
        <f>[Form]</f>
        <v>50004</v>
      </c>
      <c r="AY13" s="70">
        <f>[ID]</f>
        <v>50011</v>
      </c>
      <c r="AZ13" s="80"/>
    </row>
    <row r="14" spans="1:147">
      <c r="M14" s="68" t="str">
        <f>'Table Seed Map'!$A$11&amp;"-"&amp;(COUNTA($Q$1:FormFields[[#This Row],[ID]])-2)</f>
        <v>Form Fields-12</v>
      </c>
      <c r="N14" s="69" t="s">
        <v>709</v>
      </c>
      <c r="O14" s="70">
        <f>IF(FormFields[[#This Row],[Form Name]]="","id",COUNTA($N$3:FormFields[[#This Row],[Form Name]])+IF(VLOOKUP('Table Seed Map'!$A$11,SeedMap[],9,0),VLOOKUP('Table Seed Map'!$A$11,SeedMap[],9,0),0))</f>
        <v>50012</v>
      </c>
      <c r="P14" s="68" t="str">
        <f>FormFields[[#This Row],[Form Name]]&amp;"/"&amp;FormFields[[#This Row],[Name]]</f>
        <v>Wishlist/UpdateWishlistForm/name</v>
      </c>
      <c r="Q14" s="70">
        <f>FormFields[[#This Row],[No]]</f>
        <v>50012</v>
      </c>
      <c r="R14" s="71">
        <f>VLOOKUP(FormFields[[#This Row],[Form Name]],ResourceForms[[FormName]:[No]],2,0)</f>
        <v>50005</v>
      </c>
      <c r="S14" s="72" t="s">
        <v>26</v>
      </c>
      <c r="T14" s="72" t="s">
        <v>687</v>
      </c>
      <c r="U14" s="72" t="s">
        <v>697</v>
      </c>
      <c r="V14" s="73"/>
      <c r="W14" s="73"/>
      <c r="X14" s="73"/>
      <c r="Y14" s="73"/>
      <c r="Z14" s="74" t="str">
        <f>'Table Seed Map'!$A$12&amp;"-"&amp;(COUNTIF($AB$2:FormFields[[#This Row],[Exists]],1)-1)</f>
        <v>Field Data-12</v>
      </c>
      <c r="AA14" s="75">
        <f>COUNTIF($AB$2:FormFields[[#This Row],[Exists]],1)-1+VLOOKUP('Table Seed Map'!$A$11,SeedMap[],9,0)</f>
        <v>50012</v>
      </c>
      <c r="AB14" s="75">
        <f>IF(AND(FormFields[[#This Row],[Attribute]]="",FormFields[[#This Row],[Relation]]=""),0,1)</f>
        <v>1</v>
      </c>
      <c r="AC14" s="75">
        <f>FormFields[[#This Row],[NO2]]</f>
        <v>50012</v>
      </c>
      <c r="AD14" s="76">
        <f>[ID]</f>
        <v>50012</v>
      </c>
      <c r="AE14" s="75" t="str">
        <f>[Name]</f>
        <v>name</v>
      </c>
      <c r="AF14" s="77" t="str">
        <f>IF(FormFields[[#This Row],[Rel]]="",IF(EXACT($AF13,FormFields[[#Headers],[Relation]]),"relation",""),VLOOKUP(FormFields[[#This Row],[Rel]],RelationTable[[Display]:[RELID]],2,0))</f>
        <v/>
      </c>
      <c r="AG14" s="77" t="str">
        <f>IF(FormFields[[#This Row],[Rel1]]="",IF(EXACT($AG13,FormFields[[#Headers],[R1]]),"nest_relation1",""),VLOOKUP(FormFields[[#This Row],[Rel1]],RelationTable[[Display]:[RELID]],2,0))</f>
        <v/>
      </c>
      <c r="AH14" s="77" t="str">
        <f>IF(FormFields[[#This Row],[Rel2]]="",IF(EXACT($AH13,FormFields[[#Headers],[R2]]),"nest_relation2",""),VLOOKUP(FormFields[[#This Row],[Rel2]],RelationTable[[Display]:[RELID]],2,0))</f>
        <v/>
      </c>
      <c r="AI14" s="77" t="str">
        <f>IF(FormFields[[#This Row],[Rel3]]="",IF(EXACT($AI13,FormFields[[#Headers],[R3]]),"nest_relation3",""),VLOOKUP(FormFields[[#This Row],[Rel3]],RelationTable[[Display]:[RELID]],2,0))</f>
        <v/>
      </c>
      <c r="AJ14" s="70">
        <f>IF(OR(FormFields[[#This Row],[Option Type]]="",FormFields[[#This Row],[Option Type]]="type"),0,1)</f>
        <v>0</v>
      </c>
      <c r="AK14" s="70" t="str">
        <f>'Table Seed Map'!$A$13&amp;"-"&amp;COUNTIF($AJ$2:FormFields[[#This Row],[Exists FO]],1)</f>
        <v>Field Options-3</v>
      </c>
      <c r="AL14" s="70">
        <f>IF(FormFields[[#This Row],[Exists FO]]=0,$AL13,IF($AL13=0,IF(ISNUMBER(VLOOKUP('Table Seed Map'!$A$13,SeedMap[],9,0)),VLOOKUP('Table Seed Map'!$A$13,SeedMap[],9,0)+1,1),IFERROR($AL13+1,0)))</f>
        <v>50003</v>
      </c>
      <c r="AM14" s="70">
        <f>FormFields[[#This Row],[NO4]]</f>
        <v>50003</v>
      </c>
      <c r="AN14" s="78">
        <f>[ID]</f>
        <v>50012</v>
      </c>
      <c r="AO14" s="79"/>
      <c r="AP14" s="79"/>
      <c r="AQ14" s="79"/>
      <c r="AR14" s="79"/>
      <c r="AS14" s="79"/>
      <c r="AT14" s="70">
        <f>IF(OR(FormFields[[#This Row],[Colspan]]="",FormFields[[#This Row],[Colspan]]="colspan"),0,1)</f>
        <v>0</v>
      </c>
      <c r="AU14" s="70" t="str">
        <f>'Table Seed Map'!$A$18&amp;"-"&amp;SUM($AT$2:FormFields[[#This Row],[Exists FL]])</f>
        <v>Form Layout-3</v>
      </c>
      <c r="AV1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0" t="str">
        <f>FormFields[[#This Row],[NO8]]</f>
        <v/>
      </c>
      <c r="AX14" s="70">
        <f>[Form]</f>
        <v>50005</v>
      </c>
      <c r="AY14" s="70">
        <f>[ID]</f>
        <v>50012</v>
      </c>
      <c r="AZ14" s="80"/>
    </row>
    <row r="15" spans="1:147">
      <c r="M15" s="68" t="str">
        <f>'Table Seed Map'!$A$11&amp;"-"&amp;(COUNTA($Q$1:FormFields[[#This Row],[ID]])-2)</f>
        <v>Form Fields-13</v>
      </c>
      <c r="N15" s="69" t="s">
        <v>709</v>
      </c>
      <c r="O15" s="70">
        <f>IF(FormFields[[#This Row],[Form Name]]="","id",COUNTA($N$3:FormFields[[#This Row],[Form Name]])+IF(VLOOKUP('Table Seed Map'!$A$11,SeedMap[],9,0),VLOOKUP('Table Seed Map'!$A$11,SeedMap[],9,0),0))</f>
        <v>50013</v>
      </c>
      <c r="P15" s="68" t="str">
        <f>FormFields[[#This Row],[Form Name]]&amp;"/"&amp;FormFields[[#This Row],[Name]]</f>
        <v>Wishlist/UpdateWishlistForm/description</v>
      </c>
      <c r="Q15" s="70">
        <f>FormFields[[#This Row],[No]]</f>
        <v>50013</v>
      </c>
      <c r="R15" s="71">
        <f>VLOOKUP(FormFields[[#This Row],[Form Name]],ResourceForms[[FormName]:[No]],2,0)</f>
        <v>50005</v>
      </c>
      <c r="S15" s="72" t="s">
        <v>28</v>
      </c>
      <c r="T15" s="72" t="s">
        <v>698</v>
      </c>
      <c r="U15" s="72" t="s">
        <v>699</v>
      </c>
      <c r="V15" s="73"/>
      <c r="W15" s="73"/>
      <c r="X15" s="73"/>
      <c r="Y15" s="73"/>
      <c r="Z15" s="74" t="str">
        <f>'Table Seed Map'!$A$12&amp;"-"&amp;(COUNTIF($AB$2:FormFields[[#This Row],[Exists]],1)-1)</f>
        <v>Field Data-13</v>
      </c>
      <c r="AA15" s="75">
        <f>COUNTIF($AB$2:FormFields[[#This Row],[Exists]],1)-1+VLOOKUP('Table Seed Map'!$A$11,SeedMap[],9,0)</f>
        <v>50013</v>
      </c>
      <c r="AB15" s="75">
        <f>IF(AND(FormFields[[#This Row],[Attribute]]="",FormFields[[#This Row],[Relation]]=""),0,1)</f>
        <v>1</v>
      </c>
      <c r="AC15" s="75">
        <f>FormFields[[#This Row],[NO2]]</f>
        <v>50013</v>
      </c>
      <c r="AD15" s="76">
        <f>[ID]</f>
        <v>50013</v>
      </c>
      <c r="AE15" s="75" t="str">
        <f>[Name]</f>
        <v>description</v>
      </c>
      <c r="AF15" s="77" t="str">
        <f>IF(FormFields[[#This Row],[Rel]]="",IF(EXACT($AF14,FormFields[[#Headers],[Relation]]),"relation",""),VLOOKUP(FormFields[[#This Row],[Rel]],RelationTable[[Display]:[RELID]],2,0))</f>
        <v/>
      </c>
      <c r="AG15" s="77" t="str">
        <f>IF(FormFields[[#This Row],[Rel1]]="",IF(EXACT($AG14,FormFields[[#Headers],[R1]]),"nest_relation1",""),VLOOKUP(FormFields[[#This Row],[Rel1]],RelationTable[[Display]:[RELID]],2,0))</f>
        <v/>
      </c>
      <c r="AH15" s="77" t="str">
        <f>IF(FormFields[[#This Row],[Rel2]]="",IF(EXACT($AH14,FormFields[[#Headers],[R2]]),"nest_relation2",""),VLOOKUP(FormFields[[#This Row],[Rel2]],RelationTable[[Display]:[RELID]],2,0))</f>
        <v/>
      </c>
      <c r="AI15" s="77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Map'!$A$13&amp;"-"&amp;COUNTIF($AJ$2:FormFields[[#This Row],[Exists FO]],1)</f>
        <v>Field Options-3</v>
      </c>
      <c r="AL15" s="70">
        <f>IF(FormFields[[#This Row],[Exists FO]]=0,$AL14,IF($AL14=0,IF(ISNUMBER(VLOOKUP('Table Seed Map'!$A$13,SeedMap[],9,0)),VLOOKUP('Table Seed Map'!$A$13,SeedMap[],9,0)+1,1),IFERROR($AL14+1,0)))</f>
        <v>50003</v>
      </c>
      <c r="AM15" s="70">
        <f>FormFields[[#This Row],[NO4]]</f>
        <v>50003</v>
      </c>
      <c r="AN15" s="78">
        <f>[ID]</f>
        <v>50013</v>
      </c>
      <c r="AO15" s="79"/>
      <c r="AP15" s="79"/>
      <c r="AQ15" s="79"/>
      <c r="AR15" s="79"/>
      <c r="AS15" s="79"/>
      <c r="AT15" s="70">
        <f>IF(OR(FormFields[[#This Row],[Colspan]]="",FormFields[[#This Row],[Colspan]]="colspan"),0,1)</f>
        <v>0</v>
      </c>
      <c r="AU15" s="70" t="str">
        <f>'Table Seed Map'!$A$18&amp;"-"&amp;SUM($AT$2:FormFields[[#This Row],[Exists FL]])</f>
        <v>Form Layout-3</v>
      </c>
      <c r="AV1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0" t="str">
        <f>FormFields[[#This Row],[NO8]]</f>
        <v/>
      </c>
      <c r="AX15" s="70">
        <f>[Form]</f>
        <v>50005</v>
      </c>
      <c r="AY15" s="70">
        <f>[ID]</f>
        <v>50013</v>
      </c>
      <c r="AZ15" s="80"/>
    </row>
    <row r="16" spans="1:147">
      <c r="M16" s="68" t="str">
        <f>'Table Seed Map'!$A$11&amp;"-"&amp;(COUNTA($Q$1:FormFields[[#This Row],[ID]])-2)</f>
        <v>Form Fields-14</v>
      </c>
      <c r="N16" s="69" t="s">
        <v>710</v>
      </c>
      <c r="O16" s="70">
        <f>IF(FormFields[[#This Row],[Form Name]]="","id",COUNTA($N$3:FormFields[[#This Row],[Form Name]])+IF(VLOOKUP('Table Seed Map'!$A$11,SeedMap[],9,0),VLOOKUP('Table Seed Map'!$A$11,SeedMap[],9,0),0))</f>
        <v>50014</v>
      </c>
      <c r="P16" s="68" t="str">
        <f>FormFields[[#This Row],[Form Name]]&amp;"/"&amp;FormFields[[#This Row],[Name]]</f>
        <v>Visitor/AddWishlistVisitorForm/wishlist</v>
      </c>
      <c r="Q16" s="70">
        <f>FormFields[[#This Row],[No]]</f>
        <v>50014</v>
      </c>
      <c r="R16" s="71">
        <f>VLOOKUP(FormFields[[#This Row],[Form Name]],ResourceForms[[FormName]:[No]],2,0)</f>
        <v>50006</v>
      </c>
      <c r="S16" s="72" t="s">
        <v>475</v>
      </c>
      <c r="T16" s="72" t="s">
        <v>687</v>
      </c>
      <c r="U16" s="72" t="s">
        <v>566</v>
      </c>
      <c r="V16" s="73"/>
      <c r="W16" s="73"/>
      <c r="X16" s="73"/>
      <c r="Y16" s="73"/>
      <c r="Z16" s="74" t="str">
        <f>'Table Seed Map'!$A$12&amp;"-"&amp;(COUNTIF($AB$2:FormFields[[#This Row],[Exists]],1)-1)</f>
        <v>Field Data-14</v>
      </c>
      <c r="AA16" s="75">
        <f>COUNTIF($AB$2:FormFields[[#This Row],[Exists]],1)-1+VLOOKUP('Table Seed Map'!$A$11,SeedMap[],9,0)</f>
        <v>50014</v>
      </c>
      <c r="AB16" s="75">
        <f>IF(AND(FormFields[[#This Row],[Attribute]]="",FormFields[[#This Row],[Relation]]=""),0,1)</f>
        <v>1</v>
      </c>
      <c r="AC16" s="75">
        <f>FormFields[[#This Row],[NO2]]</f>
        <v>50014</v>
      </c>
      <c r="AD16" s="76">
        <f>[ID]</f>
        <v>50014</v>
      </c>
      <c r="AE16" s="75" t="str">
        <f>[Name]</f>
        <v>wishlist</v>
      </c>
      <c r="AF16" s="77" t="str">
        <f>IF(FormFields[[#This Row],[Rel]]="",IF(EXACT($AF15,FormFields[[#Headers],[Relation]]),"relation",""),VLOOKUP(FormFields[[#This Row],[Rel]],RelationTable[[Display]:[RELID]],2,0))</f>
        <v/>
      </c>
      <c r="AG16" s="77" t="str">
        <f>IF(FormFields[[#This Row],[Rel1]]="",IF(EXACT($AG15,FormFields[[#Headers],[R1]]),"nest_relation1",""),VLOOKUP(FormFields[[#This Row],[Rel1]],RelationTable[[Display]:[RELID]],2,0))</f>
        <v/>
      </c>
      <c r="AH16" s="77" t="str">
        <f>IF(FormFields[[#This Row],[Rel2]]="",IF(EXACT($AH15,FormFields[[#Headers],[R2]]),"nest_relation2",""),VLOOKUP(FormFields[[#This Row],[Rel2]],RelationTable[[Display]:[RELID]],2,0))</f>
        <v/>
      </c>
      <c r="AI16" s="77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0</v>
      </c>
      <c r="AK16" s="70" t="str">
        <f>'Table Seed Map'!$A$13&amp;"-"&amp;COUNTIF($AJ$2:FormFields[[#This Row],[Exists FO]],1)</f>
        <v>Field Options-3</v>
      </c>
      <c r="AL16" s="70">
        <f>IF(FormFields[[#This Row],[Exists FO]]=0,$AL15,IF($AL15=0,IF(ISNUMBER(VLOOKUP('Table Seed Map'!$A$13,SeedMap[],9,0)),VLOOKUP('Table Seed Map'!$A$13,SeedMap[],9,0)+1,1),IFERROR($AL15+1,0)))</f>
        <v>50003</v>
      </c>
      <c r="AM16" s="70">
        <f>FormFields[[#This Row],[NO4]]</f>
        <v>50003</v>
      </c>
      <c r="AN16" s="78">
        <f>[ID]</f>
        <v>50014</v>
      </c>
      <c r="AO16" s="79"/>
      <c r="AP16" s="79"/>
      <c r="AQ16" s="79"/>
      <c r="AR16" s="79"/>
      <c r="AS16" s="79"/>
      <c r="AT16" s="70">
        <f>IF(OR(FormFields[[#This Row],[Colspan]]="",FormFields[[#This Row],[Colspan]]="colspan"),0,1)</f>
        <v>0</v>
      </c>
      <c r="AU16" s="70" t="str">
        <f>'Table Seed Map'!$A$18&amp;"-"&amp;SUM($AT$2:FormFields[[#This Row],[Exists FL]])</f>
        <v>Form Layout-3</v>
      </c>
      <c r="AV1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0" t="str">
        <f>FormFields[[#This Row],[NO8]]</f>
        <v/>
      </c>
      <c r="AX16" s="70">
        <f>[Form]</f>
        <v>50006</v>
      </c>
      <c r="AY16" s="70">
        <f>[ID]</f>
        <v>50014</v>
      </c>
      <c r="AZ16" s="80"/>
    </row>
    <row r="17" spans="13:52">
      <c r="M17" s="68" t="str">
        <f>'Table Seed Map'!$A$11&amp;"-"&amp;(COUNTA($Q$1:FormFields[[#This Row],[ID]])-2)</f>
        <v>Form Fields-15</v>
      </c>
      <c r="N17" s="69" t="s">
        <v>710</v>
      </c>
      <c r="O17" s="70">
        <f>IF(FormFields[[#This Row],[Form Name]]="","id",COUNTA($N$3:FormFields[[#This Row],[Form Name]])+IF(VLOOKUP('Table Seed Map'!$A$11,SeedMap[],9,0),VLOOKUP('Table Seed Map'!$A$11,SeedMap[],9,0),0))</f>
        <v>50015</v>
      </c>
      <c r="P17" s="68" t="str">
        <f>FormFields[[#This Row],[Form Name]]&amp;"/"&amp;FormFields[[#This Row],[Name]]</f>
        <v>Visitor/AddWishlistVisitorForm/visitor</v>
      </c>
      <c r="Q17" s="70">
        <f>FormFields[[#This Row],[No]]</f>
        <v>50015</v>
      </c>
      <c r="R17" s="71">
        <f>VLOOKUP(FormFields[[#This Row],[Form Name]],ResourceForms[[FormName]:[No]],2,0)</f>
        <v>50006</v>
      </c>
      <c r="S17" s="72" t="s">
        <v>474</v>
      </c>
      <c r="T17" s="72" t="s">
        <v>692</v>
      </c>
      <c r="U17" s="72" t="s">
        <v>702</v>
      </c>
      <c r="V17" s="73"/>
      <c r="W17" s="73"/>
      <c r="X17" s="73"/>
      <c r="Y17" s="73"/>
      <c r="Z17" s="74" t="str">
        <f>'Table Seed Map'!$A$12&amp;"-"&amp;(COUNTIF($AB$2:FormFields[[#This Row],[Exists]],1)-1)</f>
        <v>Field Data-15</v>
      </c>
      <c r="AA17" s="75">
        <f>COUNTIF($AB$2:FormFields[[#This Row],[Exists]],1)-1+VLOOKUP('Table Seed Map'!$A$11,SeedMap[],9,0)</f>
        <v>50015</v>
      </c>
      <c r="AB17" s="75">
        <f>IF(AND(FormFields[[#This Row],[Attribute]]="",FormFields[[#This Row],[Relation]]=""),0,1)</f>
        <v>1</v>
      </c>
      <c r="AC17" s="75">
        <f>FormFields[[#This Row],[NO2]]</f>
        <v>50015</v>
      </c>
      <c r="AD17" s="76">
        <f>[ID]</f>
        <v>50015</v>
      </c>
      <c r="AE17" s="75" t="str">
        <f>[Name]</f>
        <v>visitor</v>
      </c>
      <c r="AF17" s="77" t="str">
        <f>IF(FormFields[[#This Row],[Rel]]="",IF(EXACT($AF16,FormFields[[#Headers],[Relation]]),"relation",""),VLOOKUP(FormFields[[#This Row],[Rel]],RelationTable[[Display]:[RELID]],2,0))</f>
        <v/>
      </c>
      <c r="AG17" s="77" t="str">
        <f>IF(FormFields[[#This Row],[Rel1]]="",IF(EXACT($AG16,FormFields[[#Headers],[R1]]),"nest_relation1",""),VLOOKUP(FormFields[[#This Row],[Rel1]],RelationTable[[Display]:[RELID]],2,0))</f>
        <v/>
      </c>
      <c r="AH17" s="77" t="str">
        <f>IF(FormFields[[#This Row],[Rel2]]="",IF(EXACT($AH16,FormFields[[#Headers],[R2]]),"nest_relation2",""),VLOOKUP(FormFields[[#This Row],[Rel2]],RelationTable[[Display]:[RELID]],2,0))</f>
        <v/>
      </c>
      <c r="AI17" s="77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Map'!$A$13&amp;"-"&amp;COUNTIF($AJ$2:FormFields[[#This Row],[Exists FO]],1)</f>
        <v>Field Options-4</v>
      </c>
      <c r="AL17" s="70">
        <f>IF(FormFields[[#This Row],[Exists FO]]=0,$AL16,IF($AL16=0,IF(ISNUMBER(VLOOKUP('Table Seed Map'!$A$13,SeedMap[],9,0)),VLOOKUP('Table Seed Map'!$A$13,SeedMap[],9,0)+1,1),IFERROR($AL16+1,0)))</f>
        <v>50004</v>
      </c>
      <c r="AM17" s="70">
        <f>FormFields[[#This Row],[NO4]]</f>
        <v>50004</v>
      </c>
      <c r="AN17" s="78">
        <f>[ID]</f>
        <v>50015</v>
      </c>
      <c r="AO17" s="79" t="s">
        <v>223</v>
      </c>
      <c r="AP17" s="79"/>
      <c r="AQ17" s="79" t="s">
        <v>21</v>
      </c>
      <c r="AR17" s="79" t="s">
        <v>26</v>
      </c>
      <c r="AS17" s="79"/>
      <c r="AT17" s="70">
        <f>IF(OR(FormFields[[#This Row],[Colspan]]="",FormFields[[#This Row],[Colspan]]="colspan"),0,1)</f>
        <v>0</v>
      </c>
      <c r="AU17" s="70" t="str">
        <f>'Table Seed Map'!$A$18&amp;"-"&amp;SUM($AT$2:FormFields[[#This Row],[Exists FL]])</f>
        <v>Form Layout-3</v>
      </c>
      <c r="AV1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0" t="str">
        <f>FormFields[[#This Row],[NO8]]</f>
        <v/>
      </c>
      <c r="AX17" s="70">
        <f>[Form]</f>
        <v>50006</v>
      </c>
      <c r="AY17" s="70">
        <f>[ID]</f>
        <v>50015</v>
      </c>
      <c r="AZ17" s="80"/>
    </row>
    <row r="18" spans="13:52">
      <c r="M18" s="68" t="str">
        <f>'Table Seed Map'!$A$11&amp;"-"&amp;(COUNTA($Q$1:FormFields[[#This Row],[ID]])-2)</f>
        <v>Form Fields-16</v>
      </c>
      <c r="N18" s="69" t="s">
        <v>711</v>
      </c>
      <c r="O18" s="70">
        <f>IF(FormFields[[#This Row],[Form Name]]="","id",COUNTA($N$3:FormFields[[#This Row],[Form Name]])+IF(VLOOKUP('Table Seed Map'!$A$11,SeedMap[],9,0),VLOOKUP('Table Seed Map'!$A$11,SeedMap[],9,0),0))</f>
        <v>50016</v>
      </c>
      <c r="P18" s="68" t="str">
        <f>FormFields[[#This Row],[Form Name]]&amp;"/"&amp;FormFields[[#This Row],[Name]]</f>
        <v>WishlistNote/AddWishlistNote/wishlist</v>
      </c>
      <c r="Q18" s="70">
        <f>FormFields[[#This Row],[No]]</f>
        <v>50016</v>
      </c>
      <c r="R18" s="71">
        <f>VLOOKUP(FormFields[[#This Row],[Form Name]],ResourceForms[[FormName]:[No]],2,0)</f>
        <v>50007</v>
      </c>
      <c r="S18" s="72" t="s">
        <v>475</v>
      </c>
      <c r="T18" s="72" t="s">
        <v>687</v>
      </c>
      <c r="U18" s="72" t="s">
        <v>566</v>
      </c>
      <c r="V18" s="73"/>
      <c r="W18" s="73"/>
      <c r="X18" s="73"/>
      <c r="Y18" s="73"/>
      <c r="Z18" s="74" t="str">
        <f>'Table Seed Map'!$A$12&amp;"-"&amp;(COUNTIF($AB$2:FormFields[[#This Row],[Exists]],1)-1)</f>
        <v>Field Data-16</v>
      </c>
      <c r="AA18" s="75">
        <f>COUNTIF($AB$2:FormFields[[#This Row],[Exists]],1)-1+VLOOKUP('Table Seed Map'!$A$11,SeedMap[],9,0)</f>
        <v>50016</v>
      </c>
      <c r="AB18" s="75">
        <f>IF(AND(FormFields[[#This Row],[Attribute]]="",FormFields[[#This Row],[Relation]]=""),0,1)</f>
        <v>1</v>
      </c>
      <c r="AC18" s="75">
        <f>FormFields[[#This Row],[NO2]]</f>
        <v>50016</v>
      </c>
      <c r="AD18" s="76">
        <f>[ID]</f>
        <v>50016</v>
      </c>
      <c r="AE18" s="75" t="str">
        <f>[Name]</f>
        <v>wishlist</v>
      </c>
      <c r="AF18" s="77" t="str">
        <f>IF(FormFields[[#This Row],[Rel]]="",IF(EXACT($AF17,FormFields[[#Headers],[Relation]]),"relation",""),VLOOKUP(FormFields[[#This Row],[Rel]],RelationTable[[Display]:[RELID]],2,0))</f>
        <v/>
      </c>
      <c r="AG18" s="77" t="str">
        <f>IF(FormFields[[#This Row],[Rel1]]="",IF(EXACT($AG17,FormFields[[#Headers],[R1]]),"nest_relation1",""),VLOOKUP(FormFields[[#This Row],[Rel1]],RelationTable[[Display]:[RELID]],2,0))</f>
        <v/>
      </c>
      <c r="AH18" s="77" t="str">
        <f>IF(FormFields[[#This Row],[Rel2]]="",IF(EXACT($AH17,FormFields[[#Headers],[R2]]),"nest_relation2",""),VLOOKUP(FormFields[[#This Row],[Rel2]],RelationTable[[Display]:[RELID]],2,0))</f>
        <v/>
      </c>
      <c r="AI18" s="77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0</v>
      </c>
      <c r="AK18" s="70" t="str">
        <f>'Table Seed Map'!$A$13&amp;"-"&amp;COUNTIF($AJ$2:FormFields[[#This Row],[Exists FO]],1)</f>
        <v>Field Options-4</v>
      </c>
      <c r="AL18" s="70">
        <f>IF(FormFields[[#This Row],[Exists FO]]=0,$AL17,IF($AL17=0,IF(ISNUMBER(VLOOKUP('Table Seed Map'!$A$13,SeedMap[],9,0)),VLOOKUP('Table Seed Map'!$A$13,SeedMap[],9,0)+1,1),IFERROR($AL17+1,0)))</f>
        <v>50004</v>
      </c>
      <c r="AM18" s="70">
        <f>FormFields[[#This Row],[NO4]]</f>
        <v>50004</v>
      </c>
      <c r="AN18" s="78">
        <f>[ID]</f>
        <v>50016</v>
      </c>
      <c r="AO18" s="79"/>
      <c r="AP18" s="79"/>
      <c r="AQ18" s="79"/>
      <c r="AR18" s="79"/>
      <c r="AS18" s="79"/>
      <c r="AT18" s="70">
        <f>IF(OR(FormFields[[#This Row],[Colspan]]="",FormFields[[#This Row],[Colspan]]="colspan"),0,1)</f>
        <v>0</v>
      </c>
      <c r="AU18" s="70" t="str">
        <f>'Table Seed Map'!$A$18&amp;"-"&amp;SUM($AT$2:FormFields[[#This Row],[Exists FL]])</f>
        <v>Form Layout-3</v>
      </c>
      <c r="AV18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0" t="str">
        <f>FormFields[[#This Row],[NO8]]</f>
        <v/>
      </c>
      <c r="AX18" s="70">
        <f>[Form]</f>
        <v>50007</v>
      </c>
      <c r="AY18" s="70">
        <f>[ID]</f>
        <v>50016</v>
      </c>
      <c r="AZ18" s="80"/>
    </row>
    <row r="19" spans="13:52">
      <c r="M19" s="68" t="str">
        <f>'Table Seed Map'!$A$11&amp;"-"&amp;(COUNTA($Q$1:FormFields[[#This Row],[ID]])-2)</f>
        <v>Form Fields-17</v>
      </c>
      <c r="N19" s="69" t="s">
        <v>711</v>
      </c>
      <c r="O19" s="70">
        <f>IF(FormFields[[#This Row],[Form Name]]="","id",COUNTA($N$3:FormFields[[#This Row],[Form Name]])+IF(VLOOKUP('Table Seed Map'!$A$11,SeedMap[],9,0),VLOOKUP('Table Seed Map'!$A$11,SeedMap[],9,0),0))</f>
        <v>50017</v>
      </c>
      <c r="P19" s="68" t="str">
        <f>FormFields[[#This Row],[Form Name]]&amp;"/"&amp;FormFields[[#This Row],[Name]]</f>
        <v>WishlistNote/AddWishlistNote/note</v>
      </c>
      <c r="Q19" s="70">
        <f>FormFields[[#This Row],[No]]</f>
        <v>50017</v>
      </c>
      <c r="R19" s="71">
        <f>VLOOKUP(FormFields[[#This Row],[Form Name]],ResourceForms[[FormName]:[No]],2,0)</f>
        <v>50007</v>
      </c>
      <c r="S19" s="72" t="s">
        <v>479</v>
      </c>
      <c r="T19" s="72" t="s">
        <v>698</v>
      </c>
      <c r="U19" s="72" t="s">
        <v>703</v>
      </c>
      <c r="V19" s="73"/>
      <c r="W19" s="73"/>
      <c r="X19" s="73"/>
      <c r="Y19" s="73"/>
      <c r="Z19" s="74" t="str">
        <f>'Table Seed Map'!$A$12&amp;"-"&amp;(COUNTIF($AB$2:FormFields[[#This Row],[Exists]],1)-1)</f>
        <v>Field Data-17</v>
      </c>
      <c r="AA19" s="75">
        <f>COUNTIF($AB$2:FormFields[[#This Row],[Exists]],1)-1+VLOOKUP('Table Seed Map'!$A$11,SeedMap[],9,0)</f>
        <v>50017</v>
      </c>
      <c r="AB19" s="75">
        <f>IF(AND(FormFields[[#This Row],[Attribute]]="",FormFields[[#This Row],[Relation]]=""),0,1)</f>
        <v>1</v>
      </c>
      <c r="AC19" s="75">
        <f>FormFields[[#This Row],[NO2]]</f>
        <v>50017</v>
      </c>
      <c r="AD19" s="76">
        <f>[ID]</f>
        <v>50017</v>
      </c>
      <c r="AE19" s="75" t="str">
        <f>[Name]</f>
        <v>note</v>
      </c>
      <c r="AF19" s="77" t="str">
        <f>IF(FormFields[[#This Row],[Rel]]="",IF(EXACT($AF18,FormFields[[#Headers],[Relation]]),"relation",""),VLOOKUP(FormFields[[#This Row],[Rel]],RelationTable[[Display]:[RELID]],2,0))</f>
        <v/>
      </c>
      <c r="AG19" s="77" t="str">
        <f>IF(FormFields[[#This Row],[Rel1]]="",IF(EXACT($AG18,FormFields[[#Headers],[R1]]),"nest_relation1",""),VLOOKUP(FormFields[[#This Row],[Rel1]],RelationTable[[Display]:[RELID]],2,0))</f>
        <v/>
      </c>
      <c r="AH19" s="77" t="str">
        <f>IF(FormFields[[#This Row],[Rel2]]="",IF(EXACT($AH18,FormFields[[#Headers],[R2]]),"nest_relation2",""),VLOOKUP(FormFields[[#This Row],[Rel2]],RelationTable[[Display]:[RELID]],2,0))</f>
        <v/>
      </c>
      <c r="AI19" s="77" t="str">
        <f>IF(FormFields[[#This Row],[Rel3]]="",IF(EXACT($AI18,FormFields[[#Headers],[R3]]),"nest_relation3",""),VLOOKUP(FormFields[[#This Row],[Rel3]],RelationTable[[Display]:[RELID]],2,0))</f>
        <v/>
      </c>
      <c r="AJ19" s="70">
        <f>IF(OR(FormFields[[#This Row],[Option Type]]="",FormFields[[#This Row],[Option Type]]="type"),0,1)</f>
        <v>0</v>
      </c>
      <c r="AK19" s="70" t="str">
        <f>'Table Seed Map'!$A$13&amp;"-"&amp;COUNTIF($AJ$2:FormFields[[#This Row],[Exists FO]],1)</f>
        <v>Field Options-4</v>
      </c>
      <c r="AL19" s="70">
        <f>IF(FormFields[[#This Row],[Exists FO]]=0,$AL18,IF($AL18=0,IF(ISNUMBER(VLOOKUP('Table Seed Map'!$A$13,SeedMap[],9,0)),VLOOKUP('Table Seed Map'!$A$13,SeedMap[],9,0)+1,1),IFERROR($AL18+1,0)))</f>
        <v>50004</v>
      </c>
      <c r="AM19" s="70">
        <f>FormFields[[#This Row],[NO4]]</f>
        <v>50004</v>
      </c>
      <c r="AN19" s="78">
        <f>[ID]</f>
        <v>50017</v>
      </c>
      <c r="AO19" s="79"/>
      <c r="AP19" s="79"/>
      <c r="AQ19" s="79"/>
      <c r="AR19" s="79"/>
      <c r="AS19" s="79"/>
      <c r="AT19" s="70">
        <f>IF(OR(FormFields[[#This Row],[Colspan]]="",FormFields[[#This Row],[Colspan]]="colspan"),0,1)</f>
        <v>0</v>
      </c>
      <c r="AU19" s="70" t="str">
        <f>'Table Seed Map'!$A$18&amp;"-"&amp;SUM($AT$2:FormFields[[#This Row],[Exists FL]])</f>
        <v>Form Layout-3</v>
      </c>
      <c r="AV19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0" t="str">
        <f>FormFields[[#This Row],[NO8]]</f>
        <v/>
      </c>
      <c r="AX19" s="70">
        <f>[Form]</f>
        <v>50007</v>
      </c>
      <c r="AY19" s="70">
        <f>[ID]</f>
        <v>50017</v>
      </c>
      <c r="AZ19" s="80"/>
    </row>
    <row r="20" spans="13:52">
      <c r="M20" s="81" t="str">
        <f>'Table Seed Map'!$A$11&amp;"-"&amp;(COUNTA($Q$1:FormFields[[#This Row],[ID]])-2)</f>
        <v>Form Fields-18</v>
      </c>
      <c r="N20" s="82" t="s">
        <v>712</v>
      </c>
      <c r="O20" s="83">
        <f>IF(FormFields[[#This Row],[Form Name]]="","id",COUNTA($N$3:FormFields[[#This Row],[Form Name]])+IF(VLOOKUP('Table Seed Map'!$A$11,SeedMap[],9,0),VLOOKUP('Table Seed Map'!$A$11,SeedMap[],9,0),0))</f>
        <v>50018</v>
      </c>
      <c r="P20" s="81" t="str">
        <f>FormFields[[#This Row],[Form Name]]&amp;"/"&amp;FormFields[[#This Row],[Name]]</f>
        <v>GroupDetail/ChangeItemGroupWebListForm/list</v>
      </c>
      <c r="Q20" s="83">
        <f>FormFields[[#This Row],[No]]</f>
        <v>50018</v>
      </c>
      <c r="R20" s="84">
        <f>VLOOKUP(FormFields[[#This Row],[Form Name]],ResourceForms[[FormName]:[No]],2,0)</f>
        <v>50008</v>
      </c>
      <c r="S20" s="85" t="s">
        <v>52</v>
      </c>
      <c r="T20" s="85" t="s">
        <v>692</v>
      </c>
      <c r="U20" s="85" t="s">
        <v>704</v>
      </c>
      <c r="V20" s="86"/>
      <c r="W20" s="86"/>
      <c r="X20" s="86"/>
      <c r="Y20" s="86"/>
      <c r="Z20" s="87" t="str">
        <f>'Table Seed Map'!$A$12&amp;"-"&amp;(COUNTIF($AB$2:FormFields[[#This Row],[Exists]],1)-1)</f>
        <v>Field Data-18</v>
      </c>
      <c r="AA20" s="88">
        <f>COUNTIF($AB$2:FormFields[[#This Row],[Exists]],1)-1+VLOOKUP('Table Seed Map'!$A$11,SeedMap[],9,0)</f>
        <v>50018</v>
      </c>
      <c r="AB20" s="88">
        <f>IF(AND(FormFields[[#This Row],[Attribute]]="",FormFields[[#This Row],[Relation]]=""),0,1)</f>
        <v>1</v>
      </c>
      <c r="AC20" s="88">
        <f>FormFields[[#This Row],[NO2]]</f>
        <v>50018</v>
      </c>
      <c r="AD20" s="89">
        <f>[ID]</f>
        <v>50018</v>
      </c>
      <c r="AE20" s="88" t="str">
        <f>[Name]</f>
        <v>list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83">
        <f>IF(OR(FormFields[[#This Row],[Option Type]]="",FormFields[[#This Row],[Option Type]]="type"),0,1)</f>
        <v>1</v>
      </c>
      <c r="AK20" s="83" t="str">
        <f>'Table Seed Map'!$A$13&amp;"-"&amp;COUNTIF($AJ$2:FormFields[[#This Row],[Exists FO]],1)</f>
        <v>Field Options-5</v>
      </c>
      <c r="AL20" s="83">
        <f>IF(FormFields[[#This Row],[Exists FO]]=0,$AL19,IF($AL19=0,IF(ISNUMBER(VLOOKUP('Table Seed Map'!$A$13,SeedMap[],9,0)),VLOOKUP('Table Seed Map'!$A$13,SeedMap[],9,0)+1,1),IFERROR($AL19+1,0)))</f>
        <v>50005</v>
      </c>
      <c r="AM20" s="83">
        <f>FormFields[[#This Row],[NO4]]</f>
        <v>50005</v>
      </c>
      <c r="AN20" s="91">
        <f>[ID]</f>
        <v>50018</v>
      </c>
      <c r="AO20" s="92" t="s">
        <v>718</v>
      </c>
      <c r="AP20" s="92"/>
      <c r="AQ20" s="92"/>
      <c r="AR20" s="92"/>
      <c r="AS20" s="92"/>
      <c r="AT20" s="83">
        <f>IF(OR(FormFields[[#This Row],[Colspan]]="",FormFields[[#This Row],[Colspan]]="colspan"),0,1)</f>
        <v>0</v>
      </c>
      <c r="AU20" s="83" t="str">
        <f>'Table Seed Map'!$A$18&amp;"-"&amp;SUM($AT$2:FormFields[[#This Row],[Exists FL]])</f>
        <v>Form Layout-3</v>
      </c>
      <c r="AV20" s="83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3" t="str">
        <f>FormFields[[#This Row],[NO8]]</f>
        <v/>
      </c>
      <c r="AX20" s="83">
        <f>[Form]</f>
        <v>50008</v>
      </c>
      <c r="AY20" s="83">
        <f>[ID]</f>
        <v>50018</v>
      </c>
      <c r="AZ20" s="93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G1" workbookViewId="0">
      <selection activeCell="H9" sqref="H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1004</v>
      </c>
      <c r="C2" s="6" t="str">
        <f>MID([Filename],26,LEN([Filename])-35)</f>
        <v>group_master</v>
      </c>
      <c r="D2" s="6" t="str">
        <f t="shared" ref="D2:D13" si="0">"2019_03_11_"</f>
        <v>2019_03_11_</v>
      </c>
      <c r="E2" s="6" t="str">
        <f>TEXT(MATCH(MigrationRenamer[[#This Row],[Table]],Tables[Table],0),"000000")</f>
        <v>000045</v>
      </c>
      <c r="F2" s="6" t="str">
        <f>RIGHT([Filename],LEN([Filename])-LEN([Date Part])-LEN([Sequence]))</f>
        <v>_create_group_master_table.php</v>
      </c>
      <c r="G2" s="6" t="str">
        <f>[Date Part]&amp;[Sequence]&amp;[Name Part]</f>
        <v>2019_03_11_000045_create_group_master_table.php</v>
      </c>
      <c r="H2" s="6" t="str">
        <f>"ren "&amp;[Filename]&amp;" "&amp;[New Name]</f>
        <v>ren 2019_02_11_000045_create_group_master_table.php 2019_03_11_000045_create_group_master_table.php</v>
      </c>
    </row>
    <row r="3" spans="1:8">
      <c r="A3" s="3">
        <f>IFERROR($A2+1,1)</f>
        <v>2</v>
      </c>
      <c r="B3" s="1" t="s">
        <v>1005</v>
      </c>
      <c r="C3" s="6" t="str">
        <f>MID([Filename],26,LEN([Filename])-35)</f>
        <v>group_details</v>
      </c>
      <c r="D3" s="6" t="str">
        <f t="shared" si="0"/>
        <v>2019_03_11_</v>
      </c>
      <c r="E3" s="6" t="str">
        <f>TEXT(MATCH(MigrationRenamer[[#This Row],[Table]],Tables[Table],0),"000000")</f>
        <v>000046</v>
      </c>
      <c r="F3" s="6" t="str">
        <f>RIGHT([Filename],LEN([Filename])-LEN([Date Part])-LEN([Sequence]))</f>
        <v>_create_group_details_table.php</v>
      </c>
      <c r="G3" s="6" t="str">
        <f>[Date Part]&amp;[Sequence]&amp;[Name Part]</f>
        <v>2019_03_11_000046_create_group_details_table.php</v>
      </c>
      <c r="H3" s="6" t="str">
        <f>"ren "&amp;[Filename]&amp;" "&amp;[New Name]</f>
        <v>ren 2019_02_11_000046_create_group_details_table.php 2019_03_11_000046_create_group_details_table.php</v>
      </c>
    </row>
    <row r="4" spans="1:8">
      <c r="A4" s="3">
        <f t="shared" ref="A4:A11" si="1">IFERROR($A3+1,1)</f>
        <v>3</v>
      </c>
      <c r="B4" s="1" t="s">
        <v>1006</v>
      </c>
      <c r="C4" s="6" t="str">
        <f>MID([Filename],26,LEN([Filename])-35)</f>
        <v>products</v>
      </c>
      <c r="D4" s="6" t="str">
        <f t="shared" si="0"/>
        <v>2019_03_11_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_create_products_table.php</v>
      </c>
      <c r="G4" s="6" t="str">
        <f>[Date Part]&amp;[Sequence]&amp;[Name Part]</f>
        <v>2019_03_11_000048_create_products_table.php</v>
      </c>
      <c r="H4" s="6" t="str">
        <f>"ren "&amp;[Filename]&amp;" "&amp;[New Name]</f>
        <v>ren 2019_02_11_000047_create_products_table.php 2019_03_11_000048_create_products_table.php</v>
      </c>
    </row>
    <row r="5" spans="1:8">
      <c r="A5" s="3">
        <f t="shared" si="1"/>
        <v>4</v>
      </c>
      <c r="B5" s="1" t="s">
        <v>1007</v>
      </c>
      <c r="C5" s="6" t="str">
        <f>MID([Filename],26,LEN([Filename])-35)</f>
        <v>product_images</v>
      </c>
      <c r="D5" s="6" t="str">
        <f t="shared" si="0"/>
        <v>2019_03_11_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_create_product_images_table.php</v>
      </c>
      <c r="G5" s="6" t="str">
        <f>[Date Part]&amp;[Sequence]&amp;[Name Part]</f>
        <v>2019_03_11_000049_create_product_images_table.php</v>
      </c>
      <c r="H5" s="6" t="str">
        <f>"ren "&amp;[Filename]&amp;" "&amp;[New Name]</f>
        <v>ren 2019_02_11_000048_create_product_images_table.php 2019_03_11_000049_create_product_images_table.php</v>
      </c>
    </row>
    <row r="6" spans="1:8">
      <c r="A6" s="3">
        <f t="shared" si="1"/>
        <v>5</v>
      </c>
      <c r="B6" s="1" t="s">
        <v>1008</v>
      </c>
      <c r="C6" s="6" t="str">
        <f>MID([Filename],26,LEN([Filename])-35)</f>
        <v>visitors</v>
      </c>
      <c r="D6" s="6" t="str">
        <f t="shared" si="0"/>
        <v>2019_03_11_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_create_visitors_table.php</v>
      </c>
      <c r="G6" s="6" t="str">
        <f>[Date Part]&amp;[Sequence]&amp;[Name Part]</f>
        <v>2019_03_11_000050_create_visitors_table.php</v>
      </c>
      <c r="H6" s="6" t="str">
        <f>"ren "&amp;[Filename]&amp;" "&amp;[New Name]</f>
        <v>ren 2019_02_11_000049_create_visitors_table.php 2019_03_11_000050_create_visitors_table.php</v>
      </c>
    </row>
    <row r="7" spans="1:8">
      <c r="A7" s="3">
        <f t="shared" si="1"/>
        <v>6</v>
      </c>
      <c r="B7" s="1" t="s">
        <v>1009</v>
      </c>
      <c r="C7" s="6" t="str">
        <f>MID([Filename],26,LEN([Filename])-35)</f>
        <v>wishlists</v>
      </c>
      <c r="D7" s="6" t="str">
        <f t="shared" si="0"/>
        <v>2019_03_11_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_create_wishlists_table.php</v>
      </c>
      <c r="G7" s="6" t="str">
        <f>[Date Part]&amp;[Sequence]&amp;[Name Part]</f>
        <v>2019_03_11_000051_create_wishlists_table.php</v>
      </c>
      <c r="H7" s="6" t="str">
        <f>"ren "&amp;[Filename]&amp;" "&amp;[New Name]</f>
        <v>ren 2019_02_11_000050_create_wishlists_table.php 2019_03_11_000051_create_wishlists_table.php</v>
      </c>
    </row>
    <row r="8" spans="1:8">
      <c r="A8" s="3">
        <f t="shared" si="1"/>
        <v>7</v>
      </c>
      <c r="B8" s="1" t="s">
        <v>1010</v>
      </c>
      <c r="C8" s="6" t="str">
        <f>MID([Filename],26,LEN([Filename])-35)</f>
        <v>wishlist_products</v>
      </c>
      <c r="D8" s="6" t="str">
        <f t="shared" si="0"/>
        <v>2019_03_11_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_create_wishlist_products_table.php</v>
      </c>
      <c r="G8" s="6" t="str">
        <f>[Date Part]&amp;[Sequence]&amp;[Name Part]</f>
        <v>2019_03_11_000052_create_wishlist_products_table.php</v>
      </c>
      <c r="H8" s="6" t="str">
        <f>"ren "&amp;[Filename]&amp;" "&amp;[New Name]</f>
        <v>ren 2019_02_11_000051_create_wishlist_products_table.php 2019_03_11_000052_create_wishlist_products_table.php</v>
      </c>
    </row>
    <row r="9" spans="1:8">
      <c r="A9" s="3">
        <f t="shared" si="1"/>
        <v>8</v>
      </c>
      <c r="B9" s="1" t="s">
        <v>1011</v>
      </c>
      <c r="C9" s="6" t="str">
        <f>MID([Filename],26,LEN([Filename])-35)</f>
        <v>visitor_wishlists</v>
      </c>
      <c r="D9" s="6" t="str">
        <f t="shared" si="0"/>
        <v>2019_03_11_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_create_visitor_wishlists_table.php</v>
      </c>
      <c r="G9" s="6" t="str">
        <f>[Date Part]&amp;[Sequence]&amp;[Name Part]</f>
        <v>2019_03_11_000053_create_visitor_wishlists_table.php</v>
      </c>
      <c r="H9" s="6" t="str">
        <f>"ren "&amp;[Filename]&amp;" "&amp;[New Name]</f>
        <v>ren 2019_02_11_000052_create_visitor_wishlists_table.php 2019_03_11_000053_create_visitor_wishlists_table.php</v>
      </c>
    </row>
    <row r="10" spans="1:8">
      <c r="A10" s="3">
        <f t="shared" si="1"/>
        <v>9</v>
      </c>
      <c r="B10" s="1" t="s">
        <v>1012</v>
      </c>
      <c r="C10" s="6" t="str">
        <f>MID([Filename],26,LEN([Filename])-35)</f>
        <v>vendor_wishlists</v>
      </c>
      <c r="D10" s="6" t="str">
        <f t="shared" si="0"/>
        <v>2019_03_11_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_create_vendor_wishlists_table.php</v>
      </c>
      <c r="G10" s="6" t="str">
        <f>[Date Part]&amp;[Sequence]&amp;[Name Part]</f>
        <v>2019_03_11_000054_create_vendor_wishlists_table.php</v>
      </c>
      <c r="H10" s="6" t="str">
        <f>"ren "&amp;[Filename]&amp;" "&amp;[New Name]</f>
        <v>ren 2019_02_11_000053_create_vendor_wishlists_table.php 2019_03_11_000054_create_vendor_wishlists_table.php</v>
      </c>
    </row>
    <row r="11" spans="1:8">
      <c r="A11" s="3">
        <f t="shared" si="1"/>
        <v>10</v>
      </c>
      <c r="B11" s="1" t="s">
        <v>1013</v>
      </c>
      <c r="C11" s="6" t="str">
        <f>MID([Filename],26,LEN([Filename])-35)</f>
        <v>wishlist_notes</v>
      </c>
      <c r="D11" s="6" t="str">
        <f t="shared" si="0"/>
        <v>2019_03_11_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_create_wishlist_notes_table.php</v>
      </c>
      <c r="G11" s="6" t="str">
        <f>[Date Part]&amp;[Sequence]&amp;[Name Part]</f>
        <v>2019_03_11_000055_create_wishlist_notes_table.php</v>
      </c>
      <c r="H11" s="6" t="str">
        <f>"ren "&amp;[Filename]&amp;" "&amp;[New Name]</f>
        <v>ren 2019_02_11_000054_create_wishlist_notes_table.php 2019_03_11_000055_create_wishlist_notes_table.php</v>
      </c>
    </row>
    <row r="12" spans="1:8">
      <c r="A12" s="60">
        <f>IFERROR($A11+1,1)</f>
        <v>11</v>
      </c>
      <c r="B12" s="4" t="s">
        <v>1014</v>
      </c>
      <c r="C12" s="7" t="str">
        <f>MID([Filename],26,LEN([Filename])-35)</f>
        <v>wishlist_product_notes</v>
      </c>
      <c r="D12" s="7" t="str">
        <f t="shared" si="0"/>
        <v>2019_03_11_</v>
      </c>
      <c r="E12" s="7" t="str">
        <f>TEXT(MATCH(MigrationRenamer[[#This Row],[Table]],Tables[Table],0),"000000")</f>
        <v>000056</v>
      </c>
      <c r="F12" s="7" t="str">
        <f>RIGHT([Filename],LEN([Filename])-LEN([Date Part])-LEN([Sequence]))</f>
        <v>_create_wishlist_product_notes_table.php</v>
      </c>
      <c r="G12" s="7" t="str">
        <f>[Date Part]&amp;[Sequence]&amp;[Name Part]</f>
        <v>2019_03_11_000056_create_wishlist_product_notes_table.php</v>
      </c>
      <c r="H12" s="7" t="str">
        <f>"ren "&amp;[Filename]&amp;" "&amp;[New Name]</f>
        <v>ren 2019_02_11_000055_create_wishlist_product_notes_table.php 2019_03_11_000056_create_wishlist_product_notes_table.php</v>
      </c>
    </row>
    <row r="13" spans="1:8">
      <c r="A13" s="60">
        <f>IFERROR($A12+1,1)</f>
        <v>12</v>
      </c>
      <c r="B13" s="4" t="s">
        <v>1015</v>
      </c>
      <c r="C13" s="7" t="str">
        <f>MID([Filename],26,LEN([Filename])-35)</f>
        <v>product_fields</v>
      </c>
      <c r="D13" s="7" t="str">
        <f t="shared" si="0"/>
        <v>2019_03_11_</v>
      </c>
      <c r="E13" s="7" t="str">
        <f>TEXT(MATCH(MigrationRenamer[[#This Row],[Table]],Tables[Table],0),"000000")</f>
        <v>000047</v>
      </c>
      <c r="F13" s="7" t="str">
        <f>RIGHT([Filename],LEN([Filename])-LEN([Date Part])-LEN([Sequence]))</f>
        <v>_create_product_fields_table.php</v>
      </c>
      <c r="G13" s="7" t="str">
        <f>[Date Part]&amp;[Sequence]&amp;[Name Part]</f>
        <v>2019_03_11_000047_create_product_fields_table.php</v>
      </c>
      <c r="H13" s="7" t="str">
        <f>"ren "&amp;[Filename]&amp;" "&amp;[New Name]</f>
        <v>ren 2019_02_19_155732_create_product_fields_table.php 2019_03_11_000047_create_product_fields_table.php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AP1" workbookViewId="0">
      <selection activeCell="AX3" sqref="AX3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647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738</v>
      </c>
      <c r="G3" s="32" t="s">
        <v>743</v>
      </c>
      <c r="H3" s="32" t="s">
        <v>722</v>
      </c>
      <c r="I3" s="32">
        <v>70</v>
      </c>
      <c r="J3" s="32"/>
      <c r="K3" s="34">
        <f>[No]</f>
        <v>50001</v>
      </c>
      <c r="M3" s="4" t="s">
        <v>761</v>
      </c>
      <c r="N3" s="7">
        <f>VLOOKUP(ListExtras[[#This Row],[List Name]],ResourceList[[ListDisplayName]:[No]],2,0)</f>
        <v>50001</v>
      </c>
      <c r="O3" s="4" t="s">
        <v>765</v>
      </c>
      <c r="P3" s="4"/>
      <c r="Q3" s="4"/>
      <c r="R3" s="4"/>
      <c r="S3" s="4"/>
      <c r="T3" s="7" t="str">
        <f>'Table Seed Map'!$A$24&amp;"-"&amp;COUNT($W$1:ListExtras[[#This Row],[Scope ID]])</f>
        <v>List Scopes-0</v>
      </c>
      <c r="U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61">
        <f>IF(ListExtras[[#This Row],[LID]]=0,"resource_list",ListExtras[[#This Row],[LID]])</f>
        <v>50001</v>
      </c>
      <c r="W3" s="61" t="str">
        <f>IFERROR(VLOOKUP(ListExtras[[#This Row],[Scope Name]],ResourceScopes[[ScopesDisplayNames]:[No]],2,0),IF(ListExtras[[#This Row],[LID]]=0,"scope",""))</f>
        <v/>
      </c>
      <c r="X3" s="7" t="str">
        <f>'Table Seed Map'!$A$25&amp;"-"&amp;COUNT($AA$1:ListExtras[[#This Row],[Relation]])</f>
        <v>List Relation-0</v>
      </c>
      <c r="Y3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1">
        <f>IF(ListExtras[[#This Row],[LID]]=0,"resource_list",ListExtras[[#This Row],[LID]])</f>
        <v>50001</v>
      </c>
      <c r="AA3" s="61" t="str">
        <f>IFERROR(VLOOKUP(ListExtras[[#This Row],[Relation Name]],RelationTable[[Display]:[RELID]],2,0),IF(ListExtras[[#This Row],[LID]]=0,"relation",""))</f>
        <v/>
      </c>
      <c r="AB3" s="61" t="str">
        <f>IFERROR(VLOOKUP(ListExtras[[#This Row],[R1 Name]],RelationTable[[Display]:[RELID]],2,0),IF(ListExtras[[#This Row],[LID]]=0,"nest_relation1",""))</f>
        <v/>
      </c>
      <c r="AC3" s="61" t="str">
        <f>IFERROR(VLOOKUP(ListExtras[[#This Row],[R2 Name]],RelationTable[[Display]:[RELID]],2,0),IF(ListExtras[[#This Row],[LID]]=0,"nest_relation2",""))</f>
        <v/>
      </c>
      <c r="AD3" s="61" t="str">
        <f>IFERROR(VLOOKUP(ListExtras[[#This Row],[R3 Name]],RelationTable[[Display]:[RELID]],2,0),IF(ListExtras[[#This Row],[LID]]=0,"nest_relation3",""))</f>
        <v/>
      </c>
      <c r="AF3" s="61" t="str">
        <f>'Table Seed Map'!$A$27&amp;"-"&amp;COUNTA($AH$1:ListSearch[[#This Row],[No]])-2</f>
        <v>List Search-1</v>
      </c>
      <c r="AG3" s="4" t="s">
        <v>761</v>
      </c>
      <c r="AH3" s="61">
        <f>IF(ListSearch[[#This Row],[List Name for Search]]="","id",IFERROR($AH2+1,IF(ISNUMBER(VLOOKUP('Table Seed Map'!$A$27,SeedMap[],9,0)),VLOOKUP('Table Seed Map'!$A$27,SeedMap[],9,0)+1,1)))</f>
        <v>50001</v>
      </c>
      <c r="AI3" s="61">
        <f>IFERROR(VLOOKUP(ListSearch[[#This Row],[List Name for Search]],ResourceList[[ListDisplayName]:[No]],2,0),"resource_list")</f>
        <v>50001</v>
      </c>
      <c r="AJ3" s="30" t="s">
        <v>26</v>
      </c>
      <c r="AK3" s="61" t="str">
        <f>IF(ListSearch[[#This Row],[List Name for Search]]="","relation",IFERROR(VLOOKUP(ListSearch[[#This Row],[Relation]],RelationTable[[Display]:[RELID]],2,0),""))</f>
        <v/>
      </c>
      <c r="AL3" s="61" t="str">
        <f>IF(ListSearch[[#This Row],[List Name for Search]]="","nest_relation1",IFERROR(VLOOKUP(ListSearch[[#This Row],[Relation 1]],RelationTable[[Display]:[RELID]],2,0),""))</f>
        <v/>
      </c>
      <c r="AM3" s="61" t="str">
        <f>IF(ListSearch[[#This Row],[List Name for Search]]="","nest_relation2",IFERROR(VLOOKUP(ListSearch[[#This Row],[Relation 2]],RelationTable[[Display]:[RELID]],2,0),""))</f>
        <v/>
      </c>
      <c r="AN3" s="61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1" t="str">
        <f>'Table Seed Map'!$A$26&amp;"-"&amp;COUNTA($AV$1:ListLayout[[#This Row],[No]])-2</f>
        <v>List Layout-1</v>
      </c>
      <c r="AU3" s="4" t="s">
        <v>761</v>
      </c>
      <c r="AV3" s="61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1">
        <f>IFERROR(VLOOKUP(ListLayout[[#This Row],[List Name for Layout]],ResourceList[[ListDisplayName]:[No]],2,0),"resource_list")</f>
        <v>50001</v>
      </c>
      <c r="AX3" s="61" t="s">
        <v>1</v>
      </c>
      <c r="AY3" s="30" t="s">
        <v>26</v>
      </c>
      <c r="AZ3" s="61" t="str">
        <f>IF(ListLayout[[#This Row],[List Name for Layout]]="","relation",IFERROR(VLOOKUP(ListLayout[[#This Row],[Relation]],RelationTable[[Display]:[RELID]],2,0),""))</f>
        <v/>
      </c>
      <c r="BA3" s="61" t="str">
        <f>IF(ListLayout[[#This Row],[List Name for Layout]]="","nest_relation1",IFERROR(VLOOKUP(ListLayout[[#This Row],[Relation 1]],RelationTable[[Display]:[RELID]],2,0),""))</f>
        <v/>
      </c>
      <c r="BB3" s="61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647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739</v>
      </c>
      <c r="G4" s="32" t="s">
        <v>744</v>
      </c>
      <c r="H4" s="32" t="s">
        <v>723</v>
      </c>
      <c r="I4" s="32">
        <v>70</v>
      </c>
      <c r="J4" s="32"/>
      <c r="K4" s="34">
        <f>[No]</f>
        <v>50002</v>
      </c>
      <c r="M4" s="4" t="s">
        <v>762</v>
      </c>
      <c r="N4" s="7">
        <f>VLOOKUP(ListExtras[[#This Row],[List Name]],ResourceList[[ListDisplayName]:[No]],2,0)</f>
        <v>50002</v>
      </c>
      <c r="O4" s="4" t="s">
        <v>767</v>
      </c>
      <c r="P4" s="4"/>
      <c r="Q4" s="4"/>
      <c r="R4" s="4"/>
      <c r="S4" s="4"/>
      <c r="T4" s="7" t="str">
        <f>'Table Seed Map'!$A$24&amp;"-"&amp;COUNT($W$1:ListExtras[[#This Row],[Scope ID]])</f>
        <v>List Scopes-0</v>
      </c>
      <c r="U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61">
        <f>IF(ListExtras[[#This Row],[LID]]=0,"resource_list",ListExtras[[#This Row],[LID]])</f>
        <v>50002</v>
      </c>
      <c r="W4" s="61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Relation-0</v>
      </c>
      <c r="Y4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1">
        <f>IF(ListExtras[[#This Row],[LID]]=0,"resource_list",ListExtras[[#This Row],[LID]])</f>
        <v>50002</v>
      </c>
      <c r="AA4" s="61" t="str">
        <f>IFERROR(VLOOKUP(ListExtras[[#This Row],[Relation Name]],RelationTable[[Display]:[RELID]],2,0),IF(ListExtras[[#This Row],[LID]]=0,"relation",""))</f>
        <v/>
      </c>
      <c r="AB4" s="61" t="str">
        <f>IFERROR(VLOOKUP(ListExtras[[#This Row],[R1 Name]],RelationTable[[Display]:[RELID]],2,0),IF(ListExtras[[#This Row],[LID]]=0,"nest_relation1",""))</f>
        <v/>
      </c>
      <c r="AC4" s="61" t="str">
        <f>IFERROR(VLOOKUP(ListExtras[[#This Row],[R2 Name]],RelationTable[[Display]:[RELID]],2,0),IF(ListExtras[[#This Row],[LID]]=0,"nest_relation2",""))</f>
        <v/>
      </c>
      <c r="AD4" s="61" t="str">
        <f>IFERROR(VLOOKUP(ListExtras[[#This Row],[R3 Name]],RelationTable[[Display]:[RELID]],2,0),IF(ListExtras[[#This Row],[LID]]=0,"nest_relation3",""))</f>
        <v/>
      </c>
      <c r="AF4" s="61" t="str">
        <f>'Table Seed Map'!$A$27&amp;"-"&amp;COUNTA($AH$1:ListSearch[[#This Row],[No]])-2</f>
        <v>List Search-2</v>
      </c>
      <c r="AG4" s="4" t="s">
        <v>762</v>
      </c>
      <c r="AH4" s="61">
        <f>IF(ListSearch[[#This Row],[List Name for Search]]="","id",IFERROR($AH3+1,IF(ISNUMBER(VLOOKUP('Table Seed Map'!$A$27,SeedMap[],9,0)),VLOOKUP('Table Seed Map'!$A$27,SeedMap[],9,0)+1,1)))</f>
        <v>50002</v>
      </c>
      <c r="AI4" s="61">
        <f>IFERROR(VLOOKUP(ListSearch[[#This Row],[List Name for Search]],ResourceList[[ListDisplayName]:[No]],2,0),"resource_list")</f>
        <v>50002</v>
      </c>
      <c r="AJ4" s="30" t="s">
        <v>26</v>
      </c>
      <c r="AK4" s="61" t="str">
        <f>IF(ListSearch[[#This Row],[List Name for Search]]="","relation",IFERROR(VLOOKUP(ListSearch[[#This Row],[Relation]],RelationTable[[Display]:[RELID]],2,0),""))</f>
        <v/>
      </c>
      <c r="AL4" s="61" t="str">
        <f>IF(ListSearch[[#This Row],[List Name for Search]]="","nest_relation1",IFERROR(VLOOKUP(ListSearch[[#This Row],[Relation 1]],RelationTable[[Display]:[RELID]],2,0),""))</f>
        <v/>
      </c>
      <c r="AM4" s="61" t="str">
        <f>IF(ListSearch[[#This Row],[List Name for Search]]="","nest_relation2",IFERROR(VLOOKUP(ListSearch[[#This Row],[Relation 2]],RelationTable[[Display]:[RELID]],2,0),""))</f>
        <v/>
      </c>
      <c r="AN4" s="61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1" t="str">
        <f>'Table Seed Map'!$A$26&amp;"-"&amp;COUNTA($AV$1:ListLayout[[#This Row],[No]])-2</f>
        <v>List Layout-2</v>
      </c>
      <c r="AU4" s="4" t="s">
        <v>761</v>
      </c>
      <c r="AV4" s="61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1">
        <f>IFERROR(VLOOKUP(ListLayout[[#This Row],[List Name for Layout]],ResourceList[[ListDisplayName]:[No]],2,0),"resource_list")</f>
        <v>50001</v>
      </c>
      <c r="AX4" s="61" t="s">
        <v>786</v>
      </c>
      <c r="AY4" s="30" t="s">
        <v>52</v>
      </c>
      <c r="AZ4" s="61" t="str">
        <f>IF(ListLayout[[#This Row],[List Name for Layout]]="","relation",IFERROR(VLOOKUP(ListLayout[[#This Row],[Relation]],RelationTable[[Display]:[RELID]],2,0),""))</f>
        <v/>
      </c>
      <c r="BA4" s="61" t="str">
        <f>IF(ListLayout[[#This Row],[List Name for Layout]]="","nest_relation1",IFERROR(VLOOKUP(ListLayout[[#This Row],[Relation 1]],RelationTable[[Display]:[RELID]],2,0),""))</f>
        <v/>
      </c>
      <c r="BB4" s="61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647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740</v>
      </c>
      <c r="G5" s="32" t="s">
        <v>745</v>
      </c>
      <c r="H5" s="32" t="s">
        <v>587</v>
      </c>
      <c r="I5" s="32">
        <v>70</v>
      </c>
      <c r="J5" s="32"/>
      <c r="K5" s="34">
        <f>[No]</f>
        <v>50003</v>
      </c>
      <c r="M5" s="4" t="s">
        <v>763</v>
      </c>
      <c r="N5" s="7">
        <f>VLOOKUP(ListExtras[[#This Row],[List Name]],ResourceList[[ListDisplayName]:[No]],2,0)</f>
        <v>50003</v>
      </c>
      <c r="O5" s="4" t="s">
        <v>766</v>
      </c>
      <c r="P5" s="4"/>
      <c r="Q5" s="4"/>
      <c r="R5" s="4"/>
      <c r="S5" s="4"/>
      <c r="T5" s="7" t="str">
        <f>'Table Seed Map'!$A$24&amp;"-"&amp;COUNT($W$1:ListExtras[[#This Row],[Scope ID]])</f>
        <v>List Scopes-0</v>
      </c>
      <c r="U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61">
        <f>IF(ListExtras[[#This Row],[LID]]=0,"resource_list",ListExtras[[#This Row],[LID]])</f>
        <v>50003</v>
      </c>
      <c r="W5" s="61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Relation-0</v>
      </c>
      <c r="Y5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1">
        <f>IF(ListExtras[[#This Row],[LID]]=0,"resource_list",ListExtras[[#This Row],[LID]])</f>
        <v>50003</v>
      </c>
      <c r="AA5" s="61" t="str">
        <f>IFERROR(VLOOKUP(ListExtras[[#This Row],[Relation Name]],RelationTable[[Display]:[RELID]],2,0),IF(ListExtras[[#This Row],[LID]]=0,"relation",""))</f>
        <v/>
      </c>
      <c r="AB5" s="61" t="str">
        <f>IFERROR(VLOOKUP(ListExtras[[#This Row],[R1 Name]],RelationTable[[Display]:[RELID]],2,0),IF(ListExtras[[#This Row],[LID]]=0,"nest_relation1",""))</f>
        <v/>
      </c>
      <c r="AC5" s="61" t="str">
        <f>IFERROR(VLOOKUP(ListExtras[[#This Row],[R2 Name]],RelationTable[[Display]:[RELID]],2,0),IF(ListExtras[[#This Row],[LID]]=0,"nest_relation2",""))</f>
        <v/>
      </c>
      <c r="AD5" s="61" t="str">
        <f>IFERROR(VLOOKUP(ListExtras[[#This Row],[R3 Name]],RelationTable[[Display]:[RELID]],2,0),IF(ListExtras[[#This Row],[LID]]=0,"nest_relation3",""))</f>
        <v/>
      </c>
      <c r="AF5" s="61" t="str">
        <f>'Table Seed Map'!$A$27&amp;"-"&amp;COUNTA($AH$1:ListSearch[[#This Row],[No]])-2</f>
        <v>List Search-3</v>
      </c>
      <c r="AG5" s="4" t="s">
        <v>763</v>
      </c>
      <c r="AH5" s="61">
        <f>IF(ListSearch[[#This Row],[List Name for Search]]="","id",IFERROR($AH4+1,IF(ISNUMBER(VLOOKUP('Table Seed Map'!$A$27,SeedMap[],9,0)),VLOOKUP('Table Seed Map'!$A$27,SeedMap[],9,0)+1,1)))</f>
        <v>50003</v>
      </c>
      <c r="AI5" s="61">
        <f>IFERROR(VLOOKUP(ListSearch[[#This Row],[List Name for Search]],ResourceList[[ListDisplayName]:[No]],2,0),"resource_list")</f>
        <v>50003</v>
      </c>
      <c r="AJ5" s="30" t="s">
        <v>26</v>
      </c>
      <c r="AK5" s="61" t="str">
        <f>IF(ListSearch[[#This Row],[List Name for Search]]="","relation",IFERROR(VLOOKUP(ListSearch[[#This Row],[Relation]],RelationTable[[Display]:[RELID]],2,0),""))</f>
        <v/>
      </c>
      <c r="AL5" s="61" t="str">
        <f>IF(ListSearch[[#This Row],[List Name for Search]]="","nest_relation1",IFERROR(VLOOKUP(ListSearch[[#This Row],[Relation 1]],RelationTable[[Display]:[RELID]],2,0),""))</f>
        <v/>
      </c>
      <c r="AM5" s="61" t="str">
        <f>IF(ListSearch[[#This Row],[List Name for Search]]="","nest_relation2",IFERROR(VLOOKUP(ListSearch[[#This Row],[Relation 2]],RelationTable[[Display]:[RELID]],2,0),""))</f>
        <v/>
      </c>
      <c r="AN5" s="61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1" t="str">
        <f>'Table Seed Map'!$A$26&amp;"-"&amp;COUNTA($AV$1:ListLayout[[#This Row],[No]])-2</f>
        <v>List Layout-3</v>
      </c>
      <c r="AU5" s="4" t="s">
        <v>761</v>
      </c>
      <c r="AV5" s="61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1">
        <f>IFERROR(VLOOKUP(ListLayout[[#This Row],[List Name for Layout]],ResourceList[[ListDisplayName]:[No]],2,0),"resource_list")</f>
        <v>50001</v>
      </c>
      <c r="AX5" s="61" t="s">
        <v>14</v>
      </c>
      <c r="AY5" s="30" t="s">
        <v>45</v>
      </c>
      <c r="AZ5" s="61" t="str">
        <f>IF(ListLayout[[#This Row],[List Name for Layout]]="","relation",IFERROR(VLOOKUP(ListLayout[[#This Row],[Relation]],RelationTable[[Display]:[RELID]],2,0),""))</f>
        <v/>
      </c>
      <c r="BA5" s="61" t="str">
        <f>IF(ListLayout[[#This Row],[List Name for Layout]]="","nest_relation1",IFERROR(VLOOKUP(ListLayout[[#This Row],[Relation 1]],RelationTable[[Display]:[RELID]],2,0),""))</f>
        <v/>
      </c>
      <c r="BB5" s="61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647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741</v>
      </c>
      <c r="G6" s="32" t="s">
        <v>742</v>
      </c>
      <c r="H6" s="32" t="s">
        <v>588</v>
      </c>
      <c r="I6" s="32">
        <v>70</v>
      </c>
      <c r="J6" s="32"/>
      <c r="K6" s="34">
        <f>[No]</f>
        <v>50004</v>
      </c>
      <c r="M6" s="4" t="s">
        <v>764</v>
      </c>
      <c r="N6" s="7">
        <f>VLOOKUP(ListExtras[[#This Row],[List Name]],ResourceList[[ListDisplayName]:[No]],2,0)</f>
        <v>50004</v>
      </c>
      <c r="O6" s="4" t="s">
        <v>768</v>
      </c>
      <c r="P6" s="4"/>
      <c r="Q6" s="4"/>
      <c r="R6" s="4"/>
      <c r="S6" s="4"/>
      <c r="T6" s="7" t="str">
        <f>'Table Seed Map'!$A$24&amp;"-"&amp;COUNT($W$1:ListExtras[[#This Row],[Scope ID]])</f>
        <v>List Scopes-0</v>
      </c>
      <c r="U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61">
        <f>IF(ListExtras[[#This Row],[LID]]=0,"resource_list",ListExtras[[#This Row],[LID]])</f>
        <v>50004</v>
      </c>
      <c r="W6" s="61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Relation-0</v>
      </c>
      <c r="Y6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1">
        <f>IF(ListExtras[[#This Row],[LID]]=0,"resource_list",ListExtras[[#This Row],[LID]])</f>
        <v>50004</v>
      </c>
      <c r="AA6" s="61" t="str">
        <f>IFERROR(VLOOKUP(ListExtras[[#This Row],[Relation Name]],RelationTable[[Display]:[RELID]],2,0),IF(ListExtras[[#This Row],[LID]]=0,"relation",""))</f>
        <v/>
      </c>
      <c r="AB6" s="61" t="str">
        <f>IFERROR(VLOOKUP(ListExtras[[#This Row],[R1 Name]],RelationTable[[Display]:[RELID]],2,0),IF(ListExtras[[#This Row],[LID]]=0,"nest_relation1",""))</f>
        <v/>
      </c>
      <c r="AC6" s="61" t="str">
        <f>IFERROR(VLOOKUP(ListExtras[[#This Row],[R2 Name]],RelationTable[[Display]:[RELID]],2,0),IF(ListExtras[[#This Row],[LID]]=0,"nest_relation2",""))</f>
        <v/>
      </c>
      <c r="AD6" s="61" t="str">
        <f>IFERROR(VLOOKUP(ListExtras[[#This Row],[R3 Name]],RelationTable[[Display]:[RELID]],2,0),IF(ListExtras[[#This Row],[LID]]=0,"nest_relation3",""))</f>
        <v/>
      </c>
      <c r="AF6" s="61" t="str">
        <f>'Table Seed Map'!$A$27&amp;"-"&amp;COUNTA($AH$1:ListSearch[[#This Row],[No]])-2</f>
        <v>List Search-4</v>
      </c>
      <c r="AG6" s="4" t="s">
        <v>764</v>
      </c>
      <c r="AH6" s="61">
        <f>IF(ListSearch[[#This Row],[List Name for Search]]="","id",IFERROR($AH5+1,IF(ISNUMBER(VLOOKUP('Table Seed Map'!$A$27,SeedMap[],9,0)),VLOOKUP('Table Seed Map'!$A$27,SeedMap[],9,0)+1,1)))</f>
        <v>50004</v>
      </c>
      <c r="AI6" s="61">
        <f>IFERROR(VLOOKUP(ListSearch[[#This Row],[List Name for Search]],ResourceList[[ListDisplayName]:[No]],2,0),"resource_list")</f>
        <v>50004</v>
      </c>
      <c r="AJ6" s="30" t="s">
        <v>26</v>
      </c>
      <c r="AK6" s="61" t="str">
        <f>IF(ListSearch[[#This Row],[List Name for Search]]="","relation",IFERROR(VLOOKUP(ListSearch[[#This Row],[Relation]],RelationTable[[Display]:[RELID]],2,0),""))</f>
        <v/>
      </c>
      <c r="AL6" s="61" t="str">
        <f>IF(ListSearch[[#This Row],[List Name for Search]]="","nest_relation1",IFERROR(VLOOKUP(ListSearch[[#This Row],[Relation 1]],RelationTable[[Display]:[RELID]],2,0),""))</f>
        <v/>
      </c>
      <c r="AM6" s="61" t="str">
        <f>IF(ListSearch[[#This Row],[List Name for Search]]="","nest_relation2",IFERROR(VLOOKUP(ListSearch[[#This Row],[Relation 2]],RelationTable[[Display]:[RELID]],2,0),""))</f>
        <v/>
      </c>
      <c r="AN6" s="61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1" t="str">
        <f>'Table Seed Map'!$A$26&amp;"-"&amp;COUNTA($AV$1:ListLayout[[#This Row],[No]])-2</f>
        <v>List Layout-4</v>
      </c>
      <c r="AU6" s="4" t="s">
        <v>761</v>
      </c>
      <c r="AV6" s="61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1">
        <f>IFERROR(VLOOKUP(ListLayout[[#This Row],[List Name for Layout]],ResourceList[[ListDisplayName]:[No]],2,0),"resource_list")</f>
        <v>50001</v>
      </c>
      <c r="AX6" s="61" t="s">
        <v>787</v>
      </c>
      <c r="AY6" s="30" t="s">
        <v>453</v>
      </c>
      <c r="AZ6" s="61" t="str">
        <f>IF(ListLayout[[#This Row],[List Name for Layout]]="","relation",IFERROR(VLOOKUP(ListLayout[[#This Row],[Relation]],RelationTable[[Display]:[RELID]],2,0),""))</f>
        <v/>
      </c>
      <c r="BA6" s="61" t="str">
        <f>IF(ListLayout[[#This Row],[List Name for Layout]]="","nest_relation1",IFERROR(VLOOKUP(ListLayout[[#This Row],[Relation 1]],RelationTable[[Display]:[RELID]],2,0),""))</f>
        <v/>
      </c>
      <c r="BB6" s="61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557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724</v>
      </c>
      <c r="G7" s="32" t="s">
        <v>725</v>
      </c>
      <c r="H7" s="32" t="s">
        <v>559</v>
      </c>
      <c r="I7" s="32"/>
      <c r="J7" s="32"/>
      <c r="K7" s="34">
        <f>[No]</f>
        <v>50005</v>
      </c>
      <c r="M7" s="4" t="s">
        <v>770</v>
      </c>
      <c r="N7" s="7">
        <f>VLOOKUP(ListExtras[[#This Row],[List Name]],ResourceList[[ListDisplayName]:[No]],2,0)</f>
        <v>50008</v>
      </c>
      <c r="O7" s="4" t="s">
        <v>769</v>
      </c>
      <c r="P7" s="4" t="s">
        <v>778</v>
      </c>
      <c r="Q7" s="4"/>
      <c r="R7" s="4"/>
      <c r="S7" s="4"/>
      <c r="T7" s="7" t="str">
        <f>'Table Seed Map'!$A$24&amp;"-"&amp;COUNT($W$1:ListExtras[[#This Row],[Scope ID]])</f>
        <v>List Scopes-1</v>
      </c>
      <c r="U7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7" s="61">
        <f>IF(ListExtras[[#This Row],[LID]]=0,"resource_list",ListExtras[[#This Row],[LID]])</f>
        <v>50008</v>
      </c>
      <c r="W7" s="61">
        <f>IFERROR(VLOOKUP(ListExtras[[#This Row],[Scope Name]],ResourceScopes[[ScopesDisplayNames]:[No]],2,0),IF(ListExtras[[#This Row],[LID]]=0,"scope",""))</f>
        <v>50002</v>
      </c>
      <c r="X7" s="7" t="str">
        <f>'Table Seed Map'!$A$25&amp;"-"&amp;COUNT($AA$1:ListExtras[[#This Row],[Relation]])</f>
        <v>List Relation-1</v>
      </c>
      <c r="Y7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1">
        <f>IF(ListExtras[[#This Row],[LID]]=0,"resource_list",ListExtras[[#This Row],[LID]])</f>
        <v>50008</v>
      </c>
      <c r="AA7" s="61">
        <f>IFERROR(VLOOKUP(ListExtras[[#This Row],[Relation Name]],RelationTable[[Display]:[RELID]],2,0),IF(ListExtras[[#This Row],[LID]]=0,"relation",""))</f>
        <v>50027</v>
      </c>
      <c r="AB7" s="61" t="str">
        <f>IFERROR(VLOOKUP(ListExtras[[#This Row],[R1 Name]],RelationTable[[Display]:[RELID]],2,0),IF(ListExtras[[#This Row],[LID]]=0,"nest_relation1",""))</f>
        <v/>
      </c>
      <c r="AC7" s="61" t="str">
        <f>IFERROR(VLOOKUP(ListExtras[[#This Row],[R2 Name]],RelationTable[[Display]:[RELID]],2,0),IF(ListExtras[[#This Row],[LID]]=0,"nest_relation2",""))</f>
        <v/>
      </c>
      <c r="AD7" s="61" t="str">
        <f>IFERROR(VLOOKUP(ListExtras[[#This Row],[R3 Name]],RelationTable[[Display]:[RELID]],2,0),IF(ListExtras[[#This Row],[LID]]=0,"nest_relation3",""))</f>
        <v/>
      </c>
      <c r="AF7" s="61" t="str">
        <f>'Table Seed Map'!$A$27&amp;"-"&amp;COUNTA($AH$1:ListSearch[[#This Row],[No]])-2</f>
        <v>List Search-5</v>
      </c>
      <c r="AG7" s="4" t="s">
        <v>771</v>
      </c>
      <c r="AH7" s="61">
        <f>IF(ListSearch[[#This Row],[List Name for Search]]="","id",IFERROR($AH6+1,IF(ISNUMBER(VLOOKUP('Table Seed Map'!$A$27,SeedMap[],9,0)),VLOOKUP('Table Seed Map'!$A$27,SeedMap[],9,0)+1,1)))</f>
        <v>50005</v>
      </c>
      <c r="AI7" s="61">
        <f>IFERROR(VLOOKUP(ListSearch[[#This Row],[List Name for Search]],ResourceList[[ListDisplayName]:[No]],2,0),"resource_list")</f>
        <v>50005</v>
      </c>
      <c r="AJ7" s="30" t="s">
        <v>28</v>
      </c>
      <c r="AK7" s="61" t="str">
        <f>IF(ListSearch[[#This Row],[List Name for Search]]="","relation",IFERROR(VLOOKUP(ListSearch[[#This Row],[Relation]],RelationTable[[Display]:[RELID]],2,0),""))</f>
        <v/>
      </c>
      <c r="AL7" s="61" t="str">
        <f>IF(ListSearch[[#This Row],[List Name for Search]]="","nest_relation1",IFERROR(VLOOKUP(ListSearch[[#This Row],[Relation 1]],RelationTable[[Display]:[RELID]],2,0),""))</f>
        <v/>
      </c>
      <c r="AM7" s="61" t="str">
        <f>IF(ListSearch[[#This Row],[List Name for Search]]="","nest_relation2",IFERROR(VLOOKUP(ListSearch[[#This Row],[Relation 2]],RelationTable[[Display]:[RELID]],2,0),""))</f>
        <v/>
      </c>
      <c r="AN7" s="61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1" t="str">
        <f>'Table Seed Map'!$A$26&amp;"-"&amp;COUNTA($AV$1:ListLayout[[#This Row],[No]])-2</f>
        <v>List Layout-5</v>
      </c>
      <c r="AU7" s="4" t="s">
        <v>762</v>
      </c>
      <c r="AV7" s="61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1">
        <f>IFERROR(VLOOKUP(ListLayout[[#This Row],[List Name for Layout]],ResourceList[[ListDisplayName]:[No]],2,0),"resource_list")</f>
        <v>50002</v>
      </c>
      <c r="AX7" s="61" t="s">
        <v>1</v>
      </c>
      <c r="AY7" s="30" t="s">
        <v>26</v>
      </c>
      <c r="AZ7" s="61" t="str">
        <f>IF(ListLayout[[#This Row],[List Name for Layout]]="","relation",IFERROR(VLOOKUP(ListLayout[[#This Row],[Relation]],RelationTable[[Display]:[RELID]],2,0),""))</f>
        <v/>
      </c>
      <c r="BA7" s="61" t="str">
        <f>IF(ListLayout[[#This Row],[List Name for Layout]]="","nest_relation1",IFERROR(VLOOKUP(ListLayout[[#This Row],[Relation 1]],RelationTable[[Display]:[RELID]],2,0),""))</f>
        <v/>
      </c>
      <c r="BB7" s="61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563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726</v>
      </c>
      <c r="G8" s="32" t="s">
        <v>727</v>
      </c>
      <c r="H8" s="32" t="s">
        <v>565</v>
      </c>
      <c r="I8" s="32"/>
      <c r="J8" s="32"/>
      <c r="K8" s="34">
        <f>[No]</f>
        <v>50006</v>
      </c>
      <c r="M8" s="4" t="s">
        <v>771</v>
      </c>
      <c r="N8" s="7">
        <f>VLOOKUP(ListExtras[[#This Row],[List Name]],ResourceList[[ListDisplayName]:[No]],2,0)</f>
        <v>50005</v>
      </c>
      <c r="O8" s="4"/>
      <c r="P8" s="4" t="s">
        <v>772</v>
      </c>
      <c r="Q8" s="4"/>
      <c r="R8" s="4"/>
      <c r="S8" s="4"/>
      <c r="T8" s="7" t="str">
        <f>'Table Seed Map'!$A$24&amp;"-"&amp;COUNT($W$1:ListExtras[[#This Row],[Scope ID]])</f>
        <v>List Scopes-1</v>
      </c>
      <c r="U8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1">
        <f>IF(ListExtras[[#This Row],[LID]]=0,"resource_list",ListExtras[[#This Row],[LID]])</f>
        <v>50005</v>
      </c>
      <c r="W8" s="61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1">
        <f>IF(ListExtras[[#This Row],[LID]]=0,"resource_list",ListExtras[[#This Row],[LID]])</f>
        <v>50005</v>
      </c>
      <c r="AA8" s="61">
        <f>IFERROR(VLOOKUP(ListExtras[[#This Row],[Relation Name]],RelationTable[[Display]:[RELID]],2,0),IF(ListExtras[[#This Row],[LID]]=0,"relation",""))</f>
        <v>50013</v>
      </c>
      <c r="AB8" s="61" t="str">
        <f>IFERROR(VLOOKUP(ListExtras[[#This Row],[R1 Name]],RelationTable[[Display]:[RELID]],2,0),IF(ListExtras[[#This Row],[LID]]=0,"nest_relation1",""))</f>
        <v/>
      </c>
      <c r="AC8" s="61" t="str">
        <f>IFERROR(VLOOKUP(ListExtras[[#This Row],[R2 Name]],RelationTable[[Display]:[RELID]],2,0),IF(ListExtras[[#This Row],[LID]]=0,"nest_relation2",""))</f>
        <v/>
      </c>
      <c r="AD8" s="61" t="str">
        <f>IFERROR(VLOOKUP(ListExtras[[#This Row],[R3 Name]],RelationTable[[Display]:[RELID]],2,0),IF(ListExtras[[#This Row],[LID]]=0,"nest_relation3",""))</f>
        <v/>
      </c>
      <c r="AF8" s="61" t="str">
        <f>'Table Seed Map'!$A$27&amp;"-"&amp;COUNTA($AH$1:ListSearch[[#This Row],[No]])-2</f>
        <v>List Search-6</v>
      </c>
      <c r="AG8" s="4" t="s">
        <v>784</v>
      </c>
      <c r="AH8" s="61">
        <f>IF(ListSearch[[#This Row],[List Name for Search]]="","id",IFERROR($AH7+1,IF(ISNUMBER(VLOOKUP('Table Seed Map'!$A$27,SeedMap[],9,0)),VLOOKUP('Table Seed Map'!$A$27,SeedMap[],9,0)+1,1)))</f>
        <v>50006</v>
      </c>
      <c r="AI8" s="61">
        <f>IFERROR(VLOOKUP(ListSearch[[#This Row],[List Name for Search]],ResourceList[[ListDisplayName]:[No]],2,0),"resource_list")</f>
        <v>50006</v>
      </c>
      <c r="AJ8" s="30" t="s">
        <v>26</v>
      </c>
      <c r="AK8" s="61" t="str">
        <f>IF(ListSearch[[#This Row],[List Name for Search]]="","relation",IFERROR(VLOOKUP(ListSearch[[#This Row],[Relation]],RelationTable[[Display]:[RELID]],2,0),""))</f>
        <v/>
      </c>
      <c r="AL8" s="61" t="str">
        <f>IF(ListSearch[[#This Row],[List Name for Search]]="","nest_relation1",IFERROR(VLOOKUP(ListSearch[[#This Row],[Relation 1]],RelationTable[[Display]:[RELID]],2,0),""))</f>
        <v/>
      </c>
      <c r="AM8" s="61" t="str">
        <f>IF(ListSearch[[#This Row],[List Name for Search]]="","nest_relation2",IFERROR(VLOOKUP(ListSearch[[#This Row],[Relation 2]],RelationTable[[Display]:[RELID]],2,0),""))</f>
        <v/>
      </c>
      <c r="AN8" s="61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1" t="str">
        <f>'Table Seed Map'!$A$26&amp;"-"&amp;COUNTA($AV$1:ListLayout[[#This Row],[No]])-2</f>
        <v>List Layout-6</v>
      </c>
      <c r="AU8" s="4" t="s">
        <v>762</v>
      </c>
      <c r="AV8" s="61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1">
        <f>IFERROR(VLOOKUP(ListLayout[[#This Row],[List Name for Layout]],ResourceList[[ListDisplayName]:[No]],2,0),"resource_list")</f>
        <v>50002</v>
      </c>
      <c r="AX8" s="61" t="s">
        <v>786</v>
      </c>
      <c r="AY8" s="30" t="s">
        <v>52</v>
      </c>
      <c r="AZ8" s="61" t="str">
        <f>IF(ListLayout[[#This Row],[List Name for Layout]]="","relation",IFERROR(VLOOKUP(ListLayout[[#This Row],[Relation]],RelationTable[[Display]:[RELID]],2,0),""))</f>
        <v/>
      </c>
      <c r="BA8" s="61" t="str">
        <f>IF(ListLayout[[#This Row],[List Name for Layout]]="","nest_relation1",IFERROR(VLOOKUP(ListLayout[[#This Row],[Relation 1]],RelationTable[[Display]:[RELID]],2,0),""))</f>
        <v/>
      </c>
      <c r="BB8" s="61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566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728</v>
      </c>
      <c r="G9" s="32" t="s">
        <v>729</v>
      </c>
      <c r="H9" s="32" t="s">
        <v>568</v>
      </c>
      <c r="I9" s="32"/>
      <c r="J9" s="32"/>
      <c r="K9" s="34">
        <f>[No]</f>
        <v>50007</v>
      </c>
      <c r="M9" s="4" t="s">
        <v>771</v>
      </c>
      <c r="N9" s="7">
        <f>VLOOKUP(ListExtras[[#This Row],[List Name]],ResourceList[[ListDisplayName]:[No]],2,0)</f>
        <v>50005</v>
      </c>
      <c r="O9" s="4"/>
      <c r="P9" s="4" t="s">
        <v>773</v>
      </c>
      <c r="Q9" s="4"/>
      <c r="R9" s="4"/>
      <c r="S9" s="4"/>
      <c r="T9" s="7" t="str">
        <f>'Table Seed Map'!$A$24&amp;"-"&amp;COUNT($W$1:ListExtras[[#This Row],[Scope ID]])</f>
        <v>List Scopes-1</v>
      </c>
      <c r="U9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1">
        <f>IF(ListExtras[[#This Row],[LID]]=0,"resource_list",ListExtras[[#This Row],[LID]])</f>
        <v>50005</v>
      </c>
      <c r="W9" s="61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1">
        <f>IF(ListExtras[[#This Row],[LID]]=0,"resource_list",ListExtras[[#This Row],[LID]])</f>
        <v>50005</v>
      </c>
      <c r="AA9" s="61">
        <f>IFERROR(VLOOKUP(ListExtras[[#This Row],[Relation Name]],RelationTable[[Display]:[RELID]],2,0),IF(ListExtras[[#This Row],[LID]]=0,"relation",""))</f>
        <v>50014</v>
      </c>
      <c r="AB9" s="61" t="str">
        <f>IFERROR(VLOOKUP(ListExtras[[#This Row],[R1 Name]],RelationTable[[Display]:[RELID]],2,0),IF(ListExtras[[#This Row],[LID]]=0,"nest_relation1",""))</f>
        <v/>
      </c>
      <c r="AC9" s="61" t="str">
        <f>IFERROR(VLOOKUP(ListExtras[[#This Row],[R2 Name]],RelationTable[[Display]:[RELID]],2,0),IF(ListExtras[[#This Row],[LID]]=0,"nest_relation2",""))</f>
        <v/>
      </c>
      <c r="AD9" s="61" t="str">
        <f>IFERROR(VLOOKUP(ListExtras[[#This Row],[R3 Name]],RelationTable[[Display]:[RELID]],2,0),IF(ListExtras[[#This Row],[LID]]=0,"nest_relation3",""))</f>
        <v/>
      </c>
      <c r="AF9" s="61" t="str">
        <f>'Table Seed Map'!$A$27&amp;"-"&amp;COUNTA($AH$1:ListSearch[[#This Row],[No]])-2</f>
        <v>List Search-7</v>
      </c>
      <c r="AG9" s="4" t="s">
        <v>784</v>
      </c>
      <c r="AH9" s="61">
        <f>IF(ListSearch[[#This Row],[List Name for Search]]="","id",IFERROR($AH8+1,IF(ISNUMBER(VLOOKUP('Table Seed Map'!$A$27,SeedMap[],9,0)),VLOOKUP('Table Seed Map'!$A$27,SeedMap[],9,0)+1,1)))</f>
        <v>50007</v>
      </c>
      <c r="AI9" s="61">
        <f>IFERROR(VLOOKUP(ListSearch[[#This Row],[List Name for Search]],ResourceList[[ListDisplayName]:[No]],2,0),"resource_list")</f>
        <v>50006</v>
      </c>
      <c r="AJ9" s="30" t="s">
        <v>101</v>
      </c>
      <c r="AK9" s="61" t="str">
        <f>IF(ListSearch[[#This Row],[List Name for Search]]="","relation",IFERROR(VLOOKUP(ListSearch[[#This Row],[Relation]],RelationTable[[Display]:[RELID]],2,0),""))</f>
        <v/>
      </c>
      <c r="AL9" s="61" t="str">
        <f>IF(ListSearch[[#This Row],[List Name for Search]]="","nest_relation1",IFERROR(VLOOKUP(ListSearch[[#This Row],[Relation 1]],RelationTable[[Display]:[RELID]],2,0),""))</f>
        <v/>
      </c>
      <c r="AM9" s="61" t="str">
        <f>IF(ListSearch[[#This Row],[List Name for Search]]="","nest_relation2",IFERROR(VLOOKUP(ListSearch[[#This Row],[Relation 2]],RelationTable[[Display]:[RELID]],2,0),""))</f>
        <v/>
      </c>
      <c r="AN9" s="61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1" t="str">
        <f>'Table Seed Map'!$A$26&amp;"-"&amp;COUNTA($AV$1:ListLayout[[#This Row],[No]])-2</f>
        <v>List Layout-7</v>
      </c>
      <c r="AU9" s="4" t="s">
        <v>762</v>
      </c>
      <c r="AV9" s="61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1">
        <f>IFERROR(VLOOKUP(ListLayout[[#This Row],[List Name for Layout]],ResourceList[[ListDisplayName]:[No]],2,0),"resource_list")</f>
        <v>50002</v>
      </c>
      <c r="AX9" s="61" t="s">
        <v>14</v>
      </c>
      <c r="AY9" s="30" t="s">
        <v>45</v>
      </c>
      <c r="AZ9" s="61" t="str">
        <f>IF(ListLayout[[#This Row],[List Name for Layout]]="","relation",IFERROR(VLOOKUP(ListLayout[[#This Row],[Relation]],RelationTable[[Display]:[RELID]],2,0),""))</f>
        <v/>
      </c>
      <c r="BA9" s="61" t="str">
        <f>IF(ListLayout[[#This Row],[List Name for Layout]]="","nest_relation1",IFERROR(VLOOKUP(ListLayout[[#This Row],[Relation 1]],RelationTable[[Display]:[RELID]],2,0),""))</f>
        <v/>
      </c>
      <c r="BB9" s="61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566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569</v>
      </c>
      <c r="G10" s="32" t="s">
        <v>730</v>
      </c>
      <c r="H10" s="32" t="s">
        <v>568</v>
      </c>
      <c r="I10" s="32"/>
      <c r="J10" s="32"/>
      <c r="K10" s="34">
        <f>[No]</f>
        <v>50008</v>
      </c>
      <c r="M10" s="4" t="s">
        <v>771</v>
      </c>
      <c r="N10" s="7">
        <f>VLOOKUP(ListExtras[[#This Row],[List Name]],ResourceList[[ListDisplayName]:[No]],2,0)</f>
        <v>50005</v>
      </c>
      <c r="O10" s="4"/>
      <c r="P10" s="4" t="s">
        <v>774</v>
      </c>
      <c r="Q10" s="4"/>
      <c r="R10" s="4"/>
      <c r="S10" s="4"/>
      <c r="T10" s="7" t="str">
        <f>'Table Seed Map'!$A$24&amp;"-"&amp;COUNT($W$1:ListExtras[[#This Row],[Scope ID]])</f>
        <v>List Scopes-1</v>
      </c>
      <c r="U10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1">
        <f>IF(ListExtras[[#This Row],[LID]]=0,"resource_list",ListExtras[[#This Row],[LID]])</f>
        <v>50005</v>
      </c>
      <c r="W10" s="61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1">
        <f>IF(ListExtras[[#This Row],[LID]]=0,"resource_list",ListExtras[[#This Row],[LID]])</f>
        <v>50005</v>
      </c>
      <c r="AA10" s="61">
        <f>IFERROR(VLOOKUP(ListExtras[[#This Row],[Relation Name]],RelationTable[[Display]:[RELID]],2,0),IF(ListExtras[[#This Row],[LID]]=0,"relation",""))</f>
        <v>50015</v>
      </c>
      <c r="AB10" s="61" t="str">
        <f>IFERROR(VLOOKUP(ListExtras[[#This Row],[R1 Name]],RelationTable[[Display]:[RELID]],2,0),IF(ListExtras[[#This Row],[LID]]=0,"nest_relation1",""))</f>
        <v/>
      </c>
      <c r="AC10" s="61" t="str">
        <f>IFERROR(VLOOKUP(ListExtras[[#This Row],[R2 Name]],RelationTable[[Display]:[RELID]],2,0),IF(ListExtras[[#This Row],[LID]]=0,"nest_relation2",""))</f>
        <v/>
      </c>
      <c r="AD10" s="61" t="str">
        <f>IFERROR(VLOOKUP(ListExtras[[#This Row],[R3 Name]],RelationTable[[Display]:[RELID]],2,0),IF(ListExtras[[#This Row],[LID]]=0,"nest_relation3",""))</f>
        <v/>
      </c>
      <c r="AF10" s="61" t="str">
        <f>'Table Seed Map'!$A$27&amp;"-"&amp;COUNTA($AH$1:ListSearch[[#This Row],[No]])-2</f>
        <v>List Search-8</v>
      </c>
      <c r="AG10" s="4" t="s">
        <v>784</v>
      </c>
      <c r="AH10" s="61">
        <f>IF(ListSearch[[#This Row],[List Name for Search]]="","id",IFERROR($AH9+1,IF(ISNUMBER(VLOOKUP('Table Seed Map'!$A$27,SeedMap[],9,0)),VLOOKUP('Table Seed Map'!$A$27,SeedMap[],9,0)+1,1)))</f>
        <v>50008</v>
      </c>
      <c r="AI10" s="61">
        <f>IFERROR(VLOOKUP(ListSearch[[#This Row],[List Name for Search]],ResourceList[[ListDisplayName]:[No]],2,0),"resource_list")</f>
        <v>50006</v>
      </c>
      <c r="AJ10" s="30" t="s">
        <v>471</v>
      </c>
      <c r="AK10" s="61" t="str">
        <f>IF(ListSearch[[#This Row],[List Name for Search]]="","relation",IFERROR(VLOOKUP(ListSearch[[#This Row],[Relation]],RelationTable[[Display]:[RELID]],2,0),""))</f>
        <v/>
      </c>
      <c r="AL10" s="61" t="str">
        <f>IF(ListSearch[[#This Row],[List Name for Search]]="","nest_relation1",IFERROR(VLOOKUP(ListSearch[[#This Row],[Relation 1]],RelationTable[[Display]:[RELID]],2,0),""))</f>
        <v/>
      </c>
      <c r="AM10" s="61" t="str">
        <f>IF(ListSearch[[#This Row],[List Name for Search]]="","nest_relation2",IFERROR(VLOOKUP(ListSearch[[#This Row],[Relation 2]],RelationTable[[Display]:[RELID]],2,0),""))</f>
        <v/>
      </c>
      <c r="AN10" s="61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1" t="str">
        <f>'Table Seed Map'!$A$26&amp;"-"&amp;COUNTA($AV$1:ListLayout[[#This Row],[No]])-2</f>
        <v>List Layout-8</v>
      </c>
      <c r="AU10" s="4" t="s">
        <v>762</v>
      </c>
      <c r="AV10" s="61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1">
        <f>IFERROR(VLOOKUP(ListLayout[[#This Row],[List Name for Layout]],ResourceList[[ListDisplayName]:[No]],2,0),"resource_list")</f>
        <v>50002</v>
      </c>
      <c r="AX10" s="61" t="s">
        <v>787</v>
      </c>
      <c r="AY10" s="30" t="s">
        <v>453</v>
      </c>
      <c r="AZ10" s="61" t="str">
        <f>IF(ListLayout[[#This Row],[List Name for Layout]]="","relation",IFERROR(VLOOKUP(ListLayout[[#This Row],[Relation]],RelationTable[[Display]:[RELID]],2,0),""))</f>
        <v/>
      </c>
      <c r="BA10" s="61" t="str">
        <f>IF(ListLayout[[#This Row],[List Name for Layout]]="","nest_relation1",IFERROR(VLOOKUP(ListLayout[[#This Row],[Relation 1]],RelationTable[[Display]:[RELID]],2,0),""))</f>
        <v/>
      </c>
      <c r="BB10" s="61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573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731</v>
      </c>
      <c r="G11" s="32" t="s">
        <v>732</v>
      </c>
      <c r="H11" s="32" t="s">
        <v>733</v>
      </c>
      <c r="I11" s="32"/>
      <c r="J11" s="32"/>
      <c r="K11" s="34">
        <f>[No]</f>
        <v>50009</v>
      </c>
      <c r="M11" s="4" t="s">
        <v>771</v>
      </c>
      <c r="N11" s="7">
        <f>VLOOKUP(ListExtras[[#This Row],[List Name]],ResourceList[[ListDisplayName]:[No]],2,0)</f>
        <v>50005</v>
      </c>
      <c r="O11" s="4"/>
      <c r="P11" s="4" t="s">
        <v>775</v>
      </c>
      <c r="Q11" s="4"/>
      <c r="R11" s="4"/>
      <c r="S11" s="4"/>
      <c r="T11" s="7" t="str">
        <f>'Table Seed Map'!$A$24&amp;"-"&amp;COUNT($W$1:ListExtras[[#This Row],[Scope ID]])</f>
        <v>List Scopes-1</v>
      </c>
      <c r="U11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1">
        <f>IF(ListExtras[[#This Row],[LID]]=0,"resource_list",ListExtras[[#This Row],[LID]])</f>
        <v>50005</v>
      </c>
      <c r="W11" s="61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1">
        <f>IF(ListExtras[[#This Row],[LID]]=0,"resource_list",ListExtras[[#This Row],[LID]])</f>
        <v>50005</v>
      </c>
      <c r="AA11" s="61">
        <f>IFERROR(VLOOKUP(ListExtras[[#This Row],[Relation Name]],RelationTable[[Display]:[RELID]],2,0),IF(ListExtras[[#This Row],[LID]]=0,"relation",""))</f>
        <v>50016</v>
      </c>
      <c r="AB11" s="61" t="str">
        <f>IFERROR(VLOOKUP(ListExtras[[#This Row],[R1 Name]],RelationTable[[Display]:[RELID]],2,0),IF(ListExtras[[#This Row],[LID]]=0,"nest_relation1",""))</f>
        <v/>
      </c>
      <c r="AC11" s="61" t="str">
        <f>IFERROR(VLOOKUP(ListExtras[[#This Row],[R2 Name]],RelationTable[[Display]:[RELID]],2,0),IF(ListExtras[[#This Row],[LID]]=0,"nest_relation2",""))</f>
        <v/>
      </c>
      <c r="AD11" s="61" t="str">
        <f>IFERROR(VLOOKUP(ListExtras[[#This Row],[R3 Name]],RelationTable[[Display]:[RELID]],2,0),IF(ListExtras[[#This Row],[LID]]=0,"nest_relation3",""))</f>
        <v/>
      </c>
      <c r="AF11" s="61" t="str">
        <f>'Table Seed Map'!$A$27&amp;"-"&amp;COUNTA($AH$1:ListSearch[[#This Row],[No]])-2</f>
        <v>List Search-9</v>
      </c>
      <c r="AG11" s="4" t="s">
        <v>776</v>
      </c>
      <c r="AH11" s="61">
        <f>IF(ListSearch[[#This Row],[List Name for Search]]="","id",IFERROR($AH10+1,IF(ISNUMBER(VLOOKUP('Table Seed Map'!$A$27,SeedMap[],9,0)),VLOOKUP('Table Seed Map'!$A$27,SeedMap[],9,0)+1,1)))</f>
        <v>50009</v>
      </c>
      <c r="AI11" s="61">
        <f>IFERROR(VLOOKUP(ListSearch[[#This Row],[List Name for Search]],ResourceList[[ListDisplayName]:[No]],2,0),"resource_list")</f>
        <v>50007</v>
      </c>
      <c r="AJ11" s="30" t="s">
        <v>26</v>
      </c>
      <c r="AK11" s="61" t="str">
        <f>IF(ListSearch[[#This Row],[List Name for Search]]="","relation",IFERROR(VLOOKUP(ListSearch[[#This Row],[Relation]],RelationTable[[Display]:[RELID]],2,0),""))</f>
        <v/>
      </c>
      <c r="AL11" s="61" t="str">
        <f>IF(ListSearch[[#This Row],[List Name for Search]]="","nest_relation1",IFERROR(VLOOKUP(ListSearch[[#This Row],[Relation 1]],RelationTable[[Display]:[RELID]],2,0),""))</f>
        <v/>
      </c>
      <c r="AM11" s="61" t="str">
        <f>IF(ListSearch[[#This Row],[List Name for Search]]="","nest_relation2",IFERROR(VLOOKUP(ListSearch[[#This Row],[Relation 2]],RelationTable[[Display]:[RELID]],2,0),""))</f>
        <v/>
      </c>
      <c r="AN11" s="61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1" t="str">
        <f>'Table Seed Map'!$A$26&amp;"-"&amp;COUNTA($AV$1:ListLayout[[#This Row],[No]])-2</f>
        <v>List Layout-9</v>
      </c>
      <c r="AU11" s="4" t="s">
        <v>763</v>
      </c>
      <c r="AV11" s="61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1">
        <f>IFERROR(VLOOKUP(ListLayout[[#This Row],[List Name for Layout]],ResourceList[[ListDisplayName]:[No]],2,0),"resource_list")</f>
        <v>50003</v>
      </c>
      <c r="AX11" s="61" t="s">
        <v>1</v>
      </c>
      <c r="AY11" s="30" t="s">
        <v>26</v>
      </c>
      <c r="AZ11" s="61" t="str">
        <f>IF(ListLayout[[#This Row],[List Name for Layout]]="","relation",IFERROR(VLOOKUP(ListLayout[[#This Row],[Relation]],RelationTable[[Display]:[RELID]],2,0),""))</f>
        <v/>
      </c>
      <c r="BA11" s="61" t="str">
        <f>IF(ListLayout[[#This Row],[List Name for Layout]]="","nest_relation1",IFERROR(VLOOKUP(ListLayout[[#This Row],[Relation 1]],RelationTable[[Display]:[RELID]],2,0),""))</f>
        <v/>
      </c>
      <c r="BB11" s="61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560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734</v>
      </c>
      <c r="G12" s="32" t="s">
        <v>735</v>
      </c>
      <c r="H12" s="32" t="s">
        <v>591</v>
      </c>
      <c r="I12" s="32">
        <v>10</v>
      </c>
      <c r="J12" s="32"/>
      <c r="K12" s="34">
        <f>[No]</f>
        <v>50010</v>
      </c>
      <c r="M12" s="4" t="s">
        <v>776</v>
      </c>
      <c r="N12" s="7">
        <f>VLOOKUP(ListExtras[[#This Row],[List Name]],ResourceList[[ListDisplayName]:[No]],2,0)</f>
        <v>50007</v>
      </c>
      <c r="O12" s="4"/>
      <c r="P12" s="4" t="s">
        <v>778</v>
      </c>
      <c r="Q12" s="4"/>
      <c r="R12" s="4"/>
      <c r="S12" s="4"/>
      <c r="T12" s="7" t="str">
        <f>'Table Seed Map'!$A$24&amp;"-"&amp;COUNT($W$1:ListExtras[[#This Row],[Scope ID]])</f>
        <v>List Scopes-1</v>
      </c>
      <c r="U12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1">
        <f>IF(ListExtras[[#This Row],[LID]]=0,"resource_list",ListExtras[[#This Row],[LID]])</f>
        <v>50007</v>
      </c>
      <c r="W12" s="61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1">
        <f>IF(ListExtras[[#This Row],[LID]]=0,"resource_list",ListExtras[[#This Row],[LID]])</f>
        <v>50007</v>
      </c>
      <c r="AA12" s="61">
        <f>IFERROR(VLOOKUP(ListExtras[[#This Row],[Relation Name]],RelationTable[[Display]:[RELID]],2,0),IF(ListExtras[[#This Row],[LID]]=0,"relation",""))</f>
        <v>50027</v>
      </c>
      <c r="AB12" s="61" t="str">
        <f>IFERROR(VLOOKUP(ListExtras[[#This Row],[R1 Name]],RelationTable[[Display]:[RELID]],2,0),IF(ListExtras[[#This Row],[LID]]=0,"nest_relation1",""))</f>
        <v/>
      </c>
      <c r="AC12" s="61" t="str">
        <f>IFERROR(VLOOKUP(ListExtras[[#This Row],[R2 Name]],RelationTable[[Display]:[RELID]],2,0),IF(ListExtras[[#This Row],[LID]]=0,"nest_relation2",""))</f>
        <v/>
      </c>
      <c r="AD12" s="61" t="str">
        <f>IFERROR(VLOOKUP(ListExtras[[#This Row],[R3 Name]],RelationTable[[Display]:[RELID]],2,0),IF(ListExtras[[#This Row],[LID]]=0,"nest_relation3",""))</f>
        <v/>
      </c>
      <c r="AF12" s="61" t="str">
        <f>'Table Seed Map'!$A$27&amp;"-"&amp;COUNTA($AH$1:ListSearch[[#This Row],[No]])-2</f>
        <v>List Search-10</v>
      </c>
      <c r="AG12" s="4" t="s">
        <v>776</v>
      </c>
      <c r="AH12" s="61">
        <f>IF(ListSearch[[#This Row],[List Name for Search]]="","id",IFERROR($AH11+1,IF(ISNUMBER(VLOOKUP('Table Seed Map'!$A$27,SeedMap[],9,0)),VLOOKUP('Table Seed Map'!$A$27,SeedMap[],9,0)+1,1)))</f>
        <v>50010</v>
      </c>
      <c r="AI12" s="61">
        <f>IFERROR(VLOOKUP(ListSearch[[#This Row],[List Name for Search]],ResourceList[[ListDisplayName]:[No]],2,0),"resource_list")</f>
        <v>50007</v>
      </c>
      <c r="AJ12" s="30" t="s">
        <v>28</v>
      </c>
      <c r="AK12" s="61" t="str">
        <f>IF(ListSearch[[#This Row],[List Name for Search]]="","relation",IFERROR(VLOOKUP(ListSearch[[#This Row],[Relation]],RelationTable[[Display]:[RELID]],2,0),""))</f>
        <v/>
      </c>
      <c r="AL12" s="61" t="str">
        <f>IF(ListSearch[[#This Row],[List Name for Search]]="","nest_relation1",IFERROR(VLOOKUP(ListSearch[[#This Row],[Relation 1]],RelationTable[[Display]:[RELID]],2,0),""))</f>
        <v/>
      </c>
      <c r="AM12" s="61" t="str">
        <f>IF(ListSearch[[#This Row],[List Name for Search]]="","nest_relation2",IFERROR(VLOOKUP(ListSearch[[#This Row],[Relation 2]],RelationTable[[Display]:[RELID]],2,0),""))</f>
        <v/>
      </c>
      <c r="AN12" s="61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1" t="str">
        <f>'Table Seed Map'!$A$26&amp;"-"&amp;COUNTA($AV$1:ListLayout[[#This Row],[No]])-2</f>
        <v>List Layout-10</v>
      </c>
      <c r="AU12" s="4" t="s">
        <v>763</v>
      </c>
      <c r="AV12" s="61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1">
        <f>IFERROR(VLOOKUP(ListLayout[[#This Row],[List Name for Layout]],ResourceList[[ListDisplayName]:[No]],2,0),"resource_list")</f>
        <v>50003</v>
      </c>
      <c r="AX12" s="61" t="s">
        <v>786</v>
      </c>
      <c r="AY12" s="30" t="s">
        <v>52</v>
      </c>
      <c r="AZ12" s="61" t="str">
        <f>IF(ListLayout[[#This Row],[List Name for Layout]]="","relation",IFERROR(VLOOKUP(ListLayout[[#This Row],[Relation]],RelationTable[[Display]:[RELID]],2,0),""))</f>
        <v/>
      </c>
      <c r="BA12" s="61" t="str">
        <f>IF(ListLayout[[#This Row],[List Name for Layout]]="","nest_relation1",IFERROR(VLOOKUP(ListLayout[[#This Row],[Relation 1]],RelationTable[[Display]:[RELID]],2,0),""))</f>
        <v/>
      </c>
      <c r="BB12" s="61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576</v>
      </c>
      <c r="C13" s="7" t="str">
        <f>ResourceList[[#This Row],[Resource Name]]&amp;"/"&amp;ResourceList[[#This Row],[Name]]</f>
        <v>WishlistProduct/WishlistItemsList</v>
      </c>
      <c r="D13" s="61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1">
        <f>IFERROR(VLOOKUP(ResourceList[[#This Row],[Resource Name]],ResourceTable[[RName]:[RID]],2,0),"resource")</f>
        <v>50010</v>
      </c>
      <c r="F13" s="30" t="s">
        <v>736</v>
      </c>
      <c r="G13" s="30" t="s">
        <v>737</v>
      </c>
      <c r="H13" s="30" t="s">
        <v>559</v>
      </c>
      <c r="I13" s="30"/>
      <c r="J13" s="30"/>
      <c r="K13" s="60">
        <f>[No]</f>
        <v>50011</v>
      </c>
      <c r="M13" s="4" t="s">
        <v>777</v>
      </c>
      <c r="N13" s="7">
        <f>VLOOKUP(ListExtras[[#This Row],[List Name]],ResourceList[[ListDisplayName]:[No]],2,0)</f>
        <v>50009</v>
      </c>
      <c r="O13" s="4"/>
      <c r="P13" s="4" t="s">
        <v>779</v>
      </c>
      <c r="Q13" s="4"/>
      <c r="R13" s="4"/>
      <c r="S13" s="4"/>
      <c r="T13" s="7" t="str">
        <f>'Table Seed Map'!$A$24&amp;"-"&amp;COUNT($W$1:ListExtras[[#This Row],[Scope ID]])</f>
        <v>List Scopes-1</v>
      </c>
      <c r="U1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1">
        <f>IF(ListExtras[[#This Row],[LID]]=0,"resource_list",ListExtras[[#This Row],[LID]])</f>
        <v>50009</v>
      </c>
      <c r="W13" s="61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1">
        <f>IF(ListExtras[[#This Row],[LID]]=0,"resource_list",ListExtras[[#This Row],[LID]])</f>
        <v>50009</v>
      </c>
      <c r="AA13" s="61">
        <f>IFERROR(VLOOKUP(ListExtras[[#This Row],[Relation Name]],RelationTable[[Display]:[RELID]],2,0),IF(ListExtras[[#This Row],[LID]]=0,"relation",""))</f>
        <v>50035</v>
      </c>
      <c r="AB13" s="61" t="str">
        <f>IFERROR(VLOOKUP(ListExtras[[#This Row],[R1 Name]],RelationTable[[Display]:[RELID]],2,0),IF(ListExtras[[#This Row],[LID]]=0,"nest_relation1",""))</f>
        <v/>
      </c>
      <c r="AC13" s="61" t="str">
        <f>IFERROR(VLOOKUP(ListExtras[[#This Row],[R2 Name]],RelationTable[[Display]:[RELID]],2,0),IF(ListExtras[[#This Row],[LID]]=0,"nest_relation2",""))</f>
        <v/>
      </c>
      <c r="AD13" s="61" t="str">
        <f>IFERROR(VLOOKUP(ListExtras[[#This Row],[R3 Name]],RelationTable[[Display]:[RELID]],2,0),IF(ListExtras[[#This Row],[LID]]=0,"nest_relation3",""))</f>
        <v/>
      </c>
      <c r="AF13" s="61" t="str">
        <f>'Table Seed Map'!$A$27&amp;"-"&amp;COUNTA($AH$1:ListSearch[[#This Row],[No]])-2</f>
        <v>List Search-11</v>
      </c>
      <c r="AG13" s="4" t="s">
        <v>770</v>
      </c>
      <c r="AH13" s="61">
        <f>IF(ListSearch[[#This Row],[List Name for Search]]="","id",IFERROR($AH12+1,IF(ISNUMBER(VLOOKUP('Table Seed Map'!$A$27,SeedMap[],9,0)),VLOOKUP('Table Seed Map'!$A$27,SeedMap[],9,0)+1,1)))</f>
        <v>50011</v>
      </c>
      <c r="AI13" s="61">
        <f>IFERROR(VLOOKUP(ListSearch[[#This Row],[List Name for Search]],ResourceList[[ListDisplayName]:[No]],2,0),"resource_list")</f>
        <v>50008</v>
      </c>
      <c r="AJ13" s="30" t="s">
        <v>26</v>
      </c>
      <c r="AK13" s="61" t="str">
        <f>IF(ListSearch[[#This Row],[List Name for Search]]="","relation",IFERROR(VLOOKUP(ListSearch[[#This Row],[Relation]],RelationTable[[Display]:[RELID]],2,0),""))</f>
        <v/>
      </c>
      <c r="AL13" s="61" t="str">
        <f>IF(ListSearch[[#This Row],[List Name for Search]]="","nest_relation1",IFERROR(VLOOKUP(ListSearch[[#This Row],[Relation 1]],RelationTable[[Display]:[RELID]],2,0),""))</f>
        <v/>
      </c>
      <c r="AM13" s="61" t="str">
        <f>IF(ListSearch[[#This Row],[List Name for Search]]="","nest_relation2",IFERROR(VLOOKUP(ListSearch[[#This Row],[Relation 2]],RelationTable[[Display]:[RELID]],2,0),""))</f>
        <v/>
      </c>
      <c r="AN13" s="61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1" t="str">
        <f>'Table Seed Map'!$A$26&amp;"-"&amp;COUNTA($AV$1:ListLayout[[#This Row],[No]])-2</f>
        <v>List Layout-11</v>
      </c>
      <c r="AU13" s="4" t="s">
        <v>763</v>
      </c>
      <c r="AV13" s="61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1">
        <f>IFERROR(VLOOKUP(ListLayout[[#This Row],[List Name for Layout]],ResourceList[[ListDisplayName]:[No]],2,0),"resource_list")</f>
        <v>50003</v>
      </c>
      <c r="AX13" s="61" t="s">
        <v>14</v>
      </c>
      <c r="AY13" s="30" t="s">
        <v>45</v>
      </c>
      <c r="AZ13" s="61" t="str">
        <f>IF(ListLayout[[#This Row],[List Name for Layout]]="","relation",IFERROR(VLOOKUP(ListLayout[[#This Row],[Relation]],RelationTable[[Display]:[RELID]],2,0),""))</f>
        <v/>
      </c>
      <c r="BA13" s="61" t="str">
        <f>IF(ListLayout[[#This Row],[List Name for Layout]]="","nest_relation1",IFERROR(VLOOKUP(ListLayout[[#This Row],[Relation 1]],RelationTable[[Display]:[RELID]],2,0),""))</f>
        <v/>
      </c>
      <c r="BB13" s="61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780</v>
      </c>
      <c r="N14" s="7">
        <f>VLOOKUP(ListExtras[[#This Row],[List Name]],ResourceList[[ListDisplayName]:[No]],2,0)</f>
        <v>50011</v>
      </c>
      <c r="O14" s="4"/>
      <c r="P14" s="4" t="s">
        <v>781</v>
      </c>
      <c r="Q14" s="4"/>
      <c r="R14" s="4"/>
      <c r="S14" s="4"/>
      <c r="T14" s="7" t="str">
        <f>'Table Seed Map'!$A$24&amp;"-"&amp;COUNT($W$1:ListExtras[[#This Row],[Scope ID]])</f>
        <v>List Scopes-1</v>
      </c>
      <c r="U1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1">
        <f>IF(ListExtras[[#This Row],[LID]]=0,"resource_list",ListExtras[[#This Row],[LID]])</f>
        <v>50011</v>
      </c>
      <c r="W14" s="61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1">
        <f>IF(ListExtras[[#This Row],[LID]]=0,"resource_list",ListExtras[[#This Row],[LID]])</f>
        <v>50011</v>
      </c>
      <c r="AA14" s="61">
        <f>IFERROR(VLOOKUP(ListExtras[[#This Row],[Relation Name]],RelationTable[[Display]:[RELID]],2,0),IF(ListExtras[[#This Row],[LID]]=0,"relation",""))</f>
        <v>50040</v>
      </c>
      <c r="AB14" s="61" t="str">
        <f>IFERROR(VLOOKUP(ListExtras[[#This Row],[R1 Name]],RelationTable[[Display]:[RELID]],2,0),IF(ListExtras[[#This Row],[LID]]=0,"nest_relation1",""))</f>
        <v/>
      </c>
      <c r="AC14" s="61" t="str">
        <f>IFERROR(VLOOKUP(ListExtras[[#This Row],[R2 Name]],RelationTable[[Display]:[RELID]],2,0),IF(ListExtras[[#This Row],[LID]]=0,"nest_relation2",""))</f>
        <v/>
      </c>
      <c r="AD14" s="61" t="str">
        <f>IFERROR(VLOOKUP(ListExtras[[#This Row],[R3 Name]],RelationTable[[Display]:[RELID]],2,0),IF(ListExtras[[#This Row],[LID]]=0,"nest_relation3",""))</f>
        <v/>
      </c>
      <c r="AF14" s="61" t="str">
        <f>'Table Seed Map'!$A$27&amp;"-"&amp;COUNTA($AH$1:ListSearch[[#This Row],[No]])-2</f>
        <v>List Search-12</v>
      </c>
      <c r="AG14" s="4" t="s">
        <v>770</v>
      </c>
      <c r="AH14" s="61">
        <f>IF(ListSearch[[#This Row],[List Name for Search]]="","id",IFERROR($AH13+1,IF(ISNUMBER(VLOOKUP('Table Seed Map'!$A$27,SeedMap[],9,0)),VLOOKUP('Table Seed Map'!$A$27,SeedMap[],9,0)+1,1)))</f>
        <v>50012</v>
      </c>
      <c r="AI14" s="61">
        <f>IFERROR(VLOOKUP(ListSearch[[#This Row],[List Name for Search]],ResourceList[[ListDisplayName]:[No]],2,0),"resource_list")</f>
        <v>50008</v>
      </c>
      <c r="AJ14" s="30" t="s">
        <v>28</v>
      </c>
      <c r="AK14" s="61" t="str">
        <f>IF(ListSearch[[#This Row],[List Name for Search]]="","relation",IFERROR(VLOOKUP(ListSearch[[#This Row],[Relation]],RelationTable[[Display]:[RELID]],2,0),""))</f>
        <v/>
      </c>
      <c r="AL14" s="61" t="str">
        <f>IF(ListSearch[[#This Row],[List Name for Search]]="","nest_relation1",IFERROR(VLOOKUP(ListSearch[[#This Row],[Relation 1]],RelationTable[[Display]:[RELID]],2,0),""))</f>
        <v/>
      </c>
      <c r="AM14" s="61" t="str">
        <f>IF(ListSearch[[#This Row],[List Name for Search]]="","nest_relation2",IFERROR(VLOOKUP(ListSearch[[#This Row],[Relation 2]],RelationTable[[Display]:[RELID]],2,0),""))</f>
        <v/>
      </c>
      <c r="AN14" s="61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1" t="str">
        <f>'Table Seed Map'!$A$26&amp;"-"&amp;COUNTA($AV$1:ListLayout[[#This Row],[No]])-2</f>
        <v>List Layout-12</v>
      </c>
      <c r="AU14" s="4" t="s">
        <v>763</v>
      </c>
      <c r="AV14" s="61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1">
        <f>IFERROR(VLOOKUP(ListLayout[[#This Row],[List Name for Layout]],ResourceList[[ListDisplayName]:[No]],2,0),"resource_list")</f>
        <v>50003</v>
      </c>
      <c r="AX14" s="61" t="s">
        <v>787</v>
      </c>
      <c r="AY14" s="30" t="s">
        <v>453</v>
      </c>
      <c r="AZ14" s="61" t="str">
        <f>IF(ListLayout[[#This Row],[List Name for Layout]]="","relation",IFERROR(VLOOKUP(ListLayout[[#This Row],[Relation]],RelationTable[[Display]:[RELID]],2,0),""))</f>
        <v/>
      </c>
      <c r="BA14" s="61" t="str">
        <f>IF(ListLayout[[#This Row],[List Name for Layout]]="","nest_relation1",IFERROR(VLOOKUP(ListLayout[[#This Row],[Relation 1]],RelationTable[[Display]:[RELID]],2,0),""))</f>
        <v/>
      </c>
      <c r="BB14" s="61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780</v>
      </c>
      <c r="N15" s="7">
        <f>VLOOKUP(ListExtras[[#This Row],[List Name]],ResourceList[[ListDisplayName]:[No]],2,0)</f>
        <v>50011</v>
      </c>
      <c r="O15" s="4"/>
      <c r="P15" s="4" t="s">
        <v>782</v>
      </c>
      <c r="Q15" s="4"/>
      <c r="R15" s="4"/>
      <c r="S15" s="4"/>
      <c r="T15" s="7" t="str">
        <f>'Table Seed Map'!$A$24&amp;"-"&amp;COUNT($W$1:ListExtras[[#This Row],[Scope ID]])</f>
        <v>List Scopes-1</v>
      </c>
      <c r="U1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1">
        <f>IF(ListExtras[[#This Row],[LID]]=0,"resource_list",ListExtras[[#This Row],[LID]])</f>
        <v>50011</v>
      </c>
      <c r="W15" s="61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1">
        <f>IF(ListExtras[[#This Row],[LID]]=0,"resource_list",ListExtras[[#This Row],[LID]])</f>
        <v>50011</v>
      </c>
      <c r="AA15" s="61">
        <f>IFERROR(VLOOKUP(ListExtras[[#This Row],[Relation Name]],RelationTable[[Display]:[RELID]],2,0),IF(ListExtras[[#This Row],[LID]]=0,"relation",""))</f>
        <v>50037</v>
      </c>
      <c r="AB15" s="61" t="str">
        <f>IFERROR(VLOOKUP(ListExtras[[#This Row],[R1 Name]],RelationTable[[Display]:[RELID]],2,0),IF(ListExtras[[#This Row],[LID]]=0,"nest_relation1",""))</f>
        <v/>
      </c>
      <c r="AC15" s="61" t="str">
        <f>IFERROR(VLOOKUP(ListExtras[[#This Row],[R2 Name]],RelationTable[[Display]:[RELID]],2,0),IF(ListExtras[[#This Row],[LID]]=0,"nest_relation2",""))</f>
        <v/>
      </c>
      <c r="AD15" s="61" t="str">
        <f>IFERROR(VLOOKUP(ListExtras[[#This Row],[R3 Name]],RelationTable[[Display]:[RELID]],2,0),IF(ListExtras[[#This Row],[LID]]=0,"nest_relation3",""))</f>
        <v/>
      </c>
      <c r="AF15" s="61" t="str">
        <f>'Table Seed Map'!$A$27&amp;"-"&amp;COUNTA($AH$1:ListSearch[[#This Row],[No]])-2</f>
        <v>List Search-13</v>
      </c>
      <c r="AG15" s="4" t="s">
        <v>777</v>
      </c>
      <c r="AH15" s="61">
        <f>IF(ListSearch[[#This Row],[List Name for Search]]="","id",IFERROR($AH14+1,IF(ISNUMBER(VLOOKUP('Table Seed Map'!$A$27,SeedMap[],9,0)),VLOOKUP('Table Seed Map'!$A$27,SeedMap[],9,0)+1,1)))</f>
        <v>50013</v>
      </c>
      <c r="AI15" s="61">
        <f>IFERROR(VLOOKUP(ListSearch[[#This Row],[List Name for Search]],ResourceList[[ListDisplayName]:[No]],2,0),"resource_list")</f>
        <v>50009</v>
      </c>
      <c r="AJ15" s="30" t="s">
        <v>479</v>
      </c>
      <c r="AK15" s="61" t="str">
        <f>IF(ListSearch[[#This Row],[List Name for Search]]="","relation",IFERROR(VLOOKUP(ListSearch[[#This Row],[Relation]],RelationTable[[Display]:[RELID]],2,0),""))</f>
        <v/>
      </c>
      <c r="AL15" s="61" t="str">
        <f>IF(ListSearch[[#This Row],[List Name for Search]]="","nest_relation1",IFERROR(VLOOKUP(ListSearch[[#This Row],[Relation 1]],RelationTable[[Display]:[RELID]],2,0),""))</f>
        <v/>
      </c>
      <c r="AM15" s="61" t="str">
        <f>IF(ListSearch[[#This Row],[List Name for Search]]="","nest_relation2",IFERROR(VLOOKUP(ListSearch[[#This Row],[Relation 2]],RelationTable[[Display]:[RELID]],2,0),""))</f>
        <v/>
      </c>
      <c r="AN15" s="61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1" t="str">
        <f>'Table Seed Map'!$A$26&amp;"-"&amp;COUNTA($AV$1:ListLayout[[#This Row],[No]])-2</f>
        <v>List Layout-13</v>
      </c>
      <c r="AU15" s="4" t="s">
        <v>764</v>
      </c>
      <c r="AV15" s="61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1">
        <f>IFERROR(VLOOKUP(ListLayout[[#This Row],[List Name for Layout]],ResourceList[[ListDisplayName]:[No]],2,0),"resource_list")</f>
        <v>50004</v>
      </c>
      <c r="AX15" s="61" t="s">
        <v>1</v>
      </c>
      <c r="AY15" s="30" t="s">
        <v>26</v>
      </c>
      <c r="AZ15" s="61" t="str">
        <f>IF(ListLayout[[#This Row],[List Name for Layout]]="","relation",IFERROR(VLOOKUP(ListLayout[[#This Row],[Relation]],RelationTable[[Display]:[RELID]],2,0),""))</f>
        <v/>
      </c>
      <c r="BA15" s="61" t="str">
        <f>IF(ListLayout[[#This Row],[List Name for Layout]]="","nest_relation1",IFERROR(VLOOKUP(ListLayout[[#This Row],[Relation 1]],RelationTable[[Display]:[RELID]],2,0),""))</f>
        <v/>
      </c>
      <c r="BB15" s="61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780</v>
      </c>
      <c r="N16" s="7">
        <f>VLOOKUP(ListExtras[[#This Row],[List Name]],ResourceList[[ListDisplayName]:[No]],2,0)</f>
        <v>50011</v>
      </c>
      <c r="O16" s="4"/>
      <c r="P16" s="4" t="s">
        <v>783</v>
      </c>
      <c r="Q16" s="4"/>
      <c r="R16" s="4"/>
      <c r="S16" s="4"/>
      <c r="T16" s="7" t="str">
        <f>'Table Seed Map'!$A$24&amp;"-"&amp;COUNT($W$1:ListExtras[[#This Row],[Scope ID]])</f>
        <v>List Scopes-1</v>
      </c>
      <c r="U1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1">
        <f>IF(ListExtras[[#This Row],[LID]]=0,"resource_list",ListExtras[[#This Row],[LID]])</f>
        <v>50011</v>
      </c>
      <c r="W16" s="61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1">
        <f>IF(ListExtras[[#This Row],[LID]]=0,"resource_list",ListExtras[[#This Row],[LID]])</f>
        <v>50011</v>
      </c>
      <c r="AA16" s="61">
        <f>IFERROR(VLOOKUP(ListExtras[[#This Row],[Relation Name]],RelationTable[[Display]:[RELID]],2,0),IF(ListExtras[[#This Row],[LID]]=0,"relation",""))</f>
        <v>50038</v>
      </c>
      <c r="AB16" s="61" t="str">
        <f>IFERROR(VLOOKUP(ListExtras[[#This Row],[R1 Name]],RelationTable[[Display]:[RELID]],2,0),IF(ListExtras[[#This Row],[LID]]=0,"nest_relation1",""))</f>
        <v/>
      </c>
      <c r="AC16" s="61" t="str">
        <f>IFERROR(VLOOKUP(ListExtras[[#This Row],[R2 Name]],RelationTable[[Display]:[RELID]],2,0),IF(ListExtras[[#This Row],[LID]]=0,"nest_relation2",""))</f>
        <v/>
      </c>
      <c r="AD16" s="61" t="str">
        <f>IFERROR(VLOOKUP(ListExtras[[#This Row],[R3 Name]],RelationTable[[Display]:[RELID]],2,0),IF(ListExtras[[#This Row],[LID]]=0,"nest_relation3",""))</f>
        <v/>
      </c>
      <c r="AT16" s="61" t="str">
        <f>'Table Seed Map'!$A$26&amp;"-"&amp;COUNTA($AV$1:ListLayout[[#This Row],[No]])-2</f>
        <v>List Layout-14</v>
      </c>
      <c r="AU16" s="4" t="s">
        <v>764</v>
      </c>
      <c r="AV16" s="61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1">
        <f>IFERROR(VLOOKUP(ListLayout[[#This Row],[List Name for Layout]],ResourceList[[ListDisplayName]:[No]],2,0),"resource_list")</f>
        <v>50004</v>
      </c>
      <c r="AX16" s="61" t="s">
        <v>786</v>
      </c>
      <c r="AY16" s="30" t="s">
        <v>52</v>
      </c>
      <c r="AZ16" s="61" t="str">
        <f>IF(ListLayout[[#This Row],[List Name for Layout]]="","relation",IFERROR(VLOOKUP(ListLayout[[#This Row],[Relation]],RelationTable[[Display]:[RELID]],2,0),""))</f>
        <v/>
      </c>
      <c r="BA16" s="61" t="str">
        <f>IF(ListLayout[[#This Row],[List Name for Layout]]="","nest_relation1",IFERROR(VLOOKUP(ListLayout[[#This Row],[Relation 1]],RelationTable[[Display]:[RELID]],2,0),""))</f>
        <v/>
      </c>
      <c r="BB16" s="61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1" t="str">
        <f>'Table Seed Map'!$A$26&amp;"-"&amp;COUNTA($AV$1:ListLayout[[#This Row],[No]])-2</f>
        <v>List Layout-15</v>
      </c>
      <c r="AU17" s="4" t="s">
        <v>764</v>
      </c>
      <c r="AV17" s="61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1">
        <f>IFERROR(VLOOKUP(ListLayout[[#This Row],[List Name for Layout]],ResourceList[[ListDisplayName]:[No]],2,0),"resource_list")</f>
        <v>50004</v>
      </c>
      <c r="AX17" s="61" t="s">
        <v>14</v>
      </c>
      <c r="AY17" s="30" t="s">
        <v>45</v>
      </c>
      <c r="AZ17" s="61" t="str">
        <f>IF(ListLayout[[#This Row],[List Name for Layout]]="","relation",IFERROR(VLOOKUP(ListLayout[[#This Row],[Relation]],RelationTable[[Display]:[RELID]],2,0),""))</f>
        <v/>
      </c>
      <c r="BA17" s="61" t="str">
        <f>IF(ListLayout[[#This Row],[List Name for Layout]]="","nest_relation1",IFERROR(VLOOKUP(ListLayout[[#This Row],[Relation 1]],RelationTable[[Display]:[RELID]],2,0),""))</f>
        <v/>
      </c>
      <c r="BB17" s="61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1" t="str">
        <f>'Table Seed Map'!$A$26&amp;"-"&amp;COUNTA($AV$1:ListLayout[[#This Row],[No]])-2</f>
        <v>List Layout-16</v>
      </c>
      <c r="AU18" s="4" t="s">
        <v>764</v>
      </c>
      <c r="AV18" s="61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1">
        <f>IFERROR(VLOOKUP(ListLayout[[#This Row],[List Name for Layout]],ResourceList[[ListDisplayName]:[No]],2,0),"resource_list")</f>
        <v>50004</v>
      </c>
      <c r="AX18" s="61" t="s">
        <v>787</v>
      </c>
      <c r="AY18" s="30" t="s">
        <v>453</v>
      </c>
      <c r="AZ18" s="61" t="str">
        <f>IF(ListLayout[[#This Row],[List Name for Layout]]="","relation",IFERROR(VLOOKUP(ListLayout[[#This Row],[Relation]],RelationTable[[Display]:[RELID]],2,0),""))</f>
        <v/>
      </c>
      <c r="BA18" s="61" t="str">
        <f>IF(ListLayout[[#This Row],[List Name for Layout]]="","nest_relation1",IFERROR(VLOOKUP(ListLayout[[#This Row],[Relation 1]],RelationTable[[Display]:[RELID]],2,0),""))</f>
        <v/>
      </c>
      <c r="BB18" s="61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1" t="str">
        <f>'Table Seed Map'!$A$26&amp;"-"&amp;COUNTA($AV$1:ListLayout[[#This Row],[No]])-2</f>
        <v>List Layout-17</v>
      </c>
      <c r="AU19" s="4" t="s">
        <v>771</v>
      </c>
      <c r="AV19" s="61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1">
        <f>IFERROR(VLOOKUP(ListLayout[[#This Row],[List Name for Layout]],ResourceList[[ListDisplayName]:[No]],2,0),"resource_list")</f>
        <v>50005</v>
      </c>
      <c r="AX19" s="61" t="s">
        <v>1</v>
      </c>
      <c r="AY19" s="30" t="s">
        <v>26</v>
      </c>
      <c r="AZ19" s="61">
        <f>IF(ListLayout[[#This Row],[List Name for Layout]]="","relation",IFERROR(VLOOKUP(ListLayout[[#This Row],[Relation]],RelationTable[[Display]:[RELID]],2,0),""))</f>
        <v>50016</v>
      </c>
      <c r="BA19" s="61" t="str">
        <f>IF(ListLayout[[#This Row],[List Name for Layout]]="","nest_relation1",IFERROR(VLOOKUP(ListLayout[[#This Row],[Relation 1]],RelationTable[[Display]:[RELID]],2,0),""))</f>
        <v/>
      </c>
      <c r="BB19" s="61" t="str">
        <f>IF(ListLayout[[#This Row],[List Name for Layout]]="","nest_relation2",IFERROR(VLOOKUP(ListLayout[[#This Row],[Relation 2]],RelationTable[[Display]:[RELID]],2,0),""))</f>
        <v/>
      </c>
      <c r="BC19" s="30" t="s">
        <v>775</v>
      </c>
      <c r="BD19" s="30"/>
      <c r="BE19" s="30"/>
    </row>
    <row r="20" spans="46:57">
      <c r="AT20" s="61" t="str">
        <f>'Table Seed Map'!$A$26&amp;"-"&amp;COUNTA($AV$1:ListLayout[[#This Row],[No]])-2</f>
        <v>List Layout-18</v>
      </c>
      <c r="AU20" s="4" t="s">
        <v>771</v>
      </c>
      <c r="AV20" s="61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1">
        <f>IFERROR(VLOOKUP(ListLayout[[#This Row],[List Name for Layout]],ResourceList[[ListDisplayName]:[No]],2,0),"resource_list")</f>
        <v>50005</v>
      </c>
      <c r="AX20" s="61" t="s">
        <v>931</v>
      </c>
      <c r="AY20" s="30" t="s">
        <v>26</v>
      </c>
      <c r="AZ20" s="61">
        <f>IF(ListLayout[[#This Row],[List Name for Layout]]="","relation",IFERROR(VLOOKUP(ListLayout[[#This Row],[Relation]],RelationTable[[Display]:[RELID]],2,0),""))</f>
        <v>50013</v>
      </c>
      <c r="BA20" s="61" t="str">
        <f>IF(ListLayout[[#This Row],[List Name for Layout]]="","nest_relation1",IFERROR(VLOOKUP(ListLayout[[#This Row],[Relation 1]],RelationTable[[Display]:[RELID]],2,0),""))</f>
        <v/>
      </c>
      <c r="BB20" s="61" t="str">
        <f>IF(ListLayout[[#This Row],[List Name for Layout]]="","nest_relation2",IFERROR(VLOOKUP(ListLayout[[#This Row],[Relation 2]],RelationTable[[Display]:[RELID]],2,0),""))</f>
        <v/>
      </c>
      <c r="BC20" s="30" t="s">
        <v>772</v>
      </c>
      <c r="BD20" s="30"/>
      <c r="BE20" s="30"/>
    </row>
    <row r="21" spans="46:57">
      <c r="AT21" s="61" t="str">
        <f>'Table Seed Map'!$A$26&amp;"-"&amp;COUNTA($AV$1:ListLayout[[#This Row],[No]])-2</f>
        <v>List Layout-19</v>
      </c>
      <c r="AU21" s="4" t="s">
        <v>771</v>
      </c>
      <c r="AV21" s="61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1">
        <f>IFERROR(VLOOKUP(ListLayout[[#This Row],[List Name for Layout]],ResourceList[[ListDisplayName]:[No]],2,0),"resource_list")</f>
        <v>50005</v>
      </c>
      <c r="AX21" s="61" t="s">
        <v>932</v>
      </c>
      <c r="AY21" s="30" t="s">
        <v>26</v>
      </c>
      <c r="AZ21" s="61">
        <f>IF(ListLayout[[#This Row],[List Name for Layout]]="","relation",IFERROR(VLOOKUP(ListLayout[[#This Row],[Relation]],RelationTable[[Display]:[RELID]],2,0),""))</f>
        <v>50014</v>
      </c>
      <c r="BA21" s="61" t="str">
        <f>IF(ListLayout[[#This Row],[List Name for Layout]]="","nest_relation1",IFERROR(VLOOKUP(ListLayout[[#This Row],[Relation 1]],RelationTable[[Display]:[RELID]],2,0),""))</f>
        <v/>
      </c>
      <c r="BB21" s="61" t="str">
        <f>IF(ListLayout[[#This Row],[List Name for Layout]]="","nest_relation2",IFERROR(VLOOKUP(ListLayout[[#This Row],[Relation 2]],RelationTable[[Display]:[RELID]],2,0),""))</f>
        <v/>
      </c>
      <c r="BC21" s="30" t="s">
        <v>773</v>
      </c>
      <c r="BD21" s="30"/>
      <c r="BE21" s="30"/>
    </row>
    <row r="22" spans="46:57">
      <c r="AT22" s="61" t="str">
        <f>'Table Seed Map'!$A$26&amp;"-"&amp;COUNTA($AV$1:ListLayout[[#This Row],[No]])-2</f>
        <v>List Layout-20</v>
      </c>
      <c r="AU22" s="4" t="s">
        <v>771</v>
      </c>
      <c r="AV22" s="61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1">
        <f>IFERROR(VLOOKUP(ListLayout[[#This Row],[List Name for Layout]],ResourceList[[ListDisplayName]:[No]],2,0),"resource_list")</f>
        <v>50005</v>
      </c>
      <c r="AX22" s="61" t="s">
        <v>788</v>
      </c>
      <c r="AY22" s="30" t="s">
        <v>231</v>
      </c>
      <c r="AZ22" s="61" t="str">
        <f>IF(ListLayout[[#This Row],[List Name for Layout]]="","relation",IFERROR(VLOOKUP(ListLayout[[#This Row],[Relation]],RelationTable[[Display]:[RELID]],2,0),""))</f>
        <v/>
      </c>
      <c r="BA22" s="61" t="str">
        <f>IF(ListLayout[[#This Row],[List Name for Layout]]="","nest_relation1",IFERROR(VLOOKUP(ListLayout[[#This Row],[Relation 1]],RelationTable[[Display]:[RELID]],2,0),""))</f>
        <v/>
      </c>
      <c r="BB22" s="61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1" t="str">
        <f>'Table Seed Map'!$A$26&amp;"-"&amp;COUNTA($AV$1:ListLayout[[#This Row],[No]])-2</f>
        <v>List Layout-21</v>
      </c>
      <c r="AU23" s="4" t="s">
        <v>771</v>
      </c>
      <c r="AV23" s="61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1">
        <f>IFERROR(VLOOKUP(ListLayout[[#This Row],[List Name for Layout]],ResourceList[[ListDisplayName]:[No]],2,0),"resource_list")</f>
        <v>50005</v>
      </c>
      <c r="AX23" s="61" t="s">
        <v>789</v>
      </c>
      <c r="AY23" s="30" t="s">
        <v>456</v>
      </c>
      <c r="AZ23" s="61" t="str">
        <f>IF(ListLayout[[#This Row],[List Name for Layout]]="","relation",IFERROR(VLOOKUP(ListLayout[[#This Row],[Relation]],RelationTable[[Display]:[RELID]],2,0),""))</f>
        <v/>
      </c>
      <c r="BA23" s="61" t="str">
        <f>IF(ListLayout[[#This Row],[List Name for Layout]]="","nest_relation1",IFERROR(VLOOKUP(ListLayout[[#This Row],[Relation 1]],RelationTable[[Display]:[RELID]],2,0),""))</f>
        <v/>
      </c>
      <c r="BB23" s="61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1" t="str">
        <f>'Table Seed Map'!$A$26&amp;"-"&amp;COUNTA($AV$1:ListLayout[[#This Row],[No]])-2</f>
        <v>List Layout-22</v>
      </c>
      <c r="AU24" s="4" t="s">
        <v>784</v>
      </c>
      <c r="AV24" s="61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1">
        <f>IFERROR(VLOOKUP(ListLayout[[#This Row],[List Name for Layout]],ResourceList[[ListDisplayName]:[No]],2,0),"resource_list")</f>
        <v>50006</v>
      </c>
      <c r="AX24" s="61" t="s">
        <v>1</v>
      </c>
      <c r="AY24" s="30" t="s">
        <v>26</v>
      </c>
      <c r="AZ24" s="61" t="str">
        <f>IF(ListLayout[[#This Row],[List Name for Layout]]="","relation",IFERROR(VLOOKUP(ListLayout[[#This Row],[Relation]],RelationTable[[Display]:[RELID]],2,0),""))</f>
        <v/>
      </c>
      <c r="BA24" s="61" t="str">
        <f>IF(ListLayout[[#This Row],[List Name for Layout]]="","nest_relation1",IFERROR(VLOOKUP(ListLayout[[#This Row],[Relation 1]],RelationTable[[Display]:[RELID]],2,0),""))</f>
        <v/>
      </c>
      <c r="BB24" s="61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1" t="str">
        <f>'Table Seed Map'!$A$26&amp;"-"&amp;COUNTA($AV$1:ListLayout[[#This Row],[No]])-2</f>
        <v>List Layout-23</v>
      </c>
      <c r="AU25" s="4" t="s">
        <v>784</v>
      </c>
      <c r="AV25" s="61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1">
        <f>IFERROR(VLOOKUP(ListLayout[[#This Row],[List Name for Layout]],ResourceList[[ListDisplayName]:[No]],2,0),"resource_list")</f>
        <v>50006</v>
      </c>
      <c r="AX25" s="61" t="s">
        <v>790</v>
      </c>
      <c r="AY25" s="30" t="s">
        <v>101</v>
      </c>
      <c r="AZ25" s="61" t="str">
        <f>IF(ListLayout[[#This Row],[List Name for Layout]]="","relation",IFERROR(VLOOKUP(ListLayout[[#This Row],[Relation]],RelationTable[[Display]:[RELID]],2,0),""))</f>
        <v/>
      </c>
      <c r="BA25" s="61" t="str">
        <f>IF(ListLayout[[#This Row],[List Name for Layout]]="","nest_relation1",IFERROR(VLOOKUP(ListLayout[[#This Row],[Relation 1]],RelationTable[[Display]:[RELID]],2,0),""))</f>
        <v/>
      </c>
      <c r="BB25" s="61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1" t="str">
        <f>'Table Seed Map'!$A$26&amp;"-"&amp;COUNTA($AV$1:ListLayout[[#This Row],[No]])-2</f>
        <v>List Layout-24</v>
      </c>
      <c r="AU26" s="4" t="s">
        <v>784</v>
      </c>
      <c r="AV26" s="61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1">
        <f>IFERROR(VLOOKUP(ListLayout[[#This Row],[List Name for Layout]],ResourceList[[ListDisplayName]:[No]],2,0),"resource_list")</f>
        <v>50006</v>
      </c>
      <c r="AX26" s="61" t="s">
        <v>791</v>
      </c>
      <c r="AY26" s="30" t="s">
        <v>471</v>
      </c>
      <c r="AZ26" s="61" t="str">
        <f>IF(ListLayout[[#This Row],[List Name for Layout]]="","relation",IFERROR(VLOOKUP(ListLayout[[#This Row],[Relation]],RelationTable[[Display]:[RELID]],2,0),""))</f>
        <v/>
      </c>
      <c r="BA26" s="61" t="str">
        <f>IF(ListLayout[[#This Row],[List Name for Layout]]="","nest_relation1",IFERROR(VLOOKUP(ListLayout[[#This Row],[Relation 1]],RelationTable[[Display]:[RELID]],2,0),""))</f>
        <v/>
      </c>
      <c r="BB26" s="61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1" t="str">
        <f>'Table Seed Map'!$A$26&amp;"-"&amp;COUNTA($AV$1:ListLayout[[#This Row],[No]])-2</f>
        <v>List Layout-25</v>
      </c>
      <c r="AU27" s="4" t="s">
        <v>776</v>
      </c>
      <c r="AV27" s="61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1">
        <f>IFERROR(VLOOKUP(ListLayout[[#This Row],[List Name for Layout]],ResourceList[[ListDisplayName]:[No]],2,0),"resource_list")</f>
        <v>50007</v>
      </c>
      <c r="AX27" s="61" t="s">
        <v>1</v>
      </c>
      <c r="AY27" s="30" t="s">
        <v>26</v>
      </c>
      <c r="AZ27" s="61" t="str">
        <f>IF(ListLayout[[#This Row],[List Name for Layout]]="","relation",IFERROR(VLOOKUP(ListLayout[[#This Row],[Relation]],RelationTable[[Display]:[RELID]],2,0),""))</f>
        <v/>
      </c>
      <c r="BA27" s="61" t="str">
        <f>IF(ListLayout[[#This Row],[List Name for Layout]]="","nest_relation1",IFERROR(VLOOKUP(ListLayout[[#This Row],[Relation 1]],RelationTable[[Display]:[RELID]],2,0),""))</f>
        <v/>
      </c>
      <c r="BB27" s="61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1" t="str">
        <f>'Table Seed Map'!$A$26&amp;"-"&amp;COUNTA($AV$1:ListLayout[[#This Row],[No]])-2</f>
        <v>List Layout-26</v>
      </c>
      <c r="AU28" s="4" t="s">
        <v>776</v>
      </c>
      <c r="AV28" s="61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1">
        <f>IFERROR(VLOOKUP(ListLayout[[#This Row],[List Name for Layout]],ResourceList[[ListDisplayName]:[No]],2,0),"resource_list")</f>
        <v>50007</v>
      </c>
      <c r="AX28" s="61" t="s">
        <v>601</v>
      </c>
      <c r="AY28" s="30" t="s">
        <v>26</v>
      </c>
      <c r="AZ28" s="61">
        <f>IF(ListLayout[[#This Row],[List Name for Layout]]="","relation",IFERROR(VLOOKUP(ListLayout[[#This Row],[Relation]],RelationTable[[Display]:[RELID]],2,0),""))</f>
        <v>50027</v>
      </c>
      <c r="BA28" s="61" t="str">
        <f>IF(ListLayout[[#This Row],[List Name for Layout]]="","nest_relation1",IFERROR(VLOOKUP(ListLayout[[#This Row],[Relation 1]],RelationTable[[Display]:[RELID]],2,0),""))</f>
        <v/>
      </c>
      <c r="BB28" s="61" t="str">
        <f>IF(ListLayout[[#This Row],[List Name for Layout]]="","nest_relation2",IFERROR(VLOOKUP(ListLayout[[#This Row],[Relation 2]],RelationTable[[Display]:[RELID]],2,0),""))</f>
        <v/>
      </c>
      <c r="BC28" s="30" t="s">
        <v>778</v>
      </c>
      <c r="BD28" s="30"/>
      <c r="BE28" s="30"/>
    </row>
    <row r="29" spans="46:57">
      <c r="AT29" s="61" t="str">
        <f>'Table Seed Map'!$A$26&amp;"-"&amp;COUNTA($AV$1:ListLayout[[#This Row],[No]])-2</f>
        <v>List Layout-27</v>
      </c>
      <c r="AU29" s="4" t="s">
        <v>776</v>
      </c>
      <c r="AV29" s="61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1">
        <f>IFERROR(VLOOKUP(ListLayout[[#This Row],[List Name for Layout]],ResourceList[[ListDisplayName]:[No]],2,0),"resource_list")</f>
        <v>50007</v>
      </c>
      <c r="AX29" s="61" t="s">
        <v>107</v>
      </c>
      <c r="AY29" s="30" t="s">
        <v>28</v>
      </c>
      <c r="AZ29" s="61" t="str">
        <f>IF(ListLayout[[#This Row],[List Name for Layout]]="","relation",IFERROR(VLOOKUP(ListLayout[[#This Row],[Relation]],RelationTable[[Display]:[RELID]],2,0),""))</f>
        <v/>
      </c>
      <c r="BA29" s="61" t="str">
        <f>IF(ListLayout[[#This Row],[List Name for Layout]]="","nest_relation1",IFERROR(VLOOKUP(ListLayout[[#This Row],[Relation 1]],RelationTable[[Display]:[RELID]],2,0),""))</f>
        <v/>
      </c>
      <c r="BB29" s="61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1" t="str">
        <f>'Table Seed Map'!$A$26&amp;"-"&amp;COUNTA($AV$1:ListLayout[[#This Row],[No]])-2</f>
        <v>List Layout-28</v>
      </c>
      <c r="AU30" s="4" t="s">
        <v>770</v>
      </c>
      <c r="AV30" s="61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1">
        <f>IFERROR(VLOOKUP(ListLayout[[#This Row],[List Name for Layout]],ResourceList[[ListDisplayName]:[No]],2,0),"resource_list")</f>
        <v>50008</v>
      </c>
      <c r="AX30" s="61" t="s">
        <v>1</v>
      </c>
      <c r="AY30" s="30" t="s">
        <v>26</v>
      </c>
      <c r="AZ30" s="61" t="str">
        <f>IF(ListLayout[[#This Row],[List Name for Layout]]="","relation",IFERROR(VLOOKUP(ListLayout[[#This Row],[Relation]],RelationTable[[Display]:[RELID]],2,0),""))</f>
        <v/>
      </c>
      <c r="BA30" s="61" t="str">
        <f>IF(ListLayout[[#This Row],[List Name for Layout]]="","nest_relation1",IFERROR(VLOOKUP(ListLayout[[#This Row],[Relation 1]],RelationTable[[Display]:[RELID]],2,0),""))</f>
        <v/>
      </c>
      <c r="BB30" s="61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1" t="str">
        <f>'Table Seed Map'!$A$26&amp;"-"&amp;COUNTA($AV$1:ListLayout[[#This Row],[No]])-2</f>
        <v>List Layout-29</v>
      </c>
      <c r="AU31" s="4" t="s">
        <v>770</v>
      </c>
      <c r="AV31" s="61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1">
        <f>IFERROR(VLOOKUP(ListLayout[[#This Row],[List Name for Layout]],ResourceList[[ListDisplayName]:[No]],2,0),"resource_list")</f>
        <v>50008</v>
      </c>
      <c r="AX31" s="61" t="s">
        <v>601</v>
      </c>
      <c r="AY31" s="30" t="s">
        <v>26</v>
      </c>
      <c r="AZ31" s="61">
        <f>IF(ListLayout[[#This Row],[List Name for Layout]]="","relation",IFERROR(VLOOKUP(ListLayout[[#This Row],[Relation]],RelationTable[[Display]:[RELID]],2,0),""))</f>
        <v>50027</v>
      </c>
      <c r="BA31" s="61" t="str">
        <f>IF(ListLayout[[#This Row],[List Name for Layout]]="","nest_relation1",IFERROR(VLOOKUP(ListLayout[[#This Row],[Relation 1]],RelationTable[[Display]:[RELID]],2,0),""))</f>
        <v/>
      </c>
      <c r="BB31" s="61" t="str">
        <f>IF(ListLayout[[#This Row],[List Name for Layout]]="","nest_relation2",IFERROR(VLOOKUP(ListLayout[[#This Row],[Relation 2]],RelationTable[[Display]:[RELID]],2,0),""))</f>
        <v/>
      </c>
      <c r="BC31" s="30" t="s">
        <v>778</v>
      </c>
      <c r="BD31" s="30"/>
      <c r="BE31" s="30"/>
    </row>
    <row r="32" spans="46:57">
      <c r="AT32" s="61" t="str">
        <f>'Table Seed Map'!$A$26&amp;"-"&amp;COUNTA($AV$1:ListLayout[[#This Row],[No]])-2</f>
        <v>List Layout-30</v>
      </c>
      <c r="AU32" s="4" t="s">
        <v>770</v>
      </c>
      <c r="AV32" s="61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1">
        <f>IFERROR(VLOOKUP(ListLayout[[#This Row],[List Name for Layout]],ResourceList[[ListDisplayName]:[No]],2,0),"resource_list")</f>
        <v>50008</v>
      </c>
      <c r="AX32" s="61" t="s">
        <v>107</v>
      </c>
      <c r="AY32" s="30" t="s">
        <v>28</v>
      </c>
      <c r="AZ32" s="61" t="str">
        <f>IF(ListLayout[[#This Row],[List Name for Layout]]="","relation",IFERROR(VLOOKUP(ListLayout[[#This Row],[Relation]],RelationTable[[Display]:[RELID]],2,0),""))</f>
        <v/>
      </c>
      <c r="BA32" s="61" t="str">
        <f>IF(ListLayout[[#This Row],[List Name for Layout]]="","nest_relation1",IFERROR(VLOOKUP(ListLayout[[#This Row],[Relation 1]],RelationTable[[Display]:[RELID]],2,0),""))</f>
        <v/>
      </c>
      <c r="BB32" s="61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1" t="str">
        <f>'Table Seed Map'!$A$26&amp;"-"&amp;COUNTA($AV$1:ListLayout[[#This Row],[No]])-2</f>
        <v>List Layout-31</v>
      </c>
      <c r="AU33" s="4" t="s">
        <v>777</v>
      </c>
      <c r="AV33" s="61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1">
        <f>IFERROR(VLOOKUP(ListLayout[[#This Row],[List Name for Layout]],ResourceList[[ListDisplayName]:[No]],2,0),"resource_list")</f>
        <v>50009</v>
      </c>
      <c r="AX33" s="61" t="s">
        <v>246</v>
      </c>
      <c r="AY33" s="30" t="s">
        <v>21</v>
      </c>
      <c r="AZ33" s="61" t="str">
        <f>IF(ListLayout[[#This Row],[List Name for Layout]]="","relation",IFERROR(VLOOKUP(ListLayout[[#This Row],[Relation]],RelationTable[[Display]:[RELID]],2,0),""))</f>
        <v/>
      </c>
      <c r="BA33" s="61" t="str">
        <f>IF(ListLayout[[#This Row],[List Name for Layout]]="","nest_relation1",IFERROR(VLOOKUP(ListLayout[[#This Row],[Relation 1]],RelationTable[[Display]:[RELID]],2,0),""))</f>
        <v/>
      </c>
      <c r="BB33" s="61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1" t="str">
        <f>'Table Seed Map'!$A$26&amp;"-"&amp;COUNTA($AV$1:ListLayout[[#This Row],[No]])-2</f>
        <v>List Layout-32</v>
      </c>
      <c r="AU34" s="4" t="s">
        <v>777</v>
      </c>
      <c r="AV34" s="61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1">
        <f>IFERROR(VLOOKUP(ListLayout[[#This Row],[List Name for Layout]],ResourceList[[ListDisplayName]:[No]],2,0),"resource_list")</f>
        <v>50009</v>
      </c>
      <c r="AX34" s="61" t="s">
        <v>219</v>
      </c>
      <c r="AY34" s="30" t="s">
        <v>479</v>
      </c>
      <c r="AZ34" s="61" t="str">
        <f>IF(ListLayout[[#This Row],[List Name for Layout]]="","relation",IFERROR(VLOOKUP(ListLayout[[#This Row],[Relation]],RelationTable[[Display]:[RELID]],2,0),""))</f>
        <v/>
      </c>
      <c r="BA34" s="61" t="str">
        <f>IF(ListLayout[[#This Row],[List Name for Layout]]="","nest_relation1",IFERROR(VLOOKUP(ListLayout[[#This Row],[Relation 1]],RelationTable[[Display]:[RELID]],2,0),""))</f>
        <v/>
      </c>
      <c r="BB34" s="61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1" t="str">
        <f>'Table Seed Map'!$A$26&amp;"-"&amp;COUNTA($AV$1:ListLayout[[#This Row],[No]])-2</f>
        <v>List Layout-33</v>
      </c>
      <c r="AU35" s="4" t="s">
        <v>777</v>
      </c>
      <c r="AV35" s="61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1">
        <f>IFERROR(VLOOKUP(ListLayout[[#This Row],[List Name for Layout]],ResourceList[[ListDisplayName]:[No]],2,0),"resource_list")</f>
        <v>50009</v>
      </c>
      <c r="AX35" s="61" t="s">
        <v>601</v>
      </c>
      <c r="AY35" s="30" t="s">
        <v>26</v>
      </c>
      <c r="AZ35" s="61">
        <f>IF(ListLayout[[#This Row],[List Name for Layout]]="","relation",IFERROR(VLOOKUP(ListLayout[[#This Row],[Relation]],RelationTable[[Display]:[RELID]],2,0),""))</f>
        <v>50035</v>
      </c>
      <c r="BA35" s="61" t="str">
        <f>IF(ListLayout[[#This Row],[List Name for Layout]]="","nest_relation1",IFERROR(VLOOKUP(ListLayout[[#This Row],[Relation 1]],RelationTable[[Display]:[RELID]],2,0),""))</f>
        <v/>
      </c>
      <c r="BB35" s="61" t="str">
        <f>IF(ListLayout[[#This Row],[List Name for Layout]]="","nest_relation2",IFERROR(VLOOKUP(ListLayout[[#This Row],[Relation 2]],RelationTable[[Display]:[RELID]],2,0),""))</f>
        <v/>
      </c>
      <c r="BC35" s="30" t="s">
        <v>779</v>
      </c>
      <c r="BD35" s="30"/>
      <c r="BE35" s="30"/>
    </row>
    <row r="36" spans="46:57">
      <c r="AT36" s="61" t="str">
        <f>'Table Seed Map'!$A$26&amp;"-"&amp;COUNTA($AV$1:ListLayout[[#This Row],[No]])-2</f>
        <v>List Layout-34</v>
      </c>
      <c r="AU36" s="4" t="s">
        <v>785</v>
      </c>
      <c r="AV36" s="61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1">
        <f>IFERROR(VLOOKUP(ListLayout[[#This Row],[List Name for Layout]],ResourceList[[ListDisplayName]:[No]],2,0),"resource_list")</f>
        <v>50010</v>
      </c>
      <c r="AX36" s="61" t="s">
        <v>1</v>
      </c>
      <c r="AY36" s="30" t="s">
        <v>26</v>
      </c>
      <c r="AZ36" s="61" t="str">
        <f>IF(ListLayout[[#This Row],[List Name for Layout]]="","relation",IFERROR(VLOOKUP(ListLayout[[#This Row],[Relation]],RelationTable[[Display]:[RELID]],2,0),""))</f>
        <v/>
      </c>
      <c r="BA36" s="61" t="str">
        <f>IF(ListLayout[[#This Row],[List Name for Layout]]="","nest_relation1",IFERROR(VLOOKUP(ListLayout[[#This Row],[Relation 1]],RelationTable[[Display]:[RELID]],2,0),""))</f>
        <v/>
      </c>
      <c r="BB36" s="61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1" t="str">
        <f>'Table Seed Map'!$A$26&amp;"-"&amp;COUNTA($AV$1:ListLayout[[#This Row],[No]])-2</f>
        <v>List Layout-35</v>
      </c>
      <c r="AU37" s="4" t="s">
        <v>785</v>
      </c>
      <c r="AV37" s="61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1">
        <f>IFERROR(VLOOKUP(ListLayout[[#This Row],[List Name for Layout]],ResourceList[[ListDisplayName]:[No]],2,0),"resource_list")</f>
        <v>50010</v>
      </c>
      <c r="AX37" s="61" t="s">
        <v>787</v>
      </c>
      <c r="AY37" s="30" t="s">
        <v>453</v>
      </c>
      <c r="AZ37" s="61" t="str">
        <f>IF(ListLayout[[#This Row],[List Name for Layout]]="","relation",IFERROR(VLOOKUP(ListLayout[[#This Row],[Relation]],RelationTable[[Display]:[RELID]],2,0),""))</f>
        <v/>
      </c>
      <c r="BA37" s="61" t="str">
        <f>IF(ListLayout[[#This Row],[List Name for Layout]]="","nest_relation1",IFERROR(VLOOKUP(ListLayout[[#This Row],[Relation 1]],RelationTable[[Display]:[RELID]],2,0),""))</f>
        <v/>
      </c>
      <c r="BB37" s="61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1" t="str">
        <f>'Table Seed Map'!$A$26&amp;"-"&amp;COUNTA($AV$1:ListLayout[[#This Row],[No]])-2</f>
        <v>List Layout-36</v>
      </c>
      <c r="AU38" s="4" t="s">
        <v>780</v>
      </c>
      <c r="AV38" s="61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1">
        <f>IFERROR(VLOOKUP(ListLayout[[#This Row],[List Name for Layout]],ResourceList[[ListDisplayName]:[No]],2,0),"resource_list")</f>
        <v>50011</v>
      </c>
      <c r="AX38" s="61" t="s">
        <v>557</v>
      </c>
      <c r="AY38" s="30" t="s">
        <v>26</v>
      </c>
      <c r="AZ38" s="61">
        <f>IF(ListLayout[[#This Row],[List Name for Layout]]="","relation",IFERROR(VLOOKUP(ListLayout[[#This Row],[Relation]],RelationTable[[Display]:[RELID]],2,0),""))</f>
        <v>50040</v>
      </c>
      <c r="BA38" s="61" t="str">
        <f>IF(ListLayout[[#This Row],[List Name for Layout]]="","nest_relation1",IFERROR(VLOOKUP(ListLayout[[#This Row],[Relation 1]],RelationTable[[Display]:[RELID]],2,0),""))</f>
        <v/>
      </c>
      <c r="BB38" s="61" t="str">
        <f>IF(ListLayout[[#This Row],[List Name for Layout]]="","nest_relation2",IFERROR(VLOOKUP(ListLayout[[#This Row],[Relation 2]],RelationTable[[Display]:[RELID]],2,0),""))</f>
        <v/>
      </c>
      <c r="BC38" s="30" t="s">
        <v>781</v>
      </c>
      <c r="BD38" s="30"/>
      <c r="BE38" s="30"/>
    </row>
    <row r="39" spans="46:57">
      <c r="AT39" s="61" t="str">
        <f>'Table Seed Map'!$A$26&amp;"-"&amp;COUNTA($AV$1:ListLayout[[#This Row],[No]])-2</f>
        <v>List Layout-37</v>
      </c>
      <c r="AU39" s="4" t="s">
        <v>780</v>
      </c>
      <c r="AV39" s="61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1">
        <f>IFERROR(VLOOKUP(ListLayout[[#This Row],[List Name for Layout]],ResourceList[[ListDisplayName]:[No]],2,0),"resource_list")</f>
        <v>50011</v>
      </c>
      <c r="AX39" s="61" t="s">
        <v>792</v>
      </c>
      <c r="AY39" s="30" t="s">
        <v>26</v>
      </c>
      <c r="AZ39" s="61">
        <f>IF(ListLayout[[#This Row],[List Name for Layout]]="","relation",IFERROR(VLOOKUP(ListLayout[[#This Row],[Relation]],RelationTable[[Display]:[RELID]],2,0),""))</f>
        <v>50037</v>
      </c>
      <c r="BA39" s="61" t="str">
        <f>IF(ListLayout[[#This Row],[List Name for Layout]]="","nest_relation1",IFERROR(VLOOKUP(ListLayout[[#This Row],[Relation 1]],RelationTable[[Display]:[RELID]],2,0),""))</f>
        <v/>
      </c>
      <c r="BB39" s="61" t="str">
        <f>IF(ListLayout[[#This Row],[List Name for Layout]]="","nest_relation2",IFERROR(VLOOKUP(ListLayout[[#This Row],[Relation 2]],RelationTable[[Display]:[RELID]],2,0),""))</f>
        <v/>
      </c>
      <c r="BC39" s="30" t="s">
        <v>782</v>
      </c>
      <c r="BD39" s="30"/>
      <c r="BE39" s="30"/>
    </row>
    <row r="40" spans="46:57">
      <c r="AT40" s="61" t="str">
        <f>'Table Seed Map'!$A$26&amp;"-"&amp;COUNTA($AV$1:ListLayout[[#This Row],[No]])-2</f>
        <v>List Layout-38</v>
      </c>
      <c r="AU40" s="4" t="s">
        <v>780</v>
      </c>
      <c r="AV40" s="61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1">
        <f>IFERROR(VLOOKUP(ListLayout[[#This Row],[List Name for Layout]],ResourceList[[ListDisplayName]:[No]],2,0),"resource_list")</f>
        <v>50011</v>
      </c>
      <c r="AX40" s="61" t="s">
        <v>793</v>
      </c>
      <c r="AY40" s="30" t="s">
        <v>26</v>
      </c>
      <c r="AZ40" s="61">
        <f>IF(ListLayout[[#This Row],[List Name for Layout]]="","relation",IFERROR(VLOOKUP(ListLayout[[#This Row],[Relation]],RelationTable[[Display]:[RELID]],2,0),""))</f>
        <v>50038</v>
      </c>
      <c r="BA40" s="61" t="str">
        <f>IF(ListLayout[[#This Row],[List Name for Layout]]="","nest_relation1",IFERROR(VLOOKUP(ListLayout[[#This Row],[Relation 1]],RelationTable[[Display]:[RELID]],2,0),""))</f>
        <v/>
      </c>
      <c r="BB40" s="61" t="str">
        <f>IF(ListLayout[[#This Row],[List Name for Layout]]="","nest_relation2",IFERROR(VLOOKUP(ListLayout[[#This Row],[Relation 2]],RelationTable[[Display]:[RELID]],2,0),""))</f>
        <v/>
      </c>
      <c r="BC40" s="30" t="s">
        <v>783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N1" workbookViewId="0">
      <selection activeCell="AT2" sqref="AT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563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794</v>
      </c>
      <c r="G3" s="32" t="s">
        <v>795</v>
      </c>
      <c r="H3" s="32" t="s">
        <v>26</v>
      </c>
      <c r="I3" s="94"/>
      <c r="J3" s="64">
        <f>[No]</f>
        <v>50001</v>
      </c>
      <c r="L3" s="4" t="s">
        <v>801</v>
      </c>
      <c r="M3" s="7">
        <f>VLOOKUP(DataExtra[[#This Row],[Data Name]],ResourceData[[DataDisplayName]:[No]],2,0)</f>
        <v>50004</v>
      </c>
      <c r="N3" s="4" t="s">
        <v>802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1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1">
        <f>IF(DataExtra[[#This Row],[DID]]=0,"resource_data",DataExtra[[#This Row],[DID]])</f>
        <v>50004</v>
      </c>
      <c r="V3" s="61">
        <f>IFERROR(VLOOKUP(DataExtra[[#This Row],[Scope Name]],ResourceScopes[[ScopesDisplayNames]:[No]],2,0),IF(DataExtra[[#This Row],[DID]]=0,"scope",""))</f>
        <v>50005</v>
      </c>
      <c r="W3" s="7" t="str">
        <f>'Table Seed Map'!$A$30&amp;"-"&amp;COUNT($Z$1:DataExtra[[#This Row],[Relation]])</f>
        <v>Data Relations-0</v>
      </c>
      <c r="X3" s="61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1">
        <f>IF(DataExtra[[#This Row],[DID]]=0,"resource_data",DataExtra[[#This Row],[DID]])</f>
        <v>50004</v>
      </c>
      <c r="Z3" s="61" t="str">
        <f>IFERROR(VLOOKUP(DataExtra[[#This Row],[Relation Name]],RelationTable[[Display]:[RELID]],2,0),IF(DataExtra[[#This Row],[DID]]=0,"relation",""))</f>
        <v/>
      </c>
      <c r="AA3" s="61" t="str">
        <f>IFERROR(VLOOKUP(DataExtra[[#This Row],[R1 Name]],RelationTable[[Display]:[RELID]],2,0),IF(DataExtra[[#This Row],[DID]]=0,"nest_relation1",""))</f>
        <v/>
      </c>
      <c r="AB3" s="61" t="str">
        <f>IFERROR(VLOOKUP(DataExtra[[#This Row],[R2 Name]],RelationTable[[Display]:[RELID]],2,0),IF(DataExtra[[#This Row],[DID]]=0,"nest_relation2",""))</f>
        <v/>
      </c>
      <c r="AC3" s="61" t="str">
        <f>IFERROR(VLOOKUP(DataExtra[[#This Row],[R3 Name]],RelationTable[[Display]:[RELID]],2,0),IF(DataExtra[[#This Row],[DID]]=0,"nest_relation3",""))</f>
        <v/>
      </c>
      <c r="AE3" s="61" t="str">
        <f>'Table Seed Map'!$A$31&amp;"-"&amp;COUNTA($AH$1:DataViewSection[[#This Row],[No]])-2</f>
        <v>Data View Section-1</v>
      </c>
      <c r="AF3" s="4" t="s">
        <v>803</v>
      </c>
      <c r="AG3" s="7" t="str">
        <f>DataViewSection[[#This Row],[Data Name for Layout]]&amp;"/"&amp;COUNTA($AH$1:DataViewSection[[#This Row],[No]])-2</f>
        <v>Visitor/VisitorDetails/1</v>
      </c>
      <c r="AH3" s="61">
        <f>IF(DataViewSection[[#This Row],[Data Name for Layout]]="","id",IFERROR($AH2+1,IF(ISNUMBER(VLOOKUP('Table Seed Map'!$A$31,SeedMap[],9,0)),VLOOKUP('Table Seed Map'!$A$31,SeedMap[],9,0)+1,1)))</f>
        <v>50001</v>
      </c>
      <c r="AI3" s="61">
        <f>IFERROR(VLOOKUP(DataViewSection[[#This Row],[Data Name for Layout]],ResourceData[[DataDisplayName]:[No]],2,0),"resource_data")</f>
        <v>50001</v>
      </c>
      <c r="AJ3" s="61"/>
      <c r="AK3" s="61" t="s">
        <v>26</v>
      </c>
      <c r="AL3" s="61" t="str">
        <f>IFERROR(VLOOKUP(DataViewSection[[#This Row],[Relation]],RelationTable[[Display]:[RELID]],2,0),"")</f>
        <v/>
      </c>
      <c r="AM3" s="30">
        <v>12</v>
      </c>
      <c r="AN3" s="30"/>
      <c r="AP3" s="61" t="str">
        <f>'Table Seed Map'!$A$32&amp;"-"&amp;COUNTA($AQ$2:DataViewSectionItem[[#This Row],[Data Section for Items]])</f>
        <v>Data View Section Items-1</v>
      </c>
      <c r="AQ3" s="4" t="s">
        <v>814</v>
      </c>
      <c r="AR3" s="61">
        <f>IF(DataViewSectionItem[[#This Row],[Data Section for Items]]="","id",IFERROR($AR2+1,IF(ISNUMBER(VLOOKUP('Table Seed Map'!$A$32,SeedMap[],9,0)),VLOOKUP('Table Seed Map'!$A$32,SeedMap[],9,0)+1,1)))</f>
        <v>50001</v>
      </c>
      <c r="AS3" s="61">
        <f>IF(DataViewSectionItem[[#This Row],[Data Section for Items]]="","section",VLOOKUP(DataViewSectionItem[[#This Row],[Data Section for Items]],DataViewSection[[DataSectionDisplayName]:[No]],2,0))</f>
        <v>50001</v>
      </c>
      <c r="AT3" s="61" t="s">
        <v>695</v>
      </c>
      <c r="AU3" s="30" t="s">
        <v>101</v>
      </c>
      <c r="AV3" s="61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560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796</v>
      </c>
      <c r="G4" s="32" t="s">
        <v>797</v>
      </c>
      <c r="H4" s="32" t="s">
        <v>453</v>
      </c>
      <c r="I4" s="94"/>
      <c r="J4" s="64">
        <f>[No]</f>
        <v>50002</v>
      </c>
      <c r="L4" s="4" t="s">
        <v>803</v>
      </c>
      <c r="M4" s="7">
        <f>VLOOKUP(DataExtra[[#This Row],[Data Name]],ResourceData[[DataDisplayName]:[No]],2,0)</f>
        <v>50001</v>
      </c>
      <c r="N4" s="4"/>
      <c r="O4" s="4" t="s">
        <v>805</v>
      </c>
      <c r="P4" s="4" t="s">
        <v>713</v>
      </c>
      <c r="Q4" s="4"/>
      <c r="R4" s="4"/>
      <c r="S4" s="7" t="str">
        <f>'Table Seed Map'!$A$29&amp;"-"&amp;COUNT($V$1:DataExtra[[#This Row],[Scope ID]])</f>
        <v>Data Scopes-1</v>
      </c>
      <c r="T4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1">
        <f>IF(DataExtra[[#This Row],[DID]]=0,"resource_data",DataExtra[[#This Row],[DID]])</f>
        <v>50001</v>
      </c>
      <c r="V4" s="61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1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1">
        <f>IF(DataExtra[[#This Row],[DID]]=0,"resource_data",DataExtra[[#This Row],[DID]])</f>
        <v>50001</v>
      </c>
      <c r="Z4" s="61">
        <f>IFERROR(VLOOKUP(DataExtra[[#This Row],[Relation Name]],RelationTable[[Display]:[RELID]],2,0),IF(DataExtra[[#This Row],[DID]]=0,"relation",""))</f>
        <v>50025</v>
      </c>
      <c r="AA4" s="61">
        <f>IFERROR(VLOOKUP(DataExtra[[#This Row],[R1 Name]],RelationTable[[Display]:[RELID]],2,0),IF(DataExtra[[#This Row],[DID]]=0,"nest_relation1",""))</f>
        <v>50032</v>
      </c>
      <c r="AB4" s="61" t="str">
        <f>IFERROR(VLOOKUP(DataExtra[[#This Row],[R2 Name]],RelationTable[[Display]:[RELID]],2,0),IF(DataExtra[[#This Row],[DID]]=0,"nest_relation2",""))</f>
        <v/>
      </c>
      <c r="AC4" s="61" t="str">
        <f>IFERROR(VLOOKUP(DataExtra[[#This Row],[R3 Name]],RelationTable[[Display]:[RELID]],2,0),IF(DataExtra[[#This Row],[DID]]=0,"nest_relation3",""))</f>
        <v/>
      </c>
      <c r="AE4" s="61" t="str">
        <f>'Table Seed Map'!$A$31&amp;"-"&amp;COUNTA($AH$1:DataViewSection[[#This Row],[No]])-2</f>
        <v>Data View Section-2</v>
      </c>
      <c r="AF4" s="4" t="s">
        <v>803</v>
      </c>
      <c r="AG4" s="7" t="str">
        <f>DataViewSection[[#This Row],[Data Name for Layout]]&amp;"/"&amp;COUNTA($AH$1:DataViewSection[[#This Row],[No]])-2</f>
        <v>Visitor/VisitorDetails/2</v>
      </c>
      <c r="AH4" s="61">
        <f>IF(DataViewSection[[#This Row],[Data Name for Layout]]="","id",IFERROR($AH3+1,IF(ISNUMBER(VLOOKUP('Table Seed Map'!$A$31,SeedMap[],9,0)),VLOOKUP('Table Seed Map'!$A$31,SeedMap[],9,0)+1,1)))</f>
        <v>50002</v>
      </c>
      <c r="AI4" s="61">
        <f>IFERROR(VLOOKUP(DataViewSection[[#This Row],[Data Name for Layout]],ResourceData[[DataDisplayName]:[No]],2,0),"resource_data")</f>
        <v>50001</v>
      </c>
      <c r="AJ4" s="61" t="s">
        <v>811</v>
      </c>
      <c r="AK4" s="61"/>
      <c r="AL4" s="61">
        <f>IFERROR(VLOOKUP(DataViewSection[[#This Row],[Relation]],RelationTable[[Display]:[RELID]],2,0),"")</f>
        <v>50025</v>
      </c>
      <c r="AM4" s="30">
        <v>6</v>
      </c>
      <c r="AN4" s="30" t="s">
        <v>805</v>
      </c>
      <c r="AP4" s="61" t="str">
        <f>'Table Seed Map'!$A$32&amp;"-"&amp;COUNTA($AQ$2:DataViewSectionItem[[#This Row],[Data Section for Items]])</f>
        <v>Data View Section Items-2</v>
      </c>
      <c r="AQ4" s="4" t="s">
        <v>814</v>
      </c>
      <c r="AR4" s="61">
        <f>IF(DataViewSectionItem[[#This Row],[Data Section for Items]]="","id",IFERROR($AR3+1,IF(ISNUMBER(VLOOKUP('Table Seed Map'!$A$32,SeedMap[],9,0)),VLOOKUP('Table Seed Map'!$A$32,SeedMap[],9,0)+1,1)))</f>
        <v>50002</v>
      </c>
      <c r="AS4" s="61">
        <f>IF(DataViewSectionItem[[#This Row],[Data Section for Items]]="","section",VLOOKUP(DataViewSectionItem[[#This Row],[Data Section for Items]],DataViewSection[[DataSectionDisplayName]:[No]],2,0))</f>
        <v>50001</v>
      </c>
      <c r="AT4" s="61" t="s">
        <v>696</v>
      </c>
      <c r="AU4" s="30" t="s">
        <v>471</v>
      </c>
      <c r="AV4" s="61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566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798</v>
      </c>
      <c r="G5" s="32" t="s">
        <v>799</v>
      </c>
      <c r="H5" s="32" t="s">
        <v>26</v>
      </c>
      <c r="I5" s="94"/>
      <c r="J5" s="64">
        <f>[No]</f>
        <v>50003</v>
      </c>
      <c r="L5" s="4" t="s">
        <v>803</v>
      </c>
      <c r="M5" s="7">
        <f>VLOOKUP(DataExtra[[#This Row],[Data Name]],ResourceData[[DataDisplayName]:[No]],2,0)</f>
        <v>50001</v>
      </c>
      <c r="N5" s="4"/>
      <c r="O5" s="4" t="s">
        <v>806</v>
      </c>
      <c r="P5" s="4" t="s">
        <v>713</v>
      </c>
      <c r="Q5" s="4"/>
      <c r="R5" s="4"/>
      <c r="S5" s="7" t="str">
        <f>'Table Seed Map'!$A$29&amp;"-"&amp;COUNT($V$1:DataExtra[[#This Row],[Scope ID]])</f>
        <v>Data Scopes-1</v>
      </c>
      <c r="T5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1">
        <f>IF(DataExtra[[#This Row],[DID]]=0,"resource_data",DataExtra[[#This Row],[DID]])</f>
        <v>50001</v>
      </c>
      <c r="V5" s="61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1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1">
        <f>IF(DataExtra[[#This Row],[DID]]=0,"resource_data",DataExtra[[#This Row],[DID]])</f>
        <v>50001</v>
      </c>
      <c r="Z5" s="61">
        <f>IFERROR(VLOOKUP(DataExtra[[#This Row],[Relation Name]],RelationTable[[Display]:[RELID]],2,0),IF(DataExtra[[#This Row],[DID]]=0,"relation",""))</f>
        <v>50026</v>
      </c>
      <c r="AA5" s="61">
        <f>IFERROR(VLOOKUP(DataExtra[[#This Row],[R1 Name]],RelationTable[[Display]:[RELID]],2,0),IF(DataExtra[[#This Row],[DID]]=0,"nest_relation1",""))</f>
        <v>50032</v>
      </c>
      <c r="AB5" s="61" t="str">
        <f>IFERROR(VLOOKUP(DataExtra[[#This Row],[R2 Name]],RelationTable[[Display]:[RELID]],2,0),IF(DataExtra[[#This Row],[DID]]=0,"nest_relation2",""))</f>
        <v/>
      </c>
      <c r="AC5" s="61" t="str">
        <f>IFERROR(VLOOKUP(DataExtra[[#This Row],[R3 Name]],RelationTable[[Display]:[RELID]],2,0),IF(DataExtra[[#This Row],[DID]]=0,"nest_relation3",""))</f>
        <v/>
      </c>
      <c r="AE5" s="61" t="str">
        <f>'Table Seed Map'!$A$31&amp;"-"&amp;COUNTA($AH$1:DataViewSection[[#This Row],[No]])-2</f>
        <v>Data View Section-3</v>
      </c>
      <c r="AF5" s="4" t="s">
        <v>803</v>
      </c>
      <c r="AG5" s="7" t="str">
        <f>DataViewSection[[#This Row],[Data Name for Layout]]&amp;"/"&amp;COUNTA($AH$1:DataViewSection[[#This Row],[No]])-2</f>
        <v>Visitor/VisitorDetails/3</v>
      </c>
      <c r="AH5" s="61">
        <f>IF(DataViewSection[[#This Row],[Data Name for Layout]]="","id",IFERROR($AH4+1,IF(ISNUMBER(VLOOKUP('Table Seed Map'!$A$31,SeedMap[],9,0)),VLOOKUP('Table Seed Map'!$A$31,SeedMap[],9,0)+1,1)))</f>
        <v>50003</v>
      </c>
      <c r="AI5" s="61">
        <f>IFERROR(VLOOKUP(DataViewSection[[#This Row],[Data Name for Layout]],ResourceData[[DataDisplayName]:[No]],2,0),"resource_data")</f>
        <v>50001</v>
      </c>
      <c r="AJ5" s="61" t="s">
        <v>812</v>
      </c>
      <c r="AK5" s="61"/>
      <c r="AL5" s="61">
        <f>IFERROR(VLOOKUP(DataViewSection[[#This Row],[Relation]],RelationTable[[Display]:[RELID]],2,0),"")</f>
        <v>50026</v>
      </c>
      <c r="AM5" s="30">
        <v>6</v>
      </c>
      <c r="AN5" s="30" t="s">
        <v>806</v>
      </c>
      <c r="AP5" s="61" t="str">
        <f>'Table Seed Map'!$A$32&amp;"-"&amp;COUNTA($AQ$2:DataViewSectionItem[[#This Row],[Data Section for Items]])</f>
        <v>Data View Section Items-3</v>
      </c>
      <c r="AQ5" s="4" t="s">
        <v>815</v>
      </c>
      <c r="AR5" s="61">
        <f>IF(DataViewSectionItem[[#This Row],[Data Section for Items]]="","id",IFERROR($AR4+1,IF(ISNUMBER(VLOOKUP('Table Seed Map'!$A$32,SeedMap[],9,0)),VLOOKUP('Table Seed Map'!$A$32,SeedMap[],9,0)+1,1)))</f>
        <v>50003</v>
      </c>
      <c r="AS5" s="61">
        <f>IF(DataViewSectionItem[[#This Row],[Data Section for Items]]="","section",VLOOKUP(DataViewSectionItem[[#This Row],[Data Section for Items]],DataViewSection[[DataSectionDisplayName]:[No]],2,0))</f>
        <v>50002</v>
      </c>
      <c r="AT5" s="61" t="s">
        <v>1</v>
      </c>
      <c r="AU5" s="30" t="s">
        <v>26</v>
      </c>
      <c r="AV5" s="61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647</v>
      </c>
      <c r="C6" s="7" t="str">
        <f>ResourceData[[#This Row],[Resource Name]]&amp;"/"&amp;ResourceData[[#This Row],[Name]]</f>
        <v>GroupDetail/GetListDetail</v>
      </c>
      <c r="D6" s="61">
        <f>IF($D5="id",IF(ISNUMBER(VLOOKUP('Table Seed Map'!$A$28,SeedMap[],9,0)),VLOOKUP('Table Seed Map'!$A$28,SeedMap[],9,0)+1,1),IFERROR($D5+1,"id"))</f>
        <v>50004</v>
      </c>
      <c r="E6" s="61">
        <f>IFERROR(VLOOKUP(ResourceData[[#This Row],[Resource Name]],ResourceTable[[RName]:[RID]],2,0),"resource")</f>
        <v>50002</v>
      </c>
      <c r="F6" s="30" t="s">
        <v>800</v>
      </c>
      <c r="G6" s="30" t="s">
        <v>753</v>
      </c>
      <c r="H6" s="30" t="s">
        <v>52</v>
      </c>
      <c r="I6" s="95"/>
      <c r="J6" s="67">
        <f>[No]</f>
        <v>50004</v>
      </c>
      <c r="L6" s="4" t="s">
        <v>804</v>
      </c>
      <c r="M6" s="7">
        <f>VLOOKUP(DataExtra[[#This Row],[Data Name]],ResourceData[[DataDisplayName]:[No]],2,0)</f>
        <v>50003</v>
      </c>
      <c r="N6" s="4"/>
      <c r="O6" s="4" t="s">
        <v>778</v>
      </c>
      <c r="P6" s="4"/>
      <c r="Q6" s="4"/>
      <c r="R6" s="4"/>
      <c r="S6" s="7" t="str">
        <f>'Table Seed Map'!$A$29&amp;"-"&amp;COUNT($V$1:DataExtra[[#This Row],[Scope ID]])</f>
        <v>Data Scopes-1</v>
      </c>
      <c r="T6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1">
        <f>IF(DataExtra[[#This Row],[DID]]=0,"resource_data",DataExtra[[#This Row],[DID]])</f>
        <v>50003</v>
      </c>
      <c r="V6" s="61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1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1">
        <f>IF(DataExtra[[#This Row],[DID]]=0,"resource_data",DataExtra[[#This Row],[DID]])</f>
        <v>50003</v>
      </c>
      <c r="Z6" s="61">
        <f>IFERROR(VLOOKUP(DataExtra[[#This Row],[Relation Name]],RelationTable[[Display]:[RELID]],2,0),IF(DataExtra[[#This Row],[DID]]=0,"relation",""))</f>
        <v>50027</v>
      </c>
      <c r="AA6" s="61" t="str">
        <f>IFERROR(VLOOKUP(DataExtra[[#This Row],[R1 Name]],RelationTable[[Display]:[RELID]],2,0),IF(DataExtra[[#This Row],[DID]]=0,"nest_relation1",""))</f>
        <v/>
      </c>
      <c r="AB6" s="61" t="str">
        <f>IFERROR(VLOOKUP(DataExtra[[#This Row],[R2 Name]],RelationTable[[Display]:[RELID]],2,0),IF(DataExtra[[#This Row],[DID]]=0,"nest_relation2",""))</f>
        <v/>
      </c>
      <c r="AC6" s="61" t="str">
        <f>IFERROR(VLOOKUP(DataExtra[[#This Row],[R3 Name]],RelationTable[[Display]:[RELID]],2,0),IF(DataExtra[[#This Row],[DID]]=0,"nest_relation3",""))</f>
        <v/>
      </c>
      <c r="AE6" s="61" t="str">
        <f>'Table Seed Map'!$A$31&amp;"-"&amp;COUNTA($AH$1:DataViewSection[[#This Row],[No]])-2</f>
        <v>Data View Section-4</v>
      </c>
      <c r="AF6" s="4" t="s">
        <v>804</v>
      </c>
      <c r="AG6" s="7" t="str">
        <f>DataViewSection[[#This Row],[Data Name for Layout]]&amp;"/"&amp;COUNTA($AH$1:DataViewSection[[#This Row],[No]])-2</f>
        <v>Wishlist/WishlistDetails/4</v>
      </c>
      <c r="AH6" s="61">
        <f>IF(DataViewSection[[#This Row],[Data Name for Layout]]="","id",IFERROR($AH5+1,IF(ISNUMBER(VLOOKUP('Table Seed Map'!$A$31,SeedMap[],9,0)),VLOOKUP('Table Seed Map'!$A$31,SeedMap[],9,0)+1,1)))</f>
        <v>50004</v>
      </c>
      <c r="AI6" s="61">
        <f>IFERROR(VLOOKUP(DataViewSection[[#This Row],[Data Name for Layout]],ResourceData[[DataDisplayName]:[No]],2,0),"resource_data")</f>
        <v>50003</v>
      </c>
      <c r="AJ6" s="61"/>
      <c r="AK6" s="61" t="s">
        <v>26</v>
      </c>
      <c r="AL6" s="61" t="str">
        <f>IFERROR(VLOOKUP(DataViewSection[[#This Row],[Relation]],RelationTable[[Display]:[RELID]],2,0),"")</f>
        <v/>
      </c>
      <c r="AM6" s="30">
        <v>12</v>
      </c>
      <c r="AN6" s="30"/>
      <c r="AP6" s="61" t="str">
        <f>'Table Seed Map'!$A$32&amp;"-"&amp;COUNTA($AQ$2:DataViewSectionItem[[#This Row],[Data Section for Items]])</f>
        <v>Data View Section Items-4</v>
      </c>
      <c r="AQ6" s="4" t="s">
        <v>815</v>
      </c>
      <c r="AR6" s="61">
        <f>IF(DataViewSectionItem[[#This Row],[Data Section for Items]]="","id",IFERROR($AR5+1,IF(ISNUMBER(VLOOKUP('Table Seed Map'!$A$32,SeedMap[],9,0)),VLOOKUP('Table Seed Map'!$A$32,SeedMap[],9,0)+1,1)))</f>
        <v>50004</v>
      </c>
      <c r="AS6" s="61">
        <f>IF(DataViewSectionItem[[#This Row],[Data Section for Items]]="","section",VLOOKUP(DataViewSectionItem[[#This Row],[Data Section for Items]],DataViewSection[[DataSectionDisplayName]:[No]],2,0))</f>
        <v>50002</v>
      </c>
      <c r="AT6" s="61" t="s">
        <v>107</v>
      </c>
      <c r="AU6" s="30" t="s">
        <v>28</v>
      </c>
      <c r="AV6" s="61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804</v>
      </c>
      <c r="M7" s="7">
        <f>VLOOKUP(DataExtra[[#This Row],[Data Name]],ResourceData[[DataDisplayName]:[No]],2,0)</f>
        <v>50003</v>
      </c>
      <c r="N7" s="4"/>
      <c r="O7" s="4" t="s">
        <v>807</v>
      </c>
      <c r="P7" s="4"/>
      <c r="Q7" s="4"/>
      <c r="R7" s="4"/>
      <c r="S7" s="7" t="str">
        <f>'Table Seed Map'!$A$29&amp;"-"&amp;COUNT($V$1:DataExtra[[#This Row],[Scope ID]])</f>
        <v>Data Scopes-1</v>
      </c>
      <c r="T7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1">
        <f>IF(DataExtra[[#This Row],[DID]]=0,"resource_data",DataExtra[[#This Row],[DID]])</f>
        <v>50003</v>
      </c>
      <c r="V7" s="61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1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1">
        <f>IF(DataExtra[[#This Row],[DID]]=0,"resource_data",DataExtra[[#This Row],[DID]])</f>
        <v>50003</v>
      </c>
      <c r="Z7" s="61">
        <f>IFERROR(VLOOKUP(DataExtra[[#This Row],[Relation Name]],RelationTable[[Display]:[RELID]],2,0),IF(DataExtra[[#This Row],[DID]]=0,"relation",""))</f>
        <v>50028</v>
      </c>
      <c r="AA7" s="61" t="str">
        <f>IFERROR(VLOOKUP(DataExtra[[#This Row],[R1 Name]],RelationTable[[Display]:[RELID]],2,0),IF(DataExtra[[#This Row],[DID]]=0,"nest_relation1",""))</f>
        <v/>
      </c>
      <c r="AB7" s="61" t="str">
        <f>IFERROR(VLOOKUP(DataExtra[[#This Row],[R2 Name]],RelationTable[[Display]:[RELID]],2,0),IF(DataExtra[[#This Row],[DID]]=0,"nest_relation2",""))</f>
        <v/>
      </c>
      <c r="AC7" s="61" t="str">
        <f>IFERROR(VLOOKUP(DataExtra[[#This Row],[R3 Name]],RelationTable[[Display]:[RELID]],2,0),IF(DataExtra[[#This Row],[DID]]=0,"nest_relation3",""))</f>
        <v/>
      </c>
      <c r="AE7" s="61" t="str">
        <f>'Table Seed Map'!$A$31&amp;"-"&amp;COUNTA($AH$1:DataViewSection[[#This Row],[No]])-2</f>
        <v>Data View Section-5</v>
      </c>
      <c r="AF7" s="4" t="s">
        <v>804</v>
      </c>
      <c r="AG7" s="7" t="str">
        <f>DataViewSection[[#This Row],[Data Name for Layout]]&amp;"/"&amp;COUNTA($AH$1:DataViewSection[[#This Row],[No]])-2</f>
        <v>Wishlist/WishlistDetails/5</v>
      </c>
      <c r="AH7" s="61">
        <f>IF(DataViewSection[[#This Row],[Data Name for Layout]]="","id",IFERROR($AH6+1,IF(ISNUMBER(VLOOKUP('Table Seed Map'!$A$31,SeedMap[],9,0)),VLOOKUP('Table Seed Map'!$A$31,SeedMap[],9,0)+1,1)))</f>
        <v>50005</v>
      </c>
      <c r="AI7" s="61">
        <f>IFERROR(VLOOKUP(DataViewSection[[#This Row],[Data Name for Layout]],ResourceData[[DataDisplayName]:[No]],2,0),"resource_data")</f>
        <v>50003</v>
      </c>
      <c r="AJ7" s="61" t="s">
        <v>813</v>
      </c>
      <c r="AK7" s="61"/>
      <c r="AL7" s="61">
        <f>IFERROR(VLOOKUP(DataViewSection[[#This Row],[Relation]],RelationTable[[Display]:[RELID]],2,0),"")</f>
        <v>50029</v>
      </c>
      <c r="AM7" s="30">
        <v>12</v>
      </c>
      <c r="AN7" s="30" t="s">
        <v>808</v>
      </c>
      <c r="AP7" s="61" t="str">
        <f>'Table Seed Map'!$A$32&amp;"-"&amp;COUNTA($AQ$2:DataViewSectionItem[[#This Row],[Data Section for Items]])</f>
        <v>Data View Section Items-5</v>
      </c>
      <c r="AQ7" s="4" t="s">
        <v>815</v>
      </c>
      <c r="AR7" s="61">
        <f>IF(DataViewSectionItem[[#This Row],[Data Section for Items]]="","id",IFERROR($AR6+1,IF(ISNUMBER(VLOOKUP('Table Seed Map'!$A$32,SeedMap[],9,0)),VLOOKUP('Table Seed Map'!$A$32,SeedMap[],9,0)+1,1)))</f>
        <v>50005</v>
      </c>
      <c r="AS7" s="61">
        <f>IF(DataViewSectionItem[[#This Row],[Data Section for Items]]="","section",VLOOKUP(DataViewSectionItem[[#This Row],[Data Section for Items]],DataViewSection[[DataSectionDisplayName]:[No]],2,0))</f>
        <v>50002</v>
      </c>
      <c r="AT7" s="61" t="s">
        <v>559</v>
      </c>
      <c r="AU7" s="30" t="s">
        <v>26</v>
      </c>
      <c r="AV7" s="61">
        <f>IF(DataViewSectionItem[[#This Row],[Data Section for Items]]="","relation",IFERROR(VLOOKUP(DataViewSectionItem[[#This Row],[Relation]],RelationTable[[Display]:[RELID]],2,0),""))</f>
        <v>50032</v>
      </c>
      <c r="AW7" s="30" t="s">
        <v>713</v>
      </c>
    </row>
    <row r="8" spans="1:49">
      <c r="L8" s="4" t="s">
        <v>804</v>
      </c>
      <c r="M8" s="7">
        <f>VLOOKUP(DataExtra[[#This Row],[Data Name]],ResourceData[[DataDisplayName]:[No]],2,0)</f>
        <v>50003</v>
      </c>
      <c r="N8" s="4"/>
      <c r="O8" s="4" t="s">
        <v>808</v>
      </c>
      <c r="P8" s="4"/>
      <c r="Q8" s="4"/>
      <c r="R8" s="4"/>
      <c r="S8" s="7" t="str">
        <f>'Table Seed Map'!$A$29&amp;"-"&amp;COUNT($V$1:DataExtra[[#This Row],[Scope ID]])</f>
        <v>Data Scopes-1</v>
      </c>
      <c r="T8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1">
        <f>IF(DataExtra[[#This Row],[DID]]=0,"resource_data",DataExtra[[#This Row],[DID]])</f>
        <v>50003</v>
      </c>
      <c r="V8" s="61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1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1">
        <f>IF(DataExtra[[#This Row],[DID]]=0,"resource_data",DataExtra[[#This Row],[DID]])</f>
        <v>50003</v>
      </c>
      <c r="Z8" s="61">
        <f>IFERROR(VLOOKUP(DataExtra[[#This Row],[Relation Name]],RelationTable[[Display]:[RELID]],2,0),IF(DataExtra[[#This Row],[DID]]=0,"relation",""))</f>
        <v>50029</v>
      </c>
      <c r="AA8" s="61" t="str">
        <f>IFERROR(VLOOKUP(DataExtra[[#This Row],[R1 Name]],RelationTable[[Display]:[RELID]],2,0),IF(DataExtra[[#This Row],[DID]]=0,"nest_relation1",""))</f>
        <v/>
      </c>
      <c r="AB8" s="61" t="str">
        <f>IFERROR(VLOOKUP(DataExtra[[#This Row],[R2 Name]],RelationTable[[Display]:[RELID]],2,0),IF(DataExtra[[#This Row],[DID]]=0,"nest_relation2",""))</f>
        <v/>
      </c>
      <c r="AC8" s="61" t="str">
        <f>IFERROR(VLOOKUP(DataExtra[[#This Row],[R3 Name]],RelationTable[[Display]:[RELID]],2,0),IF(DataExtra[[#This Row],[DID]]=0,"nest_relation3",""))</f>
        <v/>
      </c>
      <c r="AE8" s="61" t="str">
        <f>'Table Seed Map'!$A$31&amp;"-"&amp;COUNTA($AH$1:DataViewSection[[#This Row],[No]])-2</f>
        <v>Data View Section-6</v>
      </c>
      <c r="AF8" s="4" t="s">
        <v>804</v>
      </c>
      <c r="AG8" s="7" t="str">
        <f>DataViewSection[[#This Row],[Data Name for Layout]]&amp;"/"&amp;COUNTA($AH$1:DataViewSection[[#This Row],[No]])-2</f>
        <v>Wishlist/WishlistDetails/6</v>
      </c>
      <c r="AH8" s="61">
        <f>IF(DataViewSection[[#This Row],[Data Name for Layout]]="","id",IFERROR($AH7+1,IF(ISNUMBER(VLOOKUP('Table Seed Map'!$A$31,SeedMap[],9,0)),VLOOKUP('Table Seed Map'!$A$31,SeedMap[],9,0)+1,1)))</f>
        <v>50006</v>
      </c>
      <c r="AI8" s="61">
        <f>IFERROR(VLOOKUP(DataViewSection[[#This Row],[Data Name for Layout]],ResourceData[[DataDisplayName]:[No]],2,0),"resource_data")</f>
        <v>50003</v>
      </c>
      <c r="AJ8" s="61" t="s">
        <v>559</v>
      </c>
      <c r="AK8" s="61"/>
      <c r="AL8" s="61">
        <f>IFERROR(VLOOKUP(DataViewSection[[#This Row],[Relation]],RelationTable[[Display]:[RELID]],2,0),"")</f>
        <v>50031</v>
      </c>
      <c r="AM8" s="30">
        <v>12</v>
      </c>
      <c r="AN8" s="30" t="s">
        <v>810</v>
      </c>
      <c r="AP8" s="61" t="str">
        <f>'Table Seed Map'!$A$32&amp;"-"&amp;COUNTA($AQ$2:DataViewSectionItem[[#This Row],[Data Section for Items]])</f>
        <v>Data View Section Items-6</v>
      </c>
      <c r="AQ8" s="4" t="s">
        <v>816</v>
      </c>
      <c r="AR8" s="61">
        <f>IF(DataViewSectionItem[[#This Row],[Data Section for Items]]="","id",IFERROR($AR7+1,IF(ISNUMBER(VLOOKUP('Table Seed Map'!$A$32,SeedMap[],9,0)),VLOOKUP('Table Seed Map'!$A$32,SeedMap[],9,0)+1,1)))</f>
        <v>50006</v>
      </c>
      <c r="AS8" s="61">
        <f>IF(DataViewSectionItem[[#This Row],[Data Section for Items]]="","section",VLOOKUP(DataViewSectionItem[[#This Row],[Data Section for Items]],DataViewSection[[DataSectionDisplayName]:[No]],2,0))</f>
        <v>50003</v>
      </c>
      <c r="AT8" s="61" t="s">
        <v>1</v>
      </c>
      <c r="AU8" s="30" t="s">
        <v>26</v>
      </c>
      <c r="AV8" s="61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804</v>
      </c>
      <c r="M9" s="7">
        <f>VLOOKUP(DataExtra[[#This Row],[Data Name]],ResourceData[[DataDisplayName]:[No]],2,0)</f>
        <v>50003</v>
      </c>
      <c r="N9" s="4"/>
      <c r="O9" s="4" t="s">
        <v>809</v>
      </c>
      <c r="P9" s="4" t="s">
        <v>779</v>
      </c>
      <c r="Q9" s="4"/>
      <c r="R9" s="4"/>
      <c r="S9" s="7" t="str">
        <f>'Table Seed Map'!$A$29&amp;"-"&amp;COUNT($V$1:DataExtra[[#This Row],[Scope ID]])</f>
        <v>Data Scopes-1</v>
      </c>
      <c r="T9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1">
        <f>IF(DataExtra[[#This Row],[DID]]=0,"resource_data",DataExtra[[#This Row],[DID]])</f>
        <v>50003</v>
      </c>
      <c r="V9" s="61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1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1">
        <f>IF(DataExtra[[#This Row],[DID]]=0,"resource_data",DataExtra[[#This Row],[DID]])</f>
        <v>50003</v>
      </c>
      <c r="Z9" s="61">
        <f>IFERROR(VLOOKUP(DataExtra[[#This Row],[Relation Name]],RelationTable[[Display]:[RELID]],2,0),IF(DataExtra[[#This Row],[DID]]=0,"relation",""))</f>
        <v>50030</v>
      </c>
      <c r="AA9" s="61">
        <f>IFERROR(VLOOKUP(DataExtra[[#This Row],[R1 Name]],RelationTable[[Display]:[RELID]],2,0),IF(DataExtra[[#This Row],[DID]]=0,"nest_relation1",""))</f>
        <v>50035</v>
      </c>
      <c r="AB9" s="61" t="str">
        <f>IFERROR(VLOOKUP(DataExtra[[#This Row],[R2 Name]],RelationTable[[Display]:[RELID]],2,0),IF(DataExtra[[#This Row],[DID]]=0,"nest_relation2",""))</f>
        <v/>
      </c>
      <c r="AC9" s="61" t="str">
        <f>IFERROR(VLOOKUP(DataExtra[[#This Row],[R3 Name]],RelationTable[[Display]:[RELID]],2,0),IF(DataExtra[[#This Row],[DID]]=0,"nest_relation3",""))</f>
        <v/>
      </c>
      <c r="AE9" s="61" t="str">
        <f>'Table Seed Map'!$A$31&amp;"-"&amp;COUNTA($AH$1:DataViewSection[[#This Row],[No]])-2</f>
        <v>Data View Section-7</v>
      </c>
      <c r="AF9" s="4" t="s">
        <v>804</v>
      </c>
      <c r="AG9" s="7" t="str">
        <f>DataViewSection[[#This Row],[Data Name for Layout]]&amp;"/"&amp;COUNTA($AH$1:DataViewSection[[#This Row],[No]])-2</f>
        <v>Wishlist/WishlistDetails/7</v>
      </c>
      <c r="AH9" s="61">
        <f>IF(DataViewSection[[#This Row],[Data Name for Layout]]="","id",IFERROR($AH8+1,IF(ISNUMBER(VLOOKUP('Table Seed Map'!$A$31,SeedMap[],9,0)),VLOOKUP('Table Seed Map'!$A$31,SeedMap[],9,0)+1,1)))</f>
        <v>50007</v>
      </c>
      <c r="AI9" s="61">
        <f>IFERROR(VLOOKUP(DataViewSection[[#This Row],[Data Name for Layout]],ResourceData[[DataDisplayName]:[No]],2,0),"resource_data")</f>
        <v>50003</v>
      </c>
      <c r="AJ9" s="61" t="s">
        <v>733</v>
      </c>
      <c r="AK9" s="61"/>
      <c r="AL9" s="61">
        <f>IFERROR(VLOOKUP(DataViewSection[[#This Row],[Relation]],RelationTable[[Display]:[RELID]],2,0),"")</f>
        <v>50030</v>
      </c>
      <c r="AM9" s="30">
        <v>12</v>
      </c>
      <c r="AN9" s="30" t="s">
        <v>809</v>
      </c>
      <c r="AP9" s="61" t="str">
        <f>'Table Seed Map'!$A$32&amp;"-"&amp;COUNTA($AQ$2:DataViewSectionItem[[#This Row],[Data Section for Items]])</f>
        <v>Data View Section Items-7</v>
      </c>
      <c r="AQ9" s="4" t="s">
        <v>816</v>
      </c>
      <c r="AR9" s="61">
        <f>IF(DataViewSectionItem[[#This Row],[Data Section for Items]]="","id",IFERROR($AR8+1,IF(ISNUMBER(VLOOKUP('Table Seed Map'!$A$32,SeedMap[],9,0)),VLOOKUP('Table Seed Map'!$A$32,SeedMap[],9,0)+1,1)))</f>
        <v>50007</v>
      </c>
      <c r="AS9" s="61">
        <f>IF(DataViewSectionItem[[#This Row],[Data Section for Items]]="","section",VLOOKUP(DataViewSectionItem[[#This Row],[Data Section for Items]],DataViewSection[[DataSectionDisplayName]:[No]],2,0))</f>
        <v>50003</v>
      </c>
      <c r="AT9" s="61" t="s">
        <v>107</v>
      </c>
      <c r="AU9" s="30" t="s">
        <v>28</v>
      </c>
      <c r="AV9" s="61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804</v>
      </c>
      <c r="M10" s="7">
        <f>VLOOKUP(DataExtra[[#This Row],[Data Name]],ResourceData[[DataDisplayName]:[No]],2,0)</f>
        <v>50003</v>
      </c>
      <c r="N10" s="4"/>
      <c r="O10" s="4" t="s">
        <v>810</v>
      </c>
      <c r="P10" s="4" t="s">
        <v>781</v>
      </c>
      <c r="Q10" s="4"/>
      <c r="R10" s="4"/>
      <c r="S10" s="7" t="str">
        <f>'Table Seed Map'!$A$29&amp;"-"&amp;COUNT($V$1:DataExtra[[#This Row],[Scope ID]])</f>
        <v>Data Scopes-1</v>
      </c>
      <c r="T10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1">
        <f>IF(DataExtra[[#This Row],[DID]]=0,"resource_data",DataExtra[[#This Row],[DID]])</f>
        <v>50003</v>
      </c>
      <c r="V10" s="61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1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1">
        <f>IF(DataExtra[[#This Row],[DID]]=0,"resource_data",DataExtra[[#This Row],[DID]])</f>
        <v>50003</v>
      </c>
      <c r="Z10" s="61">
        <f>IFERROR(VLOOKUP(DataExtra[[#This Row],[Relation Name]],RelationTable[[Display]:[RELID]],2,0),IF(DataExtra[[#This Row],[DID]]=0,"relation",""))</f>
        <v>50031</v>
      </c>
      <c r="AA10" s="61">
        <f>IFERROR(VLOOKUP(DataExtra[[#This Row],[R1 Name]],RelationTable[[Display]:[RELID]],2,0),IF(DataExtra[[#This Row],[DID]]=0,"nest_relation1",""))</f>
        <v>50040</v>
      </c>
      <c r="AB10" s="61" t="str">
        <f>IFERROR(VLOOKUP(DataExtra[[#This Row],[R2 Name]],RelationTable[[Display]:[RELID]],2,0),IF(DataExtra[[#This Row],[DID]]=0,"nest_relation2",""))</f>
        <v/>
      </c>
      <c r="AC10" s="61" t="str">
        <f>IFERROR(VLOOKUP(DataExtra[[#This Row],[R3 Name]],RelationTable[[Display]:[RELID]],2,0),IF(DataExtra[[#This Row],[DID]]=0,"nest_relation3",""))</f>
        <v/>
      </c>
      <c r="AP10" s="61" t="str">
        <f>'Table Seed Map'!$A$32&amp;"-"&amp;COUNTA($AQ$2:DataViewSectionItem[[#This Row],[Data Section for Items]])</f>
        <v>Data View Section Items-8</v>
      </c>
      <c r="AQ10" s="4" t="s">
        <v>816</v>
      </c>
      <c r="AR10" s="61">
        <f>IF(DataViewSectionItem[[#This Row],[Data Section for Items]]="","id",IFERROR($AR9+1,IF(ISNUMBER(VLOOKUP('Table Seed Map'!$A$32,SeedMap[],9,0)),VLOOKUP('Table Seed Map'!$A$32,SeedMap[],9,0)+1,1)))</f>
        <v>50008</v>
      </c>
      <c r="AS10" s="61">
        <f>IF(DataViewSectionItem[[#This Row],[Data Section for Items]]="","section",VLOOKUP(DataViewSectionItem[[#This Row],[Data Section for Items]],DataViewSection[[DataSectionDisplayName]:[No]],2,0))</f>
        <v>50003</v>
      </c>
      <c r="AT10" s="61" t="s">
        <v>559</v>
      </c>
      <c r="AU10" s="30" t="s">
        <v>26</v>
      </c>
      <c r="AV10" s="61">
        <f>IF(DataViewSectionItem[[#This Row],[Data Section for Items]]="","relation",IFERROR(VLOOKUP(DataViewSectionItem[[#This Row],[Relation]],RelationTable[[Display]:[RELID]],2,0),""))</f>
        <v>50032</v>
      </c>
      <c r="AW10" s="30" t="s">
        <v>713</v>
      </c>
    </row>
    <row r="11" spans="1:49">
      <c r="L11" s="4" t="s">
        <v>804</v>
      </c>
      <c r="M11" s="7">
        <f>VLOOKUP(DataExtra[[#This Row],[Data Name]],ResourceData[[DataDisplayName]:[No]],2,0)</f>
        <v>50003</v>
      </c>
      <c r="N11" s="4"/>
      <c r="O11" s="4" t="s">
        <v>810</v>
      </c>
      <c r="P11" s="4" t="s">
        <v>782</v>
      </c>
      <c r="Q11" s="4"/>
      <c r="R11" s="4"/>
      <c r="S11" s="7" t="str">
        <f>'Table Seed Map'!$A$29&amp;"-"&amp;COUNT($V$1:DataExtra[[#This Row],[Scope ID]])</f>
        <v>Data Scopes-1</v>
      </c>
      <c r="T11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1">
        <f>IF(DataExtra[[#This Row],[DID]]=0,"resource_data",DataExtra[[#This Row],[DID]])</f>
        <v>50003</v>
      </c>
      <c r="V11" s="61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1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1">
        <f>IF(DataExtra[[#This Row],[DID]]=0,"resource_data",DataExtra[[#This Row],[DID]])</f>
        <v>50003</v>
      </c>
      <c r="Z11" s="61">
        <f>IFERROR(VLOOKUP(DataExtra[[#This Row],[Relation Name]],RelationTable[[Display]:[RELID]],2,0),IF(DataExtra[[#This Row],[DID]]=0,"relation",""))</f>
        <v>50031</v>
      </c>
      <c r="AA11" s="61">
        <f>IFERROR(VLOOKUP(DataExtra[[#This Row],[R1 Name]],RelationTable[[Display]:[RELID]],2,0),IF(DataExtra[[#This Row],[DID]]=0,"nest_relation1",""))</f>
        <v>50037</v>
      </c>
      <c r="AB11" s="61" t="str">
        <f>IFERROR(VLOOKUP(DataExtra[[#This Row],[R2 Name]],RelationTable[[Display]:[RELID]],2,0),IF(DataExtra[[#This Row],[DID]]=0,"nest_relation2",""))</f>
        <v/>
      </c>
      <c r="AC11" s="61" t="str">
        <f>IFERROR(VLOOKUP(DataExtra[[#This Row],[R3 Name]],RelationTable[[Display]:[RELID]],2,0),IF(DataExtra[[#This Row],[DID]]=0,"nest_relation3",""))</f>
        <v/>
      </c>
      <c r="AP11" s="61" t="str">
        <f>'Table Seed Map'!$A$32&amp;"-"&amp;COUNTA($AQ$2:DataViewSectionItem[[#This Row],[Data Section for Items]])</f>
        <v>Data View Section Items-9</v>
      </c>
      <c r="AQ11" s="4" t="s">
        <v>817</v>
      </c>
      <c r="AR11" s="61">
        <f>IF(DataViewSectionItem[[#This Row],[Data Section for Items]]="","id",IFERROR($AR10+1,IF(ISNUMBER(VLOOKUP('Table Seed Map'!$A$32,SeedMap[],9,0)),VLOOKUP('Table Seed Map'!$A$32,SeedMap[],9,0)+1,1)))</f>
        <v>50009</v>
      </c>
      <c r="AS11" s="61">
        <f>IF(DataViewSectionItem[[#This Row],[Data Section for Items]]="","section",VLOOKUP(DataViewSectionItem[[#This Row],[Data Section for Items]],DataViewSection[[DataSectionDisplayName]:[No]],2,0))</f>
        <v>50004</v>
      </c>
      <c r="AT11" s="61" t="s">
        <v>601</v>
      </c>
      <c r="AU11" s="30" t="s">
        <v>26</v>
      </c>
      <c r="AV11" s="61">
        <f>IF(DataViewSectionItem[[#This Row],[Data Section for Items]]="","relation",IFERROR(VLOOKUP(DataViewSectionItem[[#This Row],[Relation]],RelationTable[[Display]:[RELID]],2,0),""))</f>
        <v>50027</v>
      </c>
      <c r="AW11" s="30" t="s">
        <v>778</v>
      </c>
    </row>
    <row r="12" spans="1:49">
      <c r="L12" s="4" t="s">
        <v>804</v>
      </c>
      <c r="M12" s="7">
        <f>VLOOKUP(DataExtra[[#This Row],[Data Name]],ResourceData[[DataDisplayName]:[No]],2,0)</f>
        <v>50003</v>
      </c>
      <c r="N12" s="4"/>
      <c r="O12" s="4" t="s">
        <v>810</v>
      </c>
      <c r="P12" s="4" t="s">
        <v>783</v>
      </c>
      <c r="Q12" s="4"/>
      <c r="R12" s="4"/>
      <c r="S12" s="7" t="str">
        <f>'Table Seed Map'!$A$29&amp;"-"&amp;COUNT($V$1:DataExtra[[#This Row],[Scope ID]])</f>
        <v>Data Scopes-1</v>
      </c>
      <c r="T12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1">
        <f>IF(DataExtra[[#This Row],[DID]]=0,"resource_data",DataExtra[[#This Row],[DID]])</f>
        <v>50003</v>
      </c>
      <c r="V12" s="61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1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1">
        <f>IF(DataExtra[[#This Row],[DID]]=0,"resource_data",DataExtra[[#This Row],[DID]])</f>
        <v>50003</v>
      </c>
      <c r="Z12" s="61">
        <f>IFERROR(VLOOKUP(DataExtra[[#This Row],[Relation Name]],RelationTable[[Display]:[RELID]],2,0),IF(DataExtra[[#This Row],[DID]]=0,"relation",""))</f>
        <v>50031</v>
      </c>
      <c r="AA12" s="61">
        <f>IFERROR(VLOOKUP(DataExtra[[#This Row],[R1 Name]],RelationTable[[Display]:[RELID]],2,0),IF(DataExtra[[#This Row],[DID]]=0,"nest_relation1",""))</f>
        <v>50038</v>
      </c>
      <c r="AB12" s="61" t="str">
        <f>IFERROR(VLOOKUP(DataExtra[[#This Row],[R2 Name]],RelationTable[[Display]:[RELID]],2,0),IF(DataExtra[[#This Row],[DID]]=0,"nest_relation2",""))</f>
        <v/>
      </c>
      <c r="AC12" s="61" t="str">
        <f>IFERROR(VLOOKUP(DataExtra[[#This Row],[R3 Name]],RelationTable[[Display]:[RELID]],2,0),IF(DataExtra[[#This Row],[DID]]=0,"nest_relation3",""))</f>
        <v/>
      </c>
      <c r="AP12" s="61" t="str">
        <f>'Table Seed Map'!$A$32&amp;"-"&amp;COUNTA($AQ$2:DataViewSectionItem[[#This Row],[Data Section for Items]])</f>
        <v>Data View Section Items-10</v>
      </c>
      <c r="AQ12" s="4" t="s">
        <v>817</v>
      </c>
      <c r="AR12" s="61">
        <f>IF(DataViewSectionItem[[#This Row],[Data Section for Items]]="","id",IFERROR($AR11+1,IF(ISNUMBER(VLOOKUP('Table Seed Map'!$A$32,SeedMap[],9,0)),VLOOKUP('Table Seed Map'!$A$32,SeedMap[],9,0)+1,1)))</f>
        <v>50010</v>
      </c>
      <c r="AS12" s="61">
        <f>IF(DataViewSectionItem[[#This Row],[Data Section for Items]]="","section",VLOOKUP(DataViewSectionItem[[#This Row],[Data Section for Items]],DataViewSection[[DataSectionDisplayName]:[No]],2,0))</f>
        <v>50004</v>
      </c>
      <c r="AT12" s="61" t="s">
        <v>821</v>
      </c>
      <c r="AU12" s="30" t="s">
        <v>453</v>
      </c>
      <c r="AV12" s="61">
        <f>IF(DataViewSectionItem[[#This Row],[Data Section for Items]]="","relation",IFERROR(VLOOKUP(DataViewSectionItem[[#This Row],[Relation]],RelationTable[[Display]:[RELID]],2,0),""))</f>
        <v>50028</v>
      </c>
      <c r="AW12" s="30" t="s">
        <v>807</v>
      </c>
    </row>
    <row r="13" spans="1:49">
      <c r="AP13" s="61" t="str">
        <f>'Table Seed Map'!$A$32&amp;"-"&amp;COUNTA($AQ$2:DataViewSectionItem[[#This Row],[Data Section for Items]])</f>
        <v>Data View Section Items-11</v>
      </c>
      <c r="AQ13" s="4" t="s">
        <v>817</v>
      </c>
      <c r="AR13" s="61">
        <f>IF(DataViewSectionItem[[#This Row],[Data Section for Items]]="","id",IFERROR($AR12+1,IF(ISNUMBER(VLOOKUP('Table Seed Map'!$A$32,SeedMap[],9,0)),VLOOKUP('Table Seed Map'!$A$32,SeedMap[],9,0)+1,1)))</f>
        <v>50011</v>
      </c>
      <c r="AS13" s="61">
        <f>IF(DataViewSectionItem[[#This Row],[Data Section for Items]]="","section",VLOOKUP(DataViewSectionItem[[#This Row],[Data Section for Items]],DataViewSection[[DataSectionDisplayName]:[No]],2,0))</f>
        <v>50004</v>
      </c>
      <c r="AT13" s="61" t="s">
        <v>107</v>
      </c>
      <c r="AU13" s="30" t="s">
        <v>28</v>
      </c>
      <c r="AV13" s="61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1" t="str">
        <f>'Table Seed Map'!$A$32&amp;"-"&amp;COUNTA($AQ$2:DataViewSectionItem[[#This Row],[Data Section for Items]])</f>
        <v>Data View Section Items-12</v>
      </c>
      <c r="AQ14" s="4" t="s">
        <v>818</v>
      </c>
      <c r="AR14" s="61">
        <f>IF(DataViewSectionItem[[#This Row],[Data Section for Items]]="","id",IFERROR($AR13+1,IF(ISNUMBER(VLOOKUP('Table Seed Map'!$A$32,SeedMap[],9,0)),VLOOKUP('Table Seed Map'!$A$32,SeedMap[],9,0)+1,1)))</f>
        <v>50012</v>
      </c>
      <c r="AS14" s="61">
        <f>IF(DataViewSectionItem[[#This Row],[Data Section for Items]]="","section",VLOOKUP(DataViewSectionItem[[#This Row],[Data Section for Items]],DataViewSection[[DataSectionDisplayName]:[No]],2,0))</f>
        <v>50005</v>
      </c>
      <c r="AT14" s="61" t="s">
        <v>1</v>
      </c>
      <c r="AU14" s="30" t="s">
        <v>26</v>
      </c>
      <c r="AV14" s="61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1" t="str">
        <f>'Table Seed Map'!$A$32&amp;"-"&amp;COUNTA($AQ$2:DataViewSectionItem[[#This Row],[Data Section for Items]])</f>
        <v>Data View Section Items-13</v>
      </c>
      <c r="AQ15" s="4" t="s">
        <v>818</v>
      </c>
      <c r="AR15" s="61">
        <f>IF(DataViewSectionItem[[#This Row],[Data Section for Items]]="","id",IFERROR($AR14+1,IF(ISNUMBER(VLOOKUP('Table Seed Map'!$A$32,SeedMap[],9,0)),VLOOKUP('Table Seed Map'!$A$32,SeedMap[],9,0)+1,1)))</f>
        <v>50013</v>
      </c>
      <c r="AS15" s="61">
        <f>IF(DataViewSectionItem[[#This Row],[Data Section for Items]]="","section",VLOOKUP(DataViewSectionItem[[#This Row],[Data Section for Items]],DataViewSection[[DataSectionDisplayName]:[No]],2,0))</f>
        <v>50005</v>
      </c>
      <c r="AT15" s="61" t="s">
        <v>790</v>
      </c>
      <c r="AU15" s="30" t="s">
        <v>101</v>
      </c>
      <c r="AV15" s="61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1" t="str">
        <f>'Table Seed Map'!$A$32&amp;"-"&amp;COUNTA($AQ$2:DataViewSectionItem[[#This Row],[Data Section for Items]])</f>
        <v>Data View Section Items-14</v>
      </c>
      <c r="AQ16" s="4" t="s">
        <v>818</v>
      </c>
      <c r="AR16" s="61">
        <f>IF(DataViewSectionItem[[#This Row],[Data Section for Items]]="","id",IFERROR($AR15+1,IF(ISNUMBER(VLOOKUP('Table Seed Map'!$A$32,SeedMap[],9,0)),VLOOKUP('Table Seed Map'!$A$32,SeedMap[],9,0)+1,1)))</f>
        <v>50014</v>
      </c>
      <c r="AS16" s="61">
        <f>IF(DataViewSectionItem[[#This Row],[Data Section for Items]]="","section",VLOOKUP(DataViewSectionItem[[#This Row],[Data Section for Items]],DataViewSection[[DataSectionDisplayName]:[No]],2,0))</f>
        <v>50005</v>
      </c>
      <c r="AT16" s="61" t="s">
        <v>791</v>
      </c>
      <c r="AU16" s="30" t="s">
        <v>471</v>
      </c>
      <c r="AV16" s="61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1" t="str">
        <f>'Table Seed Map'!$A$32&amp;"-"&amp;COUNTA($AQ$2:DataViewSectionItem[[#This Row],[Data Section for Items]])</f>
        <v>Data View Section Items-15</v>
      </c>
      <c r="AQ17" s="4" t="s">
        <v>819</v>
      </c>
      <c r="AR17" s="61">
        <f>IF(DataViewSectionItem[[#This Row],[Data Section for Items]]="","id",IFERROR($AR16+1,IF(ISNUMBER(VLOOKUP('Table Seed Map'!$A$32,SeedMap[],9,0)),VLOOKUP('Table Seed Map'!$A$32,SeedMap[],9,0)+1,1)))</f>
        <v>50015</v>
      </c>
      <c r="AS17" s="61">
        <f>IF(DataViewSectionItem[[#This Row],[Data Section for Items]]="","section",VLOOKUP(DataViewSectionItem[[#This Row],[Data Section for Items]],DataViewSection[[DataSectionDisplayName]:[No]],2,0))</f>
        <v>50006</v>
      </c>
      <c r="AT17" s="61" t="s">
        <v>557</v>
      </c>
      <c r="AU17" s="30" t="s">
        <v>26</v>
      </c>
      <c r="AV17" s="61">
        <f>IF(DataViewSectionItem[[#This Row],[Data Section for Items]]="","relation",IFERROR(VLOOKUP(DataViewSectionItem[[#This Row],[Relation]],RelationTable[[Display]:[RELID]],2,0),""))</f>
        <v>50040</v>
      </c>
      <c r="AW17" s="30" t="s">
        <v>781</v>
      </c>
    </row>
    <row r="18" spans="42:49">
      <c r="AP18" s="61" t="str">
        <f>'Table Seed Map'!$A$32&amp;"-"&amp;COUNTA($AQ$2:DataViewSectionItem[[#This Row],[Data Section for Items]])</f>
        <v>Data View Section Items-16</v>
      </c>
      <c r="AQ18" s="4" t="s">
        <v>819</v>
      </c>
      <c r="AR18" s="61">
        <f>IF(DataViewSectionItem[[#This Row],[Data Section for Items]]="","id",IFERROR($AR17+1,IF(ISNUMBER(VLOOKUP('Table Seed Map'!$A$32,SeedMap[],9,0)),VLOOKUP('Table Seed Map'!$A$32,SeedMap[],9,0)+1,1)))</f>
        <v>50016</v>
      </c>
      <c r="AS18" s="61">
        <f>IF(DataViewSectionItem[[#This Row],[Data Section for Items]]="","section",VLOOKUP(DataViewSectionItem[[#This Row],[Data Section for Items]],DataViewSection[[DataSectionDisplayName]:[No]],2,0))</f>
        <v>50006</v>
      </c>
      <c r="AT18" s="61" t="s">
        <v>792</v>
      </c>
      <c r="AU18" s="30" t="s">
        <v>26</v>
      </c>
      <c r="AV18" s="61">
        <f>IF(DataViewSectionItem[[#This Row],[Data Section for Items]]="","relation",IFERROR(VLOOKUP(DataViewSectionItem[[#This Row],[Relation]],RelationTable[[Display]:[RELID]],2,0),""))</f>
        <v>50037</v>
      </c>
      <c r="AW18" s="30" t="s">
        <v>782</v>
      </c>
    </row>
    <row r="19" spans="42:49">
      <c r="AP19" s="61" t="str">
        <f>'Table Seed Map'!$A$32&amp;"-"&amp;COUNTA($AQ$2:DataViewSectionItem[[#This Row],[Data Section for Items]])</f>
        <v>Data View Section Items-17</v>
      </c>
      <c r="AQ19" s="4" t="s">
        <v>819</v>
      </c>
      <c r="AR19" s="61">
        <f>IF(DataViewSectionItem[[#This Row],[Data Section for Items]]="","id",IFERROR($AR18+1,IF(ISNUMBER(VLOOKUP('Table Seed Map'!$A$32,SeedMap[],9,0)),VLOOKUP('Table Seed Map'!$A$32,SeedMap[],9,0)+1,1)))</f>
        <v>50017</v>
      </c>
      <c r="AS19" s="61">
        <f>IF(DataViewSectionItem[[#This Row],[Data Section for Items]]="","section",VLOOKUP(DataViewSectionItem[[#This Row],[Data Section for Items]],DataViewSection[[DataSectionDisplayName]:[No]],2,0))</f>
        <v>50006</v>
      </c>
      <c r="AT19" s="61" t="s">
        <v>793</v>
      </c>
      <c r="AU19" s="30" t="s">
        <v>26</v>
      </c>
      <c r="AV19" s="61">
        <f>IF(DataViewSectionItem[[#This Row],[Data Section for Items]]="","relation",IFERROR(VLOOKUP(DataViewSectionItem[[#This Row],[Relation]],RelationTable[[Display]:[RELID]],2,0),""))</f>
        <v>50038</v>
      </c>
      <c r="AW19" s="30" t="s">
        <v>783</v>
      </c>
    </row>
    <row r="20" spans="42:49">
      <c r="AP20" s="61" t="str">
        <f>'Table Seed Map'!$A$32&amp;"-"&amp;COUNTA($AQ$2:DataViewSectionItem[[#This Row],[Data Section for Items]])</f>
        <v>Data View Section Items-18</v>
      </c>
      <c r="AQ20" s="4" t="s">
        <v>820</v>
      </c>
      <c r="AR20" s="61">
        <f>IF(DataViewSectionItem[[#This Row],[Data Section for Items]]="","id",IFERROR($AR19+1,IF(ISNUMBER(VLOOKUP('Table Seed Map'!$A$32,SeedMap[],9,0)),VLOOKUP('Table Seed Map'!$A$32,SeedMap[],9,0)+1,1)))</f>
        <v>50018</v>
      </c>
      <c r="AS20" s="61">
        <f>IF(DataViewSectionItem[[#This Row],[Data Section for Items]]="","section",VLOOKUP(DataViewSectionItem[[#This Row],[Data Section for Items]],DataViewSection[[DataSectionDisplayName]:[No]],2,0))</f>
        <v>50007</v>
      </c>
      <c r="AT20" s="61" t="s">
        <v>822</v>
      </c>
      <c r="AU20" s="30" t="s">
        <v>479</v>
      </c>
      <c r="AV20" s="61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1" t="str">
        <f>'Table Seed Map'!$A$32&amp;"-"&amp;COUNTA($AQ$2:DataViewSectionItem[[#This Row],[Data Section for Items]])</f>
        <v>Data View Section Items-19</v>
      </c>
      <c r="AQ21" s="4" t="s">
        <v>820</v>
      </c>
      <c r="AR21" s="61">
        <f>IF(DataViewSectionItem[[#This Row],[Data Section for Items]]="","id",IFERROR($AR20+1,IF(ISNUMBER(VLOOKUP('Table Seed Map'!$A$32,SeedMap[],9,0)),VLOOKUP('Table Seed Map'!$A$32,SeedMap[],9,0)+1,1)))</f>
        <v>50019</v>
      </c>
      <c r="AS21" s="61">
        <f>IF(DataViewSectionItem[[#This Row],[Data Section for Items]]="","section",VLOOKUP(DataViewSectionItem[[#This Row],[Data Section for Items]],DataViewSection[[DataSectionDisplayName]:[No]],2,0))</f>
        <v>50007</v>
      </c>
      <c r="AT21" s="61" t="s">
        <v>601</v>
      </c>
      <c r="AU21" s="30" t="s">
        <v>26</v>
      </c>
      <c r="AV21" s="61">
        <f>IF(DataViewSectionItem[[#This Row],[Data Section for Items]]="","relation",IFERROR(VLOOKUP(DataViewSectionItem[[#This Row],[Relation]],RelationTable[[Display]:[RELID]],2,0),""))</f>
        <v>50035</v>
      </c>
      <c r="AW21" s="30" t="s">
        <v>779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42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GroupMaster/Items</v>
      </c>
      <c r="O25" s="6" t="str">
        <f ca="1">IF(IDNMaps[[#This Row],[Name]]="","","("&amp;IDNMaps[[#This Row],[Type]]&amp;") "&amp;IDNMaps[[#This Row],[Name]])</f>
        <v>(Relation) GroupMaster/Items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GroupDetail/Master</v>
      </c>
      <c r="O26" s="6" t="str">
        <f ca="1">IF(IDNMaps[[#This Row],[Name]]="","","("&amp;IDNMaps[[#This Row],[Type]]&amp;") "&amp;IDNMaps[[#This Row],[Name]])</f>
        <v>(Relation) GroupDetail/Master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7" s="6" t="str">
        <f ca="1">IF(IDNMaps[[#This Row],[Name]]="","","("&amp;IDNMaps[[#This Row],[Type]]&amp;") "&amp;IDNMaps[[#This Row],[Name]])</f>
        <v>(Relation) GroupDetail/Group01Products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8" s="6" t="str">
        <f ca="1">IF(IDNMaps[[#This Row],[Name]]="","","("&amp;IDNMaps[[#This Row],[Type]]&amp;") "&amp;IDNMaps[[#This Row],[Name]])</f>
        <v>(Relation) GroupDetail/Group02Products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9" s="6" t="str">
        <f ca="1">IF(IDNMaps[[#This Row],[Name]]="","","("&amp;IDNMaps[[#This Row],[Type]]&amp;") "&amp;IDNMaps[[#This Row],[Name]])</f>
        <v>(Relation) GroupDetail/Group03Products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30" s="6" t="str">
        <f ca="1">IF(IDNMaps[[#This Row],[Name]]="","","("&amp;IDNMaps[[#This Row],[Type]]&amp;") "&amp;IDNMaps[[#This Row],[Name]])</f>
        <v>(Relation) GroupDetail/Group04Products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GroupDetail/Group05Products</v>
      </c>
      <c r="O31" s="6" t="str">
        <f ca="1">IF(IDNMaps[[#This Row],[Name]]="","","("&amp;IDNMaps[[#This Row],[Type]]&amp;") "&amp;IDNMaps[[#This Row],[Name]])</f>
        <v>(Relation) GroupDetail/Group05Products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GroupDetail/Group06Products</v>
      </c>
      <c r="O32" s="6" t="str">
        <f ca="1">IF(IDNMaps[[#This Row],[Name]]="","","("&amp;IDNMaps[[#This Row],[Type]]&amp;") "&amp;IDNMaps[[#This Row],[Name]])</f>
        <v>(Relation) GroupDetail/Group06Products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GroupDetail/Group07Products</v>
      </c>
      <c r="O33" s="6" t="str">
        <f ca="1">IF(IDNMaps[[#This Row],[Name]]="","","("&amp;IDNMaps[[#This Row],[Type]]&amp;") "&amp;IDNMaps[[#This Row],[Name]])</f>
        <v>(Relation) GroupDetail/Group07Products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GroupDetail/Group08Products</v>
      </c>
      <c r="O34" s="6" t="str">
        <f ca="1">IF(IDNMaps[[#This Row],[Name]]="","","("&amp;IDNMaps[[#This Row],[Type]]&amp;") "&amp;IDNMaps[[#This Row],[Name]])</f>
        <v>(Relation) GroupDetail/Group08Products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GroupDetail/Group09Products</v>
      </c>
      <c r="O35" s="6" t="str">
        <f ca="1">IF(IDNMaps[[#This Row],[Name]]="","","("&amp;IDNMaps[[#This Row],[Type]]&amp;") "&amp;IDNMaps[[#This Row],[Name]])</f>
        <v>(Relation) GroupDetail/Group09Products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GroupDetail/Group10Products</v>
      </c>
      <c r="O36" s="6" t="str">
        <f ca="1">IF(IDNMaps[[#This Row],[Name]]="","","("&amp;IDNMaps[[#This Row],[Type]]&amp;") "&amp;IDNMaps[[#This Row],[Name]])</f>
        <v>(Relation) GroupDetail/Group10Products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Product/Group01</v>
      </c>
      <c r="O37" s="6" t="str">
        <f ca="1">IF(IDNMaps[[#This Row],[Name]]="","","("&amp;IDNMaps[[#This Row],[Type]]&amp;") "&amp;IDNMaps[[#This Row],[Name]])</f>
        <v>(Relation) Product/Group01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Product/Group02</v>
      </c>
      <c r="O38" s="6" t="str">
        <f ca="1">IF(IDNMaps[[#This Row],[Name]]="","","("&amp;IDNMaps[[#This Row],[Type]]&amp;") "&amp;IDNMaps[[#This Row],[Name]])</f>
        <v>(Relation) Product/Group02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Product/Group03</v>
      </c>
      <c r="O39" s="6" t="str">
        <f ca="1">IF(IDNMaps[[#This Row],[Name]]="","","("&amp;IDNMaps[[#This Row],[Type]]&amp;") "&amp;IDNMaps[[#This Row],[Name]])</f>
        <v>(Relation) Product/Group03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Product/Group04</v>
      </c>
      <c r="O40" s="6" t="str">
        <f ca="1">IF(IDNMaps[[#This Row],[Name]]="","","("&amp;IDNMaps[[#This Row],[Type]]&amp;") "&amp;IDNMaps[[#This Row],[Name]])</f>
        <v>(Relation) Product/Group04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Product/Group05</v>
      </c>
      <c r="O41" s="6" t="str">
        <f ca="1">IF(IDNMaps[[#This Row],[Name]]="","","("&amp;IDNMaps[[#This Row],[Type]]&amp;") "&amp;IDNMaps[[#This Row],[Name]])</f>
        <v>(Relation) Product/Group05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Product/Group06</v>
      </c>
      <c r="O42" s="6" t="str">
        <f ca="1">IF(IDNMaps[[#This Row],[Name]]="","","("&amp;IDNMaps[[#This Row],[Type]]&amp;") "&amp;IDNMaps[[#This Row],[Name]])</f>
        <v>(Relation) Product/Group06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Product/Group07</v>
      </c>
      <c r="O43" s="6" t="str">
        <f ca="1">IF(IDNMaps[[#This Row],[Name]]="","","("&amp;IDNMaps[[#This Row],[Type]]&amp;") "&amp;IDNMaps[[#This Row],[Name]])</f>
        <v>(Relation) Product/Group07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Product/Group08</v>
      </c>
      <c r="O44" s="6" t="str">
        <f ca="1">IF(IDNMaps[[#This Row],[Name]]="","","("&amp;IDNMaps[[#This Row],[Type]]&amp;") "&amp;IDNMaps[[#This Row],[Name]])</f>
        <v>(Relation) Product/Group08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Product/Group09</v>
      </c>
      <c r="O45" s="6" t="str">
        <f ca="1">IF(IDNMaps[[#This Row],[Name]]="","","("&amp;IDNMaps[[#This Row],[Type]]&amp;") "&amp;IDNMaps[[#This Row],[Name]])</f>
        <v>(Relation) Product/Group09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Product/Group10</v>
      </c>
      <c r="O46" s="6" t="str">
        <f ca="1">IF(IDNMaps[[#This Row],[Name]]="","","("&amp;IDNMaps[[#This Row],[Type]]&amp;") "&amp;IDNMaps[[#This Row],[Name]])</f>
        <v>(Relation) Product/Group10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Product/Images</v>
      </c>
      <c r="O47" s="6" t="str">
        <f ca="1">IF(IDNMaps[[#This Row],[Name]]="","","("&amp;IDNMaps[[#This Row],[Type]]&amp;") "&amp;IDNMaps[[#This Row],[Name]])</f>
        <v>(Relation) Product/Images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Product/Wishlists</v>
      </c>
      <c r="O48" s="6" t="str">
        <f ca="1">IF(IDNMaps[[#This Row],[Name]]="","","("&amp;IDNMaps[[#This Row],[Type]]&amp;") "&amp;IDNMaps[[#This Row],[Name]])</f>
        <v>(Relation) Product/Wishlists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Visitor/Wishlists</v>
      </c>
      <c r="O49" s="6" t="str">
        <f ca="1">IF(IDNMaps[[#This Row],[Name]]="","","("&amp;IDNMaps[[#This Row],[Type]]&amp;") "&amp;IDNMaps[[#This Row],[Name]])</f>
        <v>(Relation) Visitor/Wishlists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Visitor/SharedWishlist</v>
      </c>
      <c r="O50" s="6" t="str">
        <f ca="1">IF(IDNMaps[[#This Row],[Name]]="","","("&amp;IDNMaps[[#This Row],[Type]]&amp;") "&amp;IDNMaps[[#This Row],[Name]])</f>
        <v>(Relation) Visitor/SharedWishlist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Wishlist/Author</v>
      </c>
      <c r="O51" s="6" t="str">
        <f ca="1">IF(IDNMaps[[#This Row],[Name]]="","","("&amp;IDNMaps[[#This Row],[Type]]&amp;") "&amp;IDNMaps[[#This Row],[Name]])</f>
        <v>(Relation) Wishlist/Author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Wishlist/Vendor</v>
      </c>
      <c r="O52" s="6" t="str">
        <f ca="1">IF(IDNMaps[[#This Row],[Name]]="","","("&amp;IDNMaps[[#This Row],[Type]]&amp;") "&amp;IDNMaps[[#This Row],[Name]])</f>
        <v>(Relation) Wishlist/Vendor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Wishlist/Visitors</v>
      </c>
      <c r="O53" s="6" t="str">
        <f ca="1">IF(IDNMaps[[#This Row],[Name]]="","","("&amp;IDNMaps[[#This Row],[Type]]&amp;") "&amp;IDNMaps[[#This Row],[Name]])</f>
        <v>(Relation) Wishlist/Visitors</v>
      </c>
      <c r="P53" s="6">
        <f ca="1">IFERROR(VLOOKUP(IDNMaps[[#This Row],[Primary]],INDIRECT(VLOOKUP(IDNMaps[[#This Row],[Type]],RecordCount[],2,0)),VLOOKUP(IDNMaps[[#This Row],[Type]],RecordCount[],8,0),0),"")</f>
        <v>50029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Wishlist/Notes</v>
      </c>
      <c r="O54" s="6" t="str">
        <f ca="1">IF(IDNMaps[[#This Row],[Name]]="","","("&amp;IDNMaps[[#This Row],[Type]]&amp;") "&amp;IDNMaps[[#This Row],[Name]])</f>
        <v>(Relation) Wishlist/Notes</v>
      </c>
      <c r="P54" s="6">
        <f ca="1">IFERROR(VLOOKUP(IDNMaps[[#This Row],[Primary]],INDIRECT(VLOOKUP(IDNMaps[[#This Row],[Type]],RecordCount[],2,0)),VLOOKUP(IDNMaps[[#This Row],[Type]],RecordCount[],8,0),0),"")</f>
        <v>50030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Wishlist/Items</v>
      </c>
      <c r="O55" s="6" t="str">
        <f ca="1">IF(IDNMaps[[#This Row],[Name]]="","","("&amp;IDNMaps[[#This Row],[Type]]&amp;") "&amp;IDNMaps[[#This Row],[Name]])</f>
        <v>(Relation) Wishlist/Items</v>
      </c>
      <c r="P55" s="6">
        <f ca="1">IFERROR(VLOOKUP(IDNMaps[[#This Row],[Primary]],INDIRECT(VLOOKUP(IDNMaps[[#This Row],[Type]],RecordCount[],2,0)),VLOOKUP(IDNMaps[[#This Row],[Type]],RecordCount[],8,0),0),"")</f>
        <v>50031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Wishlist/Products</v>
      </c>
      <c r="O56" s="6" t="str">
        <f ca="1">IF(IDNMaps[[#This Row],[Name]]="","","("&amp;IDNMaps[[#This Row],[Type]]&amp;") "&amp;IDNMaps[[#This Row],[Name]])</f>
        <v>(Relation) Wishlist/Products</v>
      </c>
      <c r="P56" s="6">
        <f ca="1">IFERROR(VLOOKUP(IDNMaps[[#This Row],[Primary]],INDIRECT(VLOOKUP(IDNMaps[[#This Row],[Type]],RecordCount[],2,0)),VLOOKUP(IDNMaps[[#This Row],[Type]],RecordCount[],8,0),0),"")</f>
        <v>50032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Visitor/Wishlist</v>
      </c>
      <c r="O57" s="6" t="str">
        <f ca="1">IF(IDNMaps[[#This Row],[Name]]="","","("&amp;IDNMaps[[#This Row],[Type]]&amp;") "&amp;IDNMaps[[#This Row],[Name]])</f>
        <v>(Relation) Visitor/Wishlist</v>
      </c>
      <c r="P57" s="6">
        <f ca="1">IFERROR(VLOOKUP(IDNMaps[[#This Row],[Primary]],INDIRECT(VLOOKUP(IDNMaps[[#This Row],[Type]],RecordCount[],2,0)),VLOOKUP(IDNMaps[[#This Row],[Type]],RecordCount[],8,0),0),"")</f>
        <v>50033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Visitor/Visitor</v>
      </c>
      <c r="O58" s="6" t="str">
        <f ca="1">IF(IDNMaps[[#This Row],[Name]]="","","("&amp;IDNMaps[[#This Row],[Type]]&amp;") "&amp;IDNMaps[[#This Row],[Name]])</f>
        <v>(Relation) Visitor/Visitor</v>
      </c>
      <c r="P58" s="6">
        <f ca="1">IFERROR(VLOOKUP(IDNMaps[[#This Row],[Primary]],INDIRECT(VLOOKUP(IDNMaps[[#This Row],[Type]],RecordCount[],2,0)),VLOOKUP(IDNMaps[[#This Row],[Type]],RecordCount[],8,0),0),"")</f>
        <v>50034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WishlistNote/Author</v>
      </c>
      <c r="O59" s="6" t="str">
        <f ca="1">IF(IDNMaps[[#This Row],[Name]]="","","("&amp;IDNMaps[[#This Row],[Type]]&amp;") "&amp;IDNMaps[[#This Row],[Name]])</f>
        <v>(Relation) WishlistNote/Author</v>
      </c>
      <c r="P59" s="6">
        <f ca="1">IFERROR(VLOOKUP(IDNMaps[[#This Row],[Primary]],INDIRECT(VLOOKUP(IDNMaps[[#This Row],[Type]],RecordCount[],2,0)),VLOOKUP(IDNMaps[[#This Row],[Type]],RecordCount[],8,0),0),"")</f>
        <v>50035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36</v>
      </c>
      <c r="M60" s="6" t="str">
        <f ca="1">IFERROR(VLOOKUP(IDNMaps[[#This Row],[Type]],RecordCount[],6,0)&amp;"-"&amp;IDNMaps[[#This Row],[Type Count]],"")</f>
        <v>Resource Relations-36</v>
      </c>
      <c r="N60" s="6" t="str">
        <f ca="1">IFERROR(VLOOKUP(IDNMaps[[#This Row],[Primary]],INDIRECT(VLOOKUP(IDNMaps[[#This Row],[Type]],RecordCount[],2,0)),VLOOKUP(IDNMaps[[#This Row],[Type]],RecordCount[],7,0),0),"")</f>
        <v>WishlistProduct/Wishlist</v>
      </c>
      <c r="O60" s="6" t="str">
        <f ca="1">IF(IDNMaps[[#This Row],[Name]]="","","("&amp;IDNMaps[[#This Row],[Type]]&amp;") "&amp;IDNMaps[[#This Row],[Name]])</f>
        <v>(Relation) WishlistProduct/Wishlist</v>
      </c>
      <c r="P60" s="6">
        <f ca="1">IFERROR(VLOOKUP(IDNMaps[[#This Row],[Primary]],INDIRECT(VLOOKUP(IDNMaps[[#This Row],[Type]],RecordCount[],2,0)),VLOOKUP(IDNMaps[[#This Row],[Type]],RecordCount[],8,0),0),"")</f>
        <v>50036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37</v>
      </c>
      <c r="M61" s="6" t="str">
        <f ca="1">IFERROR(VLOOKUP(IDNMaps[[#This Row],[Type]],RecordCount[],6,0)&amp;"-"&amp;IDNMaps[[#This Row],[Type Count]],"")</f>
        <v>Resource Relations-37</v>
      </c>
      <c r="N61" s="6" t="str">
        <f ca="1">IFERROR(VLOOKUP(IDNMaps[[#This Row],[Primary]],INDIRECT(VLOOKUP(IDNMaps[[#This Row],[Type]],RecordCount[],2,0)),VLOOKUP(IDNMaps[[#This Row],[Type]],RecordCount[],7,0),0),"")</f>
        <v>WishlistProduct/Added</v>
      </c>
      <c r="O61" s="6" t="str">
        <f ca="1">IF(IDNMaps[[#This Row],[Name]]="","","("&amp;IDNMaps[[#This Row],[Type]]&amp;") "&amp;IDNMaps[[#This Row],[Name]])</f>
        <v>(Relation) WishlistProduct/Added</v>
      </c>
      <c r="P61" s="6">
        <f ca="1">IFERROR(VLOOKUP(IDNMaps[[#This Row],[Primary]],INDIRECT(VLOOKUP(IDNMaps[[#This Row],[Type]],RecordCount[],2,0)),VLOOKUP(IDNMaps[[#This Row],[Type]],RecordCount[],8,0),0),"")</f>
        <v>50037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38</v>
      </c>
      <c r="M62" s="6" t="str">
        <f ca="1">IFERROR(VLOOKUP(IDNMaps[[#This Row],[Type]],RecordCount[],6,0)&amp;"-"&amp;IDNMaps[[#This Row],[Type Count]],"")</f>
        <v>Resource Relations-38</v>
      </c>
      <c r="N62" s="6" t="str">
        <f ca="1">IFERROR(VLOOKUP(IDNMaps[[#This Row],[Primary]],INDIRECT(VLOOKUP(IDNMaps[[#This Row],[Type]],RecordCount[],2,0)),VLOOKUP(IDNMaps[[#This Row],[Type]],RecordCount[],7,0),0),"")</f>
        <v>WishlistProduct/Removed</v>
      </c>
      <c r="O62" s="6" t="str">
        <f ca="1">IF(IDNMaps[[#This Row],[Name]]="","","("&amp;IDNMaps[[#This Row],[Type]]&amp;") "&amp;IDNMaps[[#This Row],[Name]])</f>
        <v>(Relation) WishlistProduct/Removed</v>
      </c>
      <c r="P62" s="6">
        <f ca="1">IFERROR(VLOOKUP(IDNMaps[[#This Row],[Primary]],INDIRECT(VLOOKUP(IDNMaps[[#This Row],[Type]],RecordCount[],2,0)),VLOOKUP(IDNMaps[[#This Row],[Type]],RecordCount[],8,0),0),"")</f>
        <v>50038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39</v>
      </c>
      <c r="M63" s="6" t="str">
        <f ca="1">IFERROR(VLOOKUP(IDNMaps[[#This Row],[Type]],RecordCount[],6,0)&amp;"-"&amp;IDNMaps[[#This Row],[Type Count]],"")</f>
        <v>Resource Relations-39</v>
      </c>
      <c r="N63" s="6" t="str">
        <f ca="1">IFERROR(VLOOKUP(IDNMaps[[#This Row],[Primary]],INDIRECT(VLOOKUP(IDNMaps[[#This Row],[Type]],RecordCount[],2,0)),VLOOKUP(IDNMaps[[#This Row],[Type]],RecordCount[],7,0),0),"")</f>
        <v>WishlistProduct/Notes</v>
      </c>
      <c r="O63" s="6" t="str">
        <f ca="1">IF(IDNMaps[[#This Row],[Name]]="","","("&amp;IDNMaps[[#This Row],[Type]]&amp;") "&amp;IDNMaps[[#This Row],[Name]])</f>
        <v>(Relation) WishlistProduct/Notes</v>
      </c>
      <c r="P63" s="6">
        <f ca="1">IFERROR(VLOOKUP(IDNMaps[[#This Row],[Primary]],INDIRECT(VLOOKUP(IDNMaps[[#This Row],[Type]],RecordCount[],2,0)),VLOOKUP(IDNMaps[[#This Row],[Type]],RecordCount[],8,0),0),"")</f>
        <v>50039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40</v>
      </c>
      <c r="M64" s="6" t="str">
        <f ca="1">IFERROR(VLOOKUP(IDNMaps[[#This Row],[Type]],RecordCount[],6,0)&amp;"-"&amp;IDNMaps[[#This Row],[Type Count]],"")</f>
        <v>Resource Relations-40</v>
      </c>
      <c r="N64" s="6" t="str">
        <f ca="1">IFERROR(VLOOKUP(IDNMaps[[#This Row],[Primary]],INDIRECT(VLOOKUP(IDNMaps[[#This Row],[Type]],RecordCount[],2,0)),VLOOKUP(IDNMaps[[#This Row],[Type]],RecordCount[],7,0),0),"")</f>
        <v>WishlistProduct/Product</v>
      </c>
      <c r="O64" s="6" t="str">
        <f ca="1">IF(IDNMaps[[#This Row],[Name]]="","","("&amp;IDNMaps[[#This Row],[Type]]&amp;") "&amp;IDNMaps[[#This Row],[Name]])</f>
        <v>(Relation) WishlistProduct/Product</v>
      </c>
      <c r="P64" s="6">
        <f ca="1">IFERROR(VLOOKUP(IDNMaps[[#This Row],[Primary]],INDIRECT(VLOOKUP(IDNMaps[[#This Row],[Type]],RecordCount[],2,0)),VLOOKUP(IDNMaps[[#This Row],[Type]],RecordCount[],8,0),0),"")</f>
        <v>50040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41</v>
      </c>
      <c r="M65" s="6" t="str">
        <f ca="1">IFERROR(VLOOKUP(IDNMaps[[#This Row],[Type]],RecordCount[],6,0)&amp;"-"&amp;IDNMaps[[#This Row],[Type Count]],"")</f>
        <v>Resource Relations-41</v>
      </c>
      <c r="N65" s="6" t="str">
        <f ca="1">IFERROR(VLOOKUP(IDNMaps[[#This Row],[Primary]],INDIRECT(VLOOKUP(IDNMaps[[#This Row],[Type]],RecordCount[],2,0)),VLOOKUP(IDNMaps[[#This Row],[Type]],RecordCount[],7,0),0),"")</f>
        <v>WishlistProductNote/Author</v>
      </c>
      <c r="O65" s="6" t="str">
        <f ca="1">IF(IDNMaps[[#This Row],[Name]]="","","("&amp;IDNMaps[[#This Row],[Type]]&amp;") "&amp;IDNMaps[[#This Row],[Name]])</f>
        <v>(Relation) WishlistProductNote/Author</v>
      </c>
      <c r="P65" s="6">
        <f ca="1">IFERROR(VLOOKUP(IDNMaps[[#This Row],[Primary]],INDIRECT(VLOOKUP(IDNMaps[[#This Row],[Type]],RecordCount[],2,0)),VLOOKUP(IDNMaps[[#This Row],[Type]],RecordCount[],8,0),0),"")</f>
        <v>50041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42</v>
      </c>
      <c r="M66" s="6" t="str">
        <f ca="1">IFERROR(VLOOKUP(IDNMaps[[#This Row],[Type]],RecordCount[],6,0)&amp;"-"&amp;IDNMaps[[#This Row],[Type Count]],"")</f>
        <v>Resource Relations-42</v>
      </c>
      <c r="N66" s="6" t="str">
        <f ca="1">IFERROR(VLOOKUP(IDNMaps[[#This Row],[Primary]],INDIRECT(VLOOKUP(IDNMaps[[#This Row],[Type]],RecordCount[],2,0)),VLOOKUP(IDNMaps[[#This Row],[Type]],RecordCount[],7,0),0),"")</f>
        <v>Wishlist/Share</v>
      </c>
      <c r="O66" s="6" t="str">
        <f ca="1">IF(IDNMaps[[#This Row],[Name]]="","","("&amp;IDNMaps[[#This Row],[Type]]&amp;") "&amp;IDNMaps[[#This Row],[Name]])</f>
        <v>(Relation) Wishlist/Share</v>
      </c>
      <c r="P66" s="6">
        <f ca="1">IFERROR(VLOOKUP(IDNMaps[[#This Row],[Primary]],INDIRECT(VLOOKUP(IDNMaps[[#This Row],[Type]],RecordCount[],2,0)),VLOOKUP(IDNMaps[[#This Row],[Type]],RecordCount[],8,0),0),"")</f>
        <v>50042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90"/>
  <sheetViews>
    <sheetView topLeftCell="A73" workbookViewId="0">
      <selection activeCell="E90" sqref="E9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553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992</v>
      </c>
      <c r="B7" s="5" t="s">
        <v>27</v>
      </c>
      <c r="C7" s="5" t="s">
        <v>451</v>
      </c>
      <c r="D7" s="5">
        <v>64</v>
      </c>
      <c r="E7" s="5" t="s">
        <v>29</v>
      </c>
      <c r="F7" s="5" t="s">
        <v>25</v>
      </c>
      <c r="G7" s="5"/>
      <c r="H7" s="5"/>
      <c r="I7" s="5"/>
    </row>
    <row r="8" spans="1:9">
      <c r="A8" s="5" t="s">
        <v>523</v>
      </c>
      <c r="B8" s="5" t="s">
        <v>27</v>
      </c>
      <c r="C8" s="5" t="s">
        <v>993</v>
      </c>
      <c r="D8" s="5">
        <v>64</v>
      </c>
      <c r="E8" s="5" t="s">
        <v>29</v>
      </c>
      <c r="F8" s="5"/>
      <c r="G8" s="5"/>
      <c r="H8" s="5"/>
      <c r="I8" s="5"/>
    </row>
    <row r="9" spans="1:9">
      <c r="A9" s="5" t="s">
        <v>26</v>
      </c>
      <c r="B9" s="5" t="s">
        <v>27</v>
      </c>
      <c r="C9" s="5" t="s">
        <v>26</v>
      </c>
      <c r="D9" s="5">
        <v>64</v>
      </c>
      <c r="E9" s="5" t="s">
        <v>25</v>
      </c>
      <c r="F9" s="5"/>
      <c r="G9" s="5"/>
      <c r="H9" s="5"/>
      <c r="I9" s="5"/>
    </row>
    <row r="10" spans="1:9">
      <c r="A10" s="5" t="s">
        <v>454</v>
      </c>
      <c r="B10" s="5" t="s">
        <v>27</v>
      </c>
      <c r="C10" s="5" t="s">
        <v>26</v>
      </c>
      <c r="D10" s="5">
        <v>64</v>
      </c>
      <c r="E10" s="5" t="s">
        <v>29</v>
      </c>
      <c r="F10" s="5"/>
      <c r="G10" s="5"/>
      <c r="H10" s="5"/>
      <c r="I10" s="5"/>
    </row>
    <row r="11" spans="1:9">
      <c r="A11" s="5" t="s">
        <v>519</v>
      </c>
      <c r="B11" s="5" t="s">
        <v>24</v>
      </c>
      <c r="C11" s="5" t="s">
        <v>75</v>
      </c>
      <c r="D11" s="5"/>
      <c r="E11" s="5" t="s">
        <v>29</v>
      </c>
      <c r="F11" s="5" t="s">
        <v>25</v>
      </c>
      <c r="G11" s="5"/>
      <c r="H11" s="5"/>
      <c r="I11" s="5"/>
    </row>
    <row r="12" spans="1:9">
      <c r="A12" s="5" t="s">
        <v>521</v>
      </c>
      <c r="B12" s="5" t="s">
        <v>40</v>
      </c>
      <c r="C12" s="5" t="s">
        <v>75</v>
      </c>
      <c r="D12" s="5"/>
      <c r="E12" s="5" t="s">
        <v>41</v>
      </c>
      <c r="F12" s="5" t="s">
        <v>556</v>
      </c>
      <c r="G12" s="5" t="s">
        <v>42</v>
      </c>
      <c r="H12" s="5" t="s">
        <v>43</v>
      </c>
      <c r="I12" s="5"/>
    </row>
    <row r="13" spans="1:9">
      <c r="A13" s="5" t="s">
        <v>492</v>
      </c>
      <c r="B13" s="5" t="s">
        <v>44</v>
      </c>
      <c r="C13" s="5" t="s">
        <v>52</v>
      </c>
      <c r="D13" s="5" t="s">
        <v>161</v>
      </c>
      <c r="E13" s="5" t="s">
        <v>162</v>
      </c>
      <c r="F13" s="5"/>
      <c r="G13" s="5"/>
      <c r="H13" s="5"/>
      <c r="I13" s="5"/>
    </row>
    <row r="14" spans="1:9">
      <c r="A14" s="5" t="s">
        <v>452</v>
      </c>
      <c r="B14" s="5" t="s">
        <v>44</v>
      </c>
      <c r="C14" s="5" t="s">
        <v>45</v>
      </c>
      <c r="D14" s="5" t="s">
        <v>504</v>
      </c>
      <c r="E14" s="5" t="s">
        <v>491</v>
      </c>
      <c r="F14" s="5" t="s">
        <v>25</v>
      </c>
      <c r="G14" s="5"/>
      <c r="H14" s="5"/>
      <c r="I14" s="5"/>
    </row>
    <row r="15" spans="1:9">
      <c r="A15" s="5" t="s">
        <v>453</v>
      </c>
      <c r="B15" s="5" t="s">
        <v>44</v>
      </c>
      <c r="C15" s="5" t="s">
        <v>453</v>
      </c>
      <c r="D15" s="5" t="s">
        <v>494</v>
      </c>
      <c r="E15" s="5" t="s">
        <v>495</v>
      </c>
      <c r="F15" s="5" t="s">
        <v>25</v>
      </c>
      <c r="G15" s="5"/>
      <c r="H15" s="5"/>
      <c r="I15" s="5"/>
    </row>
    <row r="16" spans="1:9">
      <c r="A16" s="5" t="s">
        <v>28</v>
      </c>
      <c r="B16" s="5" t="s">
        <v>27</v>
      </c>
      <c r="C16" s="5" t="s">
        <v>28</v>
      </c>
      <c r="D16" s="5">
        <v>1024</v>
      </c>
      <c r="E16" s="5" t="s">
        <v>29</v>
      </c>
      <c r="F16" s="5"/>
      <c r="G16" s="5"/>
      <c r="H16" s="5"/>
      <c r="I16" s="5"/>
    </row>
    <row r="17" spans="1:9">
      <c r="A17" s="5" t="s">
        <v>455</v>
      </c>
      <c r="B17" s="5" t="s">
        <v>27</v>
      </c>
      <c r="C17" s="5" t="s">
        <v>455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456</v>
      </c>
      <c r="B18" s="5" t="s">
        <v>27</v>
      </c>
      <c r="C18" s="5" t="s">
        <v>456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457</v>
      </c>
      <c r="B19" s="5" t="s">
        <v>27</v>
      </c>
      <c r="C19" s="5" t="s">
        <v>457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458</v>
      </c>
      <c r="B20" s="5" t="s">
        <v>27</v>
      </c>
      <c r="C20" s="5" t="s">
        <v>458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459</v>
      </c>
      <c r="B21" s="5" t="s">
        <v>27</v>
      </c>
      <c r="C21" s="5" t="s">
        <v>459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460</v>
      </c>
      <c r="B22" s="5" t="s">
        <v>27</v>
      </c>
      <c r="C22" s="5" t="s">
        <v>460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461</v>
      </c>
      <c r="B23" s="5" t="s">
        <v>27</v>
      </c>
      <c r="C23" s="5" t="s">
        <v>461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462</v>
      </c>
      <c r="B24" s="5" t="s">
        <v>27</v>
      </c>
      <c r="C24" s="5" t="s">
        <v>462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463</v>
      </c>
      <c r="B25" s="5" t="s">
        <v>27</v>
      </c>
      <c r="C25" s="5" t="s">
        <v>463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464</v>
      </c>
      <c r="B26" s="5" t="s">
        <v>27</v>
      </c>
      <c r="C26" s="5" t="s">
        <v>464</v>
      </c>
      <c r="D26" s="5">
        <v>800</v>
      </c>
      <c r="E26" s="5" t="s">
        <v>29</v>
      </c>
      <c r="F26" s="5"/>
      <c r="G26" s="5"/>
      <c r="H26" s="5"/>
      <c r="I26" s="5"/>
    </row>
    <row r="27" spans="1:9">
      <c r="A27" s="5" t="s">
        <v>465</v>
      </c>
      <c r="B27" s="5" t="s">
        <v>44</v>
      </c>
      <c r="C27" s="5" t="s">
        <v>465</v>
      </c>
      <c r="D27" s="5" t="s">
        <v>161</v>
      </c>
      <c r="E27" s="5" t="s">
        <v>187</v>
      </c>
      <c r="F27" s="5"/>
      <c r="G27" s="5"/>
      <c r="H27" s="5"/>
      <c r="I27" s="5"/>
    </row>
    <row r="28" spans="1:9">
      <c r="A28" s="5" t="s">
        <v>466</v>
      </c>
      <c r="B28" s="5" t="s">
        <v>44</v>
      </c>
      <c r="C28" s="5" t="s">
        <v>45</v>
      </c>
      <c r="D28" s="5" t="s">
        <v>490</v>
      </c>
      <c r="E28" s="5" t="s">
        <v>491</v>
      </c>
      <c r="F28" s="5"/>
      <c r="G28" s="5"/>
      <c r="H28" s="5"/>
      <c r="I28" s="5"/>
    </row>
    <row r="29" spans="1:9">
      <c r="A29" s="5" t="s">
        <v>522</v>
      </c>
      <c r="B29" s="5" t="s">
        <v>24</v>
      </c>
      <c r="C29" s="5" t="s">
        <v>543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525</v>
      </c>
      <c r="B30" s="5" t="s">
        <v>24</v>
      </c>
      <c r="C30" s="5" t="s">
        <v>544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526</v>
      </c>
      <c r="B31" s="5" t="s">
        <v>24</v>
      </c>
      <c r="C31" s="5" t="s">
        <v>545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527</v>
      </c>
      <c r="B32" s="5" t="s">
        <v>24</v>
      </c>
      <c r="C32" s="5" t="s">
        <v>546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528</v>
      </c>
      <c r="B33" s="5" t="s">
        <v>24</v>
      </c>
      <c r="C33" s="5" t="s">
        <v>547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529</v>
      </c>
      <c r="B34" s="5" t="s">
        <v>24</v>
      </c>
      <c r="C34" s="5" t="s">
        <v>548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530</v>
      </c>
      <c r="B35" s="5" t="s">
        <v>24</v>
      </c>
      <c r="C35" s="5" t="s">
        <v>549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531</v>
      </c>
      <c r="B36" s="5" t="s">
        <v>24</v>
      </c>
      <c r="C36" s="5" t="s">
        <v>550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532</v>
      </c>
      <c r="B37" s="5" t="s">
        <v>24</v>
      </c>
      <c r="C37" s="5" t="s">
        <v>551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524</v>
      </c>
      <c r="B38" s="5" t="s">
        <v>24</v>
      </c>
      <c r="C38" s="5" t="s">
        <v>552</v>
      </c>
      <c r="D38" s="5"/>
      <c r="E38" s="5" t="s">
        <v>29</v>
      </c>
      <c r="F38" s="5" t="s">
        <v>25</v>
      </c>
      <c r="G38" s="5"/>
      <c r="H38" s="5"/>
      <c r="I38" s="5"/>
    </row>
    <row r="39" spans="1:9">
      <c r="A39" s="5" t="s">
        <v>533</v>
      </c>
      <c r="B39" s="5" t="s">
        <v>40</v>
      </c>
      <c r="C39" s="5" t="s">
        <v>543</v>
      </c>
      <c r="D39" s="5"/>
      <c r="E39" s="5" t="s">
        <v>41</v>
      </c>
      <c r="F39" s="5" t="s">
        <v>555</v>
      </c>
      <c r="G39" s="5" t="s">
        <v>42</v>
      </c>
      <c r="H39" s="5" t="s">
        <v>47</v>
      </c>
      <c r="I39" s="5"/>
    </row>
    <row r="40" spans="1:9">
      <c r="A40" s="5" t="s">
        <v>534</v>
      </c>
      <c r="B40" s="5" t="s">
        <v>40</v>
      </c>
      <c r="C40" s="5" t="s">
        <v>544</v>
      </c>
      <c r="D40" s="5"/>
      <c r="E40" s="5" t="s">
        <v>41</v>
      </c>
      <c r="F40" s="5" t="s">
        <v>555</v>
      </c>
      <c r="G40" s="5" t="s">
        <v>42</v>
      </c>
      <c r="H40" s="5" t="s">
        <v>47</v>
      </c>
      <c r="I40" s="5"/>
    </row>
    <row r="41" spans="1:9">
      <c r="A41" s="5" t="s">
        <v>535</v>
      </c>
      <c r="B41" s="5" t="s">
        <v>40</v>
      </c>
      <c r="C41" s="5" t="s">
        <v>545</v>
      </c>
      <c r="D41" s="5"/>
      <c r="E41" s="5" t="s">
        <v>41</v>
      </c>
      <c r="F41" s="5" t="s">
        <v>555</v>
      </c>
      <c r="G41" s="5" t="s">
        <v>42</v>
      </c>
      <c r="H41" s="5" t="s">
        <v>47</v>
      </c>
      <c r="I41" s="5"/>
    </row>
    <row r="42" spans="1:9">
      <c r="A42" s="5" t="s">
        <v>536</v>
      </c>
      <c r="B42" s="5" t="s">
        <v>40</v>
      </c>
      <c r="C42" s="5" t="s">
        <v>546</v>
      </c>
      <c r="D42" s="5"/>
      <c r="E42" s="5" t="s">
        <v>41</v>
      </c>
      <c r="F42" s="5" t="s">
        <v>555</v>
      </c>
      <c r="G42" s="5" t="s">
        <v>42</v>
      </c>
      <c r="H42" s="5" t="s">
        <v>47</v>
      </c>
      <c r="I42" s="5"/>
    </row>
    <row r="43" spans="1:9">
      <c r="A43" s="5" t="s">
        <v>537</v>
      </c>
      <c r="B43" s="5" t="s">
        <v>40</v>
      </c>
      <c r="C43" s="5" t="s">
        <v>547</v>
      </c>
      <c r="D43" s="5"/>
      <c r="E43" s="5" t="s">
        <v>41</v>
      </c>
      <c r="F43" s="5" t="s">
        <v>555</v>
      </c>
      <c r="G43" s="5" t="s">
        <v>42</v>
      </c>
      <c r="H43" s="5" t="s">
        <v>47</v>
      </c>
      <c r="I43" s="5"/>
    </row>
    <row r="44" spans="1:9">
      <c r="A44" s="5" t="s">
        <v>538</v>
      </c>
      <c r="B44" s="5" t="s">
        <v>40</v>
      </c>
      <c r="C44" s="5" t="s">
        <v>548</v>
      </c>
      <c r="D44" s="5"/>
      <c r="E44" s="5" t="s">
        <v>41</v>
      </c>
      <c r="F44" s="5" t="s">
        <v>555</v>
      </c>
      <c r="G44" s="5" t="s">
        <v>42</v>
      </c>
      <c r="H44" s="5" t="s">
        <v>47</v>
      </c>
      <c r="I44" s="5"/>
    </row>
    <row r="45" spans="1:9">
      <c r="A45" s="5" t="s">
        <v>539</v>
      </c>
      <c r="B45" s="5" t="s">
        <v>40</v>
      </c>
      <c r="C45" s="5" t="s">
        <v>549</v>
      </c>
      <c r="D45" s="5"/>
      <c r="E45" s="5" t="s">
        <v>41</v>
      </c>
      <c r="F45" s="5" t="s">
        <v>555</v>
      </c>
      <c r="G45" s="5" t="s">
        <v>42</v>
      </c>
      <c r="H45" s="5" t="s">
        <v>47</v>
      </c>
      <c r="I45" s="5"/>
    </row>
    <row r="46" spans="1:9">
      <c r="A46" s="5" t="s">
        <v>540</v>
      </c>
      <c r="B46" s="5" t="s">
        <v>40</v>
      </c>
      <c r="C46" s="5" t="s">
        <v>550</v>
      </c>
      <c r="D46" s="5"/>
      <c r="E46" s="5" t="s">
        <v>41</v>
      </c>
      <c r="F46" s="5" t="s">
        <v>555</v>
      </c>
      <c r="G46" s="5" t="s">
        <v>42</v>
      </c>
      <c r="H46" s="5" t="s">
        <v>47</v>
      </c>
      <c r="I46" s="5"/>
    </row>
    <row r="47" spans="1:9">
      <c r="A47" s="5" t="s">
        <v>541</v>
      </c>
      <c r="B47" s="5" t="s">
        <v>40</v>
      </c>
      <c r="C47" s="5" t="s">
        <v>551</v>
      </c>
      <c r="D47" s="5"/>
      <c r="E47" s="5" t="s">
        <v>41</v>
      </c>
      <c r="F47" s="5" t="s">
        <v>555</v>
      </c>
      <c r="G47" s="5" t="s">
        <v>42</v>
      </c>
      <c r="H47" s="5" t="s">
        <v>47</v>
      </c>
      <c r="I47" s="5"/>
    </row>
    <row r="48" spans="1:9">
      <c r="A48" s="5" t="s">
        <v>542</v>
      </c>
      <c r="B48" s="5" t="s">
        <v>40</v>
      </c>
      <c r="C48" s="5" t="s">
        <v>552</v>
      </c>
      <c r="D48" s="5"/>
      <c r="E48" s="5" t="s">
        <v>41</v>
      </c>
      <c r="F48" s="5" t="s">
        <v>555</v>
      </c>
      <c r="G48" s="5" t="s">
        <v>42</v>
      </c>
      <c r="H48" s="5" t="s">
        <v>47</v>
      </c>
      <c r="I48" s="5"/>
    </row>
    <row r="49" spans="1:9">
      <c r="A49" s="5" t="s">
        <v>471</v>
      </c>
      <c r="B49" s="5" t="s">
        <v>27</v>
      </c>
      <c r="C49" s="5" t="s">
        <v>471</v>
      </c>
      <c r="D49" s="5">
        <v>64</v>
      </c>
      <c r="E49" s="5" t="s">
        <v>29</v>
      </c>
      <c r="F49" s="5"/>
      <c r="G49" s="5"/>
      <c r="H49" s="5"/>
      <c r="I49" s="5"/>
    </row>
    <row r="50" spans="1:9">
      <c r="A50" s="5" t="s">
        <v>101</v>
      </c>
      <c r="B50" s="5" t="s">
        <v>27</v>
      </c>
      <c r="C50" s="5" t="s">
        <v>101</v>
      </c>
      <c r="D50" s="5">
        <v>256</v>
      </c>
      <c r="E50" s="5" t="s">
        <v>29</v>
      </c>
      <c r="F50" s="5"/>
      <c r="G50" s="5"/>
      <c r="H50" s="5"/>
      <c r="I50" s="5"/>
    </row>
    <row r="51" spans="1:9">
      <c r="A51" s="5" t="s">
        <v>472</v>
      </c>
      <c r="B51" s="5" t="s">
        <v>24</v>
      </c>
      <c r="C51" s="5" t="s">
        <v>493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496</v>
      </c>
      <c r="B52" s="5" t="s">
        <v>24</v>
      </c>
      <c r="C52" s="5" t="s">
        <v>496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497</v>
      </c>
      <c r="B53" s="5" t="s">
        <v>24</v>
      </c>
      <c r="C53" s="5" t="s">
        <v>497</v>
      </c>
      <c r="D53" s="5"/>
      <c r="E53" s="5" t="s">
        <v>29</v>
      </c>
      <c r="F53" s="5" t="s">
        <v>25</v>
      </c>
      <c r="G53" s="5"/>
      <c r="H53" s="5"/>
      <c r="I53" s="5"/>
    </row>
    <row r="54" spans="1:9">
      <c r="A54" s="5" t="s">
        <v>53</v>
      </c>
      <c r="B54" s="5" t="s">
        <v>27</v>
      </c>
      <c r="C54" s="5" t="s">
        <v>53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498</v>
      </c>
      <c r="B55" s="5" t="s">
        <v>27</v>
      </c>
      <c r="C55" s="5" t="s">
        <v>498</v>
      </c>
      <c r="D55" s="5">
        <v>32</v>
      </c>
      <c r="E55" s="5" t="s">
        <v>29</v>
      </c>
      <c r="F55" s="5"/>
      <c r="G55" s="5"/>
      <c r="H55" s="5"/>
      <c r="I55" s="5"/>
    </row>
    <row r="56" spans="1:9">
      <c r="A56" s="5" t="s">
        <v>231</v>
      </c>
      <c r="B56" s="5" t="s">
        <v>27</v>
      </c>
      <c r="C56" s="5" t="s">
        <v>231</v>
      </c>
      <c r="D56" s="5">
        <v>64</v>
      </c>
      <c r="E56" s="5" t="s">
        <v>29</v>
      </c>
      <c r="F56" s="5"/>
      <c r="G56" s="5"/>
      <c r="H56" s="5"/>
      <c r="I56" s="5"/>
    </row>
    <row r="57" spans="1:9">
      <c r="A57" s="5" t="s">
        <v>499</v>
      </c>
      <c r="B57" s="5" t="s">
        <v>27</v>
      </c>
      <c r="C57" s="5" t="s">
        <v>499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500</v>
      </c>
      <c r="B58" s="5" t="s">
        <v>27</v>
      </c>
      <c r="C58" s="5" t="s">
        <v>500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501</v>
      </c>
      <c r="B59" s="5" t="s">
        <v>27</v>
      </c>
      <c r="C59" s="5" t="s">
        <v>501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502</v>
      </c>
      <c r="B60" s="5" t="s">
        <v>27</v>
      </c>
      <c r="C60" s="5" t="s">
        <v>502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503</v>
      </c>
      <c r="B61" s="5" t="s">
        <v>27</v>
      </c>
      <c r="C61" s="5" t="s">
        <v>503</v>
      </c>
      <c r="D61" s="5">
        <v>256</v>
      </c>
      <c r="E61" s="5" t="s">
        <v>29</v>
      </c>
      <c r="F61" s="5"/>
      <c r="G61" s="5"/>
      <c r="H61" s="5"/>
      <c r="I61" s="5"/>
    </row>
    <row r="62" spans="1:9">
      <c r="A62" s="5" t="s">
        <v>505</v>
      </c>
      <c r="B62" s="5" t="s">
        <v>27</v>
      </c>
      <c r="C62" s="5" t="s">
        <v>505</v>
      </c>
      <c r="D62" s="5">
        <v>32</v>
      </c>
      <c r="E62" s="5" t="s">
        <v>29</v>
      </c>
      <c r="F62" s="5"/>
      <c r="G62" s="5"/>
      <c r="H62" s="5"/>
      <c r="I62" s="5"/>
    </row>
    <row r="63" spans="1:9">
      <c r="A63" s="5" t="s">
        <v>467</v>
      </c>
      <c r="B63" s="5" t="s">
        <v>24</v>
      </c>
      <c r="C63" s="5" t="s">
        <v>467</v>
      </c>
      <c r="D63" s="5"/>
      <c r="E63" s="5" t="s">
        <v>29</v>
      </c>
      <c r="F63" s="5" t="s">
        <v>25</v>
      </c>
      <c r="G63" s="5"/>
      <c r="H63" s="5"/>
      <c r="I63" s="5"/>
    </row>
    <row r="64" spans="1:9">
      <c r="A64" s="5" t="s">
        <v>468</v>
      </c>
      <c r="B64" s="5" t="s">
        <v>27</v>
      </c>
      <c r="C64" s="5" t="s">
        <v>468</v>
      </c>
      <c r="D64" s="5">
        <v>128</v>
      </c>
      <c r="E64" s="5" t="s">
        <v>29</v>
      </c>
      <c r="F64" s="5"/>
      <c r="G64" s="5"/>
      <c r="H64" s="5"/>
      <c r="I64" s="5"/>
    </row>
    <row r="65" spans="1:9">
      <c r="A65" s="5" t="s">
        <v>469</v>
      </c>
      <c r="B65" s="5" t="s">
        <v>44</v>
      </c>
      <c r="C65" s="5" t="s">
        <v>506</v>
      </c>
      <c r="D65" s="5" t="s">
        <v>161</v>
      </c>
      <c r="E65" s="5" t="s">
        <v>162</v>
      </c>
      <c r="F65" s="5" t="s">
        <v>25</v>
      </c>
      <c r="G65" s="5"/>
      <c r="H65" s="5"/>
      <c r="I65" s="5"/>
    </row>
    <row r="66" spans="1:9">
      <c r="A66" s="5" t="s">
        <v>475</v>
      </c>
      <c r="B66" s="5" t="s">
        <v>24</v>
      </c>
      <c r="C66" s="5" t="s">
        <v>475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481</v>
      </c>
      <c r="B67" s="5" t="s">
        <v>24</v>
      </c>
      <c r="C67" s="5" t="s">
        <v>481</v>
      </c>
      <c r="D67" s="5"/>
      <c r="E67" s="5" t="s">
        <v>29</v>
      </c>
      <c r="F67" s="5" t="s">
        <v>25</v>
      </c>
      <c r="G67" s="5"/>
      <c r="H67" s="5"/>
      <c r="I67" s="5"/>
    </row>
    <row r="68" spans="1:9">
      <c r="A68" s="5" t="s">
        <v>482</v>
      </c>
      <c r="B68" s="5" t="s">
        <v>507</v>
      </c>
      <c r="C68" s="5" t="s">
        <v>482</v>
      </c>
      <c r="D68" s="5"/>
      <c r="E68" s="5" t="s">
        <v>508</v>
      </c>
      <c r="F68" s="5"/>
      <c r="G68" s="5"/>
      <c r="H68" s="5"/>
      <c r="I68" s="5"/>
    </row>
    <row r="69" spans="1:9">
      <c r="A69" s="5" t="s">
        <v>483</v>
      </c>
      <c r="B69" s="5" t="s">
        <v>24</v>
      </c>
      <c r="C69" s="5" t="s">
        <v>483</v>
      </c>
      <c r="D69" s="5"/>
      <c r="E69" s="5" t="s">
        <v>29</v>
      </c>
      <c r="F69" s="5" t="s">
        <v>25</v>
      </c>
      <c r="G69" s="5"/>
      <c r="H69" s="5"/>
      <c r="I69" s="5"/>
    </row>
    <row r="70" spans="1:9">
      <c r="A70" s="5" t="s">
        <v>484</v>
      </c>
      <c r="B70" s="5" t="s">
        <v>507</v>
      </c>
      <c r="C70" s="5" t="s">
        <v>484</v>
      </c>
      <c r="D70" s="5"/>
      <c r="E70" s="5" t="s">
        <v>509</v>
      </c>
      <c r="F70" s="5"/>
      <c r="G70" s="5"/>
      <c r="H70" s="5"/>
      <c r="I70" s="5"/>
    </row>
    <row r="71" spans="1:9">
      <c r="A71" s="5" t="s">
        <v>485</v>
      </c>
      <c r="B71" s="5" t="s">
        <v>44</v>
      </c>
      <c r="C71" s="5" t="s">
        <v>485</v>
      </c>
      <c r="D71" s="5" t="s">
        <v>494</v>
      </c>
      <c r="E71" s="5" t="s">
        <v>495</v>
      </c>
      <c r="F71" s="5" t="s">
        <v>25</v>
      </c>
      <c r="G71" s="5"/>
      <c r="H71" s="5"/>
      <c r="I71" s="5"/>
    </row>
    <row r="72" spans="1:9">
      <c r="A72" s="5" t="s">
        <v>474</v>
      </c>
      <c r="B72" s="5" t="s">
        <v>24</v>
      </c>
      <c r="C72" s="5" t="s">
        <v>474</v>
      </c>
      <c r="D72" s="5"/>
      <c r="E72" s="5" t="s">
        <v>29</v>
      </c>
      <c r="F72" s="5" t="s">
        <v>25</v>
      </c>
      <c r="G72" s="5"/>
      <c r="H72" s="5"/>
      <c r="I72" s="5"/>
    </row>
    <row r="73" spans="1:9">
      <c r="A73" s="5" t="s">
        <v>476</v>
      </c>
      <c r="B73" s="5" t="s">
        <v>44</v>
      </c>
      <c r="C73" s="5" t="s">
        <v>476</v>
      </c>
      <c r="D73" s="5" t="s">
        <v>161</v>
      </c>
      <c r="E73" s="5" t="s">
        <v>187</v>
      </c>
      <c r="F73" s="5" t="s">
        <v>25</v>
      </c>
      <c r="G73" s="5"/>
      <c r="H73" s="5"/>
      <c r="I73" s="5"/>
    </row>
    <row r="74" spans="1:9">
      <c r="A74" s="5" t="s">
        <v>479</v>
      </c>
      <c r="B74" s="5" t="s">
        <v>27</v>
      </c>
      <c r="C74" s="5" t="s">
        <v>479</v>
      </c>
      <c r="D74" s="5">
        <v>512</v>
      </c>
      <c r="E74" s="5" t="s">
        <v>29</v>
      </c>
      <c r="F74" s="5"/>
      <c r="G74" s="5"/>
      <c r="H74" s="5"/>
      <c r="I74" s="5"/>
    </row>
    <row r="75" spans="1:9">
      <c r="A75" s="5" t="s">
        <v>480</v>
      </c>
      <c r="B75" s="5" t="s">
        <v>24</v>
      </c>
      <c r="C75" s="5" t="s">
        <v>493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488</v>
      </c>
      <c r="B76" s="5" t="s">
        <v>24</v>
      </c>
      <c r="C76" s="5" t="s">
        <v>488</v>
      </c>
      <c r="D76" s="5"/>
      <c r="E76" s="5" t="s">
        <v>29</v>
      </c>
      <c r="F76" s="5" t="s">
        <v>25</v>
      </c>
      <c r="G76" s="5"/>
      <c r="H76" s="5"/>
      <c r="I76" s="5"/>
    </row>
    <row r="77" spans="1:9">
      <c r="A77" s="5" t="s">
        <v>510</v>
      </c>
      <c r="B77" s="5" t="s">
        <v>40</v>
      </c>
      <c r="C77" s="5" t="s">
        <v>496</v>
      </c>
      <c r="D77" s="5"/>
      <c r="E77" s="5" t="s">
        <v>41</v>
      </c>
      <c r="F77" s="5" t="s">
        <v>511</v>
      </c>
      <c r="G77" s="5" t="s">
        <v>42</v>
      </c>
      <c r="H77" s="5" t="s">
        <v>47</v>
      </c>
      <c r="I77" s="5"/>
    </row>
    <row r="78" spans="1:9">
      <c r="A78" s="5" t="s">
        <v>512</v>
      </c>
      <c r="B78" s="5" t="s">
        <v>40</v>
      </c>
      <c r="C78" s="5" t="s">
        <v>497</v>
      </c>
      <c r="D78" s="5"/>
      <c r="E78" s="5" t="s">
        <v>41</v>
      </c>
      <c r="F78" s="5" t="s">
        <v>513</v>
      </c>
      <c r="G78" s="5" t="s">
        <v>42</v>
      </c>
      <c r="H78" s="5" t="s">
        <v>47</v>
      </c>
      <c r="I78" s="5"/>
    </row>
    <row r="79" spans="1:9">
      <c r="A79" s="5" t="s">
        <v>470</v>
      </c>
      <c r="B79" s="5" t="s">
        <v>40</v>
      </c>
      <c r="C79" s="5" t="s">
        <v>467</v>
      </c>
      <c r="D79" s="5"/>
      <c r="E79" s="5" t="s">
        <v>41</v>
      </c>
      <c r="F79" s="5" t="s">
        <v>514</v>
      </c>
      <c r="G79" s="5" t="s">
        <v>42</v>
      </c>
      <c r="H79" s="5" t="s">
        <v>43</v>
      </c>
      <c r="I79" s="5"/>
    </row>
    <row r="80" spans="1:9">
      <c r="A80" s="5" t="s">
        <v>477</v>
      </c>
      <c r="B80" s="5" t="s">
        <v>40</v>
      </c>
      <c r="C80" s="5" t="s">
        <v>474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473</v>
      </c>
      <c r="B81" s="5" t="s">
        <v>40</v>
      </c>
      <c r="C81" s="5" t="s">
        <v>493</v>
      </c>
      <c r="D81" s="5"/>
      <c r="E81" s="5" t="s">
        <v>41</v>
      </c>
      <c r="F81" s="5" t="s">
        <v>515</v>
      </c>
      <c r="G81" s="5" t="s">
        <v>42</v>
      </c>
      <c r="H81" s="5" t="s">
        <v>47</v>
      </c>
      <c r="I81" s="5"/>
    </row>
    <row r="82" spans="1:9">
      <c r="A82" s="5" t="s">
        <v>478</v>
      </c>
      <c r="B82" s="5" t="s">
        <v>40</v>
      </c>
      <c r="C82" s="5" t="s">
        <v>475</v>
      </c>
      <c r="D82" s="5"/>
      <c r="E82" s="5" t="s">
        <v>41</v>
      </c>
      <c r="F82" s="5" t="s">
        <v>516</v>
      </c>
      <c r="G82" s="5" t="s">
        <v>42</v>
      </c>
      <c r="H82" s="5" t="s">
        <v>43</v>
      </c>
      <c r="I82" s="5"/>
    </row>
    <row r="83" spans="1:9">
      <c r="A83" s="5" t="s">
        <v>489</v>
      </c>
      <c r="B83" s="5" t="s">
        <v>40</v>
      </c>
      <c r="C83" s="5" t="s">
        <v>488</v>
      </c>
      <c r="D83" s="5"/>
      <c r="E83" s="5" t="s">
        <v>41</v>
      </c>
      <c r="F83" s="5" t="s">
        <v>517</v>
      </c>
      <c r="G83" s="5" t="s">
        <v>42</v>
      </c>
      <c r="H83" s="5" t="s">
        <v>43</v>
      </c>
      <c r="I83" s="5"/>
    </row>
    <row r="84" spans="1:9">
      <c r="A84" s="5" t="s">
        <v>486</v>
      </c>
      <c r="B84" s="5" t="s">
        <v>40</v>
      </c>
      <c r="C84" s="5" t="s">
        <v>481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  <row r="85" spans="1:9">
      <c r="A85" s="5" t="s">
        <v>487</v>
      </c>
      <c r="B85" s="5" t="s">
        <v>40</v>
      </c>
      <c r="C85" s="5" t="s">
        <v>483</v>
      </c>
      <c r="D85" s="5"/>
      <c r="E85" s="5" t="s">
        <v>41</v>
      </c>
      <c r="F85" s="5" t="s">
        <v>515</v>
      </c>
      <c r="G85" s="5" t="s">
        <v>42</v>
      </c>
      <c r="H85" s="5" t="s">
        <v>47</v>
      </c>
      <c r="I85" s="5"/>
    </row>
    <row r="86" spans="1:9">
      <c r="A86" s="4" t="s">
        <v>995</v>
      </c>
      <c r="B86" s="4" t="s">
        <v>27</v>
      </c>
      <c r="C86" s="4" t="s">
        <v>995</v>
      </c>
      <c r="D86" s="4">
        <v>64</v>
      </c>
      <c r="E86" s="4" t="s">
        <v>29</v>
      </c>
      <c r="F86" s="4"/>
      <c r="G86" s="4"/>
      <c r="H86" s="4"/>
      <c r="I86" s="4"/>
    </row>
    <row r="87" spans="1:9">
      <c r="A87" s="4" t="s">
        <v>996</v>
      </c>
      <c r="B87" s="4" t="s">
        <v>27</v>
      </c>
      <c r="C87" s="4" t="s">
        <v>996</v>
      </c>
      <c r="D87" s="4">
        <v>128</v>
      </c>
      <c r="E87" s="4" t="s">
        <v>29</v>
      </c>
      <c r="F87" s="4"/>
      <c r="G87" s="4"/>
      <c r="H87" s="4"/>
      <c r="I87" s="4"/>
    </row>
    <row r="88" spans="1:9">
      <c r="A88" s="4" t="s">
        <v>997</v>
      </c>
      <c r="B88" s="4" t="s">
        <v>998</v>
      </c>
      <c r="C88" s="4" t="s">
        <v>997</v>
      </c>
      <c r="D88" s="4"/>
      <c r="E88" s="4" t="s">
        <v>999</v>
      </c>
      <c r="F88" s="4"/>
      <c r="G88" s="4"/>
      <c r="H88" s="4"/>
      <c r="I88" s="4"/>
    </row>
    <row r="89" spans="1:9">
      <c r="A89" s="4" t="s">
        <v>1000</v>
      </c>
      <c r="B89" s="4" t="s">
        <v>998</v>
      </c>
      <c r="C89" s="4" t="s">
        <v>1000</v>
      </c>
      <c r="D89" s="4"/>
      <c r="E89" s="4" t="s">
        <v>1001</v>
      </c>
      <c r="F89" s="4"/>
      <c r="G89" s="4"/>
      <c r="H89" s="4"/>
      <c r="I89" s="4"/>
    </row>
    <row r="90" spans="1:9">
      <c r="A90" s="4" t="s">
        <v>1002</v>
      </c>
      <c r="B90" s="4" t="s">
        <v>1003</v>
      </c>
      <c r="C90" s="4" t="s">
        <v>1002</v>
      </c>
      <c r="D90" s="4"/>
      <c r="E90" s="4" t="s">
        <v>999</v>
      </c>
      <c r="F90" s="4"/>
      <c r="G90" s="4"/>
      <c r="H90" s="4"/>
      <c r="I90" s="4"/>
    </row>
  </sheetData>
  <conditionalFormatting sqref="A2:A90">
    <cfRule type="duplicateValues" dxfId="450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tabSelected="1" workbookViewId="0">
      <selection activeCell="K102" sqref="K102:K11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 hidden="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 hidden="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 hidden="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 hidden="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 hidden="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 hidden="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 hidden="1">
      <c r="A8" s="5" t="s">
        <v>554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 hidden="1">
      <c r="A9" s="5" t="s">
        <v>554</v>
      </c>
      <c r="B9" s="5" t="s">
        <v>992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>-&gt;index()</v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64)-&gt;nullable()-&gt;index();</v>
      </c>
    </row>
    <row r="10" spans="1:11" hidden="1">
      <c r="A10" s="5" t="s">
        <v>554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 hidden="1">
      <c r="A11" s="5" t="s">
        <v>554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 hidden="1">
      <c r="A12" s="5" t="s">
        <v>554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 hidden="1">
      <c r="A13" s="5" t="s">
        <v>554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 hidden="1">
      <c r="A14" s="5" t="s">
        <v>554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 hidden="1">
      <c r="A15" s="5" t="s">
        <v>554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 hidden="1">
      <c r="A16" s="5" t="s">
        <v>554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 hidden="1">
      <c r="A17" s="5" t="s">
        <v>554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 hidden="1">
      <c r="A18" s="5" t="s">
        <v>994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 hidden="1">
      <c r="A19" s="5" t="s">
        <v>994</v>
      </c>
      <c r="B19" s="5" t="s">
        <v>995</v>
      </c>
      <c r="C19" s="5" t="str">
        <f>VLOOKUP([Field],Columns[],2,0)&amp;"("</f>
        <v>string(</v>
      </c>
      <c r="D19" s="5" t="str">
        <f>IF(VLOOKUP([Field],Columns[],3,0)&lt;&gt;"","'"&amp;VLOOKUP([Field],Columns[],3,0)&amp;"'","")</f>
        <v>'field_name'</v>
      </c>
      <c r="E19" s="8" t="str">
        <f>IF(VLOOKUP([Field],Columns[],4,0)&lt;&gt;0,", "&amp;VLOOKUP([Field],Columns[],4,0)&amp;")",")")</f>
        <v>, 64)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/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$table-&gt;string('field_name', 64)-&gt;nullable();</v>
      </c>
    </row>
    <row r="20" spans="1:11" hidden="1">
      <c r="A20" s="5" t="s">
        <v>994</v>
      </c>
      <c r="B20" s="5" t="s">
        <v>996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'display_name'</v>
      </c>
      <c r="E20" s="8" t="str">
        <f>IF(VLOOKUP([Field],Columns[],4,0)&lt;&gt;0,", "&amp;VLOOKUP([Field],Columns[],4,0)&amp;")",")")</f>
        <v>, 128)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$table-&gt;string('display_name', 128)-&gt;nullable();</v>
      </c>
    </row>
    <row r="21" spans="1:11" hidden="1">
      <c r="A21" s="5" t="s">
        <v>994</v>
      </c>
      <c r="B21" s="5" t="s">
        <v>997</v>
      </c>
      <c r="C21" s="5" t="str">
        <f>VLOOKUP([Field],Columns[],2,0)&amp;"("</f>
        <v>unsignedTinyInteger(</v>
      </c>
      <c r="D21" s="5" t="str">
        <f>IF(VLOOKUP([Field],Columns[],3,0)&lt;&gt;"","'"&amp;VLOOKUP([Field],Columns[],3,0)&amp;"'","")</f>
        <v>'order'</v>
      </c>
      <c r="E21" s="8" t="str">
        <f>IF(VLOOKUP([Field],Columns[],4,0)&lt;&gt;0,", "&amp;VLOOKUP([Field],Columns[],4,0)&amp;")",")")</f>
        <v>)</v>
      </c>
      <c r="F21" s="5" t="str">
        <f>IF(VLOOKUP([Field],Columns[],5,0)=0,"","-&gt;"&amp;VLOOKUP([Field],Columns[],5,0))</f>
        <v>-&gt;default(1)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$table-&gt;unsignedTinyInteger('order')-&gt;default(1);</v>
      </c>
    </row>
    <row r="22" spans="1:11" hidden="1">
      <c r="A22" s="5" t="s">
        <v>994</v>
      </c>
      <c r="B22" s="5" t="s">
        <v>1000</v>
      </c>
      <c r="C22" s="5" t="str">
        <f>VLOOKUP([Field],Columns[],2,0)&amp;"("</f>
        <v>unsignedTinyInteger(</v>
      </c>
      <c r="D22" s="5" t="str">
        <f>IF(VLOOKUP([Field],Columns[],3,0)&lt;&gt;"","'"&amp;VLOOKUP([Field],Columns[],3,0)&amp;"'","")</f>
        <v>'priority'</v>
      </c>
      <c r="E22" s="8" t="str">
        <f>IF(VLOOKUP([Field],Columns[],4,0)&lt;&gt;0,", "&amp;VLOOKUP([Field],Columns[],4,0)&amp;")",")")</f>
        <v>)</v>
      </c>
      <c r="F22" s="5" t="str">
        <f>IF(VLOOKUP([Field],Columns[],5,0)=0,"","-&gt;"&amp;VLOOKUP([Field],Columns[],5,0))</f>
        <v>-&gt;default(0)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$table-&gt;unsignedTinyInteger('priority')-&gt;default(0);</v>
      </c>
    </row>
    <row r="23" spans="1:11" hidden="1">
      <c r="A23" s="5" t="s">
        <v>994</v>
      </c>
      <c r="B23" s="5" t="s">
        <v>452</v>
      </c>
      <c r="C23" s="5" t="str">
        <f>VLOOKUP([Field],Columns[],2,0)&amp;"("</f>
        <v>enum(</v>
      </c>
      <c r="D23" s="5" t="str">
        <f>IF(VLOOKUP([Field],Columns[],3,0)&lt;&gt;"","'"&amp;VLOOKUP([Field],Columns[],3,0)&amp;"'","")</f>
        <v>'type'</v>
      </c>
      <c r="E23" s="8" t="str">
        <f>IF(VLOOKUP([Field],Columns[],4,0)&lt;&gt;0,", "&amp;VLOOKUP([Field],Columns[],4,0)&amp;")",")")</f>
        <v>, ['Public','Private'])</v>
      </c>
      <c r="F23" s="5" t="str">
        <f>IF(VLOOKUP([Field],Columns[],5,0)=0,"","-&gt;"&amp;VLOOKUP([Field],Columns[],5,0))</f>
        <v>-&gt;default('Public')</v>
      </c>
      <c r="G23" s="5" t="str">
        <f>IF(VLOOKUP([Field],Columns[],6,0)=0,"","-&gt;"&amp;VLOOKUP([Field],Columns[],6,0))</f>
        <v>-&gt;index()</v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4" spans="1:11" hidden="1">
      <c r="A24" s="5" t="s">
        <v>994</v>
      </c>
      <c r="B24" s="5" t="s">
        <v>453</v>
      </c>
      <c r="C24" s="5" t="str">
        <f>VLOOKUP([Field],Columns[],2,0)&amp;"("</f>
        <v>enum(</v>
      </c>
      <c r="D24" s="5" t="str">
        <f>IF(VLOOKUP([Field],Columns[],3,0)&lt;&gt;"","'"&amp;VLOOKUP([Field],Columns[],3,0)&amp;"'","")</f>
        <v>'status'</v>
      </c>
      <c r="E24" s="8" t="str">
        <f>IF(VLOOKUP([Field],Columns[],4,0)&lt;&gt;0,", "&amp;VLOOKUP([Field],Columns[],4,0)&amp;")",")")</f>
        <v>, ['Active','Inactive'])</v>
      </c>
      <c r="F24" s="5" t="str">
        <f>IF(VLOOKUP([Field],Columns[],5,0)=0,"","-&gt;"&amp;VLOOKUP([Field],Columns[],5,0))</f>
        <v>-&gt;default('Active')</v>
      </c>
      <c r="G24" s="5" t="str">
        <f>IF(VLOOKUP([Field],Columns[],6,0)=0,"","-&gt;"&amp;VLOOKUP([Field],Columns[],6,0))</f>
        <v>-&gt;index()</v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5" spans="1:11" hidden="1">
      <c r="A25" s="5" t="s">
        <v>994</v>
      </c>
      <c r="B25" s="5" t="s">
        <v>518</v>
      </c>
      <c r="C25" s="5" t="str">
        <f>VLOOKUP([Field],Columns[],2,0)&amp;"("</f>
        <v>audit(</v>
      </c>
      <c r="D25" s="5" t="str">
        <f>IF(VLOOKUP([Field],Columns[],3,0)&lt;&gt;"","'"&amp;VLOOKUP([Field],Columns[],3,0)&amp;"'","")</f>
        <v/>
      </c>
      <c r="E25" s="8" t="str">
        <f>IF(VLOOKUP([Field],Columns[],4,0)&lt;&gt;0,", "&amp;VLOOKUP([Field],Columns[],4,0)&amp;")",")")</f>
        <v>)</v>
      </c>
      <c r="F25" s="5" t="str">
        <f>IF(VLOOKUP([Field],Columns[],5,0)=0,"","-&gt;"&amp;VLOOKUP([Field],Columns[],5,0))</f>
        <v/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$table-&gt;audit();</v>
      </c>
    </row>
    <row r="26" spans="1:11" hidden="1">
      <c r="A26" s="5" t="s">
        <v>442</v>
      </c>
      <c r="B26" s="5" t="s">
        <v>21</v>
      </c>
      <c r="C26" s="5" t="str">
        <f>VLOOKUP([Field],Columns[],2,0)&amp;"("</f>
        <v>increments(</v>
      </c>
      <c r="D26" s="5" t="str">
        <f>IF(VLOOKUP([Field],Columns[],3,0)&lt;&gt;"","'"&amp;VLOOKUP([Field],Columns[],3,0)&amp;"'","")</f>
        <v>'id'</v>
      </c>
      <c r="E26" s="8" t="str">
        <f>IF(VLOOKUP([Field],Columns[],4,0)&lt;&gt;0,", "&amp;VLOOKUP([Field],Columns[],4,0)&amp;")",")")</f>
        <v>)</v>
      </c>
      <c r="F26" s="5" t="str">
        <f>IF(VLOOKUP([Field],Columns[],5,0)=0,"","-&gt;"&amp;VLOOKUP([Field],Columns[],5,0))</f>
        <v/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$table-&gt;increments('id');</v>
      </c>
    </row>
    <row r="27" spans="1:11" hidden="1">
      <c r="A27" s="5" t="s">
        <v>442</v>
      </c>
      <c r="B27" s="5" t="s">
        <v>520</v>
      </c>
      <c r="C27" s="5" t="str">
        <f>VLOOKUP([Field],Columns[],2,0)&amp;"("</f>
        <v>char(</v>
      </c>
      <c r="D27" s="5" t="str">
        <f>IF(VLOOKUP([Field],Columns[],3,0)&lt;&gt;"","'"&amp;VLOOKUP([Field],Columns[],3,0)&amp;"'","")</f>
        <v>'code'</v>
      </c>
      <c r="E27" s="8" t="str">
        <f>IF(VLOOKUP([Field],Columns[],4,0)&lt;&gt;0,", "&amp;VLOOKUP([Field],Columns[],4,0)&amp;")",")")</f>
        <v>, 15)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>-&gt;index()</v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$table-&gt;char('code', 15)-&gt;nullable()-&gt;index();</v>
      </c>
    </row>
    <row r="28" spans="1:11" hidden="1">
      <c r="A28" s="5" t="s">
        <v>442</v>
      </c>
      <c r="B28" s="5" t="s">
        <v>454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'name'</v>
      </c>
      <c r="E28" s="8" t="str">
        <f>IF(VLOOKUP([Field],Columns[],4,0)&lt;&gt;0,", "&amp;VLOOKUP([Field],Columns[],4,0)&amp;")",")")</f>
        <v>, 64)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$table-&gt;string('name', 64)-&gt;nullable();</v>
      </c>
    </row>
    <row r="29" spans="1:11" hidden="1">
      <c r="A29" s="5" t="s">
        <v>442</v>
      </c>
      <c r="B29" s="5" t="s">
        <v>28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'description'</v>
      </c>
      <c r="E29" s="8" t="str">
        <f>IF(VLOOKUP([Field],Columns[],4,0)&lt;&gt;0,", "&amp;VLOOKUP([Field],Columns[],4,0)&amp;")",")")</f>
        <v>, 1024)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$table-&gt;string('description', 1024)-&gt;nullable();</v>
      </c>
    </row>
    <row r="30" spans="1:11" hidden="1">
      <c r="A30" s="5" t="s">
        <v>442</v>
      </c>
      <c r="B30" s="5" t="s">
        <v>455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$table-&gt;string('narration', 800)-&gt;nullable();</v>
      </c>
    </row>
    <row r="31" spans="1:11" hidden="1">
      <c r="A31" s="5" t="s">
        <v>442</v>
      </c>
      <c r="B31" s="5" t="s">
        <v>456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'narration2'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$table-&gt;string('narration2', 800)-&gt;nullable();</v>
      </c>
    </row>
    <row r="32" spans="1:11" hidden="1">
      <c r="A32" s="5" t="s">
        <v>442</v>
      </c>
      <c r="B32" s="5" t="s">
        <v>457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'narration3'</v>
      </c>
      <c r="E32" s="8" t="str">
        <f>IF(VLOOKUP([Field],Columns[],4,0)&lt;&gt;0,", "&amp;VLOOKUP([Field],Columns[],4,0)&amp;")",")")</f>
        <v>, 800)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$table-&gt;string('narration3', 800)-&gt;nullable();</v>
      </c>
    </row>
    <row r="33" spans="1:11" hidden="1">
      <c r="A33" s="5" t="s">
        <v>442</v>
      </c>
      <c r="B33" s="5" t="s">
        <v>458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'narration4'</v>
      </c>
      <c r="E33" s="8" t="str">
        <f>IF(VLOOKUP([Field],Columns[],4,0)&lt;&gt;0,", "&amp;VLOOKUP([Field],Columns[],4,0)&amp;")",")")</f>
        <v>, 800)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$table-&gt;string('narration4', 800)-&gt;nullable();</v>
      </c>
    </row>
    <row r="34" spans="1:11" hidden="1">
      <c r="A34" s="5" t="s">
        <v>442</v>
      </c>
      <c r="B34" s="5" t="s">
        <v>459</v>
      </c>
      <c r="C34" s="5" t="str">
        <f>VLOOKUP([Field],Columns[],2,0)&amp;"("</f>
        <v>string(</v>
      </c>
      <c r="D34" s="5" t="str">
        <f>IF(VLOOKUP([Field],Columns[],3,0)&lt;&gt;"","'"&amp;VLOOKUP([Field],Columns[],3,0)&amp;"'","")</f>
        <v>'narration5'</v>
      </c>
      <c r="E34" s="8" t="str">
        <f>IF(VLOOKUP([Field],Columns[],4,0)&lt;&gt;0,", "&amp;VLOOKUP([Field],Columns[],4,0)&amp;")",")")</f>
        <v>, 800)</v>
      </c>
      <c r="F34" s="5" t="str">
        <f>IF(VLOOKUP([Field],Columns[],5,0)=0,"","-&gt;"&amp;VLOOKUP([Field],Columns[],5,0))</f>
        <v>-&gt;nullable()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$table-&gt;string('narration5', 800)-&gt;nullable();</v>
      </c>
    </row>
    <row r="35" spans="1:11" hidden="1">
      <c r="A35" s="5" t="s">
        <v>442</v>
      </c>
      <c r="B35" s="5" t="s">
        <v>460</v>
      </c>
      <c r="C35" s="5" t="str">
        <f>VLOOKUP([Field],Columns[],2,0)&amp;"("</f>
        <v>string(</v>
      </c>
      <c r="D35" s="5" t="str">
        <f>IF(VLOOKUP([Field],Columns[],3,0)&lt;&gt;"","'"&amp;VLOOKUP([Field],Columns[],3,0)&amp;"'","")</f>
        <v>'narration6'</v>
      </c>
      <c r="E35" s="8" t="str">
        <f>IF(VLOOKUP([Field],Columns[],4,0)&lt;&gt;0,", "&amp;VLOOKUP([Field],Columns[],4,0)&amp;")",")")</f>
        <v>, 800)</v>
      </c>
      <c r="F35" s="5" t="str">
        <f>IF(VLOOKUP([Field],Columns[],5,0)=0,"","-&gt;"&amp;VLOOKUP([Field],Columns[],5,0))</f>
        <v>-&gt;nullable()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$table-&gt;string('narration6', 800)-&gt;nullable();</v>
      </c>
    </row>
    <row r="36" spans="1:11" hidden="1">
      <c r="A36" s="5" t="s">
        <v>442</v>
      </c>
      <c r="B36" s="5" t="s">
        <v>461</v>
      </c>
      <c r="C36" s="5" t="str">
        <f>VLOOKUP([Field],Columns[],2,0)&amp;"("</f>
        <v>string(</v>
      </c>
      <c r="D36" s="5" t="str">
        <f>IF(VLOOKUP([Field],Columns[],3,0)&lt;&gt;"","'"&amp;VLOOKUP([Field],Columns[],3,0)&amp;"'","")</f>
        <v>'narration7'</v>
      </c>
      <c r="E36" s="8" t="str">
        <f>IF(VLOOKUP([Field],Columns[],4,0)&lt;&gt;0,", "&amp;VLOOKUP([Field],Columns[],4,0)&amp;")",")")</f>
        <v>, 800)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/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$table-&gt;string('narration7', 800)-&gt;nullable();</v>
      </c>
    </row>
    <row r="37" spans="1:11" hidden="1">
      <c r="A37" s="5" t="s">
        <v>442</v>
      </c>
      <c r="B37" s="5" t="s">
        <v>462</v>
      </c>
      <c r="C37" s="5" t="str">
        <f>VLOOKUP([Field],Columns[],2,0)&amp;"("</f>
        <v>string(</v>
      </c>
      <c r="D37" s="5" t="str">
        <f>IF(VLOOKUP([Field],Columns[],3,0)&lt;&gt;"","'"&amp;VLOOKUP([Field],Columns[],3,0)&amp;"'","")</f>
        <v>'narration8'</v>
      </c>
      <c r="E37" s="8" t="str">
        <f>IF(VLOOKUP([Field],Columns[],4,0)&lt;&gt;0,", "&amp;VLOOKUP([Field],Columns[],4,0)&amp;")",")")</f>
        <v>, 800)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/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$table-&gt;string('narration8', 800)-&gt;nullable();</v>
      </c>
    </row>
    <row r="38" spans="1:11" hidden="1">
      <c r="A38" s="5" t="s">
        <v>442</v>
      </c>
      <c r="B38" s="5" t="s">
        <v>463</v>
      </c>
      <c r="C38" s="5" t="str">
        <f>VLOOKUP([Field],Columns[],2,0)&amp;"("</f>
        <v>string(</v>
      </c>
      <c r="D38" s="5" t="str">
        <f>IF(VLOOKUP([Field],Columns[],3,0)&lt;&gt;"","'"&amp;VLOOKUP([Field],Columns[],3,0)&amp;"'","")</f>
        <v>'narration9'</v>
      </c>
      <c r="E38" s="8" t="str">
        <f>IF(VLOOKUP([Field],Columns[],4,0)&lt;&gt;0,", "&amp;VLOOKUP([Field],Columns[],4,0)&amp;")",")")</f>
        <v>, 800)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/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$table-&gt;string('narration9', 800)-&gt;nullable();</v>
      </c>
    </row>
    <row r="39" spans="1:11" hidden="1">
      <c r="A39" s="5" t="s">
        <v>442</v>
      </c>
      <c r="B39" s="5" t="s">
        <v>464</v>
      </c>
      <c r="C39" s="5" t="str">
        <f>VLOOKUP([Field],Columns[],2,0)&amp;"("</f>
        <v>string(</v>
      </c>
      <c r="D39" s="5" t="str">
        <f>IF(VLOOKUP([Field],Columns[],3,0)&lt;&gt;"","'"&amp;VLOOKUP([Field],Columns[],3,0)&amp;"'","")</f>
        <v>'narration10'</v>
      </c>
      <c r="E39" s="8" t="str">
        <f>IF(VLOOKUP([Field],Columns[],4,0)&lt;&gt;0,", "&amp;VLOOKUP([Field],Columns[],4,0)&amp;")",")")</f>
        <v>, 800)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/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$table-&gt;string('narration10', 800)-&gt;nullable();</v>
      </c>
    </row>
    <row r="40" spans="1:11" hidden="1">
      <c r="A40" s="5" t="s">
        <v>442</v>
      </c>
      <c r="B40" s="5" t="s">
        <v>451</v>
      </c>
      <c r="C40" s="5" t="str">
        <f>VLOOKUP([Field],Columns[],2,0)&amp;"("</f>
        <v>string(</v>
      </c>
      <c r="D40" s="5" t="str">
        <f>IF(VLOOKUP([Field],Columns[],3,0)&lt;&gt;"","'"&amp;VLOOKUP([Field],Columns[],3,0)&amp;"'","")</f>
        <v>'refno'</v>
      </c>
      <c r="E40" s="8" t="str">
        <f>IF(VLOOKUP([Field],Columns[],4,0)&lt;&gt;0,", "&amp;VLOOKUP([Field],Columns[],4,0)&amp;")",")")</f>
        <v>, 64)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/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$table-&gt;string('refno', 64)-&gt;nullable();</v>
      </c>
    </row>
    <row r="41" spans="1:11" hidden="1">
      <c r="A41" s="5" t="s">
        <v>442</v>
      </c>
      <c r="B41" s="5" t="s">
        <v>523</v>
      </c>
      <c r="C41" s="5" t="str">
        <f>VLOOKUP([Field],Columns[],2,0)&amp;"("</f>
        <v>string(</v>
      </c>
      <c r="D41" s="5" t="str">
        <f>IF(VLOOKUP([Field],Columns[],3,0)&lt;&gt;"","'"&amp;VLOOKUP([Field],Columns[],3,0)&amp;"'","")</f>
        <v>'ref2no'</v>
      </c>
      <c r="E41" s="8" t="str">
        <f>IF(VLOOKUP([Field],Columns[],4,0)&lt;&gt;0,", "&amp;VLOOKUP([Field],Columns[],4,0)&amp;")",")")</f>
        <v>, 64)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/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$table-&gt;string('ref2no', 64)-&gt;nullable();</v>
      </c>
    </row>
    <row r="42" spans="1:11" hidden="1">
      <c r="A42" s="5" t="s">
        <v>442</v>
      </c>
      <c r="B42" s="5" t="s">
        <v>465</v>
      </c>
      <c r="C42" s="5" t="str">
        <f>VLOOKUP([Field],Columns[],2,0)&amp;"("</f>
        <v>enum(</v>
      </c>
      <c r="D42" s="5" t="str">
        <f>IF(VLOOKUP([Field],Columns[],3,0)&lt;&gt;"","'"&amp;VLOOKUP([Field],Columns[],3,0)&amp;"'","")</f>
        <v>'itemserial'</v>
      </c>
      <c r="E42" s="8" t="str">
        <f>IF(VLOOKUP([Field],Columns[],4,0)&lt;&gt;0,", "&amp;VLOOKUP([Field],Columns[],4,0)&amp;")",")")</f>
        <v>, ['Yes','No'])</v>
      </c>
      <c r="F42" s="5" t="str">
        <f>IF(VLOOKUP([Field],Columns[],5,0)=0,"","-&gt;"&amp;VLOOKUP([Field],Columns[],5,0))</f>
        <v>-&gt;default('No')</v>
      </c>
      <c r="G42" s="5" t="str">
        <f>IF(VLOOKUP([Field],Columns[],6,0)=0,"","-&gt;"&amp;VLOOKUP([Field],Columns[],6,0))</f>
        <v/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$table-&gt;enum('itemserial', ['Yes','No'])-&gt;default('No');</v>
      </c>
    </row>
    <row r="43" spans="1:11" hidden="1">
      <c r="A43" s="5" t="s">
        <v>442</v>
      </c>
      <c r="B43" s="5" t="s">
        <v>466</v>
      </c>
      <c r="C43" s="5" t="str">
        <f>VLOOKUP([Field],Columns[],2,0)&amp;"("</f>
        <v>enum(</v>
      </c>
      <c r="D43" s="5" t="str">
        <f>IF(VLOOKUP([Field],Columns[],3,0)&lt;&gt;"","'"&amp;VLOOKUP([Field],Columns[],3,0)&amp;"'","")</f>
        <v>'type'</v>
      </c>
      <c r="E43" s="8" t="str">
        <f>IF(VLOOKUP([Field],Columns[],4,0)&lt;&gt;0,", "&amp;VLOOKUP([Field],Columns[],4,0)&amp;")",")")</f>
        <v>, ['Public','Protected','System'])</v>
      </c>
      <c r="F43" s="5" t="str">
        <f>IF(VLOOKUP([Field],Columns[],5,0)=0,"","-&gt;"&amp;VLOOKUP([Field],Columns[],5,0))</f>
        <v>-&gt;default('Public')</v>
      </c>
      <c r="G43" s="5" t="str">
        <f>IF(VLOOKUP([Field],Columns[],6,0)=0,"","-&gt;"&amp;VLOOKUP([Field],Columns[],6,0))</f>
        <v/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44" spans="1:11" hidden="1">
      <c r="A44" s="5" t="s">
        <v>442</v>
      </c>
      <c r="B44" s="5" t="s">
        <v>522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'group01'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$table-&gt;unsignedInteger('group01')-&gt;nullable()-&gt;index();</v>
      </c>
    </row>
    <row r="45" spans="1:11" hidden="1">
      <c r="A45" s="5" t="s">
        <v>442</v>
      </c>
      <c r="B45" s="5" t="s">
        <v>525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'group02'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$table-&gt;unsignedInteger('group02')-&gt;nullable()-&gt;index();</v>
      </c>
    </row>
    <row r="46" spans="1:11" hidden="1">
      <c r="A46" s="5" t="s">
        <v>442</v>
      </c>
      <c r="B46" s="5" t="s">
        <v>526</v>
      </c>
      <c r="C46" s="5" t="str">
        <f>VLOOKUP([Field],Columns[],2,0)&amp;"("</f>
        <v>unsignedInteger(</v>
      </c>
      <c r="D46" s="5" t="str">
        <f>IF(VLOOKUP([Field],Columns[],3,0)&lt;&gt;"","'"&amp;VLOOKUP([Field],Columns[],3,0)&amp;"'","")</f>
        <v>'group03'</v>
      </c>
      <c r="E46" s="8" t="str">
        <f>IF(VLOOKUP([Field],Columns[],4,0)&lt;&gt;0,", "&amp;VLOOKUP([Field],Columns[],4,0)&amp;")",")")</f>
        <v>)</v>
      </c>
      <c r="F46" s="5" t="str">
        <f>IF(VLOOKUP([Field],Columns[],5,0)=0,"","-&gt;"&amp;VLOOKUP([Field],Columns[],5,0))</f>
        <v>-&gt;nullable()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$table-&gt;unsignedInteger('group03')-&gt;nullable()-&gt;index();</v>
      </c>
    </row>
    <row r="47" spans="1:11" hidden="1">
      <c r="A47" s="5" t="s">
        <v>442</v>
      </c>
      <c r="B47" s="5" t="s">
        <v>527</v>
      </c>
      <c r="C47" s="5" t="str">
        <f>VLOOKUP([Field],Columns[],2,0)&amp;"("</f>
        <v>unsignedInteger(</v>
      </c>
      <c r="D47" s="5" t="str">
        <f>IF(VLOOKUP([Field],Columns[],3,0)&lt;&gt;"","'"&amp;VLOOKUP([Field],Columns[],3,0)&amp;"'","")</f>
        <v>'group04'</v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>-&gt;nullable()</v>
      </c>
      <c r="G47" s="5" t="str">
        <f>IF(VLOOKUP([Field],Columns[],6,0)=0,"","-&gt;"&amp;VLOOKUP([Field],Columns[],6,0))</f>
        <v>-&gt;index()</v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$table-&gt;unsignedInteger('group04')-&gt;nullable()-&gt;index();</v>
      </c>
    </row>
    <row r="48" spans="1:11" hidden="1">
      <c r="A48" s="5" t="s">
        <v>442</v>
      </c>
      <c r="B48" s="5" t="s">
        <v>528</v>
      </c>
      <c r="C48" s="5" t="str">
        <f>VLOOKUP([Field],Columns[],2,0)&amp;"("</f>
        <v>unsignedInteger(</v>
      </c>
      <c r="D48" s="5" t="str">
        <f>IF(VLOOKUP([Field],Columns[],3,0)&lt;&gt;"","'"&amp;VLOOKUP([Field],Columns[],3,0)&amp;"'","")</f>
        <v>'group05'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-&gt;nullable()</v>
      </c>
      <c r="G48" s="5" t="str">
        <f>IF(VLOOKUP([Field],Columns[],6,0)=0,"","-&gt;"&amp;VLOOKUP([Field],Columns[],6,0))</f>
        <v>-&gt;index()</v>
      </c>
      <c r="H48" s="5" t="str">
        <f>IF(VLOOKUP([Field],Columns[],7,0)=0,"","-&gt;"&amp;VLOOKUP([Field],Columns[],7,0))</f>
        <v/>
      </c>
      <c r="I48" s="5" t="str">
        <f>IF(VLOOKUP([Field],Columns[],8,0)=0,"","-&gt;"&amp;VLOOKUP([Field],Columns[],8,0))</f>
        <v/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$table-&gt;unsignedInteger('group05')-&gt;nullable()-&gt;index();</v>
      </c>
    </row>
    <row r="49" spans="1:11" hidden="1">
      <c r="A49" s="5" t="s">
        <v>442</v>
      </c>
      <c r="B49" s="5" t="s">
        <v>529</v>
      </c>
      <c r="C49" s="5" t="str">
        <f>VLOOKUP([Field],Columns[],2,0)&amp;"("</f>
        <v>unsignedInteger(</v>
      </c>
      <c r="D49" s="5" t="str">
        <f>IF(VLOOKUP([Field],Columns[],3,0)&lt;&gt;"","'"&amp;VLOOKUP([Field],Columns[],3,0)&amp;"'","")</f>
        <v>'group06'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-&gt;nullable()</v>
      </c>
      <c r="G49" s="5" t="str">
        <f>IF(VLOOKUP([Field],Columns[],6,0)=0,"","-&gt;"&amp;VLOOKUP([Field],Columns[],6,0))</f>
        <v>-&gt;index()</v>
      </c>
      <c r="H49" s="5" t="str">
        <f>IF(VLOOKUP([Field],Columns[],7,0)=0,"","-&gt;"&amp;VLOOKUP([Field],Columns[],7,0))</f>
        <v/>
      </c>
      <c r="I49" s="5" t="str">
        <f>IF(VLOOKUP([Field],Columns[],8,0)=0,"","-&gt;"&amp;VLOOKUP([Field],Columns[],8,0))</f>
        <v/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$table-&gt;unsignedInteger('group06')-&gt;nullable()-&gt;index();</v>
      </c>
    </row>
    <row r="50" spans="1:11" hidden="1">
      <c r="A50" s="5" t="s">
        <v>442</v>
      </c>
      <c r="B50" s="5" t="s">
        <v>530</v>
      </c>
      <c r="C50" s="5" t="str">
        <f>VLOOKUP([Field],Columns[],2,0)&amp;"("</f>
        <v>unsignedInteger(</v>
      </c>
      <c r="D50" s="5" t="str">
        <f>IF(VLOOKUP([Field],Columns[],3,0)&lt;&gt;"","'"&amp;VLOOKUP([Field],Columns[],3,0)&amp;"'","")</f>
        <v>'group07'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-&gt;nullable()</v>
      </c>
      <c r="G50" s="5" t="str">
        <f>IF(VLOOKUP([Field],Columns[],6,0)=0,"","-&gt;"&amp;VLOOKUP([Field],Columns[],6,0))</f>
        <v>-&gt;index()</v>
      </c>
      <c r="H50" s="5" t="str">
        <f>IF(VLOOKUP([Field],Columns[],7,0)=0,"","-&gt;"&amp;VLOOKUP([Field],Columns[],7,0))</f>
        <v/>
      </c>
      <c r="I50" s="5" t="str">
        <f>IF(VLOOKUP([Field],Columns[],8,0)=0,"","-&gt;"&amp;VLOOKUP([Field],Columns[],8,0))</f>
        <v/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$table-&gt;unsignedInteger('group07')-&gt;nullable()-&gt;index();</v>
      </c>
    </row>
    <row r="51" spans="1:11" hidden="1">
      <c r="A51" s="5" t="s">
        <v>442</v>
      </c>
      <c r="B51" s="5" t="s">
        <v>531</v>
      </c>
      <c r="C51" s="5" t="str">
        <f>VLOOKUP([Field],Columns[],2,0)&amp;"("</f>
        <v>unsignedInteger(</v>
      </c>
      <c r="D51" s="5" t="str">
        <f>IF(VLOOKUP([Field],Columns[],3,0)&lt;&gt;"","'"&amp;VLOOKUP([Field],Columns[],3,0)&amp;"'","")</f>
        <v>'group08'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-&gt;nullable()</v>
      </c>
      <c r="G51" s="5" t="str">
        <f>IF(VLOOKUP([Field],Columns[],6,0)=0,"","-&gt;"&amp;VLOOKUP([Field],Columns[],6,0))</f>
        <v>-&gt;index()</v>
      </c>
      <c r="H51" s="5" t="str">
        <f>IF(VLOOKUP([Field],Columns[],7,0)=0,"","-&gt;"&amp;VLOOKUP([Field],Columns[],7,0))</f>
        <v/>
      </c>
      <c r="I51" s="5" t="str">
        <f>IF(VLOOKUP([Field],Columns[],8,0)=0,"","-&gt;"&amp;VLOOKUP([Field],Columns[],8,0))</f>
        <v/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$table-&gt;unsignedInteger('group08')-&gt;nullable()-&gt;index();</v>
      </c>
    </row>
    <row r="52" spans="1:11" hidden="1">
      <c r="A52" s="5" t="s">
        <v>442</v>
      </c>
      <c r="B52" s="5" t="s">
        <v>532</v>
      </c>
      <c r="C52" s="5" t="str">
        <f>VLOOKUP([Field],Columns[],2,0)&amp;"("</f>
        <v>unsignedInteger(</v>
      </c>
      <c r="D52" s="5" t="str">
        <f>IF(VLOOKUP([Field],Columns[],3,0)&lt;&gt;"","'"&amp;VLOOKUP([Field],Columns[],3,0)&amp;"'","")</f>
        <v>'group09'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-&gt;nullable()</v>
      </c>
      <c r="G52" s="5" t="str">
        <f>IF(VLOOKUP([Field],Columns[],6,0)=0,"","-&gt;"&amp;VLOOKUP([Field],Columns[],6,0))</f>
        <v>-&gt;index()</v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$table-&gt;unsignedInteger('group09')-&gt;nullable()-&gt;index();</v>
      </c>
    </row>
    <row r="53" spans="1:11" hidden="1">
      <c r="A53" s="5" t="s">
        <v>442</v>
      </c>
      <c r="B53" s="5" t="s">
        <v>524</v>
      </c>
      <c r="C53" s="5" t="str">
        <f>VLOOKUP([Field],Columns[],2,0)&amp;"("</f>
        <v>unsignedInteger(</v>
      </c>
      <c r="D53" s="5" t="str">
        <f>IF(VLOOKUP([Field],Columns[],3,0)&lt;&gt;"","'"&amp;VLOOKUP([Field],Columns[],3,0)&amp;"'","")</f>
        <v>'group10'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-&gt;nullable()</v>
      </c>
      <c r="G53" s="5" t="str">
        <f>IF(VLOOKUP([Field],Columns[],6,0)=0,"","-&gt;"&amp;VLOOKUP([Field],Columns[],6,0))</f>
        <v>-&gt;index()</v>
      </c>
      <c r="H53" s="5" t="str">
        <f>IF(VLOOKUP([Field],Columns[],7,0)=0,"","-&gt;"&amp;VLOOKUP([Field],Columns[],7,0))</f>
        <v/>
      </c>
      <c r="I53" s="5" t="str">
        <f>IF(VLOOKUP([Field],Columns[],8,0)=0,"","-&gt;"&amp;VLOOKUP([Field],Columns[],8,0))</f>
        <v/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$table-&gt;unsignedInteger('group10')-&gt;nullable()-&gt;index();</v>
      </c>
    </row>
    <row r="54" spans="1:11" hidden="1">
      <c r="A54" s="5" t="s">
        <v>442</v>
      </c>
      <c r="B54" s="5" t="s">
        <v>453</v>
      </c>
      <c r="C54" s="5" t="str">
        <f>VLOOKUP([Field],Columns[],2,0)&amp;"("</f>
        <v>enum(</v>
      </c>
      <c r="D54" s="5" t="str">
        <f>IF(VLOOKUP([Field],Columns[],3,0)&lt;&gt;"","'"&amp;VLOOKUP([Field],Columns[],3,0)&amp;"'","")</f>
        <v>'status'</v>
      </c>
      <c r="E54" s="8" t="str">
        <f>IF(VLOOKUP([Field],Columns[],4,0)&lt;&gt;0,", "&amp;VLOOKUP([Field],Columns[],4,0)&amp;")",")")</f>
        <v>, ['Active','Inactive'])</v>
      </c>
      <c r="F54" s="5" t="str">
        <f>IF(VLOOKUP([Field],Columns[],5,0)=0,"","-&gt;"&amp;VLOOKUP([Field],Columns[],5,0))</f>
        <v>-&gt;default('Active')</v>
      </c>
      <c r="G54" s="5" t="str">
        <f>IF(VLOOKUP([Field],Columns[],6,0)=0,"","-&gt;"&amp;VLOOKUP([Field],Columns[],6,0))</f>
        <v>-&gt;index()</v>
      </c>
      <c r="H54" s="5" t="str">
        <f>IF(VLOOKUP([Field],Columns[],7,0)=0,"","-&gt;"&amp;VLOOKUP([Field],Columns[],7,0))</f>
        <v/>
      </c>
      <c r="I54" s="5" t="str">
        <f>IF(VLOOKUP([Field],Columns[],8,0)=0,"","-&gt;"&amp;VLOOKUP([Field],Columns[],8,0))</f>
        <v/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5" spans="1:11" hidden="1">
      <c r="A55" s="5" t="s">
        <v>442</v>
      </c>
      <c r="B55" s="5" t="s">
        <v>518</v>
      </c>
      <c r="C55" s="5" t="str">
        <f>VLOOKUP([Field],Columns[],2,0)&amp;"("</f>
        <v>audit(</v>
      </c>
      <c r="D55" s="5" t="str">
        <f>IF(VLOOKUP([Field],Columns[],3,0)&lt;&gt;"","'"&amp;VLOOKUP([Field],Columns[],3,0)&amp;"'","")</f>
        <v/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/>
      </c>
      <c r="G55" s="5" t="str">
        <f>IF(VLOOKUP([Field],Columns[],6,0)=0,"","-&gt;"&amp;VLOOKUP([Field],Columns[],6,0))</f>
        <v/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$table-&gt;audit();</v>
      </c>
    </row>
    <row r="56" spans="1:11" hidden="1">
      <c r="A56" s="5" t="s">
        <v>442</v>
      </c>
      <c r="B56" s="5" t="s">
        <v>533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'group01'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57" spans="1:11" hidden="1">
      <c r="A57" s="5" t="s">
        <v>442</v>
      </c>
      <c r="B57" s="5" t="s">
        <v>534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'group02'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8" spans="1:11" hidden="1">
      <c r="A58" s="5" t="s">
        <v>442</v>
      </c>
      <c r="B58" s="5" t="s">
        <v>535</v>
      </c>
      <c r="C58" s="5" t="str">
        <f>VLOOKUP([Field],Columns[],2,0)&amp;"("</f>
        <v>foreign(</v>
      </c>
      <c r="D58" s="5" t="str">
        <f>IF(VLOOKUP([Field],Columns[],3,0)&lt;&gt;"","'"&amp;VLOOKUP([Field],Columns[],3,0)&amp;"'","")</f>
        <v>'group03'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>-&gt;references('id')</v>
      </c>
      <c r="G58" s="5" t="str">
        <f>IF(VLOOKUP([Field],Columns[],6,0)=0,"","-&gt;"&amp;VLOOKUP([Field],Columns[],6,0))</f>
        <v>-&gt;on('group_details')</v>
      </c>
      <c r="H58" s="5" t="str">
        <f>IF(VLOOKUP([Field],Columns[],7,0)=0,"","-&gt;"&amp;VLOOKUP([Field],Columns[],7,0))</f>
        <v>-&gt;onUpdate('cascade')</v>
      </c>
      <c r="I58" s="5" t="str">
        <f>IF(VLOOKUP([Field],Columns[],8,0)=0,"","-&gt;"&amp;VLOOKUP([Field],Columns[],8,0))</f>
        <v>-&gt;onDelete('set null')</v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9" spans="1:11" hidden="1">
      <c r="A59" s="5" t="s">
        <v>442</v>
      </c>
      <c r="B59" s="5" t="s">
        <v>536</v>
      </c>
      <c r="C59" s="5" t="str">
        <f>VLOOKUP([Field],Columns[],2,0)&amp;"("</f>
        <v>foreign(</v>
      </c>
      <c r="D59" s="5" t="str">
        <f>IF(VLOOKUP([Field],Columns[],3,0)&lt;&gt;"","'"&amp;VLOOKUP([Field],Columns[],3,0)&amp;"'","")</f>
        <v>'group04'</v>
      </c>
      <c r="E59" s="8" t="str">
        <f>IF(VLOOKUP([Field],Columns[],4,0)&lt;&gt;0,", "&amp;VLOOKUP([Field],Columns[],4,0)&amp;")",")")</f>
        <v>)</v>
      </c>
      <c r="F59" s="5" t="str">
        <f>IF(VLOOKUP([Field],Columns[],5,0)=0,"","-&gt;"&amp;VLOOKUP([Field],Columns[],5,0))</f>
        <v>-&gt;references('id')</v>
      </c>
      <c r="G59" s="5" t="str">
        <f>IF(VLOOKUP([Field],Columns[],6,0)=0,"","-&gt;"&amp;VLOOKUP([Field],Columns[],6,0))</f>
        <v>-&gt;on('group_details')</v>
      </c>
      <c r="H59" s="5" t="str">
        <f>IF(VLOOKUP([Field],Columns[],7,0)=0,"","-&gt;"&amp;VLOOKUP([Field],Columns[],7,0))</f>
        <v>-&gt;onUpdate('cascade')</v>
      </c>
      <c r="I59" s="5" t="str">
        <f>IF(VLOOKUP([Field],Columns[],8,0)=0,"","-&gt;"&amp;VLOOKUP([Field],Columns[],8,0))</f>
        <v>-&gt;onDelete('set null')</v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60" spans="1:11" hidden="1">
      <c r="A60" s="5" t="s">
        <v>442</v>
      </c>
      <c r="B60" s="5" t="s">
        <v>537</v>
      </c>
      <c r="C60" s="5" t="str">
        <f>VLOOKUP([Field],Columns[],2,0)&amp;"("</f>
        <v>foreign(</v>
      </c>
      <c r="D60" s="5" t="str">
        <f>IF(VLOOKUP([Field],Columns[],3,0)&lt;&gt;"","'"&amp;VLOOKUP([Field],Columns[],3,0)&amp;"'","")</f>
        <v>'group05'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-&gt;references('id')</v>
      </c>
      <c r="G60" s="5" t="str">
        <f>IF(VLOOKUP([Field],Columns[],6,0)=0,"","-&gt;"&amp;VLOOKUP([Field],Columns[],6,0))</f>
        <v>-&gt;on('group_details')</v>
      </c>
      <c r="H60" s="5" t="str">
        <f>IF(VLOOKUP([Field],Columns[],7,0)=0,"","-&gt;"&amp;VLOOKUP([Field],Columns[],7,0))</f>
        <v>-&gt;onUpdate('cascade')</v>
      </c>
      <c r="I60" s="5" t="str">
        <f>IF(VLOOKUP([Field],Columns[],8,0)=0,"","-&gt;"&amp;VLOOKUP([Field],Columns[],8,0))</f>
        <v>-&gt;onDelete('set null')</v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61" spans="1:11" s="20" customFormat="1" hidden="1">
      <c r="A61" s="5" t="s">
        <v>442</v>
      </c>
      <c r="B61" s="5" t="s">
        <v>538</v>
      </c>
      <c r="C61" s="5" t="str">
        <f>VLOOKUP([Field],Columns[],2,0)&amp;"("</f>
        <v>foreign(</v>
      </c>
      <c r="D61" s="5" t="str">
        <f>IF(VLOOKUP([Field],Columns[],3,0)&lt;&gt;"","'"&amp;VLOOKUP([Field],Columns[],3,0)&amp;"'","")</f>
        <v>'group06'</v>
      </c>
      <c r="E61" s="8" t="str">
        <f>IF(VLOOKUP([Field],Columns[],4,0)&lt;&gt;0,", "&amp;VLOOKUP([Field],Columns[],4,0)&amp;")",")")</f>
        <v>)</v>
      </c>
      <c r="F61" s="5" t="str">
        <f>IF(VLOOKUP([Field],Columns[],5,0)=0,"","-&gt;"&amp;VLOOKUP([Field],Columns[],5,0))</f>
        <v>-&gt;references('id')</v>
      </c>
      <c r="G61" s="5" t="str">
        <f>IF(VLOOKUP([Field],Columns[],6,0)=0,"","-&gt;"&amp;VLOOKUP([Field],Columns[],6,0))</f>
        <v>-&gt;on('group_details')</v>
      </c>
      <c r="H61" s="5" t="str">
        <f>IF(VLOOKUP([Field],Columns[],7,0)=0,"","-&gt;"&amp;VLOOKUP([Field],Columns[],7,0))</f>
        <v>-&gt;onUpdate('cascade')</v>
      </c>
      <c r="I61" s="5" t="str">
        <f>IF(VLOOKUP([Field],Columns[],8,0)=0,"","-&gt;"&amp;VLOOKUP([Field],Columns[],8,0))</f>
        <v>-&gt;onDelete('set null')</v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62" spans="1:11" hidden="1">
      <c r="A62" s="5" t="s">
        <v>442</v>
      </c>
      <c r="B62" s="5" t="s">
        <v>539</v>
      </c>
      <c r="C62" s="5" t="str">
        <f>VLOOKUP([Field],Columns[],2,0)&amp;"("</f>
        <v>foreign(</v>
      </c>
      <c r="D62" s="5" t="str">
        <f>IF(VLOOKUP([Field],Columns[],3,0)&lt;&gt;"","'"&amp;VLOOKUP([Field],Columns[],3,0)&amp;"'","")</f>
        <v>'group07'</v>
      </c>
      <c r="E62" s="8" t="str">
        <f>IF(VLOOKUP([Field],Columns[],4,0)&lt;&gt;0,", "&amp;VLOOKUP([Field],Columns[],4,0)&amp;")",")")</f>
        <v>)</v>
      </c>
      <c r="F62" s="5" t="str">
        <f>IF(VLOOKUP([Field],Columns[],5,0)=0,"","-&gt;"&amp;VLOOKUP([Field],Columns[],5,0))</f>
        <v>-&gt;references('id')</v>
      </c>
      <c r="G62" s="5" t="str">
        <f>IF(VLOOKUP([Field],Columns[],6,0)=0,"","-&gt;"&amp;VLOOKUP([Field],Columns[],6,0))</f>
        <v>-&gt;on('group_details')</v>
      </c>
      <c r="H62" s="5" t="str">
        <f>IF(VLOOKUP([Field],Columns[],7,0)=0,"","-&gt;"&amp;VLOOKUP([Field],Columns[],7,0))</f>
        <v>-&gt;onUpdate('cascade')</v>
      </c>
      <c r="I62" s="5" t="str">
        <f>IF(VLOOKUP([Field],Columns[],8,0)=0,"","-&gt;"&amp;VLOOKUP([Field],Columns[],8,0))</f>
        <v>-&gt;onDelete('set null')</v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63" spans="1:11" hidden="1">
      <c r="A63" s="5" t="s">
        <v>442</v>
      </c>
      <c r="B63" s="5" t="s">
        <v>540</v>
      </c>
      <c r="C63" s="5" t="str">
        <f>VLOOKUP([Field],Columns[],2,0)&amp;"("</f>
        <v>foreign(</v>
      </c>
      <c r="D63" s="5" t="str">
        <f>IF(VLOOKUP([Field],Columns[],3,0)&lt;&gt;"","'"&amp;VLOOKUP([Field],Columns[],3,0)&amp;"'","")</f>
        <v>'group08'</v>
      </c>
      <c r="E63" s="8" t="str">
        <f>IF(VLOOKUP([Field],Columns[],4,0)&lt;&gt;0,", "&amp;VLOOKUP([Field],Columns[],4,0)&amp;")",")")</f>
        <v>)</v>
      </c>
      <c r="F63" s="5" t="str">
        <f>IF(VLOOKUP([Field],Columns[],5,0)=0,"","-&gt;"&amp;VLOOKUP([Field],Columns[],5,0))</f>
        <v>-&gt;references('id')</v>
      </c>
      <c r="G63" s="5" t="str">
        <f>IF(VLOOKUP([Field],Columns[],6,0)=0,"","-&gt;"&amp;VLOOKUP([Field],Columns[],6,0))</f>
        <v>-&gt;on('group_details')</v>
      </c>
      <c r="H63" s="5" t="str">
        <f>IF(VLOOKUP([Field],Columns[],7,0)=0,"","-&gt;"&amp;VLOOKUP([Field],Columns[],7,0))</f>
        <v>-&gt;onUpdate('cascade')</v>
      </c>
      <c r="I63" s="5" t="str">
        <f>IF(VLOOKUP([Field],Columns[],8,0)=0,"","-&gt;"&amp;VLOOKUP([Field],Columns[],8,0))</f>
        <v>-&gt;onDelete('set null')</v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64" spans="1:11" hidden="1">
      <c r="A64" s="5" t="s">
        <v>442</v>
      </c>
      <c r="B64" s="5" t="s">
        <v>541</v>
      </c>
      <c r="C64" s="5" t="str">
        <f>VLOOKUP([Field],Columns[],2,0)&amp;"("</f>
        <v>foreign(</v>
      </c>
      <c r="D64" s="5" t="str">
        <f>IF(VLOOKUP([Field],Columns[],3,0)&lt;&gt;"","'"&amp;VLOOKUP([Field],Columns[],3,0)&amp;"'","")</f>
        <v>'group09'</v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>-&gt;references('id')</v>
      </c>
      <c r="G64" s="5" t="str">
        <f>IF(VLOOKUP([Field],Columns[],6,0)=0,"","-&gt;"&amp;VLOOKUP([Field],Columns[],6,0))</f>
        <v>-&gt;on('group_details')</v>
      </c>
      <c r="H64" s="5" t="str">
        <f>IF(VLOOKUP([Field],Columns[],7,0)=0,"","-&gt;"&amp;VLOOKUP([Field],Columns[],7,0))</f>
        <v>-&gt;onUpdate('cascade')</v>
      </c>
      <c r="I64" s="5" t="str">
        <f>IF(VLOOKUP([Field],Columns[],8,0)=0,"","-&gt;"&amp;VLOOKUP([Field],Columns[],8,0))</f>
        <v>-&gt;onDelete('set null')</v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65" spans="1:11" hidden="1">
      <c r="A65" s="5" t="s">
        <v>442</v>
      </c>
      <c r="B65" s="5" t="s">
        <v>542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'group10'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-&gt;on('group_details')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-&gt;onDelete('set null')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66" spans="1:11" hidden="1">
      <c r="A66" s="5" t="s">
        <v>443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 hidden="1">
      <c r="A67" s="5" t="s">
        <v>443</v>
      </c>
      <c r="B67" s="5" t="s">
        <v>454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-&gt;nullable()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64)-&gt;nullable();</v>
      </c>
    </row>
    <row r="68" spans="1:11" hidden="1">
      <c r="A68" s="5" t="s">
        <v>443</v>
      </c>
      <c r="B68" s="5" t="s">
        <v>467</v>
      </c>
      <c r="C68" s="5" t="str">
        <f>VLOOKUP([Field],Columns[],2,0)&amp;"("</f>
        <v>unsignedInteger(</v>
      </c>
      <c r="D68" s="5" t="str">
        <f>IF(VLOOKUP([Field],Columns[],3,0)&lt;&gt;"","'"&amp;VLOOKUP([Field],Columns[],3,0)&amp;"'","")</f>
        <v>'product'</v>
      </c>
      <c r="E68" s="8" t="str">
        <f>IF(VLOOKUP([Field],Columns[],4,0)&lt;&gt;0,", "&amp;VLOOKUP([Field],Columns[],4,0)&amp;")",")")</f>
        <v>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>-&gt;index()</v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$table-&gt;unsignedInteger('product')-&gt;nullable()-&gt;index();</v>
      </c>
    </row>
    <row r="69" spans="1:11" hidden="1">
      <c r="A69" s="5" t="s">
        <v>443</v>
      </c>
      <c r="B69" s="5" t="s">
        <v>468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'image'</v>
      </c>
      <c r="E69" s="8" t="str">
        <f>IF(VLOOKUP([Field],Columns[],4,0)&lt;&gt;0,", "&amp;VLOOKUP([Field],Columns[],4,0)&amp;")",")")</f>
        <v>, 128)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$table-&gt;string('image', 128)-&gt;nullable();</v>
      </c>
    </row>
    <row r="70" spans="1:11" hidden="1">
      <c r="A70" s="5" t="s">
        <v>443</v>
      </c>
      <c r="B70" s="5" t="s">
        <v>469</v>
      </c>
      <c r="C70" s="5" t="str">
        <f>VLOOKUP([Field],Columns[],2,0)&amp;"("</f>
        <v>enum(</v>
      </c>
      <c r="D70" s="5" t="str">
        <f>IF(VLOOKUP([Field],Columns[],3,0)&lt;&gt;"","'"&amp;VLOOKUP([Field],Columns[],3,0)&amp;"'","")</f>
        <v>'default'</v>
      </c>
      <c r="E70" s="8" t="str">
        <f>IF(VLOOKUP([Field],Columns[],4,0)&lt;&gt;0,", "&amp;VLOOKUP([Field],Columns[],4,0)&amp;")",")")</f>
        <v>, ['Yes','No'])</v>
      </c>
      <c r="F70" s="5" t="str">
        <f>IF(VLOOKUP([Field],Columns[],5,0)=0,"","-&gt;"&amp;VLOOKUP([Field],Columns[],5,0))</f>
        <v>-&gt;default('Yes')</v>
      </c>
      <c r="G70" s="5" t="str">
        <f>IF(VLOOKUP([Field],Columns[],6,0)=0,"","-&gt;"&amp;VLOOKUP([Field],Columns[],6,0))</f>
        <v>-&gt;index()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$table-&gt;enum('default', ['Yes','No'])-&gt;default('Yes')-&gt;index();</v>
      </c>
    </row>
    <row r="71" spans="1:11" hidden="1">
      <c r="A71" s="5" t="s">
        <v>443</v>
      </c>
      <c r="B71" s="5" t="s">
        <v>453</v>
      </c>
      <c r="C71" s="5" t="str">
        <f>VLOOKUP([Field],Columns[],2,0)&amp;"("</f>
        <v>enum(</v>
      </c>
      <c r="D71" s="5" t="str">
        <f>IF(VLOOKUP([Field],Columns[],3,0)&lt;&gt;"","'"&amp;VLOOKUP([Field],Columns[],3,0)&amp;"'","")</f>
        <v>'status'</v>
      </c>
      <c r="E71" s="8" t="str">
        <f>IF(VLOOKUP([Field],Columns[],4,0)&lt;&gt;0,", "&amp;VLOOKUP([Field],Columns[],4,0)&amp;")",")")</f>
        <v>, ['Active','Inactive'])</v>
      </c>
      <c r="F71" s="5" t="str">
        <f>IF(VLOOKUP([Field],Columns[],5,0)=0,"","-&gt;"&amp;VLOOKUP([Field],Columns[],5,0))</f>
        <v>-&gt;default('Active')</v>
      </c>
      <c r="G71" s="5" t="str">
        <f>IF(VLOOKUP([Field],Columns[],6,0)=0,"","-&gt;"&amp;VLOOKUP([Field],Columns[],6,0))</f>
        <v>-&gt;index()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2" spans="1:11" hidden="1">
      <c r="A72" s="5" t="s">
        <v>443</v>
      </c>
      <c r="B72" s="5" t="s">
        <v>518</v>
      </c>
      <c r="C72" s="5" t="str">
        <f>VLOOKUP([Field],Columns[],2,0)&amp;"("</f>
        <v>audit(</v>
      </c>
      <c r="D72" s="5" t="str">
        <f>IF(VLOOKUP([Field],Columns[],3,0)&lt;&gt;"","'"&amp;VLOOKUP([Field],Columns[],3,0)&amp;"'","")</f>
        <v/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/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$table-&gt;audit();</v>
      </c>
    </row>
    <row r="73" spans="1:11" hidden="1">
      <c r="A73" s="5" t="s">
        <v>443</v>
      </c>
      <c r="B73" s="5" t="s">
        <v>470</v>
      </c>
      <c r="C73" s="5" t="str">
        <f>VLOOKUP([Field],Columns[],2,0)&amp;"("</f>
        <v>foreign(</v>
      </c>
      <c r="D73" s="5" t="str">
        <f>IF(VLOOKUP([Field],Columns[],3,0)&lt;&gt;"","'"&amp;VLOOKUP([Field],Columns[],3,0)&amp;"'","")</f>
        <v>'product'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-&gt;references('id')</v>
      </c>
      <c r="G73" s="5" t="str">
        <f>IF(VLOOKUP([Field],Columns[],6,0)=0,"","-&gt;"&amp;VLOOKUP([Field],Columns[],6,0))</f>
        <v>-&gt;on('products')</v>
      </c>
      <c r="H73" s="5" t="str">
        <f>IF(VLOOKUP([Field],Columns[],7,0)=0,"","-&gt;"&amp;VLOOKUP([Field],Columns[],7,0))</f>
        <v>-&gt;onUpdate('cascade')</v>
      </c>
      <c r="I73" s="5" t="str">
        <f>IF(VLOOKUP([Field],Columns[],8,0)=0,"","-&gt;"&amp;VLOOKUP([Field],Columns[],8,0))</f>
        <v>-&gt;onDelete('cascade')</v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4" spans="1:11" hidden="1">
      <c r="A74" s="5" t="s">
        <v>444</v>
      </c>
      <c r="B74" s="5" t="s">
        <v>21</v>
      </c>
      <c r="C74" s="5" t="str">
        <f>VLOOKUP([Field],Columns[],2,0)&amp;"("</f>
        <v>increments(</v>
      </c>
      <c r="D74" s="5" t="str">
        <f>IF(VLOOKUP([Field],Columns[],3,0)&lt;&gt;"","'"&amp;VLOOKUP([Field],Columns[],3,0)&amp;"'","")</f>
        <v>'id'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/>
      </c>
      <c r="G74" s="5" t="str">
        <f>IF(VLOOKUP([Field],Columns[],6,0)=0,"","-&gt;"&amp;VLOOKUP([Field],Columns[],6,0))</f>
        <v/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$table-&gt;increments('id');</v>
      </c>
    </row>
    <row r="75" spans="1:11" hidden="1">
      <c r="A75" s="5" t="s">
        <v>444</v>
      </c>
      <c r="B75" s="5" t="s">
        <v>26</v>
      </c>
      <c r="C75" s="5" t="str">
        <f>VLOOKUP([Field],Columns[],2,0)&amp;"("</f>
        <v>string(</v>
      </c>
      <c r="D75" s="5" t="str">
        <f>IF(VLOOKUP([Field],Columns[],3,0)&lt;&gt;"","'"&amp;VLOOKUP([Field],Columns[],3,0)&amp;"'","")</f>
        <v>'name'</v>
      </c>
      <c r="E75" s="8" t="str">
        <f>IF(VLOOKUP([Field],Columns[],4,0)&lt;&gt;0,", "&amp;VLOOKUP([Field],Columns[],4,0)&amp;")",")")</f>
        <v>, 64)</v>
      </c>
      <c r="F75" s="5" t="str">
        <f>IF(VLOOKUP([Field],Columns[],5,0)=0,"","-&gt;"&amp;VLOOKUP([Field],Columns[],5,0))</f>
        <v>-&gt;index()</v>
      </c>
      <c r="G75" s="5" t="str">
        <f>IF(VLOOKUP([Field],Columns[],6,0)=0,"","-&gt;"&amp;VLOOKUP([Field],Columns[],6,0))</f>
        <v/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$table-&gt;string('name', 64)-&gt;index();</v>
      </c>
    </row>
    <row r="76" spans="1:11" hidden="1">
      <c r="A76" s="5" t="s">
        <v>444</v>
      </c>
      <c r="B76" s="5" t="s">
        <v>101</v>
      </c>
      <c r="C76" s="5" t="str">
        <f>VLOOKUP([Field],Columns[],2,0)&amp;"("</f>
        <v>string(</v>
      </c>
      <c r="D76" s="5" t="str">
        <f>IF(VLOOKUP([Field],Columns[],3,0)&lt;&gt;"","'"&amp;VLOOKUP([Field],Columns[],3,0)&amp;"'","")</f>
        <v>'email'</v>
      </c>
      <c r="E76" s="8" t="str">
        <f>IF(VLOOKUP([Field],Columns[],4,0)&lt;&gt;0,", "&amp;VLOOKUP([Field],Columns[],4,0)&amp;")",")")</f>
        <v>, 256)</v>
      </c>
      <c r="F76" s="5" t="str">
        <f>IF(VLOOKUP([Field],Columns[],5,0)=0,"","-&gt;"&amp;VLOOKUP([Field],Columns[],5,0))</f>
        <v>-&gt;nullable()</v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$table-&gt;string('email', 256)-&gt;nullable();</v>
      </c>
    </row>
    <row r="77" spans="1:11" hidden="1">
      <c r="A77" s="5" t="s">
        <v>444</v>
      </c>
      <c r="B77" s="5" t="s">
        <v>471</v>
      </c>
      <c r="C77" s="5" t="str">
        <f>VLOOKUP([Field],Columns[],2,0)&amp;"("</f>
        <v>string(</v>
      </c>
      <c r="D77" s="5" t="str">
        <f>IF(VLOOKUP([Field],Columns[],3,0)&lt;&gt;"","'"&amp;VLOOKUP([Field],Columns[],3,0)&amp;"'","")</f>
        <v>'number'</v>
      </c>
      <c r="E77" s="8" t="str">
        <f>IF(VLOOKUP([Field],Columns[],4,0)&lt;&gt;0,", "&amp;VLOOKUP([Field],Columns[],4,0)&amp;")",")")</f>
        <v>, 64)</v>
      </c>
      <c r="F77" s="5" t="str">
        <f>IF(VLOOKUP([Field],Columns[],5,0)=0,"","-&gt;"&amp;VLOOKUP([Field],Columns[],5,0))</f>
        <v>-&gt;nullable()</v>
      </c>
      <c r="G77" s="5" t="str">
        <f>IF(VLOOKUP([Field],Columns[],6,0)=0,"","-&gt;"&amp;VLOOKUP([Field],Columns[],6,0))</f>
        <v/>
      </c>
      <c r="H77" s="5" t="str">
        <f>IF(VLOOKUP([Field],Columns[],7,0)=0,"","-&gt;"&amp;VLOOKUP([Field],Columns[],7,0))</f>
        <v/>
      </c>
      <c r="I77" s="5" t="str">
        <f>IF(VLOOKUP([Field],Columns[],8,0)=0,"","-&gt;"&amp;VLOOKUP([Field],Columns[],8,0))</f>
        <v/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$table-&gt;string('number', 64)-&gt;nullable();</v>
      </c>
    </row>
    <row r="78" spans="1:11" hidden="1">
      <c r="A78" s="5" t="s">
        <v>444</v>
      </c>
      <c r="B78" s="5" t="s">
        <v>518</v>
      </c>
      <c r="C78" s="5" t="str">
        <f>VLOOKUP([Field],Columns[],2,0)&amp;"("</f>
        <v>audit(</v>
      </c>
      <c r="D78" s="5" t="str">
        <f>IF(VLOOKUP([Field],Columns[],3,0)&lt;&gt;"","'"&amp;VLOOKUP([Field],Columns[],3,0)&amp;"'","")</f>
        <v/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$table-&gt;audit();</v>
      </c>
    </row>
    <row r="79" spans="1:11" hidden="1">
      <c r="A79" s="5" t="s">
        <v>445</v>
      </c>
      <c r="B79" s="5" t="s">
        <v>21</v>
      </c>
      <c r="C79" s="5" t="str">
        <f>VLOOKUP([Field],Columns[],2,0)&amp;"("</f>
        <v>increments(</v>
      </c>
      <c r="D79" s="5" t="str">
        <f>IF(VLOOKUP([Field],Columns[],3,0)&lt;&gt;"","'"&amp;VLOOKUP([Field],Columns[],3,0)&amp;"'","")</f>
        <v>'id'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/>
      </c>
      <c r="G79" s="5" t="str">
        <f>IF(VLOOKUP([Field],Columns[],6,0)=0,"","-&gt;"&amp;VLOOKUP([Field],Columns[],6,0))</f>
        <v/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$table-&gt;increments('id');</v>
      </c>
    </row>
    <row r="80" spans="1:11" hidden="1">
      <c r="A80" s="5" t="s">
        <v>445</v>
      </c>
      <c r="B80" s="5" t="s">
        <v>26</v>
      </c>
      <c r="C80" s="5" t="str">
        <f>VLOOKUP([Field],Columns[],2,0)&amp;"("</f>
        <v>string(</v>
      </c>
      <c r="D80" s="5" t="str">
        <f>IF(VLOOKUP([Field],Columns[],3,0)&lt;&gt;"","'"&amp;VLOOKUP([Field],Columns[],3,0)&amp;"'","")</f>
        <v>'name'</v>
      </c>
      <c r="E80" s="8" t="str">
        <f>IF(VLOOKUP([Field],Columns[],4,0)&lt;&gt;0,", "&amp;VLOOKUP([Field],Columns[],4,0)&amp;")",")")</f>
        <v>, 64)</v>
      </c>
      <c r="F80" s="5" t="str">
        <f>IF(VLOOKUP([Field],Columns[],5,0)=0,"","-&gt;"&amp;VLOOKUP([Field],Columns[],5,0))</f>
        <v>-&gt;index()</v>
      </c>
      <c r="G80" s="5" t="str">
        <f>IF(VLOOKUP([Field],Columns[],6,0)=0,"","-&gt;"&amp;VLOOKUP([Field],Columns[],6,0))</f>
        <v/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$table-&gt;string('name', 64)-&gt;index();</v>
      </c>
    </row>
    <row r="81" spans="1:11" hidden="1">
      <c r="A81" s="5" t="s">
        <v>445</v>
      </c>
      <c r="B81" s="5" t="s">
        <v>28</v>
      </c>
      <c r="C81" s="5" t="str">
        <f>VLOOKUP([Field],Columns[],2,0)&amp;"("</f>
        <v>string(</v>
      </c>
      <c r="D81" s="5" t="str">
        <f>IF(VLOOKUP([Field],Columns[],3,0)&lt;&gt;"","'"&amp;VLOOKUP([Field],Columns[],3,0)&amp;"'","")</f>
        <v>'description'</v>
      </c>
      <c r="E81" s="8" t="str">
        <f>IF(VLOOKUP([Field],Columns[],4,0)&lt;&gt;0,", "&amp;VLOOKUP([Field],Columns[],4,0)&amp;")",")")</f>
        <v>, 1024)</v>
      </c>
      <c r="F81" s="5" t="str">
        <f>IF(VLOOKUP([Field],Columns[],5,0)=0,"","-&gt;"&amp;VLOOKUP([Field],Columns[],5,0))</f>
        <v>-&gt;nullable()</v>
      </c>
      <c r="G81" s="5" t="str">
        <f>IF(VLOOKUP([Field],Columns[],6,0)=0,"","-&gt;"&amp;VLOOKUP([Field],Columns[],6,0))</f>
        <v/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$table-&gt;string('description', 1024)-&gt;nullable();</v>
      </c>
    </row>
    <row r="82" spans="1:11" hidden="1">
      <c r="A82" s="5" t="s">
        <v>445</v>
      </c>
      <c r="B82" s="5" t="s">
        <v>472</v>
      </c>
      <c r="C82" s="5" t="str">
        <f>VLOOKUP([Field],Columns[],2,0)&amp;"("</f>
        <v>unsignedInteger(</v>
      </c>
      <c r="D82" s="5" t="str">
        <f>IF(VLOOKUP([Field],Columns[],3,0)&lt;&gt;"","'"&amp;VLOOKUP([Field],Columns[],3,0)&amp;"'","")</f>
        <v>'author'</v>
      </c>
      <c r="E82" s="8" t="str">
        <f>IF(VLOOKUP([Field],Columns[],4,0)&lt;&gt;0,", "&amp;VLOOKUP([Field],Columns[],4,0)&amp;")",")")</f>
        <v>)</v>
      </c>
      <c r="F82" s="5" t="str">
        <f>IF(VLOOKUP([Field],Columns[],5,0)=0,"","-&gt;"&amp;VLOOKUP([Field],Columns[],5,0))</f>
        <v>-&gt;nullable()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5" t="s">
        <v>445</v>
      </c>
      <c r="B83" s="5" t="s">
        <v>453</v>
      </c>
      <c r="C83" s="5" t="str">
        <f>VLOOKUP([Field],Columns[],2,0)&amp;"("</f>
        <v>enum(</v>
      </c>
      <c r="D83" s="5" t="str">
        <f>IF(VLOOKUP([Field],Columns[],3,0)&lt;&gt;"","'"&amp;VLOOKUP([Field],Columns[],3,0)&amp;"'","")</f>
        <v>'status'</v>
      </c>
      <c r="E83" s="8" t="str">
        <f>IF(VLOOKUP([Field],Columns[],4,0)&lt;&gt;0,", "&amp;VLOOKUP([Field],Columns[],4,0)&amp;")",")")</f>
        <v>, ['Active','Inactive'])</v>
      </c>
      <c r="F83" s="5" t="str">
        <f>IF(VLOOKUP([Field],Columns[],5,0)=0,"","-&gt;"&amp;VLOOKUP([Field],Columns[],5,0))</f>
        <v>-&gt;default('Active')</v>
      </c>
      <c r="G83" s="5" t="str">
        <f>IF(VLOOKUP([Field],Columns[],6,0)=0,"","-&gt;"&amp;VLOOKUP([Field],Columns[],6,0))</f>
        <v>-&gt;index()</v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5" t="s">
        <v>445</v>
      </c>
      <c r="B84" s="5" t="s">
        <v>518</v>
      </c>
      <c r="C84" s="5" t="str">
        <f>VLOOKUP([Field],Columns[],2,0)&amp;"("</f>
        <v>audit(</v>
      </c>
      <c r="D84" s="5" t="str">
        <f>IF(VLOOKUP([Field],Columns[],3,0)&lt;&gt;"","'"&amp;VLOOKUP([Field],Columns[],3,0)&amp;"'","")</f>
        <v/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/>
      </c>
      <c r="G84" s="5" t="str">
        <f>IF(VLOOKUP([Field],Columns[],6,0)=0,"","-&gt;"&amp;VLOOKUP([Field],Columns[],6,0))</f>
        <v/>
      </c>
      <c r="H84" s="5" t="str">
        <f>IF(VLOOKUP([Field],Columns[],7,0)=0,"","-&gt;"&amp;VLOOKUP([Field],Columns[],7,0))</f>
        <v/>
      </c>
      <c r="I84" s="5" t="str">
        <f>IF(VLOOKUP([Field],Columns[],8,0)=0,"","-&gt;"&amp;VLOOKUP([Field],Columns[],8,0))</f>
        <v/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$table-&gt;audit();</v>
      </c>
    </row>
    <row r="85" spans="1:11" hidden="1">
      <c r="A85" s="5" t="s">
        <v>445</v>
      </c>
      <c r="B85" s="5" t="s">
        <v>473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'author'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-&gt;on('visitors')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-&gt;onDelete('set null')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 hidden="1">
      <c r="A86" s="5" t="s">
        <v>447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 hidden="1">
      <c r="A87" s="5" t="s">
        <v>447</v>
      </c>
      <c r="B87" s="5" t="s">
        <v>474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'visitor'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$table-&gt;unsignedInteger('visitor')-&gt;nullable()-&gt;index();</v>
      </c>
    </row>
    <row r="88" spans="1:11" hidden="1">
      <c r="A88" s="5" t="s">
        <v>447</v>
      </c>
      <c r="B88" s="5" t="s">
        <v>475</v>
      </c>
      <c r="C88" s="5" t="str">
        <f>VLOOKUP([Field],Columns[],2,0)&amp;"("</f>
        <v>unsignedInteger(</v>
      </c>
      <c r="D88" s="5" t="str">
        <f>IF(VLOOKUP([Field],Columns[],3,0)&lt;&gt;"","'"&amp;VLOOKUP([Field],Columns[],3,0)&amp;"'","")</f>
        <v>'wishlist'</v>
      </c>
      <c r="E88" s="8" t="str">
        <f>IF(VLOOKUP([Field],Columns[],4,0)&lt;&gt;0,", "&amp;VLOOKUP([Field],Columns[],4,0)&amp;")",")")</f>
        <v>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>-&gt;index()</v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5" t="s">
        <v>447</v>
      </c>
      <c r="B89" s="5" t="s">
        <v>476</v>
      </c>
      <c r="C89" s="5" t="str">
        <f>VLOOKUP([Field],Columns[],2,0)&amp;"("</f>
        <v>enum(</v>
      </c>
      <c r="D89" s="5" t="str">
        <f>IF(VLOOKUP([Field],Columns[],3,0)&lt;&gt;"","'"&amp;VLOOKUP([Field],Columns[],3,0)&amp;"'","")</f>
        <v>'viewed'</v>
      </c>
      <c r="E89" s="8" t="str">
        <f>IF(VLOOKUP([Field],Columns[],4,0)&lt;&gt;0,", "&amp;VLOOKUP([Field],Columns[],4,0)&amp;")",")")</f>
        <v>, ['Yes','No'])</v>
      </c>
      <c r="F89" s="5" t="str">
        <f>IF(VLOOKUP([Field],Columns[],5,0)=0,"","-&gt;"&amp;VLOOKUP([Field],Columns[],5,0))</f>
        <v>-&gt;default('No')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$table-&gt;enum('viewed', ['Yes','No'])-&gt;default('No')-&gt;index();</v>
      </c>
    </row>
    <row r="90" spans="1:11" hidden="1">
      <c r="A90" s="5" t="s">
        <v>447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 hidden="1">
      <c r="A91" s="5" t="s">
        <v>447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 hidden="1">
      <c r="A92" s="5" t="s">
        <v>447</v>
      </c>
      <c r="B92" s="5" t="s">
        <v>477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'visitor'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-&gt;on('visitors')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-&gt;onDelete('set null')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93" spans="1:11" hidden="1">
      <c r="A93" s="5" t="s">
        <v>447</v>
      </c>
      <c r="B93" s="5" t="s">
        <v>478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'wishlist'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-&gt;on('wishlists')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-&gt;onDelete('cascade')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4" spans="1:11" hidden="1">
      <c r="A94" s="5" t="s">
        <v>449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 hidden="1">
      <c r="A95" s="5" t="s">
        <v>449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 hidden="1">
      <c r="A96" s="5" t="s">
        <v>449</v>
      </c>
      <c r="B96" s="5" t="s">
        <v>479</v>
      </c>
      <c r="C96" s="5" t="str">
        <f>VLOOKUP([Field],Columns[],2,0)&amp;"("</f>
        <v>string(</v>
      </c>
      <c r="D96" s="5" t="str">
        <f>IF(VLOOKUP([Field],Columns[],3,0)&lt;&gt;"","'"&amp;VLOOKUP([Field],Columns[],3,0)&amp;"'","")</f>
        <v>'note'</v>
      </c>
      <c r="E96" s="8" t="str">
        <f>IF(VLOOKUP([Field],Columns[],4,0)&lt;&gt;0,", "&amp;VLOOKUP([Field],Columns[],4,0)&amp;")",")")</f>
        <v>, 512)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/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$table-&gt;string('note', 512)-&gt;nullable();</v>
      </c>
    </row>
    <row r="97" spans="1:11" hidden="1">
      <c r="A97" s="5" t="s">
        <v>449</v>
      </c>
      <c r="B97" s="5" t="s">
        <v>480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'author'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$table-&gt;unsignedInteger('author')-&gt;nullable()-&gt;index();</v>
      </c>
    </row>
    <row r="98" spans="1:11" hidden="1">
      <c r="A98" s="5" t="s">
        <v>449</v>
      </c>
      <c r="B98" s="5" t="s">
        <v>453</v>
      </c>
      <c r="C98" s="5" t="str">
        <f>VLOOKUP([Field],Columns[],2,0)&amp;"("</f>
        <v>enum(</v>
      </c>
      <c r="D98" s="5" t="str">
        <f>IF(VLOOKUP([Field],Columns[],3,0)&lt;&gt;"","'"&amp;VLOOKUP([Field],Columns[],3,0)&amp;"'","")</f>
        <v>'status'</v>
      </c>
      <c r="E98" s="8" t="str">
        <f>IF(VLOOKUP([Field],Columns[],4,0)&lt;&gt;0,", "&amp;VLOOKUP([Field],Columns[],4,0)&amp;")",")")</f>
        <v>, ['Active','Inactive'])</v>
      </c>
      <c r="F98" s="5" t="str">
        <f>IF(VLOOKUP([Field],Columns[],5,0)=0,"","-&gt;"&amp;VLOOKUP([Field],Columns[],5,0))</f>
        <v>-&gt;default('Active')</v>
      </c>
      <c r="G98" s="5" t="str">
        <f>IF(VLOOKUP([Field],Columns[],6,0)=0,"","-&gt;"&amp;VLOOKUP([Field],Columns[],6,0))</f>
        <v>-&gt;index()</v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9" spans="1:11" hidden="1">
      <c r="A99" s="5" t="s">
        <v>449</v>
      </c>
      <c r="B99" s="5" t="s">
        <v>518</v>
      </c>
      <c r="C99" s="5" t="str">
        <f>VLOOKUP([Field],Columns[],2,0)&amp;"("</f>
        <v>audit(</v>
      </c>
      <c r="D99" s="5" t="str">
        <f>IF(VLOOKUP([Field],Columns[],3,0)&lt;&gt;"","'"&amp;VLOOKUP([Field],Columns[],3,0)&amp;"'","")</f>
        <v/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/>
      </c>
      <c r="G99" s="5" t="str">
        <f>IF(VLOOKUP([Field],Columns[],6,0)=0,"","-&gt;"&amp;VLOOKUP([Field],Columns[],6,0))</f>
        <v/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$table-&gt;audit();</v>
      </c>
    </row>
    <row r="100" spans="1:11" hidden="1">
      <c r="A100" s="5" t="s">
        <v>449</v>
      </c>
      <c r="B100" s="5" t="s">
        <v>478</v>
      </c>
      <c r="C100" s="5" t="str">
        <f>VLOOKUP([Field],Columns[],2,0)&amp;"("</f>
        <v>foreign(</v>
      </c>
      <c r="D100" s="5" t="str">
        <f>IF(VLOOKUP([Field],Columns[],3,0)&lt;&gt;"","'"&amp;VLOOKUP([Field],Columns[],3,0)&amp;"'","")</f>
        <v>'wishlist'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-&gt;references('id')</v>
      </c>
      <c r="G100" s="5" t="str">
        <f>IF(VLOOKUP([Field],Columns[],6,0)=0,"","-&gt;"&amp;VLOOKUP([Field],Columns[],6,0))</f>
        <v>-&gt;on('wishlists')</v>
      </c>
      <c r="H100" s="5" t="str">
        <f>IF(VLOOKUP([Field],Columns[],7,0)=0,"","-&gt;"&amp;VLOOKUP([Field],Columns[],7,0))</f>
        <v>-&gt;onUpdate('cascade')</v>
      </c>
      <c r="I100" s="5" t="str">
        <f>IF(VLOOKUP([Field],Columns[],8,0)=0,"","-&gt;"&amp;VLOOKUP([Field],Columns[],8,0))</f>
        <v>-&gt;onDelete('cascade')</v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1" spans="1:11" hidden="1">
      <c r="A101" s="5" t="s">
        <v>449</v>
      </c>
      <c r="B101" s="5" t="s">
        <v>473</v>
      </c>
      <c r="C101" s="5" t="str">
        <f>VLOOKUP([Field],Columns[],2,0)&amp;"("</f>
        <v>foreign(</v>
      </c>
      <c r="D101" s="5" t="str">
        <f>IF(VLOOKUP([Field],Columns[],3,0)&lt;&gt;"","'"&amp;VLOOKUP([Field],Columns[],3,0)&amp;"'","")</f>
        <v>'author'</v>
      </c>
      <c r="E101" s="8" t="str">
        <f>IF(VLOOKUP([Field],Columns[],4,0)&lt;&gt;0,", "&amp;VLOOKUP([Field],Columns[],4,0)&amp;")",")")</f>
        <v>)</v>
      </c>
      <c r="F101" s="5" t="str">
        <f>IF(VLOOKUP([Field],Columns[],5,0)=0,"","-&gt;"&amp;VLOOKUP([Field],Columns[],5,0))</f>
        <v>-&gt;references('id')</v>
      </c>
      <c r="G101" s="5" t="str">
        <f>IF(VLOOKUP([Field],Columns[],6,0)=0,"","-&gt;"&amp;VLOOKUP([Field],Columns[],6,0))</f>
        <v>-&gt;on('visitors')</v>
      </c>
      <c r="H101" s="5" t="str">
        <f>IF(VLOOKUP([Field],Columns[],7,0)=0,"","-&gt;"&amp;VLOOKUP([Field],Columns[],7,0))</f>
        <v>-&gt;onUpdate('cascade')</v>
      </c>
      <c r="I101" s="5" t="str">
        <f>IF(VLOOKUP([Field],Columns[],8,0)=0,"","-&gt;"&amp;VLOOKUP([Field],Columns[],8,0))</f>
        <v>-&gt;onDelete('set null')</v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2" spans="1:11">
      <c r="A102" s="5" t="s">
        <v>446</v>
      </c>
      <c r="B102" s="5" t="s">
        <v>21</v>
      </c>
      <c r="C102" s="5" t="str">
        <f>VLOOKUP([Field],Columns[],2,0)&amp;"("</f>
        <v>increments(</v>
      </c>
      <c r="D102" s="5" t="str">
        <f>IF(VLOOKUP([Field],Columns[],3,0)&lt;&gt;"","'"&amp;VLOOKUP([Field],Columns[],3,0)&amp;"'","")</f>
        <v>'id'</v>
      </c>
      <c r="E102" s="8" t="str">
        <f>IF(VLOOKUP([Field],Columns[],4,0)&lt;&gt;0,", "&amp;VLOOKUP([Field],Columns[],4,0)&amp;")",")")</f>
        <v>)</v>
      </c>
      <c r="F102" s="5" t="str">
        <f>IF(VLOOKUP([Field],Columns[],5,0)=0,"","-&gt;"&amp;VLOOKUP([Field],Columns[],5,0))</f>
        <v/>
      </c>
      <c r="G102" s="5" t="str">
        <f>IF(VLOOKUP([Field],Columns[],6,0)=0,"","-&gt;"&amp;VLOOKUP([Field],Columns[],6,0))</f>
        <v/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$table-&gt;increments('id');</v>
      </c>
    </row>
    <row r="103" spans="1:11">
      <c r="A103" s="5" t="s">
        <v>446</v>
      </c>
      <c r="B103" s="5" t="s">
        <v>475</v>
      </c>
      <c r="C103" s="5" t="str">
        <f>VLOOKUP([Field],Columns[],2,0)&amp;"("</f>
        <v>unsignedInteger(</v>
      </c>
      <c r="D103" s="5" t="str">
        <f>IF(VLOOKUP([Field],Columns[],3,0)&lt;&gt;"","'"&amp;VLOOKUP([Field],Columns[],3,0)&amp;"'","")</f>
        <v>'wishlist'</v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>-&gt;nullable()</v>
      </c>
      <c r="G103" s="5" t="str">
        <f>IF(VLOOKUP([Field],Columns[],6,0)=0,"","-&gt;"&amp;VLOOKUP([Field],Columns[],6,0))</f>
        <v>-&gt;index()</v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$table-&gt;unsignedInteger('wishlist')-&gt;nullable()-&gt;index();</v>
      </c>
    </row>
    <row r="104" spans="1:11">
      <c r="A104" s="5" t="s">
        <v>446</v>
      </c>
      <c r="B104" s="5" t="s">
        <v>467</v>
      </c>
      <c r="C104" s="5" t="str">
        <f>VLOOKUP([Field],Columns[],2,0)&amp;"("</f>
        <v>unsignedInteger(</v>
      </c>
      <c r="D104" s="5" t="str">
        <f>IF(VLOOKUP([Field],Columns[],3,0)&lt;&gt;"","'"&amp;VLOOKUP([Field],Columns[],3,0)&amp;"'","")</f>
        <v>'product'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-&gt;nullable()</v>
      </c>
      <c r="G104" s="5" t="str">
        <f>IF(VLOOKUP([Field],Columns[],6,0)=0,"","-&gt;"&amp;VLOOKUP([Field],Columns[],6,0))</f>
        <v>-&gt;index()</v>
      </c>
      <c r="H104" s="5" t="str">
        <f>IF(VLOOKUP([Field],Columns[],7,0)=0,"","-&gt;"&amp;VLOOKUP([Field],Columns[],7,0))</f>
        <v/>
      </c>
      <c r="I104" s="5" t="str">
        <f>IF(VLOOKUP([Field],Columns[],8,0)=0,"","-&gt;"&amp;VLOOKUP([Field],Columns[],8,0))</f>
        <v/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$table-&gt;unsignedInteger('product')-&gt;nullable()-&gt;index();</v>
      </c>
    </row>
    <row r="105" spans="1:11" s="20" customFormat="1">
      <c r="A105" s="5" t="s">
        <v>446</v>
      </c>
      <c r="B105" s="5" t="s">
        <v>1002</v>
      </c>
      <c r="C105" s="5" t="str">
        <f>VLOOKUP([Field],Columns[],2,0)&amp;"("</f>
        <v>mediumInteger(</v>
      </c>
      <c r="D105" s="5" t="str">
        <f>IF(VLOOKUP([Field],Columns[],3,0)&lt;&gt;"","'"&amp;VLOOKUP([Field],Columns[],3,0)&amp;"'","")</f>
        <v>'quantity'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-&gt;default(1)</v>
      </c>
      <c r="G105" s="5" t="str">
        <f>IF(VLOOKUP([Field],Columns[],6,0)=0,"","-&gt;"&amp;VLOOKUP([Field],Columns[],6,0))</f>
        <v/>
      </c>
      <c r="H105" s="5" t="str">
        <f>IF(VLOOKUP([Field],Columns[],7,0)=0,"","-&gt;"&amp;VLOOKUP([Field],Columns[],7,0))</f>
        <v/>
      </c>
      <c r="I105" s="5" t="str">
        <f>IF(VLOOKUP([Field],Columns[],8,0)=0,"","-&gt;"&amp;VLOOKUP([Field],Columns[],8,0))</f>
        <v/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$table-&gt;mediumInteger('quantity')-&gt;default(1);</v>
      </c>
    </row>
    <row r="106" spans="1:11">
      <c r="A106" s="5" t="s">
        <v>446</v>
      </c>
      <c r="B106" s="5" t="s">
        <v>481</v>
      </c>
      <c r="C106" s="5" t="str">
        <f>VLOOKUP([Field],Columns[],2,0)&amp;"("</f>
        <v>unsignedInteger(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-&gt;nullable()</v>
      </c>
      <c r="G106" s="5" t="str">
        <f>IF(VLOOKUP([Field],Columns[],6,0)=0,"","-&gt;"&amp;VLOOKUP([Field],Columns[],6,0))</f>
        <v>-&gt;index()</v>
      </c>
      <c r="H106" s="5" t="str">
        <f>IF(VLOOKUP([Field],Columns[],7,0)=0,"","-&gt;"&amp;VLOOKUP([Field],Columns[],7,0))</f>
        <v/>
      </c>
      <c r="I106" s="5" t="str">
        <f>IF(VLOOKUP([Field],Columns[],8,0)=0,"","-&gt;"&amp;VLOOKUP([Field],Columns[],8,0))</f>
        <v/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$table-&gt;unsignedInteger('added_by')-&gt;nullable()-&gt;index();</v>
      </c>
    </row>
    <row r="107" spans="1:11">
      <c r="A107" s="5" t="s">
        <v>446</v>
      </c>
      <c r="B107" s="5" t="s">
        <v>482</v>
      </c>
      <c r="C107" s="5" t="str">
        <f>VLOOKUP([Field],Columns[],2,0)&amp;"("</f>
        <v>timestamp(</v>
      </c>
      <c r="D107" s="5" t="str">
        <f>IF(VLOOKUP([Field],Columns[],3,0)&lt;&gt;"","'"&amp;VLOOKUP([Field],Columns[],3,0)&amp;"'","")</f>
        <v>'added_on'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-&gt;default(DB::raw('CURRENT_TIMESTAMP'))</v>
      </c>
      <c r="G107" s="5" t="str">
        <f>IF(VLOOKUP([Field],Columns[],6,0)=0,"","-&gt;"&amp;VLOOKUP([Field],Columns[],6,0))</f>
        <v/>
      </c>
      <c r="H107" s="5" t="str">
        <f>IF(VLOOKUP([Field],Columns[],7,0)=0,"","-&gt;"&amp;VLOOKUP([Field],Columns[],7,0))</f>
        <v/>
      </c>
      <c r="I107" s="5" t="str">
        <f>IF(VLOOKUP([Field],Columns[],8,0)=0,"","-&gt;"&amp;VLOOKUP([Field],Columns[],8,0))</f>
        <v/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108" spans="1:11">
      <c r="A108" s="5" t="s">
        <v>446</v>
      </c>
      <c r="B108" s="5" t="s">
        <v>483</v>
      </c>
      <c r="C108" s="5" t="str">
        <f>VLOOKUP([Field],Columns[],2,0)&amp;"("</f>
        <v>unsignedInteger(</v>
      </c>
      <c r="D108" s="5" t="str">
        <f>IF(VLOOKUP([Field],Columns[],3,0)&lt;&gt;"","'"&amp;VLOOKUP([Field],Columns[],3,0)&amp;"'","")</f>
        <v>'removed_by'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>-&gt;nullable()</v>
      </c>
      <c r="G108" s="5" t="str">
        <f>IF(VLOOKUP([Field],Columns[],6,0)=0,"","-&gt;"&amp;VLOOKUP([Field],Columns[],6,0))</f>
        <v>-&gt;index()</v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$table-&gt;unsignedInteger('removed_by')-&gt;nullable()-&gt;index();</v>
      </c>
    </row>
    <row r="109" spans="1:11">
      <c r="A109" s="5" t="s">
        <v>446</v>
      </c>
      <c r="B109" s="5" t="s">
        <v>484</v>
      </c>
      <c r="C109" s="5" t="str">
        <f>VLOOKUP([Field],Columns[],2,0)&amp;"("</f>
        <v>timestamp(</v>
      </c>
      <c r="D109" s="5" t="str">
        <f>IF(VLOOKUP([Field],Columns[],3,0)&lt;&gt;"","'"&amp;VLOOKUP([Field],Columns[],3,0)&amp;"'","")</f>
        <v>'removed_on'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-&gt;default(DB::raw('CURRENT_TIMESTAMP ON UPDATE CURRENT_TIMESTAMP'))</v>
      </c>
      <c r="G109" s="5" t="str">
        <f>IF(VLOOKUP([Field],Columns[],6,0)=0,"","-&gt;"&amp;VLOOKUP([Field],Columns[],6,0))</f>
        <v/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10" spans="1:11">
      <c r="A110" s="5" t="s">
        <v>446</v>
      </c>
      <c r="B110" s="5" t="s">
        <v>485</v>
      </c>
      <c r="C110" s="5" t="str">
        <f>VLOOKUP([Field],Columns[],2,0)&amp;"("</f>
        <v>enum(</v>
      </c>
      <c r="D110" s="5" t="str">
        <f>IF(VLOOKUP([Field],Columns[],3,0)&lt;&gt;"","'"&amp;VLOOKUP([Field],Columns[],3,0)&amp;"'","")</f>
        <v>'product_status'</v>
      </c>
      <c r="E110" s="8" t="str">
        <f>IF(VLOOKUP([Field],Columns[],4,0)&lt;&gt;0,", "&amp;VLOOKUP([Field],Columns[],4,0)&amp;")",")")</f>
        <v>, ['Active','Inactive'])</v>
      </c>
      <c r="F110" s="5" t="str">
        <f>IF(VLOOKUP([Field],Columns[],5,0)=0,"","-&gt;"&amp;VLOOKUP([Field],Columns[],5,0))</f>
        <v>-&gt;default('Active')</v>
      </c>
      <c r="G110" s="5" t="str">
        <f>IF(VLOOKUP([Field],Columns[],6,0)=0,"","-&gt;"&amp;VLOOKUP([Field],Columns[],6,0))</f>
        <v>-&gt;index()</v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11" spans="1:11">
      <c r="A111" s="5" t="s">
        <v>446</v>
      </c>
      <c r="B111" s="5" t="s">
        <v>453</v>
      </c>
      <c r="C111" s="5" t="str">
        <f>VLOOKUP([Field],Columns[],2,0)&amp;"("</f>
        <v>enum(</v>
      </c>
      <c r="D111" s="5" t="str">
        <f>IF(VLOOKUP([Field],Columns[],3,0)&lt;&gt;"","'"&amp;VLOOKUP([Field],Columns[],3,0)&amp;"'","")</f>
        <v>'status'</v>
      </c>
      <c r="E111" s="8" t="str">
        <f>IF(VLOOKUP([Field],Columns[],4,0)&lt;&gt;0,", "&amp;VLOOKUP([Field],Columns[],4,0)&amp;")",")")</f>
        <v>, ['Active','Inactive'])</v>
      </c>
      <c r="F111" s="5" t="str">
        <f>IF(VLOOKUP([Field],Columns[],5,0)=0,"","-&gt;"&amp;VLOOKUP([Field],Columns[],5,0))</f>
        <v>-&gt;default('Active')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>
      <c r="A112" s="5" t="s">
        <v>446</v>
      </c>
      <c r="B112" s="5" t="s">
        <v>518</v>
      </c>
      <c r="C112" s="5" t="str">
        <f>VLOOKUP([Field],Columns[],2,0)&amp;"("</f>
        <v>audit(</v>
      </c>
      <c r="D112" s="5" t="str">
        <f>IF(VLOOKUP([Field],Columns[],3,0)&lt;&gt;"","'"&amp;VLOOKUP([Field],Columns[],3,0)&amp;"'","")</f>
        <v/>
      </c>
      <c r="E112" s="8" t="str">
        <f>IF(VLOOKUP([Field],Columns[],4,0)&lt;&gt;0,", "&amp;VLOOKUP([Field],Columns[],4,0)&amp;")",")")</f>
        <v>)</v>
      </c>
      <c r="F112" s="5" t="str">
        <f>IF(VLOOKUP([Field],Columns[],5,0)=0,"","-&gt;"&amp;VLOOKUP([Field],Columns[],5,0))</f>
        <v/>
      </c>
      <c r="G112" s="5" t="str">
        <f>IF(VLOOKUP([Field],Columns[],6,0)=0,"","-&gt;"&amp;VLOOKUP([Field],Columns[],6,0))</f>
        <v/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$table-&gt;audit();</v>
      </c>
    </row>
    <row r="113" spans="1:11">
      <c r="A113" s="5" t="s">
        <v>446</v>
      </c>
      <c r="B113" s="5" t="s">
        <v>478</v>
      </c>
      <c r="C113" s="5" t="str">
        <f>VLOOKUP([Field],Columns[],2,0)&amp;"("</f>
        <v>foreign(</v>
      </c>
      <c r="D113" s="5" t="str">
        <f>IF(VLOOKUP([Field],Columns[],3,0)&lt;&gt;"","'"&amp;VLOOKUP([Field],Columns[],3,0)&amp;"'","")</f>
        <v>'wishlist'</v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>-&gt;references('id')</v>
      </c>
      <c r="G113" s="5" t="str">
        <f>IF(VLOOKUP([Field],Columns[],6,0)=0,"","-&gt;"&amp;VLOOKUP([Field],Columns[],6,0))</f>
        <v>-&gt;on('wishlists')</v>
      </c>
      <c r="H113" s="5" t="str">
        <f>IF(VLOOKUP([Field],Columns[],7,0)=0,"","-&gt;"&amp;VLOOKUP([Field],Columns[],7,0))</f>
        <v>-&gt;onUpdate('cascade')</v>
      </c>
      <c r="I113" s="5" t="str">
        <f>IF(VLOOKUP([Field],Columns[],8,0)=0,"","-&gt;"&amp;VLOOKUP([Field],Columns[],8,0))</f>
        <v>-&gt;onDelete('cascade')</v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14" spans="1:11">
      <c r="A114" s="5" t="s">
        <v>446</v>
      </c>
      <c r="B114" s="5" t="s">
        <v>470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15" spans="1:11">
      <c r="A115" s="5" t="s">
        <v>446</v>
      </c>
      <c r="B115" s="5" t="s">
        <v>486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'added_by'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16" spans="1:11">
      <c r="A116" s="5" t="s">
        <v>446</v>
      </c>
      <c r="B116" s="5" t="s">
        <v>487</v>
      </c>
      <c r="C116" s="5" t="str">
        <f>VLOOKUP([Field],Columns[],2,0)&amp;"("</f>
        <v>foreign(</v>
      </c>
      <c r="D116" s="5" t="str">
        <f>IF(VLOOKUP([Field],Columns[],3,0)&lt;&gt;"","'"&amp;VLOOKUP([Field],Columns[],3,0)&amp;"'","")</f>
        <v>'removed_by'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>-&gt;references('id')</v>
      </c>
      <c r="G116" s="5" t="str">
        <f>IF(VLOOKUP([Field],Columns[],6,0)=0,"","-&gt;"&amp;VLOOKUP([Field],Columns[],6,0))</f>
        <v>-&gt;on('visitors')</v>
      </c>
      <c r="H116" s="5" t="str">
        <f>IF(VLOOKUP([Field],Columns[],7,0)=0,"","-&gt;"&amp;VLOOKUP([Field],Columns[],7,0))</f>
        <v>-&gt;onUpdate('cascade')</v>
      </c>
      <c r="I116" s="5" t="str">
        <f>IF(VLOOKUP([Field],Columns[],8,0)=0,"","-&gt;"&amp;VLOOKUP([Field],Columns[],8,0))</f>
        <v>-&gt;onDelete('set null')</v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17" spans="1:11" hidden="1">
      <c r="A117" s="5" t="s">
        <v>450</v>
      </c>
      <c r="B117" s="5" t="s">
        <v>21</v>
      </c>
      <c r="C117" s="5" t="str">
        <f>VLOOKUP([Field],Columns[],2,0)&amp;"("</f>
        <v>increments(</v>
      </c>
      <c r="D117" s="5" t="str">
        <f>IF(VLOOKUP([Field],Columns[],3,0)&lt;&gt;"","'"&amp;VLOOKUP([Field],Columns[],3,0)&amp;"'","")</f>
        <v>'id'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/>
      </c>
      <c r="G117" s="5" t="str">
        <f>IF(VLOOKUP([Field],Columns[],6,0)=0,"","-&gt;"&amp;VLOOKUP([Field],Columns[],6,0))</f>
        <v/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$table-&gt;increments('id');</v>
      </c>
    </row>
    <row r="118" spans="1:11" hidden="1">
      <c r="A118" s="5" t="s">
        <v>450</v>
      </c>
      <c r="B118" s="5" t="s">
        <v>488</v>
      </c>
      <c r="C118" s="5" t="str">
        <f>VLOOKUP([Field],Columns[],2,0)&amp;"("</f>
        <v>unsignedInteger(</v>
      </c>
      <c r="D118" s="5" t="str">
        <f>IF(VLOOKUP([Field],Columns[],3,0)&lt;&gt;"","'"&amp;VLOOKUP([Field],Columns[],3,0)&amp;"'","")</f>
        <v>'wishlist_product'</v>
      </c>
      <c r="E118" s="8" t="str">
        <f>IF(VLOOKUP([Field],Columns[],4,0)&lt;&gt;0,", "&amp;VLOOKUP([Field],Columns[],4,0)&amp;")",")")</f>
        <v>)</v>
      </c>
      <c r="F118" s="5" t="str">
        <f>IF(VLOOKUP([Field],Columns[],5,0)=0,"","-&gt;"&amp;VLOOKUP([Field],Columns[],5,0))</f>
        <v>-&gt;nullable()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9" spans="1:11" hidden="1">
      <c r="A119" s="5" t="s">
        <v>450</v>
      </c>
      <c r="B119" s="5" t="s">
        <v>479</v>
      </c>
      <c r="C119" s="5" t="str">
        <f>VLOOKUP([Field],Columns[],2,0)&amp;"("</f>
        <v>string(</v>
      </c>
      <c r="D119" s="5" t="str">
        <f>IF(VLOOKUP([Field],Columns[],3,0)&lt;&gt;"","'"&amp;VLOOKUP([Field],Columns[],3,0)&amp;"'","")</f>
        <v>'note'</v>
      </c>
      <c r="E119" s="8" t="str">
        <f>IF(VLOOKUP([Field],Columns[],4,0)&lt;&gt;0,", "&amp;VLOOKUP([Field],Columns[],4,0)&amp;")",")")</f>
        <v>, 512)</v>
      </c>
      <c r="F119" s="5" t="str">
        <f>IF(VLOOKUP([Field],Columns[],5,0)=0,"","-&gt;"&amp;VLOOKUP([Field],Columns[],5,0))</f>
        <v>-&gt;nullable()</v>
      </c>
      <c r="G119" s="5" t="str">
        <f>IF(VLOOKUP([Field],Columns[],6,0)=0,"","-&gt;"&amp;VLOOKUP([Field],Columns[],6,0))</f>
        <v/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$table-&gt;string('note', 512)-&gt;nullable();</v>
      </c>
    </row>
    <row r="120" spans="1:11" hidden="1">
      <c r="A120" s="5" t="s">
        <v>450</v>
      </c>
      <c r="B120" s="5" t="s">
        <v>480</v>
      </c>
      <c r="C120" s="5" t="str">
        <f>VLOOKUP([Field],Columns[],2,0)&amp;"("</f>
        <v>unsignedInteger(</v>
      </c>
      <c r="D120" s="5" t="str">
        <f>IF(VLOOKUP([Field],Columns[],3,0)&lt;&gt;"","'"&amp;VLOOKUP([Field],Columns[],3,0)&amp;"'","")</f>
        <v>'author'</v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>-&gt;nullable()</v>
      </c>
      <c r="G120" s="5" t="str">
        <f>IF(VLOOKUP([Field],Columns[],6,0)=0,"","-&gt;"&amp;VLOOKUP([Field],Columns[],6,0))</f>
        <v>-&gt;index()</v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$table-&gt;unsignedInteger('author')-&gt;nullable()-&gt;index();</v>
      </c>
    </row>
    <row r="121" spans="1:11" hidden="1">
      <c r="A121" s="5" t="s">
        <v>450</v>
      </c>
      <c r="B121" s="5" t="s">
        <v>453</v>
      </c>
      <c r="C121" s="5" t="str">
        <f>VLOOKUP([Field],Columns[],2,0)&amp;"("</f>
        <v>enum(</v>
      </c>
      <c r="D121" s="5" t="str">
        <f>IF(VLOOKUP([Field],Columns[],3,0)&lt;&gt;"","'"&amp;VLOOKUP([Field],Columns[],3,0)&amp;"'","")</f>
        <v>'status'</v>
      </c>
      <c r="E121" s="8" t="str">
        <f>IF(VLOOKUP([Field],Columns[],4,0)&lt;&gt;0,", "&amp;VLOOKUP([Field],Columns[],4,0)&amp;")",")")</f>
        <v>, ['Active','Inactive'])</v>
      </c>
      <c r="F121" s="5" t="str">
        <f>IF(VLOOKUP([Field],Columns[],5,0)=0,"","-&gt;"&amp;VLOOKUP([Field],Columns[],5,0))</f>
        <v>-&gt;default('Active')</v>
      </c>
      <c r="G121" s="5" t="str">
        <f>IF(VLOOKUP([Field],Columns[],6,0)=0,"","-&gt;"&amp;VLOOKUP([Field],Columns[],6,0))</f>
        <v>-&gt;index()</v>
      </c>
      <c r="H121" s="5" t="str">
        <f>IF(VLOOKUP([Field],Columns[],7,0)=0,"","-&gt;"&amp;VLOOKUP([Field],Columns[],7,0))</f>
        <v/>
      </c>
      <c r="I121" s="5" t="str">
        <f>IF(VLOOKUP([Field],Columns[],8,0)=0,"","-&gt;"&amp;VLOOKUP([Field],Columns[],8,0))</f>
        <v/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2" spans="1:11" hidden="1">
      <c r="A122" s="5" t="s">
        <v>450</v>
      </c>
      <c r="B122" s="5" t="s">
        <v>518</v>
      </c>
      <c r="C122" s="5" t="str">
        <f>VLOOKUP([Field],Columns[],2,0)&amp;"("</f>
        <v>audit(</v>
      </c>
      <c r="D122" s="5" t="str">
        <f>IF(VLOOKUP([Field],Columns[],3,0)&lt;&gt;"","'"&amp;VLOOKUP([Field],Columns[],3,0)&amp;"'","")</f>
        <v/>
      </c>
      <c r="E122" s="8" t="str">
        <f>IF(VLOOKUP([Field],Columns[],4,0)&lt;&gt;0,", "&amp;VLOOKUP([Field],Columns[],4,0)&amp;")",")")</f>
        <v>)</v>
      </c>
      <c r="F122" s="5" t="str">
        <f>IF(VLOOKUP([Field],Columns[],5,0)=0,"","-&gt;"&amp;VLOOKUP([Field],Columns[],5,0))</f>
        <v/>
      </c>
      <c r="G122" s="5" t="str">
        <f>IF(VLOOKUP([Field],Columns[],6,0)=0,"","-&gt;"&amp;VLOOKUP([Field],Columns[],6,0))</f>
        <v/>
      </c>
      <c r="H122" s="5" t="str">
        <f>IF(VLOOKUP([Field],Columns[],7,0)=0,"","-&gt;"&amp;VLOOKUP([Field],Columns[],7,0))</f>
        <v/>
      </c>
      <c r="I122" s="5" t="str">
        <f>IF(VLOOKUP([Field],Columns[],8,0)=0,"","-&gt;"&amp;VLOOKUP([Field],Columns[],8,0))</f>
        <v/>
      </c>
      <c r="J122" s="5" t="str">
        <f>IF(VLOOKUP([Field],Columns[],9,0)=0,"","-&gt;"&amp;VLOOKUP([Field],Columns[],9,0))</f>
        <v/>
      </c>
      <c r="K122" s="5" t="str">
        <f>"$table-&gt;"&amp;[Type]&amp;[Name]&amp;[Arg2]&amp;[Method1]&amp;[Method2]&amp;[Method3]&amp;[Method4]&amp;[Method5]&amp;";"</f>
        <v>$table-&gt;audit();</v>
      </c>
    </row>
    <row r="123" spans="1:11" hidden="1">
      <c r="A123" s="5" t="s">
        <v>450</v>
      </c>
      <c r="B123" s="5" t="s">
        <v>489</v>
      </c>
      <c r="C123" s="5" t="str">
        <f>VLOOKUP([Field],Columns[],2,0)&amp;"("</f>
        <v>foreign(</v>
      </c>
      <c r="D123" s="5" t="str">
        <f>IF(VLOOKUP([Field],Columns[],3,0)&lt;&gt;"","'"&amp;VLOOKUP([Field],Columns[],3,0)&amp;"'","")</f>
        <v>'wishlist_product'</v>
      </c>
      <c r="E123" s="8" t="str">
        <f>IF(VLOOKUP([Field],Columns[],4,0)&lt;&gt;0,", "&amp;VLOOKUP([Field],Columns[],4,0)&amp;")",")")</f>
        <v>)</v>
      </c>
      <c r="F123" s="5" t="str">
        <f>IF(VLOOKUP([Field],Columns[],5,0)=0,"","-&gt;"&amp;VLOOKUP([Field],Columns[],5,0))</f>
        <v>-&gt;references('id')</v>
      </c>
      <c r="G123" s="5" t="str">
        <f>IF(VLOOKUP([Field],Columns[],6,0)=0,"","-&gt;"&amp;VLOOKUP([Field],Columns[],6,0))</f>
        <v>-&gt;on('wishlist_products')</v>
      </c>
      <c r="H123" s="5" t="str">
        <f>IF(VLOOKUP([Field],Columns[],7,0)=0,"","-&gt;"&amp;VLOOKUP([Field],Columns[],7,0))</f>
        <v>-&gt;onUpdate('cascade')</v>
      </c>
      <c r="I123" s="5" t="str">
        <f>IF(VLOOKUP([Field],Columns[],8,0)=0,"","-&gt;"&amp;VLOOKUP([Field],Columns[],8,0))</f>
        <v>-&gt;onDelete('cascade')</v>
      </c>
      <c r="J123" s="5" t="str">
        <f>IF(VLOOKUP([Field],Columns[],9,0)=0,"","-&gt;"&amp;VLOOKUP([Field],Columns[],9,0))</f>
        <v/>
      </c>
      <c r="K123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24" spans="1:11" hidden="1">
      <c r="A124" s="5" t="s">
        <v>450</v>
      </c>
      <c r="B124" s="5" t="s">
        <v>473</v>
      </c>
      <c r="C124" s="5" t="str">
        <f>VLOOKUP([Field],Columns[],2,0)&amp;"("</f>
        <v>foreign(</v>
      </c>
      <c r="D124" s="5" t="str">
        <f>IF(VLOOKUP([Field],Columns[],3,0)&lt;&gt;"","'"&amp;VLOOKUP([Field],Columns[],3,0)&amp;"'","")</f>
        <v>'author'</v>
      </c>
      <c r="E124" s="8" t="str">
        <f>IF(VLOOKUP([Field],Columns[],4,0)&lt;&gt;0,", "&amp;VLOOKUP([Field],Columns[],4,0)&amp;")",")")</f>
        <v>)</v>
      </c>
      <c r="F124" s="5" t="str">
        <f>IF(VLOOKUP([Field],Columns[],5,0)=0,"","-&gt;"&amp;VLOOKUP([Field],Columns[],5,0))</f>
        <v>-&gt;references('id')</v>
      </c>
      <c r="G124" s="5" t="str">
        <f>IF(VLOOKUP([Field],Columns[],6,0)=0,"","-&gt;"&amp;VLOOKUP([Field],Columns[],6,0))</f>
        <v>-&gt;on('visitors')</v>
      </c>
      <c r="H124" s="5" t="str">
        <f>IF(VLOOKUP([Field],Columns[],7,0)=0,"","-&gt;"&amp;VLOOKUP([Field],Columns[],7,0))</f>
        <v>-&gt;onUpdate('cascade')</v>
      </c>
      <c r="I124" s="5" t="str">
        <f>IF(VLOOKUP([Field],Columns[],8,0)=0,"","-&gt;"&amp;VLOOKUP([Field],Columns[],8,0))</f>
        <v>-&gt;onDelete('set null')</v>
      </c>
      <c r="J124" s="5" t="str">
        <f>IF(VLOOKUP([Field],Columns[],9,0)=0,"","-&gt;"&amp;VLOOKUP([Field],Columns[],9,0))</f>
        <v/>
      </c>
      <c r="K124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25" spans="1:11" hidden="1">
      <c r="A125" s="5" t="s">
        <v>448</v>
      </c>
      <c r="B125" s="5" t="s">
        <v>21</v>
      </c>
      <c r="C125" s="5" t="str">
        <f>VLOOKUP([Field],Columns[],2,0)&amp;"("</f>
        <v>increments(</v>
      </c>
      <c r="D125" s="5" t="str">
        <f>IF(VLOOKUP([Field],Columns[],3,0)&lt;&gt;"","'"&amp;VLOOKUP([Field],Columns[],3,0)&amp;"'","")</f>
        <v>'id'</v>
      </c>
      <c r="E125" s="8" t="str">
        <f>IF(VLOOKUP([Field],Columns[],4,0)&lt;&gt;0,", "&amp;VLOOKUP([Field],Columns[],4,0)&amp;")",")")</f>
        <v>)</v>
      </c>
      <c r="F125" s="5" t="str">
        <f>IF(VLOOKUP([Field],Columns[],5,0)=0,"","-&gt;"&amp;VLOOKUP([Field],Columns[],5,0))</f>
        <v/>
      </c>
      <c r="G125" s="5" t="str">
        <f>IF(VLOOKUP([Field],Columns[],6,0)=0,"","-&gt;"&amp;VLOOKUP([Field],Columns[],6,0))</f>
        <v/>
      </c>
      <c r="H125" s="5" t="str">
        <f>IF(VLOOKUP([Field],Columns[],7,0)=0,"","-&gt;"&amp;VLOOKUP([Field],Columns[],7,0))</f>
        <v/>
      </c>
      <c r="I125" s="5" t="str">
        <f>IF(VLOOKUP([Field],Columns[],8,0)=0,"","-&gt;"&amp;VLOOKUP([Field],Columns[],8,0))</f>
        <v/>
      </c>
      <c r="J125" s="5" t="str">
        <f>IF(VLOOKUP([Field],Columns[],9,0)=0,"","-&gt;"&amp;VLOOKUP([Field],Columns[],9,0))</f>
        <v/>
      </c>
      <c r="K125" s="5" t="str">
        <f>"$table-&gt;"&amp;[Type]&amp;[Name]&amp;[Arg2]&amp;[Method1]&amp;[Method2]&amp;[Method3]&amp;[Method4]&amp;[Method5]&amp;";"</f>
        <v>$table-&gt;increments('id');</v>
      </c>
    </row>
    <row r="126" spans="1:11" hidden="1">
      <c r="A126" s="5" t="s">
        <v>448</v>
      </c>
      <c r="B126" s="5" t="s">
        <v>475</v>
      </c>
      <c r="C126" s="5" t="str">
        <f>VLOOKUP([Field],Columns[],2,0)&amp;"("</f>
        <v>unsignedInteger(</v>
      </c>
      <c r="D126" s="5" t="str">
        <f>IF(VLOOKUP([Field],Columns[],3,0)&lt;&gt;"","'"&amp;VLOOKUP([Field],Columns[],3,0)&amp;"'","")</f>
        <v>'wishlist'</v>
      </c>
      <c r="E126" s="8" t="str">
        <f>IF(VLOOKUP([Field],Columns[],4,0)&lt;&gt;0,", "&amp;VLOOKUP([Field],Columns[],4,0)&amp;")",")")</f>
        <v>)</v>
      </c>
      <c r="F126" s="5" t="str">
        <f>IF(VLOOKUP([Field],Columns[],5,0)=0,"","-&gt;"&amp;VLOOKUP([Field],Columns[],5,0))</f>
        <v>-&gt;nullable()</v>
      </c>
      <c r="G126" s="5" t="str">
        <f>IF(VLOOKUP([Field],Columns[],6,0)=0,"","-&gt;"&amp;VLOOKUP([Field],Columns[],6,0))</f>
        <v>-&gt;index()</v>
      </c>
      <c r="H126" s="5" t="str">
        <f>IF(VLOOKUP([Field],Columns[],7,0)=0,"","-&gt;"&amp;VLOOKUP([Field],Columns[],7,0))</f>
        <v/>
      </c>
      <c r="I126" s="5" t="str">
        <f>IF(VLOOKUP([Field],Columns[],8,0)=0,"","-&gt;"&amp;VLOOKUP([Field],Columns[],8,0))</f>
        <v/>
      </c>
      <c r="J126" s="5" t="str">
        <f>IF(VLOOKUP([Field],Columns[],9,0)=0,"","-&gt;"&amp;VLOOKUP([Field],Columns[],9,0))</f>
        <v/>
      </c>
      <c r="K126" s="5" t="str">
        <f>"$table-&gt;"&amp;[Type]&amp;[Name]&amp;[Arg2]&amp;[Method1]&amp;[Method2]&amp;[Method3]&amp;[Method4]&amp;[Method5]&amp;";"</f>
        <v>$table-&gt;unsignedInteger('wishlist')-&gt;nullable()-&gt;index();</v>
      </c>
    </row>
    <row r="127" spans="1:11" hidden="1">
      <c r="A127" s="5" t="s">
        <v>448</v>
      </c>
      <c r="B127" s="5" t="s">
        <v>453</v>
      </c>
      <c r="C127" s="5" t="str">
        <f>VLOOKUP([Field],Columns[],2,0)&amp;"("</f>
        <v>enum(</v>
      </c>
      <c r="D127" s="5" t="str">
        <f>IF(VLOOKUP([Field],Columns[],3,0)&lt;&gt;"","'"&amp;VLOOKUP([Field],Columns[],3,0)&amp;"'","")</f>
        <v>'status'</v>
      </c>
      <c r="E127" s="8" t="str">
        <f>IF(VLOOKUP([Field],Columns[],4,0)&lt;&gt;0,", "&amp;VLOOKUP([Field],Columns[],4,0)&amp;")",")")</f>
        <v>, ['Active','Inactive'])</v>
      </c>
      <c r="F127" s="5" t="str">
        <f>IF(VLOOKUP([Field],Columns[],5,0)=0,"","-&gt;"&amp;VLOOKUP([Field],Columns[],5,0))</f>
        <v>-&gt;default('Active')</v>
      </c>
      <c r="G127" s="5" t="str">
        <f>IF(VLOOKUP([Field],Columns[],6,0)=0,"","-&gt;"&amp;VLOOKUP([Field],Columns[],6,0))</f>
        <v>-&gt;index()</v>
      </c>
      <c r="H127" s="5" t="str">
        <f>IF(VLOOKUP([Field],Columns[],7,0)=0,"","-&gt;"&amp;VLOOKUP([Field],Columns[],7,0))</f>
        <v/>
      </c>
      <c r="I127" s="5" t="str">
        <f>IF(VLOOKUP([Field],Columns[],8,0)=0,"","-&gt;"&amp;VLOOKUP([Field],Columns[],8,0))</f>
        <v/>
      </c>
      <c r="J127" s="5" t="str">
        <f>IF(VLOOKUP([Field],Columns[],9,0)=0,"","-&gt;"&amp;VLOOKUP([Field],Columns[],9,0))</f>
        <v/>
      </c>
      <c r="K127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8" spans="1:11" hidden="1">
      <c r="A128" s="5" t="s">
        <v>448</v>
      </c>
      <c r="B128" s="5" t="s">
        <v>476</v>
      </c>
      <c r="C128" s="5" t="str">
        <f>VLOOKUP([Field],Columns[],2,0)&amp;"("</f>
        <v>enum(</v>
      </c>
      <c r="D128" s="5" t="str">
        <f>IF(VLOOKUP([Field],Columns[],3,0)&lt;&gt;"","'"&amp;VLOOKUP([Field],Columns[],3,0)&amp;"'","")</f>
        <v>'viewed'</v>
      </c>
      <c r="E128" s="8" t="str">
        <f>IF(VLOOKUP([Field],Columns[],4,0)&lt;&gt;0,", "&amp;VLOOKUP([Field],Columns[],4,0)&amp;")",")")</f>
        <v>, ['Yes','No'])</v>
      </c>
      <c r="F128" s="5" t="str">
        <f>IF(VLOOKUP([Field],Columns[],5,0)=0,"","-&gt;"&amp;VLOOKUP([Field],Columns[],5,0))</f>
        <v>-&gt;default('No')</v>
      </c>
      <c r="G128" s="5" t="str">
        <f>IF(VLOOKUP([Field],Columns[],6,0)=0,"","-&gt;"&amp;VLOOKUP([Field],Columns[],6,0))</f>
        <v>-&gt;index()</v>
      </c>
      <c r="H128" s="5" t="str">
        <f>IF(VLOOKUP([Field],Columns[],7,0)=0,"","-&gt;"&amp;VLOOKUP([Field],Columns[],7,0))</f>
        <v/>
      </c>
      <c r="I128" s="5" t="str">
        <f>IF(VLOOKUP([Field],Columns[],8,0)=0,"","-&gt;"&amp;VLOOKUP([Field],Columns[],8,0))</f>
        <v/>
      </c>
      <c r="J128" s="5" t="str">
        <f>IF(VLOOKUP([Field],Columns[],9,0)=0,"","-&gt;"&amp;VLOOKUP([Field],Columns[],9,0))</f>
        <v/>
      </c>
      <c r="K128" s="5" t="str">
        <f>"$table-&gt;"&amp;[Type]&amp;[Name]&amp;[Arg2]&amp;[Method1]&amp;[Method2]&amp;[Method3]&amp;[Method4]&amp;[Method5]&amp;";"</f>
        <v>$table-&gt;enum('viewed', ['Yes','No'])-&gt;default('No')-&gt;index();</v>
      </c>
    </row>
    <row r="129" spans="1:11" hidden="1">
      <c r="A129" s="5" t="s">
        <v>448</v>
      </c>
      <c r="B129" s="5" t="s">
        <v>518</v>
      </c>
      <c r="C129" s="5" t="str">
        <f>VLOOKUP([Field],Columns[],2,0)&amp;"("</f>
        <v>audit(</v>
      </c>
      <c r="D129" s="5" t="str">
        <f>IF(VLOOKUP([Field],Columns[],3,0)&lt;&gt;"","'"&amp;VLOOKUP([Field],Columns[],3,0)&amp;"'","")</f>
        <v/>
      </c>
      <c r="E129" s="8" t="str">
        <f>IF(VLOOKUP([Field],Columns[],4,0)&lt;&gt;0,", "&amp;VLOOKUP([Field],Columns[],4,0)&amp;")",")")</f>
        <v>)</v>
      </c>
      <c r="F129" s="5" t="str">
        <f>IF(VLOOKUP([Field],Columns[],5,0)=0,"","-&gt;"&amp;VLOOKUP([Field],Columns[],5,0))</f>
        <v/>
      </c>
      <c r="G129" s="5" t="str">
        <f>IF(VLOOKUP([Field],Columns[],6,0)=0,"","-&gt;"&amp;VLOOKUP([Field],Columns[],6,0))</f>
        <v/>
      </c>
      <c r="H129" s="5" t="str">
        <f>IF(VLOOKUP([Field],Columns[],7,0)=0,"","-&gt;"&amp;VLOOKUP([Field],Columns[],7,0))</f>
        <v/>
      </c>
      <c r="I129" s="5" t="str">
        <f>IF(VLOOKUP([Field],Columns[],8,0)=0,"","-&gt;"&amp;VLOOKUP([Field],Columns[],8,0))</f>
        <v/>
      </c>
      <c r="J129" s="5" t="str">
        <f>IF(VLOOKUP([Field],Columns[],9,0)=0,"","-&gt;"&amp;VLOOKUP([Field],Columns[],9,0))</f>
        <v/>
      </c>
      <c r="K129" s="5" t="str">
        <f>"$table-&gt;"&amp;[Type]&amp;[Name]&amp;[Arg2]&amp;[Method1]&amp;[Method2]&amp;[Method3]&amp;[Method4]&amp;[Method5]&amp;";"</f>
        <v>$table-&gt;audit();</v>
      </c>
    </row>
    <row r="130" spans="1:11" hidden="1">
      <c r="A130" s="5" t="s">
        <v>448</v>
      </c>
      <c r="B130" s="5" t="s">
        <v>478</v>
      </c>
      <c r="C130" s="5" t="str">
        <f>VLOOKUP([Field],Columns[],2,0)&amp;"("</f>
        <v>foreign(</v>
      </c>
      <c r="D130" s="5" t="str">
        <f>IF(VLOOKUP([Field],Columns[],3,0)&lt;&gt;"","'"&amp;VLOOKUP([Field],Columns[],3,0)&amp;"'","")</f>
        <v>'wishlist'</v>
      </c>
      <c r="E130" s="8" t="str">
        <f>IF(VLOOKUP([Field],Columns[],4,0)&lt;&gt;0,", "&amp;VLOOKUP([Field],Columns[],4,0)&amp;")",")")</f>
        <v>)</v>
      </c>
      <c r="F130" s="5" t="str">
        <f>IF(VLOOKUP([Field],Columns[],5,0)=0,"","-&gt;"&amp;VLOOKUP([Field],Columns[],5,0))</f>
        <v>-&gt;references('id')</v>
      </c>
      <c r="G130" s="5" t="str">
        <f>IF(VLOOKUP([Field],Columns[],6,0)=0,"","-&gt;"&amp;VLOOKUP([Field],Columns[],6,0))</f>
        <v>-&gt;on('wishlists')</v>
      </c>
      <c r="H130" s="5" t="str">
        <f>IF(VLOOKUP([Field],Columns[],7,0)=0,"","-&gt;"&amp;VLOOKUP([Field],Columns[],7,0))</f>
        <v>-&gt;onUpdate('cascade')</v>
      </c>
      <c r="I130" s="5" t="str">
        <f>IF(VLOOKUP([Field],Columns[],8,0)=0,"","-&gt;"&amp;VLOOKUP([Field],Columns[],8,0))</f>
        <v>-&gt;onDelete('cascade')</v>
      </c>
      <c r="J130" s="5" t="str">
        <f>IF(VLOOKUP([Field],Columns[],9,0)=0,"","-&gt;"&amp;VLOOKUP([Field],Columns[],9,0))</f>
        <v/>
      </c>
      <c r="K130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20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20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20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20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20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30">
      <formula1>AvailableFields</formula1>
    </dataValidation>
    <dataValidation type="list" allowBlank="1" showInputMessage="1" showErrorMessage="1" sqref="A2:A13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0"/>
  <sheetViews>
    <sheetView topLeftCell="B1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>
      <c r="A7" s="61" t="str">
        <f>[Table Name]&amp;"-"&amp;(COUNTIF($B$1:TableData[[#This Row],[Table Name]],TableData[[#This Row],[Table Name]])-1)</f>
        <v>Groups-1</v>
      </c>
      <c r="B7" s="30" t="s">
        <v>86</v>
      </c>
      <c r="C7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7" s="30" t="s">
        <v>988</v>
      </c>
      <c r="E7" s="30" t="s">
        <v>989</v>
      </c>
      <c r="F7" s="30" t="s">
        <v>990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61" t="str">
        <f>[Table Name]&amp;"-"&amp;(COUNTIF($B$1:TableData[[#This Row],[Table Name]],TableData[[#This Row],[Table Name]])-1)</f>
        <v>Roles-1</v>
      </c>
      <c r="B8" s="30" t="s">
        <v>88</v>
      </c>
      <c r="C8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8" s="30" t="s">
        <v>988</v>
      </c>
      <c r="E8" s="30" t="s">
        <v>989</v>
      </c>
      <c r="F8" s="30" t="s">
        <v>990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61" t="str">
        <f>[Table Name]&amp;"-"&amp;(COUNTIF($B$1:TableData[[#This Row],[Table Name]],TableData[[#This Row],[Table Name]])-1)</f>
        <v>Group Roles-1</v>
      </c>
      <c r="B9" s="30" t="s">
        <v>98</v>
      </c>
      <c r="C9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9" s="30">
        <v>50001</v>
      </c>
      <c r="E9" s="30">
        <v>50001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A10" s="61" t="str">
        <f>[Table Name]&amp;"-"&amp;(COUNTIF($B$1:TableData[[#This Row],[Table Name]],TableData[[#This Row],[Table Name]])-1)</f>
        <v>Resource Roles-1</v>
      </c>
      <c r="B10" s="30" t="s">
        <v>99</v>
      </c>
      <c r="C10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10" s="30">
        <v>50001</v>
      </c>
      <c r="E10" s="30">
        <v>50001</v>
      </c>
      <c r="F10" s="30" t="s">
        <v>991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31" t="str">
        <f>[Table Name]&amp;"-"&amp;(COUNTIF($B$1:TableData[[#This Row],[Table Name]],TableData[[#This Row],[Table Name]])-1)</f>
        <v>Resource Roles-2</v>
      </c>
      <c r="B11" s="30" t="s">
        <v>99</v>
      </c>
      <c r="C11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50002</v>
      </c>
      <c r="D11" s="32">
        <v>50002</v>
      </c>
      <c r="E11" s="30">
        <v>50001</v>
      </c>
      <c r="F11" s="30" t="s">
        <v>991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Name]&amp;"-"&amp;(COUNTIF($B$1:TableData[[#This Row],[Table Name]],TableData[[#This Row],[Table Name]])-1)</f>
        <v>Resource Roles-3</v>
      </c>
      <c r="B12" s="30" t="s">
        <v>99</v>
      </c>
      <c r="C12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50003</v>
      </c>
      <c r="D12" s="32">
        <v>50003</v>
      </c>
      <c r="E12" s="30">
        <v>50001</v>
      </c>
      <c r="F12" s="30" t="s">
        <v>991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Roles-4</v>
      </c>
      <c r="B13" s="30" t="s">
        <v>99</v>
      </c>
      <c r="C13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50004</v>
      </c>
      <c r="D13" s="32">
        <v>50004</v>
      </c>
      <c r="E13" s="30">
        <v>50001</v>
      </c>
      <c r="F13" s="30" t="s">
        <v>991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Roles-5</v>
      </c>
      <c r="B14" s="30" t="s">
        <v>99</v>
      </c>
      <c r="C14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50005</v>
      </c>
      <c r="D14" s="32">
        <v>50005</v>
      </c>
      <c r="E14" s="30">
        <v>50001</v>
      </c>
      <c r="F14" s="30" t="s">
        <v>991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Roles-6</v>
      </c>
      <c r="B15" s="30" t="s">
        <v>99</v>
      </c>
      <c r="C15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50006</v>
      </c>
      <c r="D15" s="32">
        <v>50006</v>
      </c>
      <c r="E15" s="30">
        <v>50001</v>
      </c>
      <c r="F15" s="30" t="s">
        <v>991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Name]&amp;"-"&amp;(COUNTIF($B$1:TableData[[#This Row],[Table Name]],TableData[[#This Row],[Table Name]])-1)</f>
        <v>Resource Roles-7</v>
      </c>
      <c r="B16" s="30" t="s">
        <v>99</v>
      </c>
      <c r="C16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50007</v>
      </c>
      <c r="D16" s="32">
        <v>50007</v>
      </c>
      <c r="E16" s="30">
        <v>50001</v>
      </c>
      <c r="F16" s="30" t="s">
        <v>991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Name]&amp;"-"&amp;(COUNTIF($B$1:TableData[[#This Row],[Table Name]],TableData[[#This Row],[Table Name]])-1)</f>
        <v>Resource Roles-8</v>
      </c>
      <c r="B17" s="30" t="s">
        <v>99</v>
      </c>
      <c r="C17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50008</v>
      </c>
      <c r="D17" s="32">
        <v>50008</v>
      </c>
      <c r="E17" s="30">
        <v>50001</v>
      </c>
      <c r="F17" s="30" t="s">
        <v>991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Name]&amp;"-"&amp;(COUNTIF($B$1:TableData[[#This Row],[Table Name]],TableData[[#This Row],[Table Name]])-1)</f>
        <v>Resource Roles-9</v>
      </c>
      <c r="B18" s="30" t="s">
        <v>99</v>
      </c>
      <c r="C18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50009</v>
      </c>
      <c r="D18" s="32">
        <v>50009</v>
      </c>
      <c r="E18" s="30">
        <v>50001</v>
      </c>
      <c r="F18" s="30" t="s">
        <v>991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31" t="str">
        <f>[Table Name]&amp;"-"&amp;(COUNTIF($B$1:TableData[[#This Row],[Table Name]],TableData[[#This Row],[Table Name]])-1)</f>
        <v>Resource Roles-10</v>
      </c>
      <c r="B19" s="30" t="s">
        <v>99</v>
      </c>
      <c r="C19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50010</v>
      </c>
      <c r="D19" s="32">
        <v>50010</v>
      </c>
      <c r="E19" s="30">
        <v>50001</v>
      </c>
      <c r="F19" s="30" t="s">
        <v>991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Name]&amp;"-"&amp;(COUNTIF($B$1:TableData[[#This Row],[Table Name]],TableData[[#This Row],[Table Name]])-1)</f>
        <v>Resource Roles-11</v>
      </c>
      <c r="B20" s="30" t="s">
        <v>99</v>
      </c>
      <c r="C20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50011</v>
      </c>
      <c r="D20" s="32">
        <v>50011</v>
      </c>
      <c r="E20" s="30">
        <v>50001</v>
      </c>
      <c r="F20" s="30" t="s">
        <v>991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930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C28" sqref="C28"/>
    </sheetView>
  </sheetViews>
  <sheetFormatPr defaultRowHeight="15"/>
  <cols>
    <col min="1" max="16384" width="9.140625" style="20"/>
  </cols>
  <sheetData>
    <row r="1" spans="1:20" s="28" customFormat="1" ht="15" customHeight="1">
      <c r="A1" s="105" t="s">
        <v>99</v>
      </c>
      <c r="B1" s="105"/>
      <c r="C1" s="105"/>
      <c r="D1" s="105"/>
      <c r="E1" s="106" t="str">
        <f>"\"&amp;VLOOKUP($A$1,SeedMap[],3,0)&amp;"\"&amp;VLOOKUP($A$1,SeedMap[],4,0)&amp;"::"&amp;VLOOKUP($A$1,SeedMap[],8,0)&amp;"()"</f>
        <v>\Milestone\Appframe\Model\ResourceRole::query()</v>
      </c>
      <c r="F1" s="106"/>
      <c r="G1" s="106"/>
      <c r="H1" s="106"/>
      <c r="I1" s="107" t="s">
        <v>84</v>
      </c>
      <c r="J1" s="107"/>
      <c r="K1" s="107"/>
      <c r="L1" s="107"/>
      <c r="M1" s="107"/>
      <c r="N1" s="107"/>
      <c r="O1" s="107"/>
      <c r="P1" s="107"/>
      <c r="Q1" s="107"/>
      <c r="R1" s="107"/>
      <c r="S1" s="23" t="str">
        <f>""</f>
        <v/>
      </c>
      <c r="T1" s="10"/>
    </row>
    <row r="2" spans="1:20" s="28" customFormat="1" ht="15" customHeight="1">
      <c r="A2" s="105"/>
      <c r="B2" s="105"/>
      <c r="C2" s="105"/>
      <c r="D2" s="105"/>
      <c r="E2" s="106" t="str">
        <f>VLOOKUP($A$1,SeedMap[],5,0)</f>
        <v>TableData</v>
      </c>
      <c r="F2" s="106"/>
      <c r="G2" s="106"/>
      <c r="H2" s="106"/>
      <c r="I2" s="107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23" t="str">
        <f>";"</f>
        <v>;</v>
      </c>
      <c r="T2" s="10"/>
    </row>
    <row r="3" spans="1:20" s="28" customFormat="1" ht="15" customHeight="1">
      <c r="A3" s="105"/>
      <c r="B3" s="105"/>
      <c r="C3" s="105"/>
      <c r="D3" s="105"/>
      <c r="E3" s="106" t="str">
        <f>VLOOKUP($A$1,SeedMap[],6,0)</f>
        <v>[[TRCode]:[15]]</v>
      </c>
      <c r="F3" s="106"/>
      <c r="G3" s="106"/>
      <c r="H3" s="106"/>
      <c r="I3" s="107" t="s">
        <v>149</v>
      </c>
      <c r="J3" s="107"/>
      <c r="K3" s="107"/>
      <c r="L3" s="107"/>
      <c r="M3" s="107"/>
      <c r="N3" s="107"/>
      <c r="O3" s="107"/>
      <c r="P3" s="107"/>
      <c r="Q3" s="107"/>
      <c r="R3" s="10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role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02" t="str">
        <f>$I$1</f>
        <v>$_ = \DB::statement('SELECT @@GLOBAL.foreign_key_checks');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"/>
      <c r="T6" s="10"/>
    </row>
    <row r="7" spans="1:20">
      <c r="A7" s="24"/>
      <c r="B7" s="103" t="str">
        <f>$I$2</f>
        <v>\DB::statement('set foreign_key_checks = 0');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20">
      <c r="A8" s="24"/>
      <c r="B8" s="104" t="str">
        <f>$E$1</f>
        <v>\Milestone\Appframe\Model\ResourceRole::query()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'50001', </v>
      </c>
      <c r="E9" s="52" t="str">
        <f t="shared" ca="1" si="2"/>
        <v xml:space="preserve">'role' =&gt; '50001', </v>
      </c>
      <c r="F9" s="52" t="str">
        <f t="shared" ca="1" si="2"/>
        <v xml:space="preserve">'actions_availability' =&gt; 'All', </v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'resource' =&gt; '50002', </v>
      </c>
      <c r="E10" s="52" t="str">
        <f t="shared" ca="1" si="2"/>
        <v xml:space="preserve">'role' =&gt; '50001', </v>
      </c>
      <c r="F10" s="52" t="str">
        <f t="shared" ca="1" si="2"/>
        <v xml:space="preserve">'actions_availability' =&gt; 'All', </v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'resource' =&gt; '50003', </v>
      </c>
      <c r="E11" s="52" t="str">
        <f t="shared" ca="1" si="2"/>
        <v xml:space="preserve">'role' =&gt; '50001', </v>
      </c>
      <c r="F11" s="52" t="str">
        <f t="shared" ca="1" si="2"/>
        <v xml:space="preserve">'actions_availability' =&gt; 'All', </v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'resource' =&gt; '50004', </v>
      </c>
      <c r="E12" s="52" t="str">
        <f t="shared" ca="1" si="2"/>
        <v xml:space="preserve">'role' =&gt; '50001', </v>
      </c>
      <c r="F12" s="52" t="str">
        <f t="shared" ca="1" si="2"/>
        <v xml:space="preserve">'actions_availability' =&gt; 'All', </v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2" t="str">
        <f t="shared" ca="1" si="4"/>
        <v xml:space="preserve">'id' =&gt; '50005', </v>
      </c>
      <c r="D13" s="52" t="str">
        <f t="shared" ca="1" si="2"/>
        <v xml:space="preserve">'resource' =&gt; '50005', </v>
      </c>
      <c r="E13" s="52" t="str">
        <f t="shared" ca="1" si="2"/>
        <v xml:space="preserve">'role' =&gt; '50001', </v>
      </c>
      <c r="F13" s="52" t="str">
        <f t="shared" ca="1" si="2"/>
        <v xml:space="preserve">'actions_availability' =&gt; 'All', </v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2" t="str">
        <f t="shared" ca="1" si="4"/>
        <v xml:space="preserve">'id' =&gt; '50006', </v>
      </c>
      <c r="D14" s="52" t="str">
        <f t="shared" ca="1" si="2"/>
        <v xml:space="preserve">'resource' =&gt; '50006', </v>
      </c>
      <c r="E14" s="52" t="str">
        <f t="shared" ca="1" si="2"/>
        <v xml:space="preserve">'role' =&gt; '50001', </v>
      </c>
      <c r="F14" s="52" t="str">
        <f t="shared" ca="1" si="2"/>
        <v xml:space="preserve">'actions_availability' =&gt; 'All', </v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2" t="str">
        <f t="shared" ca="1" si="4"/>
        <v xml:space="preserve">'id' =&gt; '50007', </v>
      </c>
      <c r="D15" s="52" t="str">
        <f t="shared" ca="1" si="2"/>
        <v xml:space="preserve">'resource' =&gt; '50007', </v>
      </c>
      <c r="E15" s="52" t="str">
        <f t="shared" ca="1" si="2"/>
        <v xml:space="preserve">'role' =&gt; '50001', </v>
      </c>
      <c r="F15" s="52" t="str">
        <f t="shared" ca="1" si="2"/>
        <v xml:space="preserve">'actions_availability' =&gt; 'All', </v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2" t="str">
        <f t="shared" ca="1" si="4"/>
        <v xml:space="preserve">'id' =&gt; '50008', </v>
      </c>
      <c r="D16" s="52" t="str">
        <f t="shared" ca="1" si="2"/>
        <v xml:space="preserve">'resource' =&gt; '50008', </v>
      </c>
      <c r="E16" s="52" t="str">
        <f t="shared" ca="1" si="2"/>
        <v xml:space="preserve">'role' =&gt; '50001', </v>
      </c>
      <c r="F16" s="52" t="str">
        <f t="shared" ca="1" si="2"/>
        <v xml:space="preserve">'actions_availability' =&gt; 'All', </v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2" t="str">
        <f t="shared" ca="1" si="4"/>
        <v xml:space="preserve">'id' =&gt; '50009', </v>
      </c>
      <c r="D17" s="52" t="str">
        <f t="shared" ca="1" si="2"/>
        <v xml:space="preserve">'resource' =&gt; '50009', </v>
      </c>
      <c r="E17" s="52" t="str">
        <f t="shared" ca="1" si="2"/>
        <v xml:space="preserve">'role' =&gt; '50001', </v>
      </c>
      <c r="F17" s="52" t="str">
        <f t="shared" ca="1" si="2"/>
        <v xml:space="preserve">'actions_availability' =&gt; 'All', </v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2" t="str">
        <f t="shared" ca="1" si="4"/>
        <v xml:space="preserve">'id' =&gt; '50010', </v>
      </c>
      <c r="D18" s="52" t="str">
        <f t="shared" ca="1" si="2"/>
        <v xml:space="preserve">'resource' =&gt; '50010', </v>
      </c>
      <c r="E18" s="52" t="str">
        <f t="shared" ca="1" si="2"/>
        <v xml:space="preserve">'role' =&gt; '50001', </v>
      </c>
      <c r="F18" s="52" t="str">
        <f t="shared" ca="1" si="2"/>
        <v xml:space="preserve">'actions_availability' =&gt; 'All', </v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2" t="str">
        <f t="shared" ca="1" si="4"/>
        <v xml:space="preserve">'id' =&gt; '50011', </v>
      </c>
      <c r="D19" s="52" t="str">
        <f t="shared" ca="1" si="2"/>
        <v xml:space="preserve">'resource' =&gt; '50011', </v>
      </c>
      <c r="E19" s="52" t="str">
        <f t="shared" ca="1" si="2"/>
        <v xml:space="preserve">'role' =&gt; '50001', </v>
      </c>
      <c r="F19" s="52" t="str">
        <f t="shared" ca="1" si="2"/>
        <v xml:space="preserve">'actions_availability' =&gt; 'All', </v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>])</v>
      </c>
    </row>
    <row r="20" spans="1:18">
      <c r="A20" s="21">
        <v>12</v>
      </c>
      <c r="B20" s="22" t="str">
        <f t="shared" ca="1" si="3"/>
        <v>;</v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>\DB::statement('set foreign_key_checks = ' . $_);</v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H1" workbookViewId="0">
      <selection activeCell="M3" sqref="M3:M1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646</v>
      </c>
      <c r="F3" s="5" t="s">
        <v>648</v>
      </c>
      <c r="G3" s="5" t="s">
        <v>650</v>
      </c>
      <c r="H3" s="8" t="s">
        <v>652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647</v>
      </c>
      <c r="F4" s="5" t="s">
        <v>649</v>
      </c>
      <c r="G4" s="5" t="s">
        <v>651</v>
      </c>
      <c r="H4" s="8" t="s">
        <v>652</v>
      </c>
      <c r="I4" s="5" t="s">
        <v>554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557</v>
      </c>
      <c r="F5" s="5" t="s">
        <v>558</v>
      </c>
      <c r="G5" s="5" t="s">
        <v>559</v>
      </c>
      <c r="H5" s="8" t="s">
        <v>652</v>
      </c>
      <c r="I5" s="5" t="s">
        <v>442</v>
      </c>
      <c r="J5" s="5" t="s">
        <v>580</v>
      </c>
      <c r="K5" s="5" t="s">
        <v>584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560</v>
      </c>
      <c r="F6" s="5" t="s">
        <v>561</v>
      </c>
      <c r="G6" s="5" t="s">
        <v>562</v>
      </c>
      <c r="H6" s="8" t="s">
        <v>652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563</v>
      </c>
      <c r="F7" s="5" t="s">
        <v>564</v>
      </c>
      <c r="G7" s="5" t="s">
        <v>565</v>
      </c>
      <c r="H7" s="8" t="s">
        <v>652</v>
      </c>
      <c r="I7" s="5" t="s">
        <v>444</v>
      </c>
      <c r="J7" s="5" t="s">
        <v>581</v>
      </c>
      <c r="K7" s="5" t="s">
        <v>584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566</v>
      </c>
      <c r="F8" s="5" t="s">
        <v>567</v>
      </c>
      <c r="G8" s="5" t="s">
        <v>568</v>
      </c>
      <c r="H8" s="8" t="s">
        <v>652</v>
      </c>
      <c r="I8" s="5" t="s">
        <v>445</v>
      </c>
      <c r="J8" s="5" t="s">
        <v>582</v>
      </c>
      <c r="K8" s="5" t="s">
        <v>584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569</v>
      </c>
      <c r="F9" s="5" t="s">
        <v>570</v>
      </c>
      <c r="G9" s="5" t="s">
        <v>568</v>
      </c>
      <c r="H9" s="8" t="s">
        <v>652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571</v>
      </c>
      <c r="F10" s="5" t="s">
        <v>572</v>
      </c>
      <c r="G10" s="5" t="s">
        <v>568</v>
      </c>
      <c r="H10" s="8" t="s">
        <v>652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573</v>
      </c>
      <c r="F11" s="5" t="s">
        <v>574</v>
      </c>
      <c r="G11" s="5" t="s">
        <v>575</v>
      </c>
      <c r="H11" s="8" t="s">
        <v>652</v>
      </c>
      <c r="I11" s="5" t="s">
        <v>449</v>
      </c>
      <c r="J11" s="5" t="s">
        <v>583</v>
      </c>
      <c r="K11" s="5" t="s">
        <v>584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576</v>
      </c>
      <c r="F12" s="5" t="s">
        <v>577</v>
      </c>
      <c r="G12" s="5" t="s">
        <v>559</v>
      </c>
      <c r="H12" s="8" t="s">
        <v>652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1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578</v>
      </c>
      <c r="F13" s="4" t="s">
        <v>579</v>
      </c>
      <c r="G13" s="4" t="s">
        <v>575</v>
      </c>
      <c r="H13" s="8" t="s">
        <v>652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topLeftCell="I1" workbookViewId="0">
      <selection activeCell="K10" sqref="K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2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GroupMaster/Items</v>
      </c>
      <c r="D3" s="31">
        <f>RelationTable[[#This Row],[No]]</f>
        <v>50001</v>
      </c>
      <c r="E3" s="8" t="s">
        <v>646</v>
      </c>
      <c r="F3" s="8" t="s">
        <v>647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50001</v>
      </c>
      <c r="I3" s="31" t="s">
        <v>984</v>
      </c>
      <c r="J3" s="31" t="s">
        <v>985</v>
      </c>
      <c r="K3" s="31" t="s">
        <v>612</v>
      </c>
      <c r="L3" s="31" t="s">
        <v>585</v>
      </c>
      <c r="M3" s="63">
        <f>VLOOKUP([Relate Resource],CHOOSE({1,2},ResourceTable[Name],ResourceTable[No]),2,0)</f>
        <v>50002</v>
      </c>
      <c r="N3" s="64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647</v>
      </c>
      <c r="R3" s="8" t="str">
        <f>ResourceScopes[[#This Row],[Resource for Scope]]&amp;"/"&amp;ResourceScopes[[#This Row],[Name]]</f>
        <v>GroupDetail/Group</v>
      </c>
      <c r="S3" s="15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983</v>
      </c>
      <c r="V3" s="5" t="s">
        <v>651</v>
      </c>
      <c r="W3" s="5" t="s">
        <v>75</v>
      </c>
    </row>
    <row r="4" spans="1:23">
      <c r="A4" s="62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GroupDetail/Master</v>
      </c>
      <c r="D4" s="31">
        <f>RelationTable[[#This Row],[No]]</f>
        <v>50002</v>
      </c>
      <c r="E4" s="8" t="s">
        <v>647</v>
      </c>
      <c r="F4" s="8" t="s">
        <v>646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986</v>
      </c>
      <c r="J4" s="31" t="s">
        <v>987</v>
      </c>
      <c r="K4" s="31" t="s">
        <v>986</v>
      </c>
      <c r="L4" s="31" t="s">
        <v>586</v>
      </c>
      <c r="M4" s="63">
        <f>VLOOKUP([Relate Resource],CHOOSE({1,2},ResourceTable[Name],ResourceTable[No]),2,0)</f>
        <v>50001</v>
      </c>
      <c r="N4" s="64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566</v>
      </c>
      <c r="R4" s="8" t="str">
        <f>ResourceScopes[[#This Row],[Resource for Scope]]&amp;"/"&amp;ResourceScopes[[#This Row],[Name]]</f>
        <v>Wishlist/WishlistVendorActive</v>
      </c>
      <c r="S4" s="15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50006</v>
      </c>
      <c r="U4" s="5" t="s">
        <v>746</v>
      </c>
      <c r="V4" s="5" t="s">
        <v>570</v>
      </c>
      <c r="W4" s="5" t="s">
        <v>747</v>
      </c>
    </row>
    <row r="5" spans="1:23">
      <c r="A5" s="62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GroupDetail/Group01Products</v>
      </c>
      <c r="D5" s="31">
        <f>RelationTable[[#This Row],[No]]</f>
        <v>50003</v>
      </c>
      <c r="E5" s="8" t="s">
        <v>647</v>
      </c>
      <c r="F5" s="8" t="s">
        <v>557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638</v>
      </c>
      <c r="J5" s="31" t="s">
        <v>642</v>
      </c>
      <c r="K5" s="31" t="s">
        <v>638</v>
      </c>
      <c r="L5" s="31" t="s">
        <v>585</v>
      </c>
      <c r="M5" s="63">
        <f>VLOOKUP([Relate Resource],CHOOSE({1,2},ResourceTable[Name],ResourceTable[No]),2,0)</f>
        <v>50003</v>
      </c>
      <c r="N5" s="64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560</v>
      </c>
      <c r="R5" s="8" t="str">
        <f>ResourceScopes[[#This Row],[Resource for Scope]]&amp;"/"&amp;ResourceScopes[[#This Row],[Name]]</f>
        <v>ProductImage/ImageStatus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50004</v>
      </c>
      <c r="U5" s="5" t="s">
        <v>748</v>
      </c>
      <c r="V5" s="5" t="s">
        <v>749</v>
      </c>
      <c r="W5" s="5" t="s">
        <v>750</v>
      </c>
    </row>
    <row r="6" spans="1:23">
      <c r="A6" s="62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GroupDetail/Group02Products</v>
      </c>
      <c r="D6" s="31">
        <f>RelationTable[[#This Row],[No]]</f>
        <v>50004</v>
      </c>
      <c r="E6" s="8" t="s">
        <v>647</v>
      </c>
      <c r="F6" s="8" t="s">
        <v>557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639</v>
      </c>
      <c r="J6" s="31" t="s">
        <v>645</v>
      </c>
      <c r="K6" s="31" t="s">
        <v>639</v>
      </c>
      <c r="L6" s="31" t="s">
        <v>585</v>
      </c>
      <c r="M6" s="63">
        <f>VLOOKUP([Relate Resource],CHOOSE({1,2},ResourceTable[Name],ResourceTable[No]),2,0)</f>
        <v>50003</v>
      </c>
      <c r="N6" s="64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647</v>
      </c>
      <c r="R6" s="8" t="str">
        <f>ResourceScopes[[#This Row],[Resource for Scope]]&amp;"/"&amp;ResourceScopes[[#This Row],[Name]]</f>
        <v>GroupDetail/GroupWeb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759</v>
      </c>
      <c r="V6" s="5" t="s">
        <v>751</v>
      </c>
      <c r="W6" s="5" t="s">
        <v>752</v>
      </c>
    </row>
    <row r="7" spans="1:23">
      <c r="A7" s="62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GroupDetail/Group03Products</v>
      </c>
      <c r="D7" s="31">
        <f>RelationTable[[#This Row],[No]]</f>
        <v>50005</v>
      </c>
      <c r="E7" s="8" t="s">
        <v>647</v>
      </c>
      <c r="F7" s="8" t="s">
        <v>557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50002</v>
      </c>
      <c r="I7" s="31" t="s">
        <v>640</v>
      </c>
      <c r="J7" s="31" t="s">
        <v>644</v>
      </c>
      <c r="K7" s="31" t="s">
        <v>640</v>
      </c>
      <c r="L7" s="31" t="s">
        <v>585</v>
      </c>
      <c r="M7" s="63">
        <f>VLOOKUP([Relate Resource],CHOOSE({1,2},ResourceTable[Name],ResourceTable[No]),2,0)</f>
        <v>50003</v>
      </c>
      <c r="N7" s="64">
        <f>[RELID]</f>
        <v>50005</v>
      </c>
      <c r="P7" s="7" t="str">
        <f>'Table Seed Map'!$A$8&amp;"-"&amp;COUNTA($Q$1:ResourceScopes[[#This Row],[Resource for Scope]])-1</f>
        <v>Resource Scopes-5</v>
      </c>
      <c r="Q7" s="5" t="s">
        <v>647</v>
      </c>
      <c r="R7" s="7" t="str">
        <f>ResourceScopes[[#This Row],[Resource for Scope]]&amp;"/"&amp;ResourceScopes[[#This Row],[Name]]</f>
        <v>GroupDetail/GroupList</v>
      </c>
      <c r="S7" s="61">
        <f>IF($S6="id",IF(ISNUMBER(VLOOKUP('Table Seed Map'!$A$8,SeedMap[],9,0)),VLOOKUP('Table Seed Map'!$A$8,SeedMap[],9,0)+1,1),IFERROR($S6+1,"id"))</f>
        <v>50005</v>
      </c>
      <c r="T7" s="61">
        <f>VLOOKUP(ResourceScopes[[#This Row],[Resource for Scope]],ResourceTable[[RName]:[RID]],2,0)</f>
        <v>50002</v>
      </c>
      <c r="U7" s="4" t="s">
        <v>760</v>
      </c>
      <c r="V7" s="4" t="s">
        <v>753</v>
      </c>
      <c r="W7" s="4" t="s">
        <v>754</v>
      </c>
    </row>
    <row r="8" spans="1:23">
      <c r="A8" s="62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GroupDetail/Group04Products</v>
      </c>
      <c r="D8" s="31">
        <f>RelationTable[[#This Row],[No]]</f>
        <v>50006</v>
      </c>
      <c r="E8" s="8" t="s">
        <v>647</v>
      </c>
      <c r="F8" s="8" t="s">
        <v>557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50002</v>
      </c>
      <c r="I8" s="31" t="s">
        <v>641</v>
      </c>
      <c r="J8" s="31" t="s">
        <v>643</v>
      </c>
      <c r="K8" s="31" t="s">
        <v>641</v>
      </c>
      <c r="L8" s="31" t="s">
        <v>585</v>
      </c>
      <c r="M8" s="63">
        <f>VLOOKUP([Relate Resource],CHOOSE({1,2},ResourceTable[Name],ResourceTable[No]),2,0)</f>
        <v>50003</v>
      </c>
      <c r="N8" s="64">
        <f>[RELID]</f>
        <v>50006</v>
      </c>
    </row>
    <row r="9" spans="1:23">
      <c r="A9" s="62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GroupDetail/Group05Products</v>
      </c>
      <c r="D9" s="31">
        <f>RelationTable[[#This Row],[No]]</f>
        <v>50007</v>
      </c>
      <c r="E9" s="8" t="s">
        <v>647</v>
      </c>
      <c r="F9" s="8" t="s">
        <v>557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50002</v>
      </c>
      <c r="I9" s="31" t="s">
        <v>971</v>
      </c>
      <c r="J9" s="31" t="s">
        <v>977</v>
      </c>
      <c r="K9" s="31" t="s">
        <v>971</v>
      </c>
      <c r="L9" s="31" t="s">
        <v>585</v>
      </c>
      <c r="M9" s="63">
        <f>VLOOKUP([Relate Resource],CHOOSE({1,2},ResourceTable[Name],ResourceTable[No]),2,0)</f>
        <v>50003</v>
      </c>
      <c r="N9" s="64">
        <f>[RELID]</f>
        <v>50007</v>
      </c>
    </row>
    <row r="10" spans="1:23">
      <c r="A10" s="62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GroupDetail/Group06Products</v>
      </c>
      <c r="D10" s="31">
        <f>RelationTable[[#This Row],[No]]</f>
        <v>50008</v>
      </c>
      <c r="E10" s="8" t="s">
        <v>647</v>
      </c>
      <c r="F10" s="8" t="s">
        <v>557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50002</v>
      </c>
      <c r="I10" s="31" t="s">
        <v>972</v>
      </c>
      <c r="J10" s="31" t="s">
        <v>978</v>
      </c>
      <c r="K10" s="31" t="s">
        <v>972</v>
      </c>
      <c r="L10" s="31" t="s">
        <v>585</v>
      </c>
      <c r="M10" s="63">
        <f>VLOOKUP([Relate Resource],CHOOSE({1,2},ResourceTable[Name],ResourceTable[No]),2,0)</f>
        <v>50003</v>
      </c>
      <c r="N10" s="64">
        <f>[RELID]</f>
        <v>50008</v>
      </c>
    </row>
    <row r="11" spans="1:23">
      <c r="A11" s="62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GroupDetail/Group07Products</v>
      </c>
      <c r="D11" s="31">
        <f>RelationTable[[#This Row],[No]]</f>
        <v>50009</v>
      </c>
      <c r="E11" s="8" t="s">
        <v>647</v>
      </c>
      <c r="F11" s="8" t="s">
        <v>557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50002</v>
      </c>
      <c r="I11" s="31" t="s">
        <v>973</v>
      </c>
      <c r="J11" s="31" t="s">
        <v>979</v>
      </c>
      <c r="K11" s="31" t="s">
        <v>973</v>
      </c>
      <c r="L11" s="31" t="s">
        <v>585</v>
      </c>
      <c r="M11" s="63">
        <f>VLOOKUP([Relate Resource],CHOOSE({1,2},ResourceTable[Name],ResourceTable[No]),2,0)</f>
        <v>50003</v>
      </c>
      <c r="N11" s="64">
        <f>[RELID]</f>
        <v>50009</v>
      </c>
    </row>
    <row r="12" spans="1:23">
      <c r="A12" s="62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GroupDetail/Group08Products</v>
      </c>
      <c r="D12" s="31">
        <f>RelationTable[[#This Row],[No]]</f>
        <v>50010</v>
      </c>
      <c r="E12" s="8" t="s">
        <v>647</v>
      </c>
      <c r="F12" s="8" t="s">
        <v>557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50002</v>
      </c>
      <c r="I12" s="31" t="s">
        <v>974</v>
      </c>
      <c r="J12" s="31" t="s">
        <v>980</v>
      </c>
      <c r="K12" s="31" t="s">
        <v>974</v>
      </c>
      <c r="L12" s="31" t="s">
        <v>585</v>
      </c>
      <c r="M12" s="63">
        <f>VLOOKUP([Relate Resource],CHOOSE({1,2},ResourceTable[Name],ResourceTable[No]),2,0)</f>
        <v>50003</v>
      </c>
      <c r="N12" s="64">
        <f>[RELID]</f>
        <v>50010</v>
      </c>
    </row>
    <row r="13" spans="1:23">
      <c r="A13" s="62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GroupDetail/Group09Products</v>
      </c>
      <c r="D13" s="31">
        <f>RelationTable[[#This Row],[No]]</f>
        <v>50011</v>
      </c>
      <c r="E13" s="8" t="s">
        <v>647</v>
      </c>
      <c r="F13" s="8" t="s">
        <v>557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50002</v>
      </c>
      <c r="I13" s="31" t="s">
        <v>975</v>
      </c>
      <c r="J13" s="31" t="s">
        <v>981</v>
      </c>
      <c r="K13" s="31" t="s">
        <v>975</v>
      </c>
      <c r="L13" s="31" t="s">
        <v>585</v>
      </c>
      <c r="M13" s="63">
        <f>VLOOKUP([Relate Resource],CHOOSE({1,2},ResourceTable[Name],ResourceTable[No]),2,0)</f>
        <v>50003</v>
      </c>
      <c r="N13" s="64">
        <f>[RELID]</f>
        <v>50011</v>
      </c>
    </row>
    <row r="14" spans="1:23">
      <c r="A14" s="62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GroupDetail/Group10Products</v>
      </c>
      <c r="D14" s="31">
        <f>RelationTable[[#This Row],[No]]</f>
        <v>50012</v>
      </c>
      <c r="E14" s="8" t="s">
        <v>647</v>
      </c>
      <c r="F14" s="8" t="s">
        <v>557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50002</v>
      </c>
      <c r="I14" s="31" t="s">
        <v>976</v>
      </c>
      <c r="J14" s="31" t="s">
        <v>982</v>
      </c>
      <c r="K14" s="31" t="s">
        <v>976</v>
      </c>
      <c r="L14" s="31" t="s">
        <v>585</v>
      </c>
      <c r="M14" s="63">
        <f>VLOOKUP([Relate Resource],CHOOSE({1,2},ResourceTable[Name],ResourceTable[No]),2,0)</f>
        <v>50003</v>
      </c>
      <c r="N14" s="64">
        <f>[RELID]</f>
        <v>50012</v>
      </c>
    </row>
    <row r="15" spans="1:23">
      <c r="A15" s="62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Product/Group01</v>
      </c>
      <c r="D15" s="31">
        <f>RelationTable[[#This Row],[No]]</f>
        <v>50013</v>
      </c>
      <c r="E15" s="8" t="s">
        <v>557</v>
      </c>
      <c r="F15" s="8" t="s">
        <v>647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50003</v>
      </c>
      <c r="I15" s="31" t="s">
        <v>658</v>
      </c>
      <c r="J15" s="31" t="s">
        <v>653</v>
      </c>
      <c r="K15" s="31" t="s">
        <v>714</v>
      </c>
      <c r="L15" s="31" t="s">
        <v>586</v>
      </c>
      <c r="M15" s="63">
        <f>VLOOKUP([Relate Resource],CHOOSE({1,2},ResourceTable[Name],ResourceTable[No]),2,0)</f>
        <v>50002</v>
      </c>
      <c r="N15" s="64">
        <f>[RELID]</f>
        <v>50013</v>
      </c>
    </row>
    <row r="16" spans="1:23">
      <c r="A16" s="62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Product/Group02</v>
      </c>
      <c r="D16" s="31">
        <f>RelationTable[[#This Row],[No]]</f>
        <v>50014</v>
      </c>
      <c r="E16" s="8" t="s">
        <v>557</v>
      </c>
      <c r="F16" s="8" t="s">
        <v>647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50003</v>
      </c>
      <c r="I16" s="31" t="s">
        <v>657</v>
      </c>
      <c r="J16" s="31" t="s">
        <v>654</v>
      </c>
      <c r="K16" s="31" t="s">
        <v>715</v>
      </c>
      <c r="L16" s="31" t="s">
        <v>586</v>
      </c>
      <c r="M16" s="63">
        <f>VLOOKUP([Relate Resource],CHOOSE({1,2},ResourceTable[Name],ResourceTable[No]),2,0)</f>
        <v>50002</v>
      </c>
      <c r="N16" s="64">
        <f>[RELID]</f>
        <v>50014</v>
      </c>
    </row>
    <row r="17" spans="1:14">
      <c r="A17" s="62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Product/Group03</v>
      </c>
      <c r="D17" s="31">
        <f>RelationTable[[#This Row],[No]]</f>
        <v>50015</v>
      </c>
      <c r="E17" s="8" t="s">
        <v>557</v>
      </c>
      <c r="F17" s="8" t="s">
        <v>647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50003</v>
      </c>
      <c r="I17" s="31" t="s">
        <v>660</v>
      </c>
      <c r="J17" s="31" t="s">
        <v>656</v>
      </c>
      <c r="K17" s="31" t="s">
        <v>716</v>
      </c>
      <c r="L17" s="31" t="s">
        <v>586</v>
      </c>
      <c r="M17" s="63">
        <f>VLOOKUP([Relate Resource],CHOOSE({1,2},ResourceTable[Name],ResourceTable[No]),2,0)</f>
        <v>50002</v>
      </c>
      <c r="N17" s="64">
        <f>[RELID]</f>
        <v>50015</v>
      </c>
    </row>
    <row r="18" spans="1:14">
      <c r="A18" s="62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Product/Group04</v>
      </c>
      <c r="D18" s="31">
        <f>RelationTable[[#This Row],[No]]</f>
        <v>50016</v>
      </c>
      <c r="E18" s="8" t="s">
        <v>557</v>
      </c>
      <c r="F18" s="8" t="s">
        <v>647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50003</v>
      </c>
      <c r="I18" s="31" t="s">
        <v>659</v>
      </c>
      <c r="J18" s="31" t="s">
        <v>655</v>
      </c>
      <c r="K18" s="31" t="s">
        <v>717</v>
      </c>
      <c r="L18" s="31" t="s">
        <v>586</v>
      </c>
      <c r="M18" s="63">
        <f>VLOOKUP([Relate Resource],CHOOSE({1,2},ResourceTable[Name],ResourceTable[No]),2,0)</f>
        <v>50002</v>
      </c>
      <c r="N18" s="64">
        <f>[RELID]</f>
        <v>50016</v>
      </c>
    </row>
    <row r="19" spans="1:14">
      <c r="A19" s="62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Product/Group05</v>
      </c>
      <c r="D19" s="31">
        <f>RelationTable[[#This Row],[No]]</f>
        <v>50017</v>
      </c>
      <c r="E19" s="8" t="s">
        <v>557</v>
      </c>
      <c r="F19" s="8" t="s">
        <v>647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50003</v>
      </c>
      <c r="I19" s="31" t="s">
        <v>953</v>
      </c>
      <c r="J19" s="31" t="s">
        <v>959</v>
      </c>
      <c r="K19" s="31" t="s">
        <v>965</v>
      </c>
      <c r="L19" s="31" t="s">
        <v>586</v>
      </c>
      <c r="M19" s="63">
        <f>VLOOKUP([Relate Resource],CHOOSE({1,2},ResourceTable[Name],ResourceTable[No]),2,0)</f>
        <v>50002</v>
      </c>
      <c r="N19" s="64">
        <f>[RELID]</f>
        <v>50017</v>
      </c>
    </row>
    <row r="20" spans="1:14">
      <c r="A20" s="62" t="str">
        <f>Page&amp;"-"&amp;(COUNTA($E$1:RelationTable[[#This Row],[Resource]])-1)</f>
        <v>Resource Relations-18</v>
      </c>
      <c r="B20" s="34">
        <f>IF(RelationTable[[#This Row],[Resource]]="","id",COUNTA($E$2:RelationTable[[#This Row],[Resource]])+IF(ISNUMBER(VLOOKUP('Table Seed Map'!$A$9,SeedMap[],9,0)),VLOOKUP('Table Seed Map'!$A$9,SeedMap[],9,0),0))</f>
        <v>50018</v>
      </c>
      <c r="C20" s="31" t="str">
        <f>RelationTable[[#This Row],[Resource]]&amp;"/"&amp;RelationTable[[#This Row],[Method]]</f>
        <v>Product/Group06</v>
      </c>
      <c r="D20" s="31">
        <f>RelationTable[[#This Row],[No]]</f>
        <v>50018</v>
      </c>
      <c r="E20" s="8" t="s">
        <v>557</v>
      </c>
      <c r="F20" s="8" t="s">
        <v>647</v>
      </c>
      <c r="G20" s="31">
        <f>RelationTable[[#This Row],[No]]</f>
        <v>50018</v>
      </c>
      <c r="H20" s="31">
        <f>IF(RelationTable[[#This Row],[No]]="id","resource",VLOOKUP([Resource],CHOOSE({1,2},ResourceTable[Name],ResourceTable[No]),2,0))</f>
        <v>50003</v>
      </c>
      <c r="I20" s="31" t="s">
        <v>954</v>
      </c>
      <c r="J20" s="31" t="s">
        <v>960</v>
      </c>
      <c r="K20" s="31" t="s">
        <v>966</v>
      </c>
      <c r="L20" s="31" t="s">
        <v>586</v>
      </c>
      <c r="M20" s="63">
        <f>VLOOKUP([Relate Resource],CHOOSE({1,2},ResourceTable[Name],ResourceTable[No]),2,0)</f>
        <v>50002</v>
      </c>
      <c r="N20" s="64">
        <f>[RELID]</f>
        <v>50018</v>
      </c>
    </row>
    <row r="21" spans="1:14">
      <c r="A21" s="62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Product/Group07</v>
      </c>
      <c r="D21" s="31">
        <f>RelationTable[[#This Row],[No]]</f>
        <v>50019</v>
      </c>
      <c r="E21" s="8" t="s">
        <v>557</v>
      </c>
      <c r="F21" s="8" t="s">
        <v>647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50003</v>
      </c>
      <c r="I21" s="31" t="s">
        <v>955</v>
      </c>
      <c r="J21" s="31" t="s">
        <v>961</v>
      </c>
      <c r="K21" s="31" t="s">
        <v>967</v>
      </c>
      <c r="L21" s="31" t="s">
        <v>586</v>
      </c>
      <c r="M21" s="63">
        <f>VLOOKUP([Relate Resource],CHOOSE({1,2},ResourceTable[Name],ResourceTable[No]),2,0)</f>
        <v>50002</v>
      </c>
      <c r="N21" s="64">
        <f>[RELID]</f>
        <v>50019</v>
      </c>
    </row>
    <row r="22" spans="1:14">
      <c r="A22" s="62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Product/Group08</v>
      </c>
      <c r="D22" s="31">
        <f>RelationTable[[#This Row],[No]]</f>
        <v>50020</v>
      </c>
      <c r="E22" s="8" t="s">
        <v>557</v>
      </c>
      <c r="F22" s="8" t="s">
        <v>647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50003</v>
      </c>
      <c r="I22" s="31" t="s">
        <v>956</v>
      </c>
      <c r="J22" s="31" t="s">
        <v>962</v>
      </c>
      <c r="K22" s="31" t="s">
        <v>968</v>
      </c>
      <c r="L22" s="31" t="s">
        <v>586</v>
      </c>
      <c r="M22" s="63">
        <f>VLOOKUP([Relate Resource],CHOOSE({1,2},ResourceTable[Name],ResourceTable[No]),2,0)</f>
        <v>50002</v>
      </c>
      <c r="N22" s="64">
        <f>[RELID]</f>
        <v>50020</v>
      </c>
    </row>
    <row r="23" spans="1:14">
      <c r="A23" s="62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Product/Group09</v>
      </c>
      <c r="D23" s="31">
        <f>RelationTable[[#This Row],[No]]</f>
        <v>50021</v>
      </c>
      <c r="E23" s="8" t="s">
        <v>557</v>
      </c>
      <c r="F23" s="8" t="s">
        <v>647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50003</v>
      </c>
      <c r="I23" s="31" t="s">
        <v>957</v>
      </c>
      <c r="J23" s="31" t="s">
        <v>963</v>
      </c>
      <c r="K23" s="31" t="s">
        <v>969</v>
      </c>
      <c r="L23" s="31" t="s">
        <v>586</v>
      </c>
      <c r="M23" s="63">
        <f>VLOOKUP([Relate Resource],CHOOSE({1,2},ResourceTable[Name],ResourceTable[No]),2,0)</f>
        <v>50002</v>
      </c>
      <c r="N23" s="64">
        <f>[RELID]</f>
        <v>50021</v>
      </c>
    </row>
    <row r="24" spans="1:14">
      <c r="A24" s="62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Product/Group10</v>
      </c>
      <c r="D24" s="31">
        <f>RelationTable[[#This Row],[No]]</f>
        <v>50022</v>
      </c>
      <c r="E24" s="8" t="s">
        <v>557</v>
      </c>
      <c r="F24" s="8" t="s">
        <v>647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50003</v>
      </c>
      <c r="I24" s="31" t="s">
        <v>958</v>
      </c>
      <c r="J24" s="31" t="s">
        <v>964</v>
      </c>
      <c r="K24" s="31" t="s">
        <v>970</v>
      </c>
      <c r="L24" s="31" t="s">
        <v>586</v>
      </c>
      <c r="M24" s="63">
        <f>VLOOKUP([Relate Resource],CHOOSE({1,2},ResourceTable[Name],ResourceTable[No]),2,0)</f>
        <v>50002</v>
      </c>
      <c r="N24" s="64">
        <f>[RELID]</f>
        <v>50022</v>
      </c>
    </row>
    <row r="25" spans="1:14">
      <c r="A25" s="62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Product/Images</v>
      </c>
      <c r="D25" s="31">
        <f>RelationTable[[#This Row],[No]]</f>
        <v>50023</v>
      </c>
      <c r="E25" s="8" t="s">
        <v>557</v>
      </c>
      <c r="F25" s="8" t="s">
        <v>560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50003</v>
      </c>
      <c r="I25" s="31" t="s">
        <v>589</v>
      </c>
      <c r="J25" s="31" t="s">
        <v>590</v>
      </c>
      <c r="K25" s="31" t="s">
        <v>591</v>
      </c>
      <c r="L25" s="31" t="s">
        <v>585</v>
      </c>
      <c r="M25" s="63">
        <f>VLOOKUP([Relate Resource],CHOOSE({1,2},ResourceTable[Name],ResourceTable[No]),2,0)</f>
        <v>50004</v>
      </c>
      <c r="N25" s="64">
        <f>[RELID]</f>
        <v>50023</v>
      </c>
    </row>
    <row r="26" spans="1:14">
      <c r="A26" s="62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Product/Wishlists</v>
      </c>
      <c r="D26" s="31">
        <f>RelationTable[[#This Row],[No]]</f>
        <v>50024</v>
      </c>
      <c r="E26" s="8" t="s">
        <v>557</v>
      </c>
      <c r="F26" s="8" t="s">
        <v>560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50003</v>
      </c>
      <c r="I26" s="31" t="s">
        <v>592</v>
      </c>
      <c r="J26" s="31" t="s">
        <v>593</v>
      </c>
      <c r="K26" s="31" t="s">
        <v>568</v>
      </c>
      <c r="L26" s="31" t="s">
        <v>594</v>
      </c>
      <c r="M26" s="63">
        <f>VLOOKUP([Relate Resource],CHOOSE({1,2},ResourceTable[Name],ResourceTable[No]),2,0)</f>
        <v>50004</v>
      </c>
      <c r="N26" s="64">
        <f>[RELID]</f>
        <v>50024</v>
      </c>
    </row>
    <row r="27" spans="1:14">
      <c r="A27" s="62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Visitor/Wishlists</v>
      </c>
      <c r="D27" s="31">
        <f>RelationTable[[#This Row],[No]]</f>
        <v>50025</v>
      </c>
      <c r="E27" s="8" t="s">
        <v>563</v>
      </c>
      <c r="F27" s="8" t="s">
        <v>566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50005</v>
      </c>
      <c r="I27" s="31" t="s">
        <v>571</v>
      </c>
      <c r="J27" s="31" t="s">
        <v>595</v>
      </c>
      <c r="K27" s="31" t="s">
        <v>568</v>
      </c>
      <c r="L27" s="31" t="s">
        <v>585</v>
      </c>
      <c r="M27" s="63">
        <f>VLOOKUP([Relate Resource],CHOOSE({1,2},ResourceTable[Name],ResourceTable[No]),2,0)</f>
        <v>50006</v>
      </c>
      <c r="N27" s="64">
        <f>[RELID]</f>
        <v>50025</v>
      </c>
    </row>
    <row r="28" spans="1:14">
      <c r="A28" s="62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Visitor/SharedWishlist</v>
      </c>
      <c r="D28" s="31">
        <f>RelationTable[[#This Row],[No]]</f>
        <v>50026</v>
      </c>
      <c r="E28" s="8" t="s">
        <v>563</v>
      </c>
      <c r="F28" s="8" t="s">
        <v>566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50005</v>
      </c>
      <c r="I28" s="31" t="s">
        <v>596</v>
      </c>
      <c r="J28" s="31" t="s">
        <v>597</v>
      </c>
      <c r="K28" s="31" t="s">
        <v>598</v>
      </c>
      <c r="L28" s="31" t="s">
        <v>594</v>
      </c>
      <c r="M28" s="63">
        <f>VLOOKUP([Relate Resource],CHOOSE({1,2},ResourceTable[Name],ResourceTable[No]),2,0)</f>
        <v>50006</v>
      </c>
      <c r="N28" s="64">
        <f>[RELID]</f>
        <v>50026</v>
      </c>
    </row>
    <row r="29" spans="1:14">
      <c r="A29" s="62" t="str">
        <f>Page&amp;"-"&amp;(COUNTA($E$1:RelationTable[[#This Row],[Resource]])-1)</f>
        <v>Resource Relations-27</v>
      </c>
      <c r="B29" s="34">
        <f>IF(RelationTable[[#This Row],[Resource]]="","id",COUNTA($E$2:RelationTable[[#This Row],[Resource]])+IF(ISNUMBER(VLOOKUP('Table Seed Map'!$A$9,SeedMap[],9,0)),VLOOKUP('Table Seed Map'!$A$9,SeedMap[],9,0),0))</f>
        <v>50027</v>
      </c>
      <c r="C29" s="31" t="str">
        <f>RelationTable[[#This Row],[Resource]]&amp;"/"&amp;RelationTable[[#This Row],[Method]]</f>
        <v>Wishlist/Author</v>
      </c>
      <c r="D29" s="31">
        <f>RelationTable[[#This Row],[No]]</f>
        <v>50027</v>
      </c>
      <c r="E29" s="8" t="s">
        <v>566</v>
      </c>
      <c r="F29" s="8" t="s">
        <v>563</v>
      </c>
      <c r="G29" s="31">
        <f>RelationTable[[#This Row],[No]]</f>
        <v>50027</v>
      </c>
      <c r="H29" s="31">
        <f>IF(RelationTable[[#This Row],[No]]="id","resource",VLOOKUP([Resource],CHOOSE({1,2},ResourceTable[Name],ResourceTable[No]),2,0))</f>
        <v>50006</v>
      </c>
      <c r="I29" s="31" t="s">
        <v>599</v>
      </c>
      <c r="J29" s="31" t="s">
        <v>600</v>
      </c>
      <c r="K29" s="31" t="s">
        <v>601</v>
      </c>
      <c r="L29" s="31" t="s">
        <v>586</v>
      </c>
      <c r="M29" s="63">
        <f>VLOOKUP([Relate Resource],CHOOSE({1,2},ResourceTable[Name],ResourceTable[No]),2,0)</f>
        <v>50005</v>
      </c>
      <c r="N29" s="64">
        <f>[RELID]</f>
        <v>50027</v>
      </c>
    </row>
    <row r="30" spans="1:14">
      <c r="A30" s="62" t="str">
        <f>Page&amp;"-"&amp;(COUNTA($E$1:RelationTable[[#This Row],[Resource]])-1)</f>
        <v>Resource Relations-28</v>
      </c>
      <c r="B30" s="34">
        <f>IF(RelationTable[[#This Row],[Resource]]="","id",COUNTA($E$2:RelationTable[[#This Row],[Resource]])+IF(ISNUMBER(VLOOKUP('Table Seed Map'!$A$9,SeedMap[],9,0)),VLOOKUP('Table Seed Map'!$A$9,SeedMap[],9,0),0))</f>
        <v>50028</v>
      </c>
      <c r="C30" s="31" t="str">
        <f>RelationTable[[#This Row],[Resource]]&amp;"/"&amp;RelationTable[[#This Row],[Method]]</f>
        <v>Wishlist/Vendor</v>
      </c>
      <c r="D30" s="31">
        <f>RelationTable[[#This Row],[No]]</f>
        <v>50028</v>
      </c>
      <c r="E30" s="8" t="s">
        <v>566</v>
      </c>
      <c r="F30" s="8" t="s">
        <v>569</v>
      </c>
      <c r="G30" s="31">
        <f>RelationTable[[#This Row],[No]]</f>
        <v>50028</v>
      </c>
      <c r="H30" s="31">
        <f>IF(RelationTable[[#This Row],[No]]="id","resource",VLOOKUP([Resource],CHOOSE({1,2},ResourceTable[Name],ResourceTable[No]),2,0))</f>
        <v>50006</v>
      </c>
      <c r="I30" s="31" t="s">
        <v>602</v>
      </c>
      <c r="J30" s="31" t="s">
        <v>603</v>
      </c>
      <c r="K30" s="31" t="s">
        <v>604</v>
      </c>
      <c r="L30" s="31" t="s">
        <v>605</v>
      </c>
      <c r="M30" s="63">
        <f>VLOOKUP([Relate Resource],CHOOSE({1,2},ResourceTable[Name],ResourceTable[No]),2,0)</f>
        <v>50007</v>
      </c>
      <c r="N30" s="64">
        <f>[RELID]</f>
        <v>50028</v>
      </c>
    </row>
    <row r="31" spans="1:14">
      <c r="A31" s="62" t="str">
        <f>Page&amp;"-"&amp;(COUNTA($E$1:RelationTable[[#This Row],[Resource]])-1)</f>
        <v>Resource Relations-29</v>
      </c>
      <c r="B31" s="34">
        <f>IF(RelationTable[[#This Row],[Resource]]="","id",COUNTA($E$2:RelationTable[[#This Row],[Resource]])+IF(ISNUMBER(VLOOKUP('Table Seed Map'!$A$9,SeedMap[],9,0)),VLOOKUP('Table Seed Map'!$A$9,SeedMap[],9,0),0))</f>
        <v>50029</v>
      </c>
      <c r="C31" s="31" t="str">
        <f>RelationTable[[#This Row],[Resource]]&amp;"/"&amp;RelationTable[[#This Row],[Method]]</f>
        <v>Wishlist/Visitors</v>
      </c>
      <c r="D31" s="31">
        <f>RelationTable[[#This Row],[No]]</f>
        <v>50029</v>
      </c>
      <c r="E31" s="8" t="s">
        <v>566</v>
      </c>
      <c r="F31" s="8" t="s">
        <v>571</v>
      </c>
      <c r="G31" s="31">
        <f>RelationTable[[#This Row],[No]]</f>
        <v>50029</v>
      </c>
      <c r="H31" s="31">
        <f>IF(RelationTable[[#This Row],[No]]="id","resource",VLOOKUP([Resource],CHOOSE({1,2},ResourceTable[Name],ResourceTable[No]),2,0))</f>
        <v>50006</v>
      </c>
      <c r="I31" s="31" t="s">
        <v>606</v>
      </c>
      <c r="J31" s="31" t="s">
        <v>607</v>
      </c>
      <c r="K31" s="31" t="s">
        <v>565</v>
      </c>
      <c r="L31" s="31" t="s">
        <v>594</v>
      </c>
      <c r="M31" s="63">
        <f>VLOOKUP([Relate Resource],CHOOSE({1,2},ResourceTable[Name],ResourceTable[No]),2,0)</f>
        <v>50008</v>
      </c>
      <c r="N31" s="64">
        <f>[RELID]</f>
        <v>50029</v>
      </c>
    </row>
    <row r="32" spans="1:14">
      <c r="A32" s="62" t="str">
        <f>Page&amp;"-"&amp;(COUNTA($E$1:RelationTable[[#This Row],[Resource]])-1)</f>
        <v>Resource Relations-30</v>
      </c>
      <c r="B32" s="34">
        <f>IF(RelationTable[[#This Row],[Resource]]="","id",COUNTA($E$2:RelationTable[[#This Row],[Resource]])+IF(ISNUMBER(VLOOKUP('Table Seed Map'!$A$9,SeedMap[],9,0)),VLOOKUP('Table Seed Map'!$A$9,SeedMap[],9,0),0))</f>
        <v>50030</v>
      </c>
      <c r="C32" s="31" t="str">
        <f>RelationTable[[#This Row],[Resource]]&amp;"/"&amp;RelationTable[[#This Row],[Method]]</f>
        <v>Wishlist/Notes</v>
      </c>
      <c r="D32" s="31">
        <f>RelationTable[[#This Row],[No]]</f>
        <v>50030</v>
      </c>
      <c r="E32" s="8" t="s">
        <v>566</v>
      </c>
      <c r="F32" s="8" t="s">
        <v>573</v>
      </c>
      <c r="G32" s="31">
        <f>RelationTable[[#This Row],[No]]</f>
        <v>50030</v>
      </c>
      <c r="H32" s="31">
        <f>IF(RelationTable[[#This Row],[No]]="id","resource",VLOOKUP([Resource],CHOOSE({1,2},ResourceTable[Name],ResourceTable[No]),2,0))</f>
        <v>50006</v>
      </c>
      <c r="I32" s="31" t="s">
        <v>608</v>
      </c>
      <c r="J32" s="31" t="s">
        <v>609</v>
      </c>
      <c r="K32" s="31" t="s">
        <v>575</v>
      </c>
      <c r="L32" s="31" t="s">
        <v>585</v>
      </c>
      <c r="M32" s="63">
        <f>VLOOKUP([Relate Resource],CHOOSE({1,2},ResourceTable[Name],ResourceTable[No]),2,0)</f>
        <v>50009</v>
      </c>
      <c r="N32" s="64">
        <f>[RELID]</f>
        <v>50030</v>
      </c>
    </row>
    <row r="33" spans="1:14">
      <c r="A33" s="62" t="str">
        <f>Page&amp;"-"&amp;(COUNTA($E$1:RelationTable[[#This Row],[Resource]])-1)</f>
        <v>Resource Relations-31</v>
      </c>
      <c r="B33" s="34">
        <f>IF(RelationTable[[#This Row],[Resource]]="","id",COUNTA($E$2:RelationTable[[#This Row],[Resource]])+IF(ISNUMBER(VLOOKUP('Table Seed Map'!$A$9,SeedMap[],9,0)),VLOOKUP('Table Seed Map'!$A$9,SeedMap[],9,0),0))</f>
        <v>50031</v>
      </c>
      <c r="C33" s="31" t="str">
        <f>RelationTable[[#This Row],[Resource]]&amp;"/"&amp;RelationTable[[#This Row],[Method]]</f>
        <v>Wishlist/Items</v>
      </c>
      <c r="D33" s="31">
        <f>RelationTable[[#This Row],[No]]</f>
        <v>50031</v>
      </c>
      <c r="E33" s="8" t="s">
        <v>566</v>
      </c>
      <c r="F33" s="8" t="s">
        <v>576</v>
      </c>
      <c r="G33" s="31">
        <f>RelationTable[[#This Row],[No]]</f>
        <v>50031</v>
      </c>
      <c r="H33" s="31">
        <f>IF(RelationTable[[#This Row],[No]]="id","resource",VLOOKUP([Resource],CHOOSE({1,2},ResourceTable[Name],ResourceTable[No]),2,0))</f>
        <v>50006</v>
      </c>
      <c r="I33" s="31" t="s">
        <v>610</v>
      </c>
      <c r="J33" s="31" t="s">
        <v>611</v>
      </c>
      <c r="K33" s="31" t="s">
        <v>612</v>
      </c>
      <c r="L33" s="31" t="s">
        <v>585</v>
      </c>
      <c r="M33" s="63">
        <f>VLOOKUP([Relate Resource],CHOOSE({1,2},ResourceTable[Name],ResourceTable[No]),2,0)</f>
        <v>50010</v>
      </c>
      <c r="N33" s="64">
        <f>[RELID]</f>
        <v>50031</v>
      </c>
    </row>
    <row r="34" spans="1:14">
      <c r="A34" s="65" t="str">
        <f>Page&amp;"-"&amp;(COUNTA($E$1:RelationTable[[#This Row],[Resource]])-1)</f>
        <v>Resource Relations-32</v>
      </c>
      <c r="B34" s="60">
        <f>IF(RelationTable[[#This Row],[Resource]]="","id",COUNTA($E$2:RelationTable[[#This Row],[Resource]])+IF(ISNUMBER(VLOOKUP('Table Seed Map'!$A$9,SeedMap[],9,0)),VLOOKUP('Table Seed Map'!$A$9,SeedMap[],9,0),0))</f>
        <v>50032</v>
      </c>
      <c r="C34" s="61" t="str">
        <f>RelationTable[[#This Row],[Resource]]&amp;"/"&amp;RelationTable[[#This Row],[Method]]</f>
        <v>Wishlist/Products</v>
      </c>
      <c r="D34" s="61">
        <f>RelationTable[[#This Row],[No]]</f>
        <v>50032</v>
      </c>
      <c r="E34" s="8" t="s">
        <v>566</v>
      </c>
      <c r="F34" s="7" t="s">
        <v>557</v>
      </c>
      <c r="G34" s="61">
        <f>RelationTable[[#This Row],[No]]</f>
        <v>50032</v>
      </c>
      <c r="H34" s="61">
        <f>IF(RelationTable[[#This Row],[No]]="id","resource",VLOOKUP([Resource],CHOOSE({1,2},ResourceTable[Name],ResourceTable[No]),2,0))</f>
        <v>50006</v>
      </c>
      <c r="I34" s="61" t="s">
        <v>613</v>
      </c>
      <c r="J34" s="61" t="s">
        <v>614</v>
      </c>
      <c r="K34" s="61" t="s">
        <v>559</v>
      </c>
      <c r="L34" s="61" t="s">
        <v>594</v>
      </c>
      <c r="M34" s="66">
        <f>VLOOKUP([Relate Resource],CHOOSE({1,2},ResourceTable[Name],ResourceTable[No]),2,0)</f>
        <v>50003</v>
      </c>
      <c r="N34" s="67">
        <f>[RELID]</f>
        <v>50032</v>
      </c>
    </row>
    <row r="35" spans="1:14">
      <c r="A35" s="62" t="str">
        <f>Page&amp;"-"&amp;(COUNTA($E$1:RelationTable[[#This Row],[Resource]])-1)</f>
        <v>Resource Relations-33</v>
      </c>
      <c r="B35" s="34">
        <f>IF(RelationTable[[#This Row],[Resource]]="","id",COUNTA($E$2:RelationTable[[#This Row],[Resource]])+IF(ISNUMBER(VLOOKUP('Table Seed Map'!$A$9,SeedMap[],9,0)),VLOOKUP('Table Seed Map'!$A$9,SeedMap[],9,0),0))</f>
        <v>50033</v>
      </c>
      <c r="C35" s="31" t="str">
        <f>RelationTable[[#This Row],[Resource]]&amp;"/"&amp;RelationTable[[#This Row],[Method]]</f>
        <v>Visitor/Wishlist</v>
      </c>
      <c r="D35" s="31">
        <f>RelationTable[[#This Row],[No]]</f>
        <v>50033</v>
      </c>
      <c r="E35" s="8" t="s">
        <v>563</v>
      </c>
      <c r="F35" s="8" t="s">
        <v>566</v>
      </c>
      <c r="G35" s="31">
        <f>RelationTable[[#This Row],[No]]</f>
        <v>50033</v>
      </c>
      <c r="H35" s="31">
        <f>IF(RelationTable[[#This Row],[No]]="id","resource",VLOOKUP([Resource],CHOOSE({1,2},ResourceTable[Name],ResourceTable[No]),2,0))</f>
        <v>50005</v>
      </c>
      <c r="I35" s="31" t="s">
        <v>615</v>
      </c>
      <c r="J35" s="31" t="s">
        <v>616</v>
      </c>
      <c r="K35" s="31" t="s">
        <v>566</v>
      </c>
      <c r="L35" s="31" t="s">
        <v>586</v>
      </c>
      <c r="M35" s="63">
        <f>VLOOKUP([Relate Resource],CHOOSE({1,2},ResourceTable[Name],ResourceTable[No]),2,0)</f>
        <v>50006</v>
      </c>
      <c r="N35" s="64">
        <f>[RELID]</f>
        <v>50033</v>
      </c>
    </row>
    <row r="36" spans="1:14">
      <c r="A36" s="62" t="str">
        <f>Page&amp;"-"&amp;(COUNTA($E$1:RelationTable[[#This Row],[Resource]])-1)</f>
        <v>Resource Relations-34</v>
      </c>
      <c r="B36" s="34">
        <f>IF(RelationTable[[#This Row],[Resource]]="","id",COUNTA($E$2:RelationTable[[#This Row],[Resource]])+IF(ISNUMBER(VLOOKUP('Table Seed Map'!$A$9,SeedMap[],9,0)),VLOOKUP('Table Seed Map'!$A$9,SeedMap[],9,0),0))</f>
        <v>50034</v>
      </c>
      <c r="C36" s="31" t="str">
        <f>RelationTable[[#This Row],[Resource]]&amp;"/"&amp;RelationTable[[#This Row],[Method]]</f>
        <v>Visitor/Visitor</v>
      </c>
      <c r="D36" s="31">
        <f>RelationTable[[#This Row],[No]]</f>
        <v>50034</v>
      </c>
      <c r="E36" s="8" t="s">
        <v>563</v>
      </c>
      <c r="F36" s="8" t="s">
        <v>571</v>
      </c>
      <c r="G36" s="31">
        <f>RelationTable[[#This Row],[No]]</f>
        <v>50034</v>
      </c>
      <c r="H36" s="31">
        <f>IF(RelationTable[[#This Row],[No]]="id","resource",VLOOKUP([Resource],CHOOSE({1,2},ResourceTable[Name],ResourceTable[No]),2,0))</f>
        <v>50005</v>
      </c>
      <c r="I36" s="31" t="s">
        <v>617</v>
      </c>
      <c r="J36" s="31" t="s">
        <v>618</v>
      </c>
      <c r="K36" s="31" t="s">
        <v>563</v>
      </c>
      <c r="L36" s="31" t="s">
        <v>586</v>
      </c>
      <c r="M36" s="63">
        <f>VLOOKUP([Relate Resource],CHOOSE({1,2},ResourceTable[Name],ResourceTable[No]),2,0)</f>
        <v>50008</v>
      </c>
      <c r="N36" s="64">
        <f>[RELID]</f>
        <v>50034</v>
      </c>
    </row>
    <row r="37" spans="1:14">
      <c r="A37" s="62" t="str">
        <f>Page&amp;"-"&amp;(COUNTA($E$1:RelationTable[[#This Row],[Resource]])-1)</f>
        <v>Resource Relations-35</v>
      </c>
      <c r="B37" s="34">
        <f>IF(RelationTable[[#This Row],[Resource]]="","id",COUNTA($E$2:RelationTable[[#This Row],[Resource]])+IF(ISNUMBER(VLOOKUP('Table Seed Map'!$A$9,SeedMap[],9,0)),VLOOKUP('Table Seed Map'!$A$9,SeedMap[],9,0),0))</f>
        <v>50035</v>
      </c>
      <c r="C37" s="31" t="str">
        <f>RelationTable[[#This Row],[Resource]]&amp;"/"&amp;RelationTable[[#This Row],[Method]]</f>
        <v>WishlistNote/Author</v>
      </c>
      <c r="D37" s="31">
        <f>RelationTable[[#This Row],[No]]</f>
        <v>50035</v>
      </c>
      <c r="E37" s="8" t="s">
        <v>573</v>
      </c>
      <c r="F37" s="8" t="s">
        <v>563</v>
      </c>
      <c r="G37" s="31">
        <f>RelationTable[[#This Row],[No]]</f>
        <v>50035</v>
      </c>
      <c r="H37" s="31">
        <f>IF(RelationTable[[#This Row],[No]]="id","resource",VLOOKUP([Resource],CHOOSE({1,2},ResourceTable[Name],ResourceTable[No]),2,0))</f>
        <v>50009</v>
      </c>
      <c r="I37" s="31" t="s">
        <v>619</v>
      </c>
      <c r="J37" s="31" t="s">
        <v>620</v>
      </c>
      <c r="K37" s="31" t="s">
        <v>601</v>
      </c>
      <c r="L37" s="31" t="s">
        <v>586</v>
      </c>
      <c r="M37" s="63">
        <f>VLOOKUP([Relate Resource],CHOOSE({1,2},ResourceTable[Name],ResourceTable[No]),2,0)</f>
        <v>50005</v>
      </c>
      <c r="N37" s="64">
        <f>[RELID]</f>
        <v>50035</v>
      </c>
    </row>
    <row r="38" spans="1:14">
      <c r="A38" s="62" t="str">
        <f>Page&amp;"-"&amp;(COUNTA($E$1:RelationTable[[#This Row],[Resource]])-1)</f>
        <v>Resource Relations-36</v>
      </c>
      <c r="B38" s="34">
        <f>IF(RelationTable[[#This Row],[Resource]]="","id",COUNTA($E$2:RelationTable[[#This Row],[Resource]])+IF(ISNUMBER(VLOOKUP('Table Seed Map'!$A$9,SeedMap[],9,0)),VLOOKUP('Table Seed Map'!$A$9,SeedMap[],9,0),0))</f>
        <v>50036</v>
      </c>
      <c r="C38" s="31" t="str">
        <f>RelationTable[[#This Row],[Resource]]&amp;"/"&amp;RelationTable[[#This Row],[Method]]</f>
        <v>WishlistProduct/Wishlist</v>
      </c>
      <c r="D38" s="31">
        <f>RelationTable[[#This Row],[No]]</f>
        <v>50036</v>
      </c>
      <c r="E38" s="8" t="s">
        <v>576</v>
      </c>
      <c r="F38" s="8" t="s">
        <v>566</v>
      </c>
      <c r="G38" s="31">
        <f>RelationTable[[#This Row],[No]]</f>
        <v>50036</v>
      </c>
      <c r="H38" s="31">
        <f>IF(RelationTable[[#This Row],[No]]="id","resource",VLOOKUP([Resource],CHOOSE({1,2},ResourceTable[Name],ResourceTable[No]),2,0))</f>
        <v>50010</v>
      </c>
      <c r="I38" s="31" t="s">
        <v>621</v>
      </c>
      <c r="J38" s="31" t="s">
        <v>622</v>
      </c>
      <c r="K38" s="31" t="s">
        <v>566</v>
      </c>
      <c r="L38" s="31" t="s">
        <v>586</v>
      </c>
      <c r="M38" s="63">
        <f>VLOOKUP([Relate Resource],CHOOSE({1,2},ResourceTable[Name],ResourceTable[No]),2,0)</f>
        <v>50006</v>
      </c>
      <c r="N38" s="64">
        <f>[RELID]</f>
        <v>50036</v>
      </c>
    </row>
    <row r="39" spans="1:14">
      <c r="A39" s="62" t="str">
        <f>Page&amp;"-"&amp;(COUNTA($E$1:RelationTable[[#This Row],[Resource]])-1)</f>
        <v>Resource Relations-37</v>
      </c>
      <c r="B39" s="34">
        <f>IF(RelationTable[[#This Row],[Resource]]="","id",COUNTA($E$2:RelationTable[[#This Row],[Resource]])+IF(ISNUMBER(VLOOKUP('Table Seed Map'!$A$9,SeedMap[],9,0)),VLOOKUP('Table Seed Map'!$A$9,SeedMap[],9,0),0))</f>
        <v>50037</v>
      </c>
      <c r="C39" s="31" t="str">
        <f>RelationTable[[#This Row],[Resource]]&amp;"/"&amp;RelationTable[[#This Row],[Method]]</f>
        <v>WishlistProduct/Added</v>
      </c>
      <c r="D39" s="31">
        <f>RelationTable[[#This Row],[No]]</f>
        <v>50037</v>
      </c>
      <c r="E39" s="8" t="s">
        <v>576</v>
      </c>
      <c r="F39" s="8" t="s">
        <v>563</v>
      </c>
      <c r="G39" s="31">
        <f>RelationTable[[#This Row],[No]]</f>
        <v>50037</v>
      </c>
      <c r="H39" s="31">
        <f>IF(RelationTable[[#This Row],[No]]="id","resource",VLOOKUP([Resource],CHOOSE({1,2},ResourceTable[Name],ResourceTable[No]),2,0))</f>
        <v>50010</v>
      </c>
      <c r="I39" s="31" t="s">
        <v>623</v>
      </c>
      <c r="J39" s="31" t="s">
        <v>624</v>
      </c>
      <c r="K39" s="31" t="s">
        <v>625</v>
      </c>
      <c r="L39" s="31" t="s">
        <v>586</v>
      </c>
      <c r="M39" s="63">
        <f>VLOOKUP([Relate Resource],CHOOSE({1,2},ResourceTable[Name],ResourceTable[No]),2,0)</f>
        <v>50005</v>
      </c>
      <c r="N39" s="64">
        <f>[RELID]</f>
        <v>50037</v>
      </c>
    </row>
    <row r="40" spans="1:14">
      <c r="A40" s="62" t="str">
        <f>Page&amp;"-"&amp;(COUNTA($E$1:RelationTable[[#This Row],[Resource]])-1)</f>
        <v>Resource Relations-38</v>
      </c>
      <c r="B40" s="34">
        <f>IF(RelationTable[[#This Row],[Resource]]="","id",COUNTA($E$2:RelationTable[[#This Row],[Resource]])+IF(ISNUMBER(VLOOKUP('Table Seed Map'!$A$9,SeedMap[],9,0)),VLOOKUP('Table Seed Map'!$A$9,SeedMap[],9,0),0))</f>
        <v>50038</v>
      </c>
      <c r="C40" s="31" t="str">
        <f>RelationTable[[#This Row],[Resource]]&amp;"/"&amp;RelationTable[[#This Row],[Method]]</f>
        <v>WishlistProduct/Removed</v>
      </c>
      <c r="D40" s="31">
        <f>RelationTable[[#This Row],[No]]</f>
        <v>50038</v>
      </c>
      <c r="E40" s="8" t="s">
        <v>576</v>
      </c>
      <c r="F40" s="8" t="s">
        <v>563</v>
      </c>
      <c r="G40" s="31">
        <f>RelationTable[[#This Row],[No]]</f>
        <v>50038</v>
      </c>
      <c r="H40" s="31">
        <f>IF(RelationTable[[#This Row],[No]]="id","resource",VLOOKUP([Resource],CHOOSE({1,2},ResourceTable[Name],ResourceTable[No]),2,0))</f>
        <v>50010</v>
      </c>
      <c r="I40" s="31" t="s">
        <v>626</v>
      </c>
      <c r="J40" s="31" t="s">
        <v>627</v>
      </c>
      <c r="K40" s="31" t="s">
        <v>628</v>
      </c>
      <c r="L40" s="31" t="s">
        <v>586</v>
      </c>
      <c r="M40" s="63">
        <f>VLOOKUP([Relate Resource],CHOOSE({1,2},ResourceTable[Name],ResourceTable[No]),2,0)</f>
        <v>50005</v>
      </c>
      <c r="N40" s="64">
        <f>[RELID]</f>
        <v>50038</v>
      </c>
    </row>
    <row r="41" spans="1:14">
      <c r="A41" s="62" t="str">
        <f>Page&amp;"-"&amp;(COUNTA($E$1:RelationTable[[#This Row],[Resource]])-1)</f>
        <v>Resource Relations-39</v>
      </c>
      <c r="B41" s="34">
        <f>IF(RelationTable[[#This Row],[Resource]]="","id",COUNTA($E$2:RelationTable[[#This Row],[Resource]])+IF(ISNUMBER(VLOOKUP('Table Seed Map'!$A$9,SeedMap[],9,0)),VLOOKUP('Table Seed Map'!$A$9,SeedMap[],9,0),0))</f>
        <v>50039</v>
      </c>
      <c r="C41" s="31" t="str">
        <f>RelationTable[[#This Row],[Resource]]&amp;"/"&amp;RelationTable[[#This Row],[Method]]</f>
        <v>WishlistProduct/Notes</v>
      </c>
      <c r="D41" s="31">
        <f>RelationTable[[#This Row],[No]]</f>
        <v>50039</v>
      </c>
      <c r="E41" s="8" t="s">
        <v>576</v>
      </c>
      <c r="F41" s="8" t="s">
        <v>578</v>
      </c>
      <c r="G41" s="31">
        <f>RelationTable[[#This Row],[No]]</f>
        <v>50039</v>
      </c>
      <c r="H41" s="31">
        <f>IF(RelationTable[[#This Row],[No]]="id","resource",VLOOKUP([Resource],CHOOSE({1,2},ResourceTable[Name],ResourceTable[No]),2,0))</f>
        <v>50010</v>
      </c>
      <c r="I41" s="31" t="s">
        <v>629</v>
      </c>
      <c r="J41" s="31" t="s">
        <v>630</v>
      </c>
      <c r="K41" s="31" t="s">
        <v>575</v>
      </c>
      <c r="L41" s="31" t="s">
        <v>585</v>
      </c>
      <c r="M41" s="63">
        <f>VLOOKUP([Relate Resource],CHOOSE({1,2},ResourceTable[Name],ResourceTable[No]),2,0)</f>
        <v>50011</v>
      </c>
      <c r="N41" s="64">
        <f>[RELID]</f>
        <v>50039</v>
      </c>
    </row>
    <row r="42" spans="1:14">
      <c r="A42" s="62" t="str">
        <f>Page&amp;"-"&amp;(COUNTA($E$1:RelationTable[[#This Row],[Resource]])-1)</f>
        <v>Resource Relations-40</v>
      </c>
      <c r="B42" s="34">
        <f>IF(RelationTable[[#This Row],[Resource]]="","id",COUNTA($E$2:RelationTable[[#This Row],[Resource]])+IF(ISNUMBER(VLOOKUP('Table Seed Map'!$A$9,SeedMap[],9,0)),VLOOKUP('Table Seed Map'!$A$9,SeedMap[],9,0),0))</f>
        <v>50040</v>
      </c>
      <c r="C42" s="31" t="str">
        <f>RelationTable[[#This Row],[Resource]]&amp;"/"&amp;RelationTable[[#This Row],[Method]]</f>
        <v>WishlistProduct/Product</v>
      </c>
      <c r="D42" s="31">
        <f>RelationTable[[#This Row],[No]]</f>
        <v>50040</v>
      </c>
      <c r="E42" s="8" t="s">
        <v>576</v>
      </c>
      <c r="F42" s="8" t="s">
        <v>557</v>
      </c>
      <c r="G42" s="31">
        <f>RelationTable[[#This Row],[No]]</f>
        <v>50040</v>
      </c>
      <c r="H42" s="31">
        <f>IF(RelationTable[[#This Row],[No]]="id","resource",VLOOKUP([Resource],CHOOSE({1,2},ResourceTable[Name],ResourceTable[No]),2,0))</f>
        <v>50010</v>
      </c>
      <c r="I42" s="31" t="s">
        <v>631</v>
      </c>
      <c r="J42" s="31" t="s">
        <v>632</v>
      </c>
      <c r="K42" s="31" t="s">
        <v>557</v>
      </c>
      <c r="L42" s="31" t="s">
        <v>586</v>
      </c>
      <c r="M42" s="63">
        <f>VLOOKUP([Relate Resource],CHOOSE({1,2},ResourceTable[Name],ResourceTable[No]),2,0)</f>
        <v>50003</v>
      </c>
      <c r="N42" s="64">
        <f>[RELID]</f>
        <v>50040</v>
      </c>
    </row>
    <row r="43" spans="1:14">
      <c r="A43" s="65" t="str">
        <f>Page&amp;"-"&amp;(COUNTA($E$1:RelationTable[[#This Row],[Resource]])-1)</f>
        <v>Resource Relations-41</v>
      </c>
      <c r="B43" s="60">
        <f>IF(RelationTable[[#This Row],[Resource]]="","id",COUNTA($E$2:RelationTable[[#This Row],[Resource]])+IF(ISNUMBER(VLOOKUP('Table Seed Map'!$A$9,SeedMap[],9,0)),VLOOKUP('Table Seed Map'!$A$9,SeedMap[],9,0),0))</f>
        <v>50041</v>
      </c>
      <c r="C43" s="61" t="str">
        <f>RelationTable[[#This Row],[Resource]]&amp;"/"&amp;RelationTable[[#This Row],[Method]]</f>
        <v>WishlistProductNote/Author</v>
      </c>
      <c r="D43" s="61">
        <f>RelationTable[[#This Row],[No]]</f>
        <v>50041</v>
      </c>
      <c r="E43" s="8" t="s">
        <v>578</v>
      </c>
      <c r="F43" s="7" t="s">
        <v>563</v>
      </c>
      <c r="G43" s="61">
        <f>RelationTable[[#This Row],[No]]</f>
        <v>50041</v>
      </c>
      <c r="H43" s="61">
        <f>IF(RelationTable[[#This Row],[No]]="id","resource",VLOOKUP([Resource],CHOOSE({1,2},ResourceTable[Name],ResourceTable[No]),2,0))</f>
        <v>50011</v>
      </c>
      <c r="I43" s="61" t="s">
        <v>633</v>
      </c>
      <c r="J43" s="61" t="s">
        <v>634</v>
      </c>
      <c r="K43" s="61" t="s">
        <v>601</v>
      </c>
      <c r="L43" s="61" t="s">
        <v>586</v>
      </c>
      <c r="M43" s="66">
        <f>VLOOKUP([Relate Resource],CHOOSE({1,2},ResourceTable[Name],ResourceTable[No]),2,0)</f>
        <v>50005</v>
      </c>
      <c r="N43" s="67">
        <f>[RELID]</f>
        <v>50041</v>
      </c>
    </row>
    <row r="44" spans="1:14">
      <c r="A44" s="65" t="str">
        <f>Page&amp;"-"&amp;(COUNTA($E$1:RelationTable[[#This Row],[Resource]])-1)</f>
        <v>Resource Relations-42</v>
      </c>
      <c r="B44" s="60">
        <f>IF(RelationTable[[#This Row],[Resource]]="","id",COUNTA($E$2:RelationTable[[#This Row],[Resource]])+IF(ISNUMBER(VLOOKUP('Table Seed Map'!$A$9,SeedMap[],9,0)),VLOOKUP('Table Seed Map'!$A$9,SeedMap[],9,0),0))</f>
        <v>50042</v>
      </c>
      <c r="C44" s="61" t="str">
        <f>RelationTable[[#This Row],[Resource]]&amp;"/"&amp;RelationTable[[#This Row],[Method]]</f>
        <v>Wishlist/Share</v>
      </c>
      <c r="D44" s="61">
        <f>RelationTable[[#This Row],[No]]</f>
        <v>50042</v>
      </c>
      <c r="E44" s="7" t="s">
        <v>566</v>
      </c>
      <c r="F44" s="7" t="s">
        <v>571</v>
      </c>
      <c r="G44" s="61">
        <f>RelationTable[[#This Row],[No]]</f>
        <v>50042</v>
      </c>
      <c r="H44" s="61">
        <f>IF(RelationTable[[#This Row],[No]]="id","resource",VLOOKUP([Resource],CHOOSE({1,2},ResourceTable[Name],ResourceTable[No]),2,0))</f>
        <v>50006</v>
      </c>
      <c r="I44" s="61" t="s">
        <v>635</v>
      </c>
      <c r="J44" s="61" t="s">
        <v>636</v>
      </c>
      <c r="K44" s="61" t="s">
        <v>637</v>
      </c>
      <c r="L44" s="61" t="s">
        <v>585</v>
      </c>
      <c r="M44" s="66">
        <f>VLOOKUP([Relate Resource],CHOOSE({1,2},ResourceTable[Name],ResourceTable[No]),2,0)</f>
        <v>50008</v>
      </c>
      <c r="N44" s="67">
        <f>[RELID]</f>
        <v>50042</v>
      </c>
    </row>
  </sheetData>
  <dataValidations count="1">
    <dataValidation type="list" allowBlank="1" showInputMessage="1" showErrorMessage="1" sqref="Q2:Q7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C1" workbookViewId="0">
      <selection activeCell="H13" sqref="H1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GroupDetail/Group01ListAction</v>
      </c>
      <c r="C3" s="78" t="s">
        <v>647</v>
      </c>
      <c r="D3" s="70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0">
        <f>IF(ResourceAction[[#This Row],[Resource Name]]="","resource",VLOOKUP(ResourceAction[[#This Row],[Resource Name]],ResourceTable[[RName]:[RID]],2,0))</f>
        <v>50002</v>
      </c>
      <c r="F3" s="70" t="s">
        <v>933</v>
      </c>
      <c r="G3" s="70" t="s">
        <v>937</v>
      </c>
      <c r="H3" s="70"/>
      <c r="I3" s="70"/>
      <c r="J3" s="70" t="s">
        <v>755</v>
      </c>
      <c r="K3" s="68" t="str">
        <f>'Table Seed Map'!$A$34&amp;"-"&amp;(COUNTA($E$1:ResourceAction[[#This Row],[Resource]])-2)</f>
        <v>Action Method-1</v>
      </c>
      <c r="L3" s="70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0">
        <f>[No]</f>
        <v>50001</v>
      </c>
      <c r="N3" s="96" t="s">
        <v>123</v>
      </c>
      <c r="O3" s="97">
        <f ca="1">IF(ResourceAction[[#This Row],[Resource Name]]="","idn1",IF(ResourceAction[[#This Row],[IDN1]]="","",VLOOKUP(ResourceAction[[#This Row],[IDN1]],IDNMaps[[Display]:[ID]],2,0)))</f>
        <v>50001</v>
      </c>
      <c r="P3" s="97" t="str">
        <f>IF(ResourceAction[[#This Row],[Resource Name]]="","idn2",IF(ResourceAction[[#This Row],[IDN2]]="","",VLOOKUP(ResourceAction[[#This Row],[IDN2]],IDNMaps[[Display]:[ID]],2,0)))</f>
        <v/>
      </c>
      <c r="Q3" s="97" t="str">
        <f>IF(ResourceAction[[#This Row],[Resource Name]]="","idn3",IF(ResourceAction[[#This Row],[IDN3]]="","",VLOOKUP(ResourceAction[[#This Row],[IDN3]],IDNMaps[[Display]:[ID]],2,0)))</f>
        <v/>
      </c>
      <c r="R3" s="97" t="str">
        <f>IF(ResourceAction[[#This Row],[Resource Name]]="","idn4",IF(ResourceAction[[#This Row],[IDN4]]="","",VLOOKUP(ResourceAction[[#This Row],[IDN4]],IDNMaps[[Display]:[ID]],2,0)))</f>
        <v/>
      </c>
      <c r="S3" s="97" t="str">
        <f>IF(ResourceAction[[#This Row],[Resource Name]]="","idn5",IF(ResourceAction[[#This Row],[IDN5]]="","",VLOOKUP(ResourceAction[[#This Row],[IDN5]],IDNMaps[[Display]:[ID]],2,0)))</f>
        <v/>
      </c>
      <c r="T3" s="98" t="s">
        <v>880</v>
      </c>
      <c r="U3" s="98"/>
      <c r="V3" s="98"/>
      <c r="W3" s="98"/>
      <c r="X3" s="98"/>
      <c r="Y3" s="77">
        <f>[No]</f>
        <v>50001</v>
      </c>
      <c r="Z3"/>
      <c r="AA3" s="4" t="s">
        <v>949</v>
      </c>
      <c r="AB3" s="61">
        <f>VLOOKUP(ActionListNData[[#This Row],[Action Name]],ResourceAction[[Display]:[No]],3,0)</f>
        <v>50011</v>
      </c>
      <c r="AC3" s="61" t="s">
        <v>761</v>
      </c>
      <c r="AD3" s="61"/>
      <c r="AE3" s="61" t="str">
        <f>'Table Seed Map'!$A$36&amp;"-"&amp;COUNT($AH$2:ActionListNData[[#This Row],[List]])</f>
        <v>Action List-1</v>
      </c>
      <c r="AF3" s="61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1">
        <f>ActionListNData[[#This Row],[Action]]</f>
        <v>50011</v>
      </c>
      <c r="AH3" s="61">
        <f>IF(ActionListNData[[#This Row],[Action Name]]="","resource_list",IFERROR(VLOOKUP(ActionListNData[[#This Row],[Resource List]],ResourceList[[ListDisplayName]:[No]],2,0),""))</f>
        <v>50001</v>
      </c>
      <c r="AI3" s="61" t="str">
        <f>'Table Seed Map'!$A$37&amp;"-"&amp;COUNT($AL$2:ActionListNData[[#This Row],[Data]])</f>
        <v>Action Data-0</v>
      </c>
      <c r="AJ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1">
        <f>ActionListNData[[#This Row],[Action]]</f>
        <v>50011</v>
      </c>
      <c r="AL3" s="61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GroupDetail/Group02ListAction</v>
      </c>
      <c r="C4" s="78" t="s">
        <v>647</v>
      </c>
      <c r="D4" s="70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0">
        <f>IF(ResourceAction[[#This Row],[Resource Name]]="","resource",VLOOKUP(ResourceAction[[#This Row],[Resource Name]],ResourceTable[[RName]:[RID]],2,0))</f>
        <v>50002</v>
      </c>
      <c r="F4" s="70" t="s">
        <v>935</v>
      </c>
      <c r="G4" s="70" t="s">
        <v>940</v>
      </c>
      <c r="H4" s="70"/>
      <c r="I4" s="70"/>
      <c r="J4" s="70" t="s">
        <v>756</v>
      </c>
      <c r="K4" s="68" t="str">
        <f>'Table Seed Map'!$A$34&amp;"-"&amp;(COUNTA($E$1:ResourceAction[[#This Row],[Resource]])-2)</f>
        <v>Action Method-2</v>
      </c>
      <c r="L4" s="70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0">
        <f>[No]</f>
        <v>50002</v>
      </c>
      <c r="N4" s="96" t="s">
        <v>123</v>
      </c>
      <c r="O4" s="97">
        <f ca="1">IF(ResourceAction[[#This Row],[Resource Name]]="","idn1",IF(ResourceAction[[#This Row],[IDN1]]="","",VLOOKUP(ResourceAction[[#This Row],[IDN1]],IDNMaps[[Display]:[ID]],2,0)))</f>
        <v>50002</v>
      </c>
      <c r="P4" s="97" t="str">
        <f>IF(ResourceAction[[#This Row],[Resource Name]]="","idn2",IF(ResourceAction[[#This Row],[IDN2]]="","",VLOOKUP(ResourceAction[[#This Row],[IDN2]],IDNMaps[[Display]:[ID]],2,0)))</f>
        <v/>
      </c>
      <c r="Q4" s="97" t="str">
        <f>IF(ResourceAction[[#This Row],[Resource Name]]="","idn3",IF(ResourceAction[[#This Row],[IDN3]]="","",VLOOKUP(ResourceAction[[#This Row],[IDN3]],IDNMaps[[Display]:[ID]],2,0)))</f>
        <v/>
      </c>
      <c r="R4" s="97" t="str">
        <f>IF(ResourceAction[[#This Row],[Resource Name]]="","idn4",IF(ResourceAction[[#This Row],[IDN4]]="","",VLOOKUP(ResourceAction[[#This Row],[IDN4]],IDNMaps[[Display]:[ID]],2,0)))</f>
        <v/>
      </c>
      <c r="S4" s="97" t="str">
        <f>IF(ResourceAction[[#This Row],[Resource Name]]="","idn5",IF(ResourceAction[[#This Row],[IDN5]]="","",VLOOKUP(ResourceAction[[#This Row],[IDN5]],IDNMaps[[Display]:[ID]],2,0)))</f>
        <v/>
      </c>
      <c r="T4" s="98" t="s">
        <v>881</v>
      </c>
      <c r="U4" s="98"/>
      <c r="V4" s="98"/>
      <c r="W4" s="98"/>
      <c r="X4" s="98"/>
      <c r="Y4" s="77">
        <f>[No]</f>
        <v>50002</v>
      </c>
      <c r="Z4"/>
      <c r="AA4" s="4" t="s">
        <v>950</v>
      </c>
      <c r="AB4" s="61">
        <f>VLOOKUP(ActionListNData[[#This Row],[Action Name]],ResourceAction[[Display]:[No]],3,0)</f>
        <v>50012</v>
      </c>
      <c r="AC4" s="61" t="s">
        <v>762</v>
      </c>
      <c r="AD4" s="61"/>
      <c r="AE4" s="61" t="str">
        <f>'Table Seed Map'!$A$36&amp;"-"&amp;COUNT($AH$2:ActionListNData[[#This Row],[List]])</f>
        <v>Action List-2</v>
      </c>
      <c r="AF4" s="61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1">
        <f>ActionListNData[[#This Row],[Action]]</f>
        <v>50012</v>
      </c>
      <c r="AH4" s="61">
        <f>IF(ActionListNData[[#This Row],[Action Name]]="","resource_list",IFERROR(VLOOKUP(ActionListNData[[#This Row],[Resource List]],ResourceList[[ListDisplayName]:[No]],2,0),""))</f>
        <v>50002</v>
      </c>
      <c r="AI4" s="61" t="str">
        <f>'Table Seed Map'!$A$37&amp;"-"&amp;COUNT($AL$2:ActionListNData[[#This Row],[Data]])</f>
        <v>Action Data-0</v>
      </c>
      <c r="AJ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1">
        <f>ActionListNData[[#This Row],[Action]]</f>
        <v>50012</v>
      </c>
      <c r="AL4" s="61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GroupDetail/Group03ListAction</v>
      </c>
      <c r="C5" s="78" t="s">
        <v>647</v>
      </c>
      <c r="D5" s="70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0">
        <f>IF(ResourceAction[[#This Row],[Resource Name]]="","resource",VLOOKUP(ResourceAction[[#This Row],[Resource Name]],ResourceTable[[RName]:[RID]],2,0))</f>
        <v>50002</v>
      </c>
      <c r="F5" s="70" t="s">
        <v>936</v>
      </c>
      <c r="G5" s="70" t="s">
        <v>939</v>
      </c>
      <c r="H5" s="70"/>
      <c r="I5" s="70"/>
      <c r="J5" s="70" t="s">
        <v>757</v>
      </c>
      <c r="K5" s="68" t="str">
        <f>'Table Seed Map'!$A$34&amp;"-"&amp;(COUNTA($E$1:ResourceAction[[#This Row],[Resource]])-2)</f>
        <v>Action Method-3</v>
      </c>
      <c r="L5" s="70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0">
        <f>[No]</f>
        <v>50003</v>
      </c>
      <c r="N5" s="96" t="s">
        <v>123</v>
      </c>
      <c r="O5" s="97">
        <f ca="1">IF(ResourceAction[[#This Row],[Resource Name]]="","idn1",IF(ResourceAction[[#This Row],[IDN1]]="","",VLOOKUP(ResourceAction[[#This Row],[IDN1]],IDNMaps[[Display]:[ID]],2,0)))</f>
        <v>50003</v>
      </c>
      <c r="P5" s="97" t="str">
        <f>IF(ResourceAction[[#This Row],[Resource Name]]="","idn2",IF(ResourceAction[[#This Row],[IDN2]]="","",VLOOKUP(ResourceAction[[#This Row],[IDN2]],IDNMaps[[Display]:[ID]],2,0)))</f>
        <v/>
      </c>
      <c r="Q5" s="97" t="str">
        <f>IF(ResourceAction[[#This Row],[Resource Name]]="","idn3",IF(ResourceAction[[#This Row],[IDN3]]="","",VLOOKUP(ResourceAction[[#This Row],[IDN3]],IDNMaps[[Display]:[ID]],2,0)))</f>
        <v/>
      </c>
      <c r="R5" s="97" t="str">
        <f>IF(ResourceAction[[#This Row],[Resource Name]]="","idn4",IF(ResourceAction[[#This Row],[IDN4]]="","",VLOOKUP(ResourceAction[[#This Row],[IDN4]],IDNMaps[[Display]:[ID]],2,0)))</f>
        <v/>
      </c>
      <c r="S5" s="97" t="str">
        <f>IF(ResourceAction[[#This Row],[Resource Name]]="","idn5",IF(ResourceAction[[#This Row],[IDN5]]="","",VLOOKUP(ResourceAction[[#This Row],[IDN5]],IDNMaps[[Display]:[ID]],2,0)))</f>
        <v/>
      </c>
      <c r="T5" s="98" t="s">
        <v>882</v>
      </c>
      <c r="U5" s="98"/>
      <c r="V5" s="98"/>
      <c r="W5" s="98"/>
      <c r="X5" s="98"/>
      <c r="Y5" s="77">
        <f>[No]</f>
        <v>50003</v>
      </c>
      <c r="Z5"/>
      <c r="AA5" s="4" t="s">
        <v>951</v>
      </c>
      <c r="AB5" s="61">
        <f>VLOOKUP(ActionListNData[[#This Row],[Action Name]],ResourceAction[[Display]:[No]],3,0)</f>
        <v>50013</v>
      </c>
      <c r="AC5" s="61" t="s">
        <v>763</v>
      </c>
      <c r="AD5" s="61"/>
      <c r="AE5" s="61" t="str">
        <f>'Table Seed Map'!$A$36&amp;"-"&amp;COUNT($AH$2:ActionListNData[[#This Row],[List]])</f>
        <v>Action List-3</v>
      </c>
      <c r="AF5" s="61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1">
        <f>ActionListNData[[#This Row],[Action]]</f>
        <v>50013</v>
      </c>
      <c r="AH5" s="61">
        <f>IF(ActionListNData[[#This Row],[Action Name]]="","resource_list",IFERROR(VLOOKUP(ActionListNData[[#This Row],[Resource List]],ResourceList[[ListDisplayName]:[No]],2,0),""))</f>
        <v>50003</v>
      </c>
      <c r="AI5" s="61" t="str">
        <f>'Table Seed Map'!$A$37&amp;"-"&amp;COUNT($AL$2:ActionListNData[[#This Row],[Data]])</f>
        <v>Action Data-0</v>
      </c>
      <c r="AJ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1">
        <f>ActionListNData[[#This Row],[Action]]</f>
        <v>50013</v>
      </c>
      <c r="AL5" s="61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0" t="str">
        <f>'Table Seed Map'!$A$33&amp;"-"&amp;(COUNTA($E$1:ResourceAction[[#This Row],[Resource]])-2)</f>
        <v>Resource Actions-4</v>
      </c>
      <c r="B6" s="70" t="str">
        <f>ResourceAction[[#This Row],[Resource Name]]&amp;"/"&amp;ResourceAction[[#This Row],[Name]]</f>
        <v>GroupDetail/Group04ListAction</v>
      </c>
      <c r="C6" s="78" t="s">
        <v>647</v>
      </c>
      <c r="D6" s="70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0">
        <f>IF(ResourceAction[[#This Row],[Resource Name]]="","resource",VLOOKUP(ResourceAction[[#This Row],[Resource Name]],ResourceTable[[RName]:[RID]],2,0))</f>
        <v>50002</v>
      </c>
      <c r="F6" s="70" t="s">
        <v>934</v>
      </c>
      <c r="G6" s="70" t="s">
        <v>938</v>
      </c>
      <c r="H6" s="70"/>
      <c r="I6" s="70"/>
      <c r="J6" s="70" t="s">
        <v>758</v>
      </c>
      <c r="K6" s="68" t="str">
        <f>'Table Seed Map'!$A$34&amp;"-"&amp;(COUNTA($E$1:ResourceAction[[#This Row],[Resource]])-2)</f>
        <v>Action Method-4</v>
      </c>
      <c r="L6" s="70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0">
        <f>[No]</f>
        <v>50004</v>
      </c>
      <c r="N6" s="96" t="s">
        <v>123</v>
      </c>
      <c r="O6" s="97">
        <f ca="1">IF(ResourceAction[[#This Row],[Resource Name]]="","idn1",IF(ResourceAction[[#This Row],[IDN1]]="","",VLOOKUP(ResourceAction[[#This Row],[IDN1]],IDNMaps[[Display]:[ID]],2,0)))</f>
        <v>50004</v>
      </c>
      <c r="P6" s="97" t="str">
        <f>IF(ResourceAction[[#This Row],[Resource Name]]="","idn2",IF(ResourceAction[[#This Row],[IDN2]]="","",VLOOKUP(ResourceAction[[#This Row],[IDN2]],IDNMaps[[Display]:[ID]],2,0)))</f>
        <v/>
      </c>
      <c r="Q6" s="97" t="str">
        <f>IF(ResourceAction[[#This Row],[Resource Name]]="","idn3",IF(ResourceAction[[#This Row],[IDN3]]="","",VLOOKUP(ResourceAction[[#This Row],[IDN3]],IDNMaps[[Display]:[ID]],2,0)))</f>
        <v/>
      </c>
      <c r="R6" s="97" t="str">
        <f>IF(ResourceAction[[#This Row],[Resource Name]]="","idn4",IF(ResourceAction[[#This Row],[IDN4]]="","",VLOOKUP(ResourceAction[[#This Row],[IDN4]],IDNMaps[[Display]:[ID]],2,0)))</f>
        <v/>
      </c>
      <c r="S6" s="97" t="str">
        <f>IF(ResourceAction[[#This Row],[Resource Name]]="","idn5",IF(ResourceAction[[#This Row],[IDN5]]="","",VLOOKUP(ResourceAction[[#This Row],[IDN5]],IDNMaps[[Display]:[ID]],2,0)))</f>
        <v/>
      </c>
      <c r="T6" s="98" t="s">
        <v>883</v>
      </c>
      <c r="U6" s="98"/>
      <c r="V6" s="98"/>
      <c r="W6" s="98"/>
      <c r="X6" s="98"/>
      <c r="Y6" s="77">
        <f>[No]</f>
        <v>50004</v>
      </c>
      <c r="Z6"/>
      <c r="AA6" s="4" t="s">
        <v>952</v>
      </c>
      <c r="AB6" s="61">
        <f>VLOOKUP(ActionListNData[[#This Row],[Action Name]],ResourceAction[[Display]:[No]],3,0)</f>
        <v>50014</v>
      </c>
      <c r="AC6" s="61" t="s">
        <v>764</v>
      </c>
      <c r="AD6" s="61"/>
      <c r="AE6" s="61" t="str">
        <f>'Table Seed Map'!$A$36&amp;"-"&amp;COUNT($AH$2:ActionListNData[[#This Row],[List]])</f>
        <v>Action List-4</v>
      </c>
      <c r="AF6" s="61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1">
        <f>ActionListNData[[#This Row],[Action]]</f>
        <v>50014</v>
      </c>
      <c r="AH6" s="61">
        <f>IF(ActionListNData[[#This Row],[Action Name]]="","resource_list",IFERROR(VLOOKUP(ActionListNData[[#This Row],[Resource List]],ResourceList[[ListDisplayName]:[No]],2,0),""))</f>
        <v>50004</v>
      </c>
      <c r="AI6" s="61" t="str">
        <f>'Table Seed Map'!$A$37&amp;"-"&amp;COUNT($AL$2:ActionListNData[[#This Row],[Data]])</f>
        <v>Action Data-0</v>
      </c>
      <c r="AJ6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1">
        <f>ActionListNData[[#This Row],[Action]]</f>
        <v>50014</v>
      </c>
      <c r="AL6" s="61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Product/ProductsListAction</v>
      </c>
      <c r="C7" s="78" t="s">
        <v>557</v>
      </c>
      <c r="D7" s="70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0">
        <f>IF(ResourceAction[[#This Row],[Resource Name]]="","resource",VLOOKUP(ResourceAction[[#This Row],[Resource Name]],ResourceTable[[RName]:[RID]],2,0))</f>
        <v>50003</v>
      </c>
      <c r="F7" s="70" t="s">
        <v>823</v>
      </c>
      <c r="G7" s="70" t="s">
        <v>824</v>
      </c>
      <c r="H7" s="70" t="s">
        <v>559</v>
      </c>
      <c r="I7" s="70"/>
      <c r="J7" s="70" t="s">
        <v>559</v>
      </c>
      <c r="K7" s="68" t="str">
        <f>'Table Seed Map'!$A$34&amp;"-"&amp;(COUNTA($E$1:ResourceAction[[#This Row],[Resource]])-2)</f>
        <v>Action Method-5</v>
      </c>
      <c r="L7" s="70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0">
        <f>[No]</f>
        <v>50005</v>
      </c>
      <c r="N7" s="96" t="s">
        <v>123</v>
      </c>
      <c r="O7" s="97">
        <f ca="1">IF(ResourceAction[[#This Row],[Resource Name]]="","idn1",IF(ResourceAction[[#This Row],[IDN1]]="","",VLOOKUP(ResourceAction[[#This Row],[IDN1]],IDNMaps[[Display]:[ID]],2,0)))</f>
        <v>50005</v>
      </c>
      <c r="P7" s="97" t="str">
        <f>IF(ResourceAction[[#This Row],[Resource Name]]="","idn2",IF(ResourceAction[[#This Row],[IDN2]]="","",VLOOKUP(ResourceAction[[#This Row],[IDN2]],IDNMaps[[Display]:[ID]],2,0)))</f>
        <v/>
      </c>
      <c r="Q7" s="97" t="str">
        <f>IF(ResourceAction[[#This Row],[Resource Name]]="","idn3",IF(ResourceAction[[#This Row],[IDN3]]="","",VLOOKUP(ResourceAction[[#This Row],[IDN3]],IDNMaps[[Display]:[ID]],2,0)))</f>
        <v/>
      </c>
      <c r="R7" s="97" t="str">
        <f>IF(ResourceAction[[#This Row],[Resource Name]]="","idn4",IF(ResourceAction[[#This Row],[IDN4]]="","",VLOOKUP(ResourceAction[[#This Row],[IDN4]],IDNMaps[[Display]:[ID]],2,0)))</f>
        <v/>
      </c>
      <c r="S7" s="97" t="str">
        <f>IF(ResourceAction[[#This Row],[Resource Name]]="","idn5",IF(ResourceAction[[#This Row],[IDN5]]="","",VLOOKUP(ResourceAction[[#This Row],[IDN5]],IDNMaps[[Display]:[ID]],2,0)))</f>
        <v/>
      </c>
      <c r="T7" s="98" t="s">
        <v>884</v>
      </c>
      <c r="U7" s="98"/>
      <c r="V7" s="98"/>
      <c r="W7" s="98"/>
      <c r="X7" s="98"/>
      <c r="Y7" s="77">
        <f>[No]</f>
        <v>50005</v>
      </c>
      <c r="Z7"/>
      <c r="AA7" s="4" t="s">
        <v>915</v>
      </c>
      <c r="AB7" s="61">
        <f>VLOOKUP(ActionListNData[[#This Row],[Action Name]],ResourceAction[[Display]:[No]],3,0)</f>
        <v>50015</v>
      </c>
      <c r="AC7" s="61" t="s">
        <v>771</v>
      </c>
      <c r="AD7" s="61"/>
      <c r="AE7" s="61" t="str">
        <f>'Table Seed Map'!$A$36&amp;"-"&amp;COUNT($AH$2:ActionListNData[[#This Row],[List]])</f>
        <v>Action List-5</v>
      </c>
      <c r="AF7" s="61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1">
        <f>ActionListNData[[#This Row],[Action]]</f>
        <v>50015</v>
      </c>
      <c r="AH7" s="61">
        <f>IF(ActionListNData[[#This Row],[Action Name]]="","resource_list",IFERROR(VLOOKUP(ActionListNData[[#This Row],[Resource List]],ResourceList[[ListDisplayName]:[No]],2,0),""))</f>
        <v>50005</v>
      </c>
      <c r="AI7" s="61" t="str">
        <f>'Table Seed Map'!$A$37&amp;"-"&amp;COUNT($AL$2:ActionListNData[[#This Row],[Data]])</f>
        <v>Action Data-0</v>
      </c>
      <c r="AJ7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1">
        <f>ActionListNData[[#This Row],[Action]]</f>
        <v>50015</v>
      </c>
      <c r="AL7" s="61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Visitor/VisitorListAction</v>
      </c>
      <c r="C8" s="78" t="s">
        <v>563</v>
      </c>
      <c r="D8" s="70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0">
        <f>IF(ResourceAction[[#This Row],[Resource Name]]="","resource",VLOOKUP(ResourceAction[[#This Row],[Resource Name]],ResourceTable[[RName]:[RID]],2,0))</f>
        <v>50005</v>
      </c>
      <c r="F8" s="70" t="s">
        <v>825</v>
      </c>
      <c r="G8" s="70" t="s">
        <v>826</v>
      </c>
      <c r="H8" s="70" t="s">
        <v>565</v>
      </c>
      <c r="I8" s="70"/>
      <c r="J8" s="70" t="s">
        <v>565</v>
      </c>
      <c r="K8" s="68" t="str">
        <f>'Table Seed Map'!$A$34&amp;"-"&amp;(COUNTA($E$1:ResourceAction[[#This Row],[Resource]])-2)</f>
        <v>Action Method-6</v>
      </c>
      <c r="L8" s="70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0">
        <f>[No]</f>
        <v>50006</v>
      </c>
      <c r="N8" s="96" t="s">
        <v>123</v>
      </c>
      <c r="O8" s="97">
        <f ca="1">IF(ResourceAction[[#This Row],[Resource Name]]="","idn1",IF(ResourceAction[[#This Row],[IDN1]]="","",VLOOKUP(ResourceAction[[#This Row],[IDN1]],IDNMaps[[Display]:[ID]],2,0)))</f>
        <v>50006</v>
      </c>
      <c r="P8" s="97" t="str">
        <f>IF(ResourceAction[[#This Row],[Resource Name]]="","idn2",IF(ResourceAction[[#This Row],[IDN2]]="","",VLOOKUP(ResourceAction[[#This Row],[IDN2]],IDNMaps[[Display]:[ID]],2,0)))</f>
        <v/>
      </c>
      <c r="Q8" s="97" t="str">
        <f>IF(ResourceAction[[#This Row],[Resource Name]]="","idn3",IF(ResourceAction[[#This Row],[IDN3]]="","",VLOOKUP(ResourceAction[[#This Row],[IDN3]],IDNMaps[[Display]:[ID]],2,0)))</f>
        <v/>
      </c>
      <c r="R8" s="97" t="str">
        <f>IF(ResourceAction[[#This Row],[Resource Name]]="","idn4",IF(ResourceAction[[#This Row],[IDN4]]="","",VLOOKUP(ResourceAction[[#This Row],[IDN4]],IDNMaps[[Display]:[ID]],2,0)))</f>
        <v/>
      </c>
      <c r="S8" s="97" t="str">
        <f>IF(ResourceAction[[#This Row],[Resource Name]]="","idn5",IF(ResourceAction[[#This Row],[IDN5]]="","",VLOOKUP(ResourceAction[[#This Row],[IDN5]],IDNMaps[[Display]:[ID]],2,0)))</f>
        <v/>
      </c>
      <c r="T8" s="98" t="s">
        <v>885</v>
      </c>
      <c r="U8" s="98"/>
      <c r="V8" s="98"/>
      <c r="W8" s="98"/>
      <c r="X8" s="98"/>
      <c r="Y8" s="77">
        <f>[No]</f>
        <v>50006</v>
      </c>
      <c r="Z8"/>
      <c r="AA8" s="4" t="s">
        <v>916</v>
      </c>
      <c r="AB8" s="61">
        <f>VLOOKUP(ActionListNData[[#This Row],[Action Name]],ResourceAction[[Display]:[No]],3,0)</f>
        <v>50016</v>
      </c>
      <c r="AC8" s="61" t="s">
        <v>771</v>
      </c>
      <c r="AD8" s="61"/>
      <c r="AE8" s="61" t="str">
        <f>'Table Seed Map'!$A$36&amp;"-"&amp;COUNT($AH$2:ActionListNData[[#This Row],[List]])</f>
        <v>Action List-6</v>
      </c>
      <c r="AF8" s="61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1">
        <f>ActionListNData[[#This Row],[Action]]</f>
        <v>50016</v>
      </c>
      <c r="AH8" s="61">
        <f>IF(ActionListNData[[#This Row],[Action Name]]="","resource_list",IFERROR(VLOOKUP(ActionListNData[[#This Row],[Resource List]],ResourceList[[ListDisplayName]:[No]],2,0),""))</f>
        <v>50005</v>
      </c>
      <c r="AI8" s="61" t="str">
        <f>'Table Seed Map'!$A$37&amp;"-"&amp;COUNT($AL$2:ActionListNData[[#This Row],[Data]])</f>
        <v>Action Data-0</v>
      </c>
      <c r="AJ8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1">
        <f>ActionListNData[[#This Row],[Action]]</f>
        <v>50016</v>
      </c>
      <c r="AL8" s="61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Visitor/VisitorAddAction</v>
      </c>
      <c r="C9" s="78" t="s">
        <v>563</v>
      </c>
      <c r="D9" s="70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0">
        <f>IF(ResourceAction[[#This Row],[Resource Name]]="","resource",VLOOKUP(ResourceAction[[#This Row],[Resource Name]],ResourceTable[[RName]:[RID]],2,0))</f>
        <v>50005</v>
      </c>
      <c r="F9" s="70" t="s">
        <v>827</v>
      </c>
      <c r="G9" s="70" t="s">
        <v>828</v>
      </c>
      <c r="H9" s="70" t="s">
        <v>671</v>
      </c>
      <c r="I9" s="70"/>
      <c r="J9" s="70" t="s">
        <v>829</v>
      </c>
      <c r="K9" s="68" t="str">
        <f>'Table Seed Map'!$A$34&amp;"-"&amp;(COUNTA($E$1:ResourceAction[[#This Row],[Resource]])-2)</f>
        <v>Action Method-7</v>
      </c>
      <c r="L9" s="70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0">
        <f>[No]</f>
        <v>50007</v>
      </c>
      <c r="N9" s="96" t="s">
        <v>122</v>
      </c>
      <c r="O9" s="97">
        <f ca="1">IF(ResourceAction[[#This Row],[Resource Name]]="","idn1",IF(ResourceAction[[#This Row],[IDN1]]="","",VLOOKUP(ResourceAction[[#This Row],[IDN1]],IDNMaps[[Display]:[ID]],2,0)))</f>
        <v>50003</v>
      </c>
      <c r="P9" s="97" t="str">
        <f>IF(ResourceAction[[#This Row],[Resource Name]]="","idn2",IF(ResourceAction[[#This Row],[IDN2]]="","",VLOOKUP(ResourceAction[[#This Row],[IDN2]],IDNMaps[[Display]:[ID]],2,0)))</f>
        <v/>
      </c>
      <c r="Q9" s="97" t="str">
        <f>IF(ResourceAction[[#This Row],[Resource Name]]="","idn3",IF(ResourceAction[[#This Row],[IDN3]]="","",VLOOKUP(ResourceAction[[#This Row],[IDN3]],IDNMaps[[Display]:[ID]],2,0)))</f>
        <v/>
      </c>
      <c r="R9" s="97" t="str">
        <f>IF(ResourceAction[[#This Row],[Resource Name]]="","idn4",IF(ResourceAction[[#This Row],[IDN4]]="","",VLOOKUP(ResourceAction[[#This Row],[IDN4]],IDNMaps[[Display]:[ID]],2,0)))</f>
        <v/>
      </c>
      <c r="S9" s="97" t="str">
        <f>IF(ResourceAction[[#This Row],[Resource Name]]="","idn5",IF(ResourceAction[[#This Row],[IDN5]]="","",VLOOKUP(ResourceAction[[#This Row],[IDN5]],IDNMaps[[Display]:[ID]],2,0)))</f>
        <v/>
      </c>
      <c r="T9" s="98" t="s">
        <v>886</v>
      </c>
      <c r="U9" s="98"/>
      <c r="V9" s="98"/>
      <c r="W9" s="98"/>
      <c r="X9" s="98"/>
      <c r="Y9" s="77">
        <f>[No]</f>
        <v>50007</v>
      </c>
      <c r="Z9"/>
      <c r="AA9" s="4" t="s">
        <v>917</v>
      </c>
      <c r="AB9" s="61">
        <f>VLOOKUP(ActionListNData[[#This Row],[Action Name]],ResourceAction[[Display]:[No]],3,0)</f>
        <v>50017</v>
      </c>
      <c r="AC9" s="61" t="s">
        <v>785</v>
      </c>
      <c r="AD9" s="61"/>
      <c r="AE9" s="61" t="str">
        <f>'Table Seed Map'!$A$36&amp;"-"&amp;COUNT($AH$2:ActionListNData[[#This Row],[List]])</f>
        <v>Action List-7</v>
      </c>
      <c r="AF9" s="61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1">
        <f>ActionListNData[[#This Row],[Action]]</f>
        <v>50017</v>
      </c>
      <c r="AH9" s="61">
        <f>IF(ActionListNData[[#This Row],[Action Name]]="","resource_list",IFERROR(VLOOKUP(ActionListNData[[#This Row],[Resource List]],ResourceList[[ListDisplayName]:[No]],2,0),""))</f>
        <v>50010</v>
      </c>
      <c r="AI9" s="61" t="str">
        <f>'Table Seed Map'!$A$37&amp;"-"&amp;COUNT($AL$2:ActionListNData[[#This Row],[Data]])</f>
        <v>Action Data-0</v>
      </c>
      <c r="AJ9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1">
        <f>ActionListNData[[#This Row],[Action]]</f>
        <v>50017</v>
      </c>
      <c r="AL9" s="61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Wishlist/WishlistListAction</v>
      </c>
      <c r="C10" s="78" t="s">
        <v>566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0">
        <f>IF(ResourceAction[[#This Row],[Resource Name]]="","resource",VLOOKUP(ResourceAction[[#This Row],[Resource Name]],ResourceTable[[RName]:[RID]],2,0))</f>
        <v>50006</v>
      </c>
      <c r="F10" s="70" t="s">
        <v>830</v>
      </c>
      <c r="G10" s="70" t="s">
        <v>831</v>
      </c>
      <c r="H10" s="70" t="s">
        <v>568</v>
      </c>
      <c r="I10" s="70"/>
      <c r="J10" s="70" t="s">
        <v>568</v>
      </c>
      <c r="K10" s="68" t="str">
        <f>'Table Seed Map'!$A$34&amp;"-"&amp;(COUNTA($E$1:ResourceAction[[#This Row],[Resource]])-2)</f>
        <v>Action Method-8</v>
      </c>
      <c r="L10" s="70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0">
        <f>[No]</f>
        <v>50008</v>
      </c>
      <c r="N10" s="96" t="s">
        <v>123</v>
      </c>
      <c r="O10" s="97">
        <f ca="1">IF(ResourceAction[[#This Row],[Resource Name]]="","idn1",IF(ResourceAction[[#This Row],[IDN1]]="","",VLOOKUP(ResourceAction[[#This Row],[IDN1]],IDNMaps[[Display]:[ID]],2,0)))</f>
        <v>50007</v>
      </c>
      <c r="P10" s="97" t="str">
        <f>IF(ResourceAction[[#This Row],[Resource Name]]="","idn2",IF(ResourceAction[[#This Row],[IDN2]]="","",VLOOKUP(ResourceAction[[#This Row],[IDN2]],IDNMaps[[Display]:[ID]],2,0)))</f>
        <v/>
      </c>
      <c r="Q10" s="97" t="str">
        <f>IF(ResourceAction[[#This Row],[Resource Name]]="","idn3",IF(ResourceAction[[#This Row],[IDN3]]="","",VLOOKUP(ResourceAction[[#This Row],[IDN3]],IDNMaps[[Display]:[ID]],2,0)))</f>
        <v/>
      </c>
      <c r="R10" s="97" t="str">
        <f>IF(ResourceAction[[#This Row],[Resource Name]]="","idn4",IF(ResourceAction[[#This Row],[IDN4]]="","",VLOOKUP(ResourceAction[[#This Row],[IDN4]],IDNMaps[[Display]:[ID]],2,0)))</f>
        <v/>
      </c>
      <c r="S10" s="97" t="str">
        <f>IF(ResourceAction[[#This Row],[Resource Name]]="","idn5",IF(ResourceAction[[#This Row],[IDN5]]="","",VLOOKUP(ResourceAction[[#This Row],[IDN5]],IDNMaps[[Display]:[ID]],2,0)))</f>
        <v/>
      </c>
      <c r="T10" s="98" t="s">
        <v>887</v>
      </c>
      <c r="U10" s="98"/>
      <c r="V10" s="98"/>
      <c r="W10" s="98"/>
      <c r="X10" s="98"/>
      <c r="Y10" s="77">
        <f>[No]</f>
        <v>50008</v>
      </c>
      <c r="Z10"/>
      <c r="AA10" s="4" t="s">
        <v>918</v>
      </c>
      <c r="AB10" s="61">
        <f>VLOOKUP(ActionListNData[[#This Row],[Action Name]],ResourceAction[[Display]:[No]],3,0)</f>
        <v>50018</v>
      </c>
      <c r="AC10" s="61" t="s">
        <v>784</v>
      </c>
      <c r="AD10" s="61"/>
      <c r="AE10" s="61" t="str">
        <f>'Table Seed Map'!$A$36&amp;"-"&amp;COUNT($AH$2:ActionListNData[[#This Row],[List]])</f>
        <v>Action List-8</v>
      </c>
      <c r="AF10" s="61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1">
        <f>ActionListNData[[#This Row],[Action]]</f>
        <v>50018</v>
      </c>
      <c r="AH10" s="61">
        <f>IF(ActionListNData[[#This Row],[Action Name]]="","resource_list",IFERROR(VLOOKUP(ActionListNData[[#This Row],[Resource List]],ResourceList[[ListDisplayName]:[No]],2,0),""))</f>
        <v>50006</v>
      </c>
      <c r="AI10" s="61" t="str">
        <f>'Table Seed Map'!$A$37&amp;"-"&amp;COUNT($AL$2:ActionListNData[[#This Row],[Data]])</f>
        <v>Action Data-0</v>
      </c>
      <c r="AJ10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1">
        <f>ActionListNData[[#This Row],[Action]]</f>
        <v>50018</v>
      </c>
      <c r="AL10" s="61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Wishlist/WishlistCreateAction</v>
      </c>
      <c r="C11" s="78" t="s">
        <v>566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0">
        <f>IF(ResourceAction[[#This Row],[Resource Name]]="","resource",VLOOKUP(ResourceAction[[#This Row],[Resource Name]],ResourceTable[[RName]:[RID]],2,0))</f>
        <v>50006</v>
      </c>
      <c r="F11" s="70" t="s">
        <v>832</v>
      </c>
      <c r="G11" s="70" t="s">
        <v>833</v>
      </c>
      <c r="H11" s="70" t="s">
        <v>834</v>
      </c>
      <c r="I11" s="70"/>
      <c r="J11" s="70" t="s">
        <v>674</v>
      </c>
      <c r="K11" s="68" t="str">
        <f>'Table Seed Map'!$A$34&amp;"-"&amp;(COUNTA($E$1:ResourceAction[[#This Row],[Resource]])-2)</f>
        <v>Action Method-9</v>
      </c>
      <c r="L11" s="70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0">
        <f>[No]</f>
        <v>50009</v>
      </c>
      <c r="N11" s="96" t="s">
        <v>122</v>
      </c>
      <c r="O11" s="97">
        <f ca="1">IF(ResourceAction[[#This Row],[Resource Name]]="","idn1",IF(ResourceAction[[#This Row],[IDN1]]="","",VLOOKUP(ResourceAction[[#This Row],[IDN1]],IDNMaps[[Display]:[ID]],2,0)))</f>
        <v>50004</v>
      </c>
      <c r="P11" s="97" t="str">
        <f>IF(ResourceAction[[#This Row],[Resource Name]]="","idn2",IF(ResourceAction[[#This Row],[IDN2]]="","",VLOOKUP(ResourceAction[[#This Row],[IDN2]],IDNMaps[[Display]:[ID]],2,0)))</f>
        <v/>
      </c>
      <c r="Q11" s="97" t="str">
        <f>IF(ResourceAction[[#This Row],[Resource Name]]="","idn3",IF(ResourceAction[[#This Row],[IDN3]]="","",VLOOKUP(ResourceAction[[#This Row],[IDN3]],IDNMaps[[Display]:[ID]],2,0)))</f>
        <v/>
      </c>
      <c r="R11" s="97" t="str">
        <f>IF(ResourceAction[[#This Row],[Resource Name]]="","idn4",IF(ResourceAction[[#This Row],[IDN4]]="","",VLOOKUP(ResourceAction[[#This Row],[IDN4]],IDNMaps[[Display]:[ID]],2,0)))</f>
        <v/>
      </c>
      <c r="S11" s="97" t="str">
        <f>IF(ResourceAction[[#This Row],[Resource Name]]="","idn5",IF(ResourceAction[[#This Row],[IDN5]]="","",VLOOKUP(ResourceAction[[#This Row],[IDN5]],IDNMaps[[Display]:[ID]],2,0)))</f>
        <v/>
      </c>
      <c r="T11" s="98" t="s">
        <v>888</v>
      </c>
      <c r="U11" s="98"/>
      <c r="V11" s="98"/>
      <c r="W11" s="98"/>
      <c r="X11" s="98"/>
      <c r="Y11" s="77">
        <f>[No]</f>
        <v>50009</v>
      </c>
      <c r="Z11"/>
      <c r="AA11" s="4" t="s">
        <v>919</v>
      </c>
      <c r="AB11" s="61">
        <f>VLOOKUP(ActionListNData[[#This Row],[Action Name]],ResourceAction[[Display]:[No]],3,0)</f>
        <v>50019</v>
      </c>
      <c r="AC11" s="61" t="s">
        <v>784</v>
      </c>
      <c r="AD11" s="61"/>
      <c r="AE11" s="61" t="str">
        <f>'Table Seed Map'!$A$36&amp;"-"&amp;COUNT($AH$2:ActionListNData[[#This Row],[List]])</f>
        <v>Action List-9</v>
      </c>
      <c r="AF11" s="61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1">
        <f>ActionListNData[[#This Row],[Action]]</f>
        <v>50019</v>
      </c>
      <c r="AH11" s="61">
        <f>IF(ActionListNData[[#This Row],[Action Name]]="","resource_list",IFERROR(VLOOKUP(ActionListNData[[#This Row],[Resource List]],ResourceList[[ListDisplayName]:[No]],2,0),""))</f>
        <v>50006</v>
      </c>
      <c r="AI11" s="61" t="str">
        <f>'Table Seed Map'!$A$37&amp;"-"&amp;COUNT($AL$2:ActionListNData[[#This Row],[Data]])</f>
        <v>Action Data-0</v>
      </c>
      <c r="AJ11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1">
        <f>ActionListNData[[#This Row],[Action]]</f>
        <v>50019</v>
      </c>
      <c r="AL11" s="61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Wishlist/VendorWishlistAction</v>
      </c>
      <c r="C12" s="78" t="s">
        <v>566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0">
        <f>IF(ResourceAction[[#This Row],[Resource Name]]="","resource",VLOOKUP(ResourceAction[[#This Row],[Resource Name]],ResourceTable[[RName]:[RID]],2,0))</f>
        <v>50006</v>
      </c>
      <c r="F12" s="70" t="s">
        <v>835</v>
      </c>
      <c r="G12" s="70" t="s">
        <v>836</v>
      </c>
      <c r="H12" s="70" t="s">
        <v>811</v>
      </c>
      <c r="I12" s="70"/>
      <c r="J12" s="70" t="s">
        <v>837</v>
      </c>
      <c r="K12" s="68" t="str">
        <f>'Table Seed Map'!$A$34&amp;"-"&amp;(COUNTA($E$1:ResourceAction[[#This Row],[Resource]])-2)</f>
        <v>Action Method-10</v>
      </c>
      <c r="L12" s="70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0">
        <f>[No]</f>
        <v>50010</v>
      </c>
      <c r="N12" s="96" t="s">
        <v>123</v>
      </c>
      <c r="O12" s="97">
        <f ca="1">IF(ResourceAction[[#This Row],[Resource Name]]="","idn1",IF(ResourceAction[[#This Row],[IDN1]]="","",VLOOKUP(ResourceAction[[#This Row],[IDN1]],IDNMaps[[Display]:[ID]],2,0)))</f>
        <v>50008</v>
      </c>
      <c r="P12" s="97" t="str">
        <f>IF(ResourceAction[[#This Row],[Resource Name]]="","idn2",IF(ResourceAction[[#This Row],[IDN2]]="","",VLOOKUP(ResourceAction[[#This Row],[IDN2]],IDNMaps[[Display]:[ID]],2,0)))</f>
        <v/>
      </c>
      <c r="Q12" s="97" t="str">
        <f>IF(ResourceAction[[#This Row],[Resource Name]]="","idn3",IF(ResourceAction[[#This Row],[IDN3]]="","",VLOOKUP(ResourceAction[[#This Row],[IDN3]],IDNMaps[[Display]:[ID]],2,0)))</f>
        <v/>
      </c>
      <c r="R12" s="97" t="str">
        <f>IF(ResourceAction[[#This Row],[Resource Name]]="","idn4",IF(ResourceAction[[#This Row],[IDN4]]="","",VLOOKUP(ResourceAction[[#This Row],[IDN4]],IDNMaps[[Display]:[ID]],2,0)))</f>
        <v/>
      </c>
      <c r="S12" s="97" t="str">
        <f>IF(ResourceAction[[#This Row],[Resource Name]]="","idn5",IF(ResourceAction[[#This Row],[IDN5]]="","",VLOOKUP(ResourceAction[[#This Row],[IDN5]],IDNMaps[[Display]:[ID]],2,0)))</f>
        <v/>
      </c>
      <c r="T12" s="98" t="s">
        <v>889</v>
      </c>
      <c r="U12" s="98"/>
      <c r="V12" s="98"/>
      <c r="W12" s="98"/>
      <c r="X12" s="98"/>
      <c r="Y12" s="77">
        <f>[No]</f>
        <v>50010</v>
      </c>
      <c r="Z12"/>
      <c r="AA12" s="4" t="s">
        <v>920</v>
      </c>
      <c r="AB12" s="61">
        <f>VLOOKUP(ActionListNData[[#This Row],[Action Name]],ResourceAction[[Display]:[No]],3,0)</f>
        <v>50020</v>
      </c>
      <c r="AC12" s="61" t="s">
        <v>776</v>
      </c>
      <c r="AD12" s="61"/>
      <c r="AE12" s="61" t="str">
        <f>'Table Seed Map'!$A$36&amp;"-"&amp;COUNT($AH$2:ActionListNData[[#This Row],[List]])</f>
        <v>Action List-10</v>
      </c>
      <c r="AF12" s="61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1">
        <f>ActionListNData[[#This Row],[Action]]</f>
        <v>50020</v>
      </c>
      <c r="AH12" s="61">
        <f>IF(ActionListNData[[#This Row],[Action Name]]="","resource_list",IFERROR(VLOOKUP(ActionListNData[[#This Row],[Resource List]],ResourceList[[ListDisplayName]:[No]],2,0),""))</f>
        <v>50007</v>
      </c>
      <c r="AI12" s="61" t="str">
        <f>'Table Seed Map'!$A$37&amp;"-"&amp;COUNT($AL$2:ActionListNData[[#This Row],[Data]])</f>
        <v>Action Data-0</v>
      </c>
      <c r="AJ12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1">
        <f>ActionListNData[[#This Row],[Action]]</f>
        <v>50020</v>
      </c>
      <c r="AL12" s="61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0" t="str">
        <f>'Table Seed Map'!$A$33&amp;"-"&amp;(COUNTA($E$1:ResourceAction[[#This Row],[Resource]])-2)</f>
        <v>Resource Actions-11</v>
      </c>
      <c r="B13" s="70" t="str">
        <f>ResourceAction[[#This Row],[Resource Name]]&amp;"/"&amp;ResourceAction[[#This Row],[Name]]</f>
        <v>GroupDetail/Group01ProductsListAction</v>
      </c>
      <c r="C13" s="78" t="s">
        <v>647</v>
      </c>
      <c r="D13" s="70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0">
        <f>IF(ResourceAction[[#This Row],[Resource Name]]="","resource",VLOOKUP(ResourceAction[[#This Row],[Resource Name]],ResourceTable[[RName]:[RID]],2,0))</f>
        <v>50002</v>
      </c>
      <c r="F13" s="70" t="s">
        <v>941</v>
      </c>
      <c r="G13" s="70" t="s">
        <v>945</v>
      </c>
      <c r="H13" s="70" t="s">
        <v>559</v>
      </c>
      <c r="I13" s="70"/>
      <c r="J13" s="70"/>
      <c r="K13" s="68" t="str">
        <f>'Table Seed Map'!$A$34&amp;"-"&amp;(COUNTA($E$1:ResourceAction[[#This Row],[Resource]])-2)</f>
        <v>Action Method-11</v>
      </c>
      <c r="L13" s="70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0">
        <f>[No]</f>
        <v>50011</v>
      </c>
      <c r="N13" s="96" t="s">
        <v>877</v>
      </c>
      <c r="O13" s="97">
        <f ca="1">IF(ResourceAction[[#This Row],[Resource Name]]="","idn1",IF(ResourceAction[[#This Row],[IDN1]]="","",VLOOKUP(ResourceAction[[#This Row],[IDN1]],IDNMaps[[Display]:[ID]],2,0)))</f>
        <v>50003</v>
      </c>
      <c r="P13" s="97">
        <f ca="1">IF(ResourceAction[[#This Row],[Resource Name]]="","idn2",IF(ResourceAction[[#This Row],[IDN2]]="","",VLOOKUP(ResourceAction[[#This Row],[IDN2]],IDNMaps[[Display]:[ID]],2,0)))</f>
        <v>50005</v>
      </c>
      <c r="Q13" s="97" t="str">
        <f>IF(ResourceAction[[#This Row],[Resource Name]]="","idn3",IF(ResourceAction[[#This Row],[IDN3]]="","",VLOOKUP(ResourceAction[[#This Row],[IDN3]],IDNMaps[[Display]:[ID]],2,0)))</f>
        <v/>
      </c>
      <c r="R13" s="97" t="str">
        <f>IF(ResourceAction[[#This Row],[Resource Name]]="","idn4",IF(ResourceAction[[#This Row],[IDN4]]="","",VLOOKUP(ResourceAction[[#This Row],[IDN4]],IDNMaps[[Display]:[ID]],2,0)))</f>
        <v/>
      </c>
      <c r="S13" s="97" t="str">
        <f>IF(ResourceAction[[#This Row],[Resource Name]]="","idn5",IF(ResourceAction[[#This Row],[IDN5]]="","",VLOOKUP(ResourceAction[[#This Row],[IDN5]],IDNMaps[[Display]:[ID]],2,0)))</f>
        <v/>
      </c>
      <c r="T13" s="98" t="s">
        <v>890</v>
      </c>
      <c r="U13" s="98" t="s">
        <v>884</v>
      </c>
      <c r="V13" s="98"/>
      <c r="W13" s="98"/>
      <c r="X13" s="98"/>
      <c r="Y13" s="77">
        <f>[No]</f>
        <v>50011</v>
      </c>
      <c r="AA13" s="4" t="s">
        <v>921</v>
      </c>
      <c r="AB13" s="61">
        <f>VLOOKUP(ActionListNData[[#This Row],[Action Name]],ResourceAction[[Display]:[No]],3,0)</f>
        <v>50021</v>
      </c>
      <c r="AC13" s="61" t="s">
        <v>776</v>
      </c>
      <c r="AD13" s="61"/>
      <c r="AE13" s="61" t="str">
        <f>'Table Seed Map'!$A$36&amp;"-"&amp;COUNT($AH$2:ActionListNData[[#This Row],[List]])</f>
        <v>Action List-11</v>
      </c>
      <c r="AF13" s="61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1">
        <f>ActionListNData[[#This Row],[Action]]</f>
        <v>50021</v>
      </c>
      <c r="AH13" s="61">
        <f>IF(ActionListNData[[#This Row],[Action Name]]="","resource_list",IFERROR(VLOOKUP(ActionListNData[[#This Row],[Resource List]],ResourceList[[ListDisplayName]:[No]],2,0),""))</f>
        <v>50007</v>
      </c>
      <c r="AI13" s="61" t="str">
        <f>'Table Seed Map'!$A$37&amp;"-"&amp;COUNT($AL$2:ActionListNData[[#This Row],[Data]])</f>
        <v>Action Data-0</v>
      </c>
      <c r="AJ1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1">
        <f>ActionListNData[[#This Row],[Action]]</f>
        <v>50021</v>
      </c>
      <c r="AL13" s="61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Map'!$A$33&amp;"-"&amp;(COUNTA($E$1:ResourceAction[[#This Row],[Resource]])-2)</f>
        <v>Resource Actions-12</v>
      </c>
      <c r="B14" s="70" t="str">
        <f>ResourceAction[[#This Row],[Resource Name]]&amp;"/"&amp;ResourceAction[[#This Row],[Name]]</f>
        <v>GroupDetail/Group02ProductsListAction</v>
      </c>
      <c r="C14" s="78" t="s">
        <v>647</v>
      </c>
      <c r="D14" s="70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0">
        <f>IF(ResourceAction[[#This Row],[Resource Name]]="","resource",VLOOKUP(ResourceAction[[#This Row],[Resource Name]],ResourceTable[[RName]:[RID]],2,0))</f>
        <v>50002</v>
      </c>
      <c r="F14" s="70" t="s">
        <v>942</v>
      </c>
      <c r="G14" s="70" t="s">
        <v>948</v>
      </c>
      <c r="H14" s="70" t="s">
        <v>559</v>
      </c>
      <c r="I14" s="70"/>
      <c r="J14" s="70"/>
      <c r="K14" s="68" t="str">
        <f>'Table Seed Map'!$A$34&amp;"-"&amp;(COUNTA($E$1:ResourceAction[[#This Row],[Resource]])-2)</f>
        <v>Action Method-12</v>
      </c>
      <c r="L14" s="70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0">
        <f>[No]</f>
        <v>50012</v>
      </c>
      <c r="N14" s="96" t="s">
        <v>877</v>
      </c>
      <c r="O14" s="97">
        <f ca="1">IF(ResourceAction[[#This Row],[Resource Name]]="","idn1",IF(ResourceAction[[#This Row],[IDN1]]="","",VLOOKUP(ResourceAction[[#This Row],[IDN1]],IDNMaps[[Display]:[ID]],2,0)))</f>
        <v>50004</v>
      </c>
      <c r="P14" s="97">
        <f ca="1">IF(ResourceAction[[#This Row],[Resource Name]]="","idn2",IF(ResourceAction[[#This Row],[IDN2]]="","",VLOOKUP(ResourceAction[[#This Row],[IDN2]],IDNMaps[[Display]:[ID]],2,0)))</f>
        <v>50005</v>
      </c>
      <c r="Q14" s="97" t="str">
        <f>IF(ResourceAction[[#This Row],[Resource Name]]="","idn3",IF(ResourceAction[[#This Row],[IDN3]]="","",VLOOKUP(ResourceAction[[#This Row],[IDN3]],IDNMaps[[Display]:[ID]],2,0)))</f>
        <v/>
      </c>
      <c r="R14" s="97" t="str">
        <f>IF(ResourceAction[[#This Row],[Resource Name]]="","idn4",IF(ResourceAction[[#This Row],[IDN4]]="","",VLOOKUP(ResourceAction[[#This Row],[IDN4]],IDNMaps[[Display]:[ID]],2,0)))</f>
        <v/>
      </c>
      <c r="S14" s="97" t="str">
        <f>IF(ResourceAction[[#This Row],[Resource Name]]="","idn5",IF(ResourceAction[[#This Row],[IDN5]]="","",VLOOKUP(ResourceAction[[#This Row],[IDN5]],IDNMaps[[Display]:[ID]],2,0)))</f>
        <v/>
      </c>
      <c r="T14" s="98" t="s">
        <v>891</v>
      </c>
      <c r="U14" s="98" t="s">
        <v>884</v>
      </c>
      <c r="V14" s="98"/>
      <c r="W14" s="98"/>
      <c r="X14" s="98"/>
      <c r="Y14" s="77">
        <f>[No]</f>
        <v>50012</v>
      </c>
      <c r="AA14" s="4" t="s">
        <v>922</v>
      </c>
      <c r="AB14" s="61">
        <f>VLOOKUP(ActionListNData[[#This Row],[Action Name]],ResourceAction[[Display]:[No]],3,0)</f>
        <v>50022</v>
      </c>
      <c r="AC14" s="61" t="s">
        <v>784</v>
      </c>
      <c r="AD14" s="61"/>
      <c r="AE14" s="61" t="str">
        <f>'Table Seed Map'!$A$36&amp;"-"&amp;COUNT($AH$2:ActionListNData[[#This Row],[List]])</f>
        <v>Action List-12</v>
      </c>
      <c r="AF14" s="61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1">
        <f>ActionListNData[[#This Row],[Action]]</f>
        <v>50022</v>
      </c>
      <c r="AH14" s="61">
        <f>IF(ActionListNData[[#This Row],[Action Name]]="","resource_list",IFERROR(VLOOKUP(ActionListNData[[#This Row],[Resource List]],ResourceList[[ListDisplayName]:[No]],2,0),""))</f>
        <v>50006</v>
      </c>
      <c r="AI14" s="61" t="str">
        <f>'Table Seed Map'!$A$37&amp;"-"&amp;COUNT($AL$2:ActionListNData[[#This Row],[Data]])</f>
        <v>Action Data-0</v>
      </c>
      <c r="AJ1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1">
        <f>ActionListNData[[#This Row],[Action]]</f>
        <v>50022</v>
      </c>
      <c r="AL14" s="61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0" t="str">
        <f>'Table Seed Map'!$A$33&amp;"-"&amp;(COUNTA($E$1:ResourceAction[[#This Row],[Resource]])-2)</f>
        <v>Resource Actions-13</v>
      </c>
      <c r="B15" s="70" t="str">
        <f>ResourceAction[[#This Row],[Resource Name]]&amp;"/"&amp;ResourceAction[[#This Row],[Name]]</f>
        <v>GroupDetail/Group03ProductsListAction</v>
      </c>
      <c r="C15" s="78" t="s">
        <v>647</v>
      </c>
      <c r="D15" s="70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0">
        <f>IF(ResourceAction[[#This Row],[Resource Name]]="","resource",VLOOKUP(ResourceAction[[#This Row],[Resource Name]],ResourceTable[[RName]:[RID]],2,0))</f>
        <v>50002</v>
      </c>
      <c r="F15" s="70" t="s">
        <v>943</v>
      </c>
      <c r="G15" s="70" t="s">
        <v>947</v>
      </c>
      <c r="H15" s="70" t="s">
        <v>559</v>
      </c>
      <c r="I15" s="70"/>
      <c r="J15" s="70"/>
      <c r="K15" s="68" t="str">
        <f>'Table Seed Map'!$A$34&amp;"-"&amp;(COUNTA($E$1:ResourceAction[[#This Row],[Resource]])-2)</f>
        <v>Action Method-13</v>
      </c>
      <c r="L15" s="70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0">
        <f>[No]</f>
        <v>50013</v>
      </c>
      <c r="N15" s="96" t="s">
        <v>877</v>
      </c>
      <c r="O15" s="97">
        <f ca="1">IF(ResourceAction[[#This Row],[Resource Name]]="","idn1",IF(ResourceAction[[#This Row],[IDN1]]="","",VLOOKUP(ResourceAction[[#This Row],[IDN1]],IDNMaps[[Display]:[ID]],2,0)))</f>
        <v>50005</v>
      </c>
      <c r="P15" s="97">
        <f ca="1">IF(ResourceAction[[#This Row],[Resource Name]]="","idn2",IF(ResourceAction[[#This Row],[IDN2]]="","",VLOOKUP(ResourceAction[[#This Row],[IDN2]],IDNMaps[[Display]:[ID]],2,0)))</f>
        <v>50005</v>
      </c>
      <c r="Q15" s="97" t="str">
        <f>IF(ResourceAction[[#This Row],[Resource Name]]="","idn3",IF(ResourceAction[[#This Row],[IDN3]]="","",VLOOKUP(ResourceAction[[#This Row],[IDN3]],IDNMaps[[Display]:[ID]],2,0)))</f>
        <v/>
      </c>
      <c r="R15" s="97" t="str">
        <f>IF(ResourceAction[[#This Row],[Resource Name]]="","idn4",IF(ResourceAction[[#This Row],[IDN4]]="","",VLOOKUP(ResourceAction[[#This Row],[IDN4]],IDNMaps[[Display]:[ID]],2,0)))</f>
        <v/>
      </c>
      <c r="S15" s="97" t="str">
        <f>IF(ResourceAction[[#This Row],[Resource Name]]="","idn5",IF(ResourceAction[[#This Row],[IDN5]]="","",VLOOKUP(ResourceAction[[#This Row],[IDN5]],IDNMaps[[Display]:[ID]],2,0)))</f>
        <v/>
      </c>
      <c r="T15" s="98" t="s">
        <v>892</v>
      </c>
      <c r="U15" s="98" t="s">
        <v>884</v>
      </c>
      <c r="V15" s="98"/>
      <c r="W15" s="98"/>
      <c r="X15" s="98"/>
      <c r="Y15" s="77">
        <f>[No]</f>
        <v>50013</v>
      </c>
      <c r="AA15" s="4" t="s">
        <v>923</v>
      </c>
      <c r="AB15" s="61">
        <f>VLOOKUP(ActionListNData[[#This Row],[Action Name]],ResourceAction[[Display]:[No]],3,0)</f>
        <v>50023</v>
      </c>
      <c r="AC15" s="61" t="s">
        <v>776</v>
      </c>
      <c r="AD15" s="61"/>
      <c r="AE15" s="61" t="str">
        <f>'Table Seed Map'!$A$36&amp;"-"&amp;COUNT($AH$2:ActionListNData[[#This Row],[List]])</f>
        <v>Action List-13</v>
      </c>
      <c r="AF15" s="61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1">
        <f>ActionListNData[[#This Row],[Action]]</f>
        <v>50023</v>
      </c>
      <c r="AH15" s="61">
        <f>IF(ActionListNData[[#This Row],[Action Name]]="","resource_list",IFERROR(VLOOKUP(ActionListNData[[#This Row],[Resource List]],ResourceList[[ListDisplayName]:[No]],2,0),""))</f>
        <v>50007</v>
      </c>
      <c r="AI15" s="61" t="str">
        <f>'Table Seed Map'!$A$37&amp;"-"&amp;COUNT($AL$2:ActionListNData[[#This Row],[Data]])</f>
        <v>Action Data-0</v>
      </c>
      <c r="AJ1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1">
        <f>ActionListNData[[#This Row],[Action]]</f>
        <v>50023</v>
      </c>
      <c r="AL15" s="61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Map'!$A$33&amp;"-"&amp;(COUNTA($E$1:ResourceAction[[#This Row],[Resource]])-2)</f>
        <v>Resource Actions-14</v>
      </c>
      <c r="B16" s="70" t="str">
        <f>ResourceAction[[#This Row],[Resource Name]]&amp;"/"&amp;ResourceAction[[#This Row],[Name]]</f>
        <v>GroupDetail/Group04ProductsListAction</v>
      </c>
      <c r="C16" s="78" t="s">
        <v>647</v>
      </c>
      <c r="D16" s="70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0">
        <f>IF(ResourceAction[[#This Row],[Resource Name]]="","resource",VLOOKUP(ResourceAction[[#This Row],[Resource Name]],ResourceTable[[RName]:[RID]],2,0))</f>
        <v>50002</v>
      </c>
      <c r="F16" s="70" t="s">
        <v>944</v>
      </c>
      <c r="G16" s="70" t="s">
        <v>946</v>
      </c>
      <c r="H16" s="70" t="s">
        <v>559</v>
      </c>
      <c r="I16" s="70"/>
      <c r="J16" s="70"/>
      <c r="K16" s="68" t="str">
        <f>'Table Seed Map'!$A$34&amp;"-"&amp;(COUNTA($E$1:ResourceAction[[#This Row],[Resource]])-2)</f>
        <v>Action Method-14</v>
      </c>
      <c r="L16" s="70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0">
        <f>[No]</f>
        <v>50014</v>
      </c>
      <c r="N16" s="96" t="s">
        <v>877</v>
      </c>
      <c r="O16" s="97">
        <f ca="1">IF(ResourceAction[[#This Row],[Resource Name]]="","idn1",IF(ResourceAction[[#This Row],[IDN1]]="","",VLOOKUP(ResourceAction[[#This Row],[IDN1]],IDNMaps[[Display]:[ID]],2,0)))</f>
        <v>50006</v>
      </c>
      <c r="P16" s="97">
        <f ca="1">IF(ResourceAction[[#This Row],[Resource Name]]="","idn2",IF(ResourceAction[[#This Row],[IDN2]]="","",VLOOKUP(ResourceAction[[#This Row],[IDN2]],IDNMaps[[Display]:[ID]],2,0)))</f>
        <v>50005</v>
      </c>
      <c r="Q16" s="97" t="str">
        <f>IF(ResourceAction[[#This Row],[Resource Name]]="","idn3",IF(ResourceAction[[#This Row],[IDN3]]="","",VLOOKUP(ResourceAction[[#This Row],[IDN3]],IDNMaps[[Display]:[ID]],2,0)))</f>
        <v/>
      </c>
      <c r="R16" s="97" t="str">
        <f>IF(ResourceAction[[#This Row],[Resource Name]]="","idn4",IF(ResourceAction[[#This Row],[IDN4]]="","",VLOOKUP(ResourceAction[[#This Row],[IDN4]],IDNMaps[[Display]:[ID]],2,0)))</f>
        <v/>
      </c>
      <c r="S16" s="97" t="str">
        <f>IF(ResourceAction[[#This Row],[Resource Name]]="","idn5",IF(ResourceAction[[#This Row],[IDN5]]="","",VLOOKUP(ResourceAction[[#This Row],[IDN5]],IDNMaps[[Display]:[ID]],2,0)))</f>
        <v/>
      </c>
      <c r="T16" s="98" t="s">
        <v>893</v>
      </c>
      <c r="U16" s="98" t="s">
        <v>884</v>
      </c>
      <c r="V16" s="98"/>
      <c r="W16" s="98"/>
      <c r="X16" s="98"/>
      <c r="Y16" s="77">
        <f>[No]</f>
        <v>50014</v>
      </c>
      <c r="AA16" s="4" t="s">
        <v>924</v>
      </c>
      <c r="AB16" s="61">
        <f>VLOOKUP(ActionListNData[[#This Row],[Action Name]],ResourceAction[[Display]:[No]],3,0)</f>
        <v>50024</v>
      </c>
      <c r="AC16" s="61" t="s">
        <v>776</v>
      </c>
      <c r="AD16" s="61" t="s">
        <v>804</v>
      </c>
      <c r="AE16" s="61" t="str">
        <f>'Table Seed Map'!$A$36&amp;"-"&amp;COUNT($AH$2:ActionListNData[[#This Row],[List]])</f>
        <v>Action List-14</v>
      </c>
      <c r="AF16" s="61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1">
        <f>ActionListNData[[#This Row],[Action]]</f>
        <v>50024</v>
      </c>
      <c r="AH16" s="61">
        <f>IF(ActionListNData[[#This Row],[Action Name]]="","resource_list",IFERROR(VLOOKUP(ActionListNData[[#This Row],[Resource List]],ResourceList[[ListDisplayName]:[No]],2,0),""))</f>
        <v>50007</v>
      </c>
      <c r="AI16" s="61" t="str">
        <f>'Table Seed Map'!$A$37&amp;"-"&amp;COUNT($AL$2:ActionListNData[[#This Row],[Data]])</f>
        <v>Action Data-1</v>
      </c>
      <c r="AJ16" s="61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1">
        <f>ActionListNData[[#This Row],[Action]]</f>
        <v>50024</v>
      </c>
      <c r="AL16" s="61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0" t="str">
        <f>'Table Seed Map'!$A$33&amp;"-"&amp;(COUNTA($E$1:ResourceAction[[#This Row],[Resource]])-2)</f>
        <v>Resource Actions-15</v>
      </c>
      <c r="B17" s="70" t="str">
        <f>ResourceAction[[#This Row],[Resource Name]]&amp;"/"&amp;ResourceAction[[#This Row],[Name]]</f>
        <v>Product/AddProductImageAction</v>
      </c>
      <c r="C17" s="78" t="s">
        <v>557</v>
      </c>
      <c r="D17" s="70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0">
        <f>IF(ResourceAction[[#This Row],[Resource Name]]="","resource",VLOOKUP(ResourceAction[[#This Row],[Resource Name]],ResourceTable[[RName]:[RID]],2,0))</f>
        <v>50003</v>
      </c>
      <c r="F17" s="70" t="s">
        <v>838</v>
      </c>
      <c r="G17" s="70" t="s">
        <v>839</v>
      </c>
      <c r="H17" s="70" t="s">
        <v>664</v>
      </c>
      <c r="I17" s="70"/>
      <c r="J17" s="70"/>
      <c r="K17" s="68" t="str">
        <f>'Table Seed Map'!$A$34&amp;"-"&amp;(COUNTA($E$1:ResourceAction[[#This Row],[Resource]])-2)</f>
        <v>Action Method-15</v>
      </c>
      <c r="L17" s="70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0">
        <f>[No]</f>
        <v>50015</v>
      </c>
      <c r="N17" s="96" t="s">
        <v>878</v>
      </c>
      <c r="O17" s="97">
        <f ca="1">IF(ResourceAction[[#This Row],[Resource Name]]="","idn1",IF(ResourceAction[[#This Row],[IDN1]]="","",VLOOKUP(ResourceAction[[#This Row],[IDN1]],IDNMaps[[Display]:[ID]],2,0)))</f>
        <v>50023</v>
      </c>
      <c r="P17" s="97">
        <f ca="1">IF(ResourceAction[[#This Row],[Resource Name]]="","idn2",IF(ResourceAction[[#This Row],[IDN2]]="","",VLOOKUP(ResourceAction[[#This Row],[IDN2]],IDNMaps[[Display]:[ID]],2,0)))</f>
        <v>50001</v>
      </c>
      <c r="Q17" s="97" t="str">
        <f>IF(ResourceAction[[#This Row],[Resource Name]]="","idn3",IF(ResourceAction[[#This Row],[IDN3]]="","",VLOOKUP(ResourceAction[[#This Row],[IDN3]],IDNMaps[[Display]:[ID]],2,0)))</f>
        <v/>
      </c>
      <c r="R17" s="97" t="str">
        <f>IF(ResourceAction[[#This Row],[Resource Name]]="","idn4",IF(ResourceAction[[#This Row],[IDN4]]="","",VLOOKUP(ResourceAction[[#This Row],[IDN4]],IDNMaps[[Display]:[ID]],2,0)))</f>
        <v/>
      </c>
      <c r="S17" s="97" t="str">
        <f>IF(ResourceAction[[#This Row],[Resource Name]]="","idn5",IF(ResourceAction[[#This Row],[IDN5]]="","",VLOOKUP(ResourceAction[[#This Row],[IDN5]],IDNMaps[[Display]:[ID]],2,0)))</f>
        <v/>
      </c>
      <c r="T17" s="98" t="s">
        <v>894</v>
      </c>
      <c r="U17" s="98" t="s">
        <v>907</v>
      </c>
      <c r="V17" s="98"/>
      <c r="W17" s="98"/>
      <c r="X17" s="98"/>
      <c r="Y17" s="77">
        <f>[No]</f>
        <v>50015</v>
      </c>
      <c r="AA17" s="4" t="s">
        <v>925</v>
      </c>
      <c r="AB17" s="61">
        <f>VLOOKUP(ActionListNData[[#This Row],[Action Name]],ResourceAction[[Display]:[No]],3,0)</f>
        <v>50025</v>
      </c>
      <c r="AC17" s="61" t="s">
        <v>776</v>
      </c>
      <c r="AD17" s="61" t="s">
        <v>804</v>
      </c>
      <c r="AE17" s="61" t="str">
        <f>'Table Seed Map'!$A$36&amp;"-"&amp;COUNT($AH$2:ActionListNData[[#This Row],[List]])</f>
        <v>Action List-15</v>
      </c>
      <c r="AF17" s="61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1">
        <f>ActionListNData[[#This Row],[Action]]</f>
        <v>50025</v>
      </c>
      <c r="AH17" s="61">
        <f>IF(ActionListNData[[#This Row],[Action Name]]="","resource_list",IFERROR(VLOOKUP(ActionListNData[[#This Row],[Resource List]],ResourceList[[ListDisplayName]:[No]],2,0),""))</f>
        <v>50007</v>
      </c>
      <c r="AI17" s="61" t="str">
        <f>'Table Seed Map'!$A$37&amp;"-"&amp;COUNT($AL$2:ActionListNData[[#This Row],[Data]])</f>
        <v>Action Data-2</v>
      </c>
      <c r="AJ17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1">
        <f>ActionListNData[[#This Row],[Action]]</f>
        <v>50025</v>
      </c>
      <c r="AL17" s="61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0" t="str">
        <f>'Table Seed Map'!$A$33&amp;"-"&amp;(COUNTA($E$1:ResourceAction[[#This Row],[Resource]])-2)</f>
        <v>Resource Actions-16</v>
      </c>
      <c r="B18" s="70" t="str">
        <f>ResourceAction[[#This Row],[Resource Name]]&amp;"/"&amp;ResourceAction[[#This Row],[Name]]</f>
        <v>Product/ProductImagesListAction</v>
      </c>
      <c r="C18" s="78" t="s">
        <v>557</v>
      </c>
      <c r="D18" s="70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0">
        <f>IF(ResourceAction[[#This Row],[Resource Name]]="","resource",VLOOKUP(ResourceAction[[#This Row],[Resource Name]],ResourceTable[[RName]:[RID]],2,0))</f>
        <v>50003</v>
      </c>
      <c r="F18" s="70" t="s">
        <v>840</v>
      </c>
      <c r="G18" s="70" t="s">
        <v>841</v>
      </c>
      <c r="H18" s="70" t="s">
        <v>562</v>
      </c>
      <c r="I18" s="70"/>
      <c r="J18" s="70"/>
      <c r="K18" s="68" t="str">
        <f>'Table Seed Map'!$A$34&amp;"-"&amp;(COUNTA($E$1:ResourceAction[[#This Row],[Resource]])-2)</f>
        <v>Action Method-16</v>
      </c>
      <c r="L18" s="70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0">
        <f>[No]</f>
        <v>50016</v>
      </c>
      <c r="N18" s="96" t="s">
        <v>877</v>
      </c>
      <c r="O18" s="97">
        <f ca="1">IF(ResourceAction[[#This Row],[Resource Name]]="","idn1",IF(ResourceAction[[#This Row],[IDN1]]="","",VLOOKUP(ResourceAction[[#This Row],[IDN1]],IDNMaps[[Display]:[ID]],2,0)))</f>
        <v>50023</v>
      </c>
      <c r="P18" s="97">
        <f ca="1">IF(ResourceAction[[#This Row],[Resource Name]]="","idn2",IF(ResourceAction[[#This Row],[IDN2]]="","",VLOOKUP(ResourceAction[[#This Row],[IDN2]],IDNMaps[[Display]:[ID]],2,0)))</f>
        <v>50010</v>
      </c>
      <c r="Q18" s="97" t="str">
        <f>IF(ResourceAction[[#This Row],[Resource Name]]="","idn3",IF(ResourceAction[[#This Row],[IDN3]]="","",VLOOKUP(ResourceAction[[#This Row],[IDN3]],IDNMaps[[Display]:[ID]],2,0)))</f>
        <v/>
      </c>
      <c r="R18" s="97" t="str">
        <f>IF(ResourceAction[[#This Row],[Resource Name]]="","idn4",IF(ResourceAction[[#This Row],[IDN4]]="","",VLOOKUP(ResourceAction[[#This Row],[IDN4]],IDNMaps[[Display]:[ID]],2,0)))</f>
        <v/>
      </c>
      <c r="S18" s="97" t="str">
        <f>IF(ResourceAction[[#This Row],[Resource Name]]="","idn5",IF(ResourceAction[[#This Row],[IDN5]]="","",VLOOKUP(ResourceAction[[#This Row],[IDN5]],IDNMaps[[Display]:[ID]],2,0)))</f>
        <v/>
      </c>
      <c r="T18" s="98" t="s">
        <v>894</v>
      </c>
      <c r="U18" s="98" t="s">
        <v>908</v>
      </c>
      <c r="V18" s="98"/>
      <c r="W18" s="98"/>
      <c r="X18" s="98"/>
      <c r="Y18" s="77">
        <f>[No]</f>
        <v>50016</v>
      </c>
      <c r="AA18" s="4" t="s">
        <v>926</v>
      </c>
      <c r="AB18" s="61">
        <f>VLOOKUP(ActionListNData[[#This Row],[Action Name]],ResourceAction[[Display]:[No]],3,0)</f>
        <v>50026</v>
      </c>
      <c r="AC18" s="61" t="s">
        <v>776</v>
      </c>
      <c r="AD18" s="61"/>
      <c r="AE18" s="61" t="str">
        <f>'Table Seed Map'!$A$36&amp;"-"&amp;COUNT($AH$2:ActionListNData[[#This Row],[List]])</f>
        <v>Action List-16</v>
      </c>
      <c r="AF18" s="61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1">
        <f>ActionListNData[[#This Row],[Action]]</f>
        <v>50026</v>
      </c>
      <c r="AH18" s="61">
        <f>IF(ActionListNData[[#This Row],[Action Name]]="","resource_list",IFERROR(VLOOKUP(ActionListNData[[#This Row],[Resource List]],ResourceList[[ListDisplayName]:[No]],2,0),""))</f>
        <v>50007</v>
      </c>
      <c r="AI18" s="61" t="str">
        <f>'Table Seed Map'!$A$37&amp;"-"&amp;COUNT($AL$2:ActionListNData[[#This Row],[Data]])</f>
        <v>Action Data-2</v>
      </c>
      <c r="AJ18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1">
        <f>ActionListNData[[#This Row],[Action]]</f>
        <v>50026</v>
      </c>
      <c r="AL18" s="61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0" t="str">
        <f>'Table Seed Map'!$A$33&amp;"-"&amp;(COUNTA($E$1:ResourceAction[[#This Row],[Resource]])-2)</f>
        <v>Resource Actions-17</v>
      </c>
      <c r="B19" s="70" t="str">
        <f>ResourceAction[[#This Row],[Resource Name]]&amp;"/"&amp;ResourceAction[[#This Row],[Name]]</f>
        <v>ProductImage/ImageStatusChangeAction</v>
      </c>
      <c r="C19" s="78" t="s">
        <v>560</v>
      </c>
      <c r="D19" s="70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0">
        <f>IF(ResourceAction[[#This Row],[Resource Name]]="","resource",VLOOKUP(ResourceAction[[#This Row],[Resource Name]],ResourceTable[[RName]:[RID]],2,0))</f>
        <v>50004</v>
      </c>
      <c r="F19" s="70" t="s">
        <v>842</v>
      </c>
      <c r="G19" s="70" t="s">
        <v>843</v>
      </c>
      <c r="H19" s="70" t="s">
        <v>667</v>
      </c>
      <c r="I19" s="70"/>
      <c r="J19" s="70"/>
      <c r="K19" s="68" t="str">
        <f>'Table Seed Map'!$A$34&amp;"-"&amp;(COUNTA($E$1:ResourceAction[[#This Row],[Resource]])-2)</f>
        <v>Action Method-17</v>
      </c>
      <c r="L19" s="70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0">
        <f>[No]</f>
        <v>50017</v>
      </c>
      <c r="N19" s="96" t="s">
        <v>186</v>
      </c>
      <c r="O19" s="97">
        <f ca="1">IF(ResourceAction[[#This Row],[Resource Name]]="","idn1",IF(ResourceAction[[#This Row],[IDN1]]="","",VLOOKUP(ResourceAction[[#This Row],[IDN1]],IDNMaps[[Display]:[ID]],2,0)))</f>
        <v>50002</v>
      </c>
      <c r="P19" s="97">
        <f ca="1">IF(ResourceAction[[#This Row],[Resource Name]]="","idn2",IF(ResourceAction[[#This Row],[IDN2]]="","",VLOOKUP(ResourceAction[[#This Row],[IDN2]],IDNMaps[[Display]:[ID]],2,0)))</f>
        <v>50002</v>
      </c>
      <c r="Q19" s="97" t="str">
        <f>IF(ResourceAction[[#This Row],[Resource Name]]="","idn3",IF(ResourceAction[[#This Row],[IDN3]]="","",VLOOKUP(ResourceAction[[#This Row],[IDN3]],IDNMaps[[Display]:[ID]],2,0)))</f>
        <v/>
      </c>
      <c r="R19" s="97" t="str">
        <f>IF(ResourceAction[[#This Row],[Resource Name]]="","idn4",IF(ResourceAction[[#This Row],[IDN4]]="","",VLOOKUP(ResourceAction[[#This Row],[IDN4]],IDNMaps[[Display]:[ID]],2,0)))</f>
        <v/>
      </c>
      <c r="S19" s="97" t="str">
        <f>IF(ResourceAction[[#This Row],[Resource Name]]="","idn5",IF(ResourceAction[[#This Row],[IDN5]]="","",VLOOKUP(ResourceAction[[#This Row],[IDN5]],IDNMaps[[Display]:[ID]],2,0)))</f>
        <v/>
      </c>
      <c r="T19" s="98" t="s">
        <v>895</v>
      </c>
      <c r="U19" s="98" t="s">
        <v>909</v>
      </c>
      <c r="V19" s="98"/>
      <c r="W19" s="98"/>
      <c r="X19" s="98"/>
      <c r="Y19" s="77">
        <f>[No]</f>
        <v>50017</v>
      </c>
      <c r="AA19" s="4" t="s">
        <v>928</v>
      </c>
      <c r="AB19" s="61">
        <f>VLOOKUP(ActionListNData[[#This Row],[Action Name]],ResourceAction[[Display]:[No]],3,0)</f>
        <v>50028</v>
      </c>
      <c r="AC19" s="61" t="s">
        <v>776</v>
      </c>
      <c r="AD19" s="61" t="s">
        <v>804</v>
      </c>
      <c r="AE19" s="61" t="str">
        <f>'Table Seed Map'!$A$36&amp;"-"&amp;COUNT($AH$2:ActionListNData[[#This Row],[List]])</f>
        <v>Action List-17</v>
      </c>
      <c r="AF19" s="61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1">
        <f>ActionListNData[[#This Row],[Action]]</f>
        <v>50028</v>
      </c>
      <c r="AH19" s="61">
        <f>IF(ActionListNData[[#This Row],[Action Name]]="","resource_list",IFERROR(VLOOKUP(ActionListNData[[#This Row],[Resource List]],ResourceList[[ListDisplayName]:[No]],2,0),""))</f>
        <v>50007</v>
      </c>
      <c r="AI19" s="61" t="str">
        <f>'Table Seed Map'!$A$37&amp;"-"&amp;COUNT($AL$2:ActionListNData[[#This Row],[Data]])</f>
        <v>Action Data-3</v>
      </c>
      <c r="AJ19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1">
        <f>ActionListNData[[#This Row],[Action]]</f>
        <v>50028</v>
      </c>
      <c r="AL19" s="61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0" t="str">
        <f>'Table Seed Map'!$A$33&amp;"-"&amp;(COUNTA($E$1:ResourceAction[[#This Row],[Resource]])-2)</f>
        <v>Resource Actions-18</v>
      </c>
      <c r="B20" s="70" t="str">
        <f>ResourceAction[[#This Row],[Resource Name]]&amp;"/"&amp;ResourceAction[[#This Row],[Name]]</f>
        <v>Visitor/VisitorWishlistListAction</v>
      </c>
      <c r="C20" s="78" t="s">
        <v>563</v>
      </c>
      <c r="D20" s="70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0">
        <f>IF(ResourceAction[[#This Row],[Resource Name]]="","resource",VLOOKUP(ResourceAction[[#This Row],[Resource Name]],ResourceTable[[RName]:[RID]],2,0))</f>
        <v>50005</v>
      </c>
      <c r="F20" s="70" t="s">
        <v>844</v>
      </c>
      <c r="G20" s="70" t="s">
        <v>845</v>
      </c>
      <c r="H20" s="70" t="s">
        <v>846</v>
      </c>
      <c r="I20" s="70"/>
      <c r="J20" s="70"/>
      <c r="K20" s="68" t="str">
        <f>'Table Seed Map'!$A$34&amp;"-"&amp;(COUNTA($E$1:ResourceAction[[#This Row],[Resource]])-2)</f>
        <v>Action Method-18</v>
      </c>
      <c r="L20" s="70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0">
        <f>[No]</f>
        <v>50018</v>
      </c>
      <c r="N20" s="96" t="s">
        <v>877</v>
      </c>
      <c r="O20" s="97">
        <f ca="1">IF(ResourceAction[[#This Row],[Resource Name]]="","idn1",IF(ResourceAction[[#This Row],[IDN1]]="","",VLOOKUP(ResourceAction[[#This Row],[IDN1]],IDNMaps[[Display]:[ID]],2,0)))</f>
        <v>50025</v>
      </c>
      <c r="P20" s="97">
        <f ca="1">IF(ResourceAction[[#This Row],[Resource Name]]="","idn2",IF(ResourceAction[[#This Row],[IDN2]]="","",VLOOKUP(ResourceAction[[#This Row],[IDN2]],IDNMaps[[Display]:[ID]],2,0)))</f>
        <v>50007</v>
      </c>
      <c r="Q20" s="97" t="str">
        <f>IF(ResourceAction[[#This Row],[Resource Name]]="","idn3",IF(ResourceAction[[#This Row],[IDN3]]="","",VLOOKUP(ResourceAction[[#This Row],[IDN3]],IDNMaps[[Display]:[ID]],2,0)))</f>
        <v/>
      </c>
      <c r="R20" s="97" t="str">
        <f>IF(ResourceAction[[#This Row],[Resource Name]]="","idn4",IF(ResourceAction[[#This Row],[IDN4]]="","",VLOOKUP(ResourceAction[[#This Row],[IDN4]],IDNMaps[[Display]:[ID]],2,0)))</f>
        <v/>
      </c>
      <c r="S20" s="97" t="str">
        <f>IF(ResourceAction[[#This Row],[Resource Name]]="","idn5",IF(ResourceAction[[#This Row],[IDN5]]="","",VLOOKUP(ResourceAction[[#This Row],[IDN5]],IDNMaps[[Display]:[ID]],2,0)))</f>
        <v/>
      </c>
      <c r="T20" s="98" t="s">
        <v>896</v>
      </c>
      <c r="U20" s="98" t="s">
        <v>887</v>
      </c>
      <c r="V20" s="98"/>
      <c r="W20" s="98"/>
      <c r="X20" s="98"/>
      <c r="Y20" s="77">
        <f>[No]</f>
        <v>50018</v>
      </c>
      <c r="AA20" s="4" t="s">
        <v>929</v>
      </c>
      <c r="AB20" s="61">
        <f>VLOOKUP(ActionListNData[[#This Row],[Action Name]],ResourceAction[[Display]:[No]],3,0)</f>
        <v>50029</v>
      </c>
      <c r="AC20" s="61" t="s">
        <v>761</v>
      </c>
      <c r="AD20" s="61"/>
      <c r="AE20" s="61" t="str">
        <f>'Table Seed Map'!$A$36&amp;"-"&amp;COUNT($AH$2:ActionListNData[[#This Row],[List]])</f>
        <v>Action List-18</v>
      </c>
      <c r="AF20" s="61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1">
        <f>ActionListNData[[#This Row],[Action]]</f>
        <v>50029</v>
      </c>
      <c r="AH20" s="61">
        <f>IF(ActionListNData[[#This Row],[Action Name]]="","resource_list",IFERROR(VLOOKUP(ActionListNData[[#This Row],[Resource List]],ResourceList[[ListDisplayName]:[No]],2,0),""))</f>
        <v>50001</v>
      </c>
      <c r="AI20" s="61" t="str">
        <f>'Table Seed Map'!$A$37&amp;"-"&amp;COUNT($AL$2:ActionListNData[[#This Row],[Data]])</f>
        <v>Action Data-3</v>
      </c>
      <c r="AJ20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1">
        <f>ActionListNData[[#This Row],[Action]]</f>
        <v>50029</v>
      </c>
      <c r="AL20" s="61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0" t="str">
        <f>'Table Seed Map'!$A$33&amp;"-"&amp;(COUNTA($E$1:ResourceAction[[#This Row],[Resource]])-2)</f>
        <v>Resource Actions-19</v>
      </c>
      <c r="B21" s="70" t="str">
        <f>ResourceAction[[#This Row],[Resource Name]]&amp;"/"&amp;ResourceAction[[#This Row],[Name]]</f>
        <v>Visitor/VisitorSharedWishlistListAction</v>
      </c>
      <c r="C21" s="78" t="s">
        <v>563</v>
      </c>
      <c r="D21" s="70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0">
        <f>IF(ResourceAction[[#This Row],[Resource Name]]="","resource",VLOOKUP(ResourceAction[[#This Row],[Resource Name]],ResourceTable[[RName]:[RID]],2,0))</f>
        <v>50005</v>
      </c>
      <c r="F21" s="70" t="s">
        <v>847</v>
      </c>
      <c r="G21" s="70" t="s">
        <v>848</v>
      </c>
      <c r="H21" s="70" t="s">
        <v>812</v>
      </c>
      <c r="I21" s="70"/>
      <c r="J21" s="70"/>
      <c r="K21" s="68" t="str">
        <f>'Table Seed Map'!$A$34&amp;"-"&amp;(COUNTA($E$1:ResourceAction[[#This Row],[Resource]])-2)</f>
        <v>Action Method-19</v>
      </c>
      <c r="L21" s="70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0">
        <f>[No]</f>
        <v>50019</v>
      </c>
      <c r="N21" s="96" t="s">
        <v>877</v>
      </c>
      <c r="O21" s="97">
        <f ca="1">IF(ResourceAction[[#This Row],[Resource Name]]="","idn1",IF(ResourceAction[[#This Row],[IDN1]]="","",VLOOKUP(ResourceAction[[#This Row],[IDN1]],IDNMaps[[Display]:[ID]],2,0)))</f>
        <v>50026</v>
      </c>
      <c r="P21" s="97">
        <f ca="1">IF(ResourceAction[[#This Row],[Resource Name]]="","idn2",IF(ResourceAction[[#This Row],[IDN2]]="","",VLOOKUP(ResourceAction[[#This Row],[IDN2]],IDNMaps[[Display]:[ID]],2,0)))</f>
        <v>50007</v>
      </c>
      <c r="Q21" s="97" t="str">
        <f>IF(ResourceAction[[#This Row],[Resource Name]]="","idn3",IF(ResourceAction[[#This Row],[IDN3]]="","",VLOOKUP(ResourceAction[[#This Row],[IDN3]],IDNMaps[[Display]:[ID]],2,0)))</f>
        <v/>
      </c>
      <c r="R21" s="97" t="str">
        <f>IF(ResourceAction[[#This Row],[Resource Name]]="","idn4",IF(ResourceAction[[#This Row],[IDN4]]="","",VLOOKUP(ResourceAction[[#This Row],[IDN4]],IDNMaps[[Display]:[ID]],2,0)))</f>
        <v/>
      </c>
      <c r="S21" s="97" t="str">
        <f>IF(ResourceAction[[#This Row],[Resource Name]]="","idn5",IF(ResourceAction[[#This Row],[IDN5]]="","",VLOOKUP(ResourceAction[[#This Row],[IDN5]],IDNMaps[[Display]:[ID]],2,0)))</f>
        <v/>
      </c>
      <c r="T21" s="98" t="s">
        <v>897</v>
      </c>
      <c r="U21" s="98" t="s">
        <v>887</v>
      </c>
      <c r="V21" s="98"/>
      <c r="W21" s="98"/>
      <c r="X21" s="98"/>
      <c r="Y21" s="77">
        <f>[No]</f>
        <v>50019</v>
      </c>
      <c r="AA21" s="4" t="s">
        <v>929</v>
      </c>
      <c r="AB21" s="61">
        <f>VLOOKUP(ActionListNData[[#This Row],[Action Name]],ResourceAction[[Display]:[No]],3,0)</f>
        <v>50029</v>
      </c>
      <c r="AC21" s="61" t="s">
        <v>762</v>
      </c>
      <c r="AD21" s="61"/>
      <c r="AE21" s="61" t="str">
        <f>'Table Seed Map'!$A$36&amp;"-"&amp;COUNT($AH$2:ActionListNData[[#This Row],[List]])</f>
        <v>Action List-19</v>
      </c>
      <c r="AF21" s="61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1">
        <f>ActionListNData[[#This Row],[Action]]</f>
        <v>50029</v>
      </c>
      <c r="AH21" s="61">
        <f>IF(ActionListNData[[#This Row],[Action Name]]="","resource_list",IFERROR(VLOOKUP(ActionListNData[[#This Row],[Resource List]],ResourceList[[ListDisplayName]:[No]],2,0),""))</f>
        <v>50002</v>
      </c>
      <c r="AI21" s="61" t="str">
        <f>'Table Seed Map'!$A$37&amp;"-"&amp;COUNT($AL$2:ActionListNData[[#This Row],[Data]])</f>
        <v>Action Data-3</v>
      </c>
      <c r="AJ21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1">
        <f>ActionListNData[[#This Row],[Action]]</f>
        <v>50029</v>
      </c>
      <c r="AL21" s="61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0" t="str">
        <f>'Table Seed Map'!$A$33&amp;"-"&amp;(COUNTA($E$1:ResourceAction[[#This Row],[Resource]])-2)</f>
        <v>Resource Actions-20</v>
      </c>
      <c r="B22" s="70" t="str">
        <f>ResourceAction[[#This Row],[Resource Name]]&amp;"/"&amp;ResourceAction[[#This Row],[Name]]</f>
        <v>Wishlist/WishlistSharesListAction</v>
      </c>
      <c r="C22" s="78" t="s">
        <v>566</v>
      </c>
      <c r="D22" s="70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0">
        <f>IF(ResourceAction[[#This Row],[Resource Name]]="","resource",VLOOKUP(ResourceAction[[#This Row],[Resource Name]],ResourceTable[[RName]:[RID]],2,0))</f>
        <v>50006</v>
      </c>
      <c r="F22" s="70" t="s">
        <v>849</v>
      </c>
      <c r="G22" s="70" t="s">
        <v>850</v>
      </c>
      <c r="H22" s="70" t="s">
        <v>851</v>
      </c>
      <c r="I22" s="70"/>
      <c r="J22" s="70"/>
      <c r="K22" s="68" t="str">
        <f>'Table Seed Map'!$A$34&amp;"-"&amp;(COUNTA($E$1:ResourceAction[[#This Row],[Resource]])-2)</f>
        <v>Action Method-20</v>
      </c>
      <c r="L22" s="70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0">
        <f>[No]</f>
        <v>50020</v>
      </c>
      <c r="N22" s="96" t="s">
        <v>877</v>
      </c>
      <c r="O22" s="97">
        <f ca="1">IF(ResourceAction[[#This Row],[Resource Name]]="","idn1",IF(ResourceAction[[#This Row],[IDN1]]="","",VLOOKUP(ResourceAction[[#This Row],[IDN1]],IDNMaps[[Display]:[ID]],2,0)))</f>
        <v>50029</v>
      </c>
      <c r="P22" s="97">
        <f ca="1">IF(ResourceAction[[#This Row],[Resource Name]]="","idn2",IF(ResourceAction[[#This Row],[IDN2]]="","",VLOOKUP(ResourceAction[[#This Row],[IDN2]],IDNMaps[[Display]:[ID]],2,0)))</f>
        <v>50006</v>
      </c>
      <c r="Q22" s="97" t="str">
        <f>IF(ResourceAction[[#This Row],[Resource Name]]="","idn3",IF(ResourceAction[[#This Row],[IDN3]]="","",VLOOKUP(ResourceAction[[#This Row],[IDN3]],IDNMaps[[Display]:[ID]],2,0)))</f>
        <v/>
      </c>
      <c r="R22" s="97" t="str">
        <f>IF(ResourceAction[[#This Row],[Resource Name]]="","idn4",IF(ResourceAction[[#This Row],[IDN4]]="","",VLOOKUP(ResourceAction[[#This Row],[IDN4]],IDNMaps[[Display]:[ID]],2,0)))</f>
        <v/>
      </c>
      <c r="S22" s="97" t="str">
        <f>IF(ResourceAction[[#This Row],[Resource Name]]="","idn5",IF(ResourceAction[[#This Row],[IDN5]]="","",VLOOKUP(ResourceAction[[#This Row],[IDN5]],IDNMaps[[Display]:[ID]],2,0)))</f>
        <v/>
      </c>
      <c r="T22" s="98" t="s">
        <v>898</v>
      </c>
      <c r="U22" s="98" t="s">
        <v>885</v>
      </c>
      <c r="V22" s="98"/>
      <c r="W22" s="98"/>
      <c r="X22" s="98"/>
      <c r="Y22" s="77">
        <f>[No]</f>
        <v>50020</v>
      </c>
      <c r="AA22" s="4" t="s">
        <v>929</v>
      </c>
      <c r="AB22" s="61">
        <f>VLOOKUP(ActionListNData[[#This Row],[Action Name]],ResourceAction[[Display]:[No]],3,0)</f>
        <v>50029</v>
      </c>
      <c r="AC22" s="61" t="s">
        <v>763</v>
      </c>
      <c r="AD22" s="61"/>
      <c r="AE22" s="61" t="str">
        <f>'Table Seed Map'!$A$36&amp;"-"&amp;COUNT($AH$2:ActionListNData[[#This Row],[List]])</f>
        <v>Action List-20</v>
      </c>
      <c r="AF22" s="61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1">
        <f>ActionListNData[[#This Row],[Action]]</f>
        <v>50029</v>
      </c>
      <c r="AH22" s="61">
        <f>IF(ActionListNData[[#This Row],[Action Name]]="","resource_list",IFERROR(VLOOKUP(ActionListNData[[#This Row],[Resource List]],ResourceList[[ListDisplayName]:[No]],2,0),""))</f>
        <v>50003</v>
      </c>
      <c r="AI22" s="61" t="str">
        <f>'Table Seed Map'!$A$37&amp;"-"&amp;COUNT($AL$2:ActionListNData[[#This Row],[Data]])</f>
        <v>Action Data-3</v>
      </c>
      <c r="AJ22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1">
        <f>ActionListNData[[#This Row],[Action]]</f>
        <v>50029</v>
      </c>
      <c r="AL22" s="61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0" t="str">
        <f>'Table Seed Map'!$A$33&amp;"-"&amp;(COUNTA($E$1:ResourceAction[[#This Row],[Resource]])-2)</f>
        <v>Resource Actions-21</v>
      </c>
      <c r="B23" s="70" t="str">
        <f>ResourceAction[[#This Row],[Resource Name]]&amp;"/"&amp;ResourceAction[[#This Row],[Name]]</f>
        <v>Wishlist/WishlistProductsListAction</v>
      </c>
      <c r="C23" s="78" t="s">
        <v>566</v>
      </c>
      <c r="D23" s="70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0">
        <f>IF(ResourceAction[[#This Row],[Resource Name]]="","resource",VLOOKUP(ResourceAction[[#This Row],[Resource Name]],ResourceTable[[RName]:[RID]],2,0))</f>
        <v>50006</v>
      </c>
      <c r="F23" s="70" t="s">
        <v>852</v>
      </c>
      <c r="G23" s="70" t="s">
        <v>853</v>
      </c>
      <c r="H23" s="70" t="s">
        <v>854</v>
      </c>
      <c r="I23" s="70"/>
      <c r="J23" s="70"/>
      <c r="K23" s="68" t="str">
        <f>'Table Seed Map'!$A$34&amp;"-"&amp;(COUNTA($E$1:ResourceAction[[#This Row],[Resource]])-2)</f>
        <v>Action Method-21</v>
      </c>
      <c r="L23" s="70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0">
        <f>[No]</f>
        <v>50021</v>
      </c>
      <c r="N23" s="96" t="s">
        <v>877</v>
      </c>
      <c r="O23" s="97">
        <f ca="1">IF(ResourceAction[[#This Row],[Resource Name]]="","idn1",IF(ResourceAction[[#This Row],[IDN1]]="","",VLOOKUP(ResourceAction[[#This Row],[IDN1]],IDNMaps[[Display]:[ID]],2,0)))</f>
        <v>50031</v>
      </c>
      <c r="P23" s="97">
        <f ca="1">IF(ResourceAction[[#This Row],[Resource Name]]="","idn2",IF(ResourceAction[[#This Row],[IDN2]]="","",VLOOKUP(ResourceAction[[#This Row],[IDN2]],IDNMaps[[Display]:[ID]],2,0)))</f>
        <v>50011</v>
      </c>
      <c r="Q23" s="97" t="str">
        <f>IF(ResourceAction[[#This Row],[Resource Name]]="","idn3",IF(ResourceAction[[#This Row],[IDN3]]="","",VLOOKUP(ResourceAction[[#This Row],[IDN3]],IDNMaps[[Display]:[ID]],2,0)))</f>
        <v/>
      </c>
      <c r="R23" s="97" t="str">
        <f>IF(ResourceAction[[#This Row],[Resource Name]]="","idn4",IF(ResourceAction[[#This Row],[IDN4]]="","",VLOOKUP(ResourceAction[[#This Row],[IDN4]],IDNMaps[[Display]:[ID]],2,0)))</f>
        <v/>
      </c>
      <c r="S23" s="97" t="str">
        <f>IF(ResourceAction[[#This Row],[Resource Name]]="","idn5",IF(ResourceAction[[#This Row],[IDN5]]="","",VLOOKUP(ResourceAction[[#This Row],[IDN5]],IDNMaps[[Display]:[ID]],2,0)))</f>
        <v/>
      </c>
      <c r="T23" s="98" t="s">
        <v>899</v>
      </c>
      <c r="U23" s="98" t="s">
        <v>910</v>
      </c>
      <c r="V23" s="98"/>
      <c r="W23" s="98"/>
      <c r="X23" s="98"/>
      <c r="Y23" s="77">
        <f>[No]</f>
        <v>50021</v>
      </c>
      <c r="AA23" s="4" t="s">
        <v>929</v>
      </c>
      <c r="AB23" s="61">
        <f>VLOOKUP(ActionListNData[[#This Row],[Action Name]],ResourceAction[[Display]:[No]],3,0)</f>
        <v>50029</v>
      </c>
      <c r="AC23" s="61" t="s">
        <v>764</v>
      </c>
      <c r="AD23" s="61"/>
      <c r="AE23" s="61" t="str">
        <f>'Table Seed Map'!$A$36&amp;"-"&amp;COUNT($AH$2:ActionListNData[[#This Row],[List]])</f>
        <v>Action List-21</v>
      </c>
      <c r="AF23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1">
        <f>ActionListNData[[#This Row],[Action]]</f>
        <v>50029</v>
      </c>
      <c r="AH23" s="61">
        <f>IF(ActionListNData[[#This Row],[Action Name]]="","resource_list",IFERROR(VLOOKUP(ActionListNData[[#This Row],[Resource List]],ResourceList[[ListDisplayName]:[No]],2,0),""))</f>
        <v>50004</v>
      </c>
      <c r="AI23" s="61" t="str">
        <f>'Table Seed Map'!$A$37&amp;"-"&amp;COUNT($AL$2:ActionListNData[[#This Row],[Data]])</f>
        <v>Action Data-3</v>
      </c>
      <c r="AJ23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1">
        <f>ActionListNData[[#This Row],[Action]]</f>
        <v>50029</v>
      </c>
      <c r="AL23" s="61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0" t="str">
        <f>'Table Seed Map'!$A$33&amp;"-"&amp;(COUNTA($E$1:ResourceAction[[#This Row],[Resource]])-2)</f>
        <v>Resource Actions-22</v>
      </c>
      <c r="B24" s="70" t="str">
        <f>ResourceAction[[#This Row],[Resource Name]]&amp;"/"&amp;ResourceAction[[#This Row],[Name]]</f>
        <v>Visitor/VisitorDetailsAction</v>
      </c>
      <c r="C24" s="78" t="s">
        <v>563</v>
      </c>
      <c r="D24" s="70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0">
        <f>IF(ResourceAction[[#This Row],[Resource Name]]="","resource",VLOOKUP(ResourceAction[[#This Row],[Resource Name]],ResourceTable[[RName]:[RID]],2,0))</f>
        <v>50005</v>
      </c>
      <c r="F24" s="70" t="s">
        <v>855</v>
      </c>
      <c r="G24" s="70" t="s">
        <v>856</v>
      </c>
      <c r="H24" s="70" t="s">
        <v>857</v>
      </c>
      <c r="I24" s="70"/>
      <c r="J24" s="70"/>
      <c r="K24" s="68" t="str">
        <f>'Table Seed Map'!$A$34&amp;"-"&amp;(COUNTA($E$1:ResourceAction[[#This Row],[Resource]])-2)</f>
        <v>Action Method-22</v>
      </c>
      <c r="L24" s="70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0">
        <f>[No]</f>
        <v>50022</v>
      </c>
      <c r="N24" s="96" t="s">
        <v>127</v>
      </c>
      <c r="O24" s="97">
        <f ca="1">IF(ResourceAction[[#This Row],[Resource Name]]="","idn1",IF(ResourceAction[[#This Row],[IDN1]]="","",VLOOKUP(ResourceAction[[#This Row],[IDN1]],IDNMaps[[Display]:[ID]],2,0)))</f>
        <v>50001</v>
      </c>
      <c r="P24" s="97" t="str">
        <f>IF(ResourceAction[[#This Row],[Resource Name]]="","idn2",IF(ResourceAction[[#This Row],[IDN2]]="","",VLOOKUP(ResourceAction[[#This Row],[IDN2]],IDNMaps[[Display]:[ID]],2,0)))</f>
        <v/>
      </c>
      <c r="Q24" s="97" t="str">
        <f>IF(ResourceAction[[#This Row],[Resource Name]]="","idn3",IF(ResourceAction[[#This Row],[IDN3]]="","",VLOOKUP(ResourceAction[[#This Row],[IDN3]],IDNMaps[[Display]:[ID]],2,0)))</f>
        <v/>
      </c>
      <c r="R24" s="97" t="str">
        <f>IF(ResourceAction[[#This Row],[Resource Name]]="","idn4",IF(ResourceAction[[#This Row],[IDN4]]="","",VLOOKUP(ResourceAction[[#This Row],[IDN4]],IDNMaps[[Display]:[ID]],2,0)))</f>
        <v/>
      </c>
      <c r="S24" s="97" t="str">
        <f>IF(ResourceAction[[#This Row],[Resource Name]]="","idn5",IF(ResourceAction[[#This Row],[IDN5]]="","",VLOOKUP(ResourceAction[[#This Row],[IDN5]],IDNMaps[[Display]:[ID]],2,0)))</f>
        <v/>
      </c>
      <c r="T24" s="98" t="s">
        <v>900</v>
      </c>
      <c r="U24" s="98"/>
      <c r="V24" s="98"/>
      <c r="W24" s="98"/>
      <c r="X24" s="98"/>
      <c r="Y24" s="77">
        <f>[No]</f>
        <v>50022</v>
      </c>
      <c r="AA24" s="4" t="s">
        <v>927</v>
      </c>
      <c r="AB24" s="61">
        <f>VLOOKUP(ActionListNData[[#This Row],[Action Name]],ResourceAction[[Display]:[No]],3,0)</f>
        <v>50027</v>
      </c>
      <c r="AC24" s="61"/>
      <c r="AD24" s="61" t="s">
        <v>804</v>
      </c>
      <c r="AE24" s="61" t="str">
        <f>'Table Seed Map'!$A$36&amp;"-"&amp;COUNT($AH$2:ActionListNData[[#This Row],[List]])</f>
        <v>Action List-21</v>
      </c>
      <c r="AF24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1">
        <f>ActionListNData[[#This Row],[Action]]</f>
        <v>50027</v>
      </c>
      <c r="AH24" s="61" t="str">
        <f>IF(ActionListNData[[#This Row],[Action Name]]="","resource_list",IFERROR(VLOOKUP(ActionListNData[[#This Row],[Resource List]],ResourceList[[ListDisplayName]:[No]],2,0),""))</f>
        <v/>
      </c>
      <c r="AI24" s="61" t="str">
        <f>'Table Seed Map'!$A$37&amp;"-"&amp;COUNT($AL$2:ActionListNData[[#This Row],[Data]])</f>
        <v>Action Data-4</v>
      </c>
      <c r="AJ24" s="61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1">
        <f>ActionListNData[[#This Row],[Action]]</f>
        <v>50027</v>
      </c>
      <c r="AL24" s="61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0" t="str">
        <f>'Table Seed Map'!$A$33&amp;"-"&amp;(COUNTA($E$1:ResourceAction[[#This Row],[Resource]])-2)</f>
        <v>Resource Actions-23</v>
      </c>
      <c r="B25" s="70" t="str">
        <f>ResourceAction[[#This Row],[Resource Name]]&amp;"/"&amp;ResourceAction[[#This Row],[Name]]</f>
        <v>Wishlist/WishlistMessagesListAction</v>
      </c>
      <c r="C25" s="78" t="s">
        <v>566</v>
      </c>
      <c r="D25" s="70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0">
        <f>IF(ResourceAction[[#This Row],[Resource Name]]="","resource",VLOOKUP(ResourceAction[[#This Row],[Resource Name]],ResourceTable[[RName]:[RID]],2,0))</f>
        <v>50006</v>
      </c>
      <c r="F25" s="70" t="s">
        <v>858</v>
      </c>
      <c r="G25" s="70" t="s">
        <v>859</v>
      </c>
      <c r="H25" s="70" t="s">
        <v>860</v>
      </c>
      <c r="I25" s="70"/>
      <c r="J25" s="70"/>
      <c r="K25" s="68" t="str">
        <f>'Table Seed Map'!$A$34&amp;"-"&amp;(COUNTA($E$1:ResourceAction[[#This Row],[Resource]])-2)</f>
        <v>Action Method-23</v>
      </c>
      <c r="L25" s="70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0">
        <f>[No]</f>
        <v>50023</v>
      </c>
      <c r="N25" s="96" t="s">
        <v>877</v>
      </c>
      <c r="O25" s="97">
        <f ca="1">IF(ResourceAction[[#This Row],[Resource Name]]="","idn1",IF(ResourceAction[[#This Row],[IDN1]]="","",VLOOKUP(ResourceAction[[#This Row],[IDN1]],IDNMaps[[Display]:[ID]],2,0)))</f>
        <v>50030</v>
      </c>
      <c r="P25" s="97">
        <f ca="1">IF(ResourceAction[[#This Row],[Resource Name]]="","idn2",IF(ResourceAction[[#This Row],[IDN2]]="","",VLOOKUP(ResourceAction[[#This Row],[IDN2]],IDNMaps[[Display]:[ID]],2,0)))</f>
        <v>50009</v>
      </c>
      <c r="Q25" s="97" t="str">
        <f>IF(ResourceAction[[#This Row],[Resource Name]]="","idn3",IF(ResourceAction[[#This Row],[IDN3]]="","",VLOOKUP(ResourceAction[[#This Row],[IDN3]],IDNMaps[[Display]:[ID]],2,0)))</f>
        <v/>
      </c>
      <c r="R25" s="97" t="str">
        <f>IF(ResourceAction[[#This Row],[Resource Name]]="","idn4",IF(ResourceAction[[#This Row],[IDN4]]="","",VLOOKUP(ResourceAction[[#This Row],[IDN4]],IDNMaps[[Display]:[ID]],2,0)))</f>
        <v/>
      </c>
      <c r="S25" s="97" t="str">
        <f>IF(ResourceAction[[#This Row],[Resource Name]]="","idn5",IF(ResourceAction[[#This Row],[IDN5]]="","",VLOOKUP(ResourceAction[[#This Row],[IDN5]],IDNMaps[[Display]:[ID]],2,0)))</f>
        <v/>
      </c>
      <c r="T25" s="98" t="s">
        <v>901</v>
      </c>
      <c r="U25" s="98" t="s">
        <v>911</v>
      </c>
      <c r="V25" s="98"/>
      <c r="W25" s="98"/>
      <c r="X25" s="98"/>
      <c r="Y25" s="77">
        <f>[No]</f>
        <v>50023</v>
      </c>
    </row>
    <row r="26" spans="1:38">
      <c r="A26" s="70" t="str">
        <f>'Table Seed Map'!$A$33&amp;"-"&amp;(COUNTA($E$1:ResourceAction[[#This Row],[Resource]])-2)</f>
        <v>Resource Actions-24</v>
      </c>
      <c r="B26" s="70" t="str">
        <f>ResourceAction[[#This Row],[Resource Name]]&amp;"/"&amp;ResourceAction[[#This Row],[Name]]</f>
        <v>Wishlist/ManageWishlistProductsAction</v>
      </c>
      <c r="C26" s="78" t="s">
        <v>566</v>
      </c>
      <c r="D26" s="70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0">
        <f>IF(ResourceAction[[#This Row],[Resource Name]]="","resource",VLOOKUP(ResourceAction[[#This Row],[Resource Name]],ResourceTable[[RName]:[RID]],2,0))</f>
        <v>50006</v>
      </c>
      <c r="F26" s="70" t="s">
        <v>861</v>
      </c>
      <c r="G26" s="70" t="s">
        <v>862</v>
      </c>
      <c r="H26" s="70" t="s">
        <v>863</v>
      </c>
      <c r="I26" s="70"/>
      <c r="J26" s="70"/>
      <c r="K26" s="68" t="str">
        <f>'Table Seed Map'!$A$34&amp;"-"&amp;(COUNTA($E$1:ResourceAction[[#This Row],[Resource]])-2)</f>
        <v>Action Method-24</v>
      </c>
      <c r="L26" s="70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0">
        <f>[No]</f>
        <v>50024</v>
      </c>
      <c r="N26" s="96" t="s">
        <v>879</v>
      </c>
      <c r="O26" s="97">
        <f ca="1">IF(ResourceAction[[#This Row],[Resource Name]]="","idn1",IF(ResourceAction[[#This Row],[IDN1]]="","",VLOOKUP(ResourceAction[[#This Row],[IDN1]],IDNMaps[[Display]:[ID]],2,0)))</f>
        <v>50032</v>
      </c>
      <c r="P26" s="97">
        <f ca="1">IF(ResourceAction[[#This Row],[Resource Name]]="","idn2",IF(ResourceAction[[#This Row],[IDN2]]="","",VLOOKUP(ResourceAction[[#This Row],[IDN2]],IDNMaps[[Display]:[ID]],2,0)))</f>
        <v>50005</v>
      </c>
      <c r="Q26" s="97" t="str">
        <f>IF(ResourceAction[[#This Row],[Resource Name]]="","idn3",IF(ResourceAction[[#This Row],[IDN3]]="","",VLOOKUP(ResourceAction[[#This Row],[IDN3]],IDNMaps[[Display]:[ID]],2,0)))</f>
        <v/>
      </c>
      <c r="R26" s="97" t="str">
        <f>IF(ResourceAction[[#This Row],[Resource Name]]="","idn4",IF(ResourceAction[[#This Row],[IDN4]]="","",VLOOKUP(ResourceAction[[#This Row],[IDN4]],IDNMaps[[Display]:[ID]],2,0)))</f>
        <v/>
      </c>
      <c r="S26" s="97" t="str">
        <f>IF(ResourceAction[[#This Row],[Resource Name]]="","idn5",IF(ResourceAction[[#This Row],[IDN5]]="","",VLOOKUP(ResourceAction[[#This Row],[IDN5]],IDNMaps[[Display]:[ID]],2,0)))</f>
        <v/>
      </c>
      <c r="T26" s="98" t="s">
        <v>902</v>
      </c>
      <c r="U26" s="98" t="s">
        <v>884</v>
      </c>
      <c r="V26" s="98"/>
      <c r="W26" s="98"/>
      <c r="X26" s="98"/>
      <c r="Y26" s="77">
        <f>[No]</f>
        <v>50024</v>
      </c>
    </row>
    <row r="27" spans="1:38">
      <c r="A27" s="70" t="str">
        <f>'Table Seed Map'!$A$33&amp;"-"&amp;(COUNTA($E$1:ResourceAction[[#This Row],[Resource]])-2)</f>
        <v>Resource Actions-25</v>
      </c>
      <c r="B27" s="70" t="str">
        <f>ResourceAction[[#This Row],[Resource Name]]&amp;"/"&amp;ResourceAction[[#This Row],[Name]]</f>
        <v>Wishlist/ShareWishlistAction</v>
      </c>
      <c r="C27" s="78" t="s">
        <v>566</v>
      </c>
      <c r="D27" s="70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0">
        <f>IF(ResourceAction[[#This Row],[Resource Name]]="","resource",VLOOKUP(ResourceAction[[#This Row],[Resource Name]],ResourceTable[[RName]:[RID]],2,0))</f>
        <v>50006</v>
      </c>
      <c r="F27" s="70" t="s">
        <v>864</v>
      </c>
      <c r="G27" s="70" t="s">
        <v>865</v>
      </c>
      <c r="H27" s="70" t="s">
        <v>866</v>
      </c>
      <c r="I27" s="70"/>
      <c r="J27" s="70"/>
      <c r="K27" s="68" t="str">
        <f>'Table Seed Map'!$A$34&amp;"-"&amp;(COUNTA($E$1:ResourceAction[[#This Row],[Resource]])-2)</f>
        <v>Action Method-25</v>
      </c>
      <c r="L27" s="70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0">
        <f>[No]</f>
        <v>50025</v>
      </c>
      <c r="N27" s="96" t="s">
        <v>878</v>
      </c>
      <c r="O27" s="97">
        <f ca="1">IF(ResourceAction[[#This Row],[Resource Name]]="","idn1",IF(ResourceAction[[#This Row],[IDN1]]="","",VLOOKUP(ResourceAction[[#This Row],[IDN1]],IDNMaps[[Display]:[ID]],2,0)))</f>
        <v>50042</v>
      </c>
      <c r="P27" s="97">
        <f ca="1">IF(ResourceAction[[#This Row],[Resource Name]]="","idn2",IF(ResourceAction[[#This Row],[IDN2]]="","",VLOOKUP(ResourceAction[[#This Row],[IDN2]],IDNMaps[[Display]:[ID]],2,0)))</f>
        <v>50006</v>
      </c>
      <c r="Q27" s="97" t="str">
        <f>IF(ResourceAction[[#This Row],[Resource Name]]="","idn3",IF(ResourceAction[[#This Row],[IDN3]]="","",VLOOKUP(ResourceAction[[#This Row],[IDN3]],IDNMaps[[Display]:[ID]],2,0)))</f>
        <v/>
      </c>
      <c r="R27" s="97" t="str">
        <f>IF(ResourceAction[[#This Row],[Resource Name]]="","idn4",IF(ResourceAction[[#This Row],[IDN4]]="","",VLOOKUP(ResourceAction[[#This Row],[IDN4]],IDNMaps[[Display]:[ID]],2,0)))</f>
        <v/>
      </c>
      <c r="S27" s="97" t="str">
        <f>IF(ResourceAction[[#This Row],[Resource Name]]="","idn5",IF(ResourceAction[[#This Row],[IDN5]]="","",VLOOKUP(ResourceAction[[#This Row],[IDN5]],IDNMaps[[Display]:[ID]],2,0)))</f>
        <v/>
      </c>
      <c r="T27" s="98" t="s">
        <v>903</v>
      </c>
      <c r="U27" s="98" t="s">
        <v>912</v>
      </c>
      <c r="V27" s="98"/>
      <c r="W27" s="98"/>
      <c r="X27" s="98"/>
      <c r="Y27" s="77">
        <f>[No]</f>
        <v>50025</v>
      </c>
    </row>
    <row r="28" spans="1:38">
      <c r="A28" s="70" t="str">
        <f>'Table Seed Map'!$A$33&amp;"-"&amp;(COUNTA($E$1:ResourceAction[[#This Row],[Resource]])-2)</f>
        <v>Resource Actions-26</v>
      </c>
      <c r="B28" s="70" t="str">
        <f>ResourceAction[[#This Row],[Resource Name]]&amp;"/"&amp;ResourceAction[[#This Row],[Name]]</f>
        <v>Wishlist/WishlistDetailsAction</v>
      </c>
      <c r="C28" s="78" t="s">
        <v>566</v>
      </c>
      <c r="D28" s="70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0">
        <f>IF(ResourceAction[[#This Row],[Resource Name]]="","resource",VLOOKUP(ResourceAction[[#This Row],[Resource Name]],ResourceTable[[RName]:[RID]],2,0))</f>
        <v>50006</v>
      </c>
      <c r="F28" s="70" t="s">
        <v>867</v>
      </c>
      <c r="G28" s="70" t="s">
        <v>868</v>
      </c>
      <c r="H28" s="70" t="s">
        <v>857</v>
      </c>
      <c r="I28" s="70"/>
      <c r="J28" s="70"/>
      <c r="K28" s="68" t="str">
        <f>'Table Seed Map'!$A$34&amp;"-"&amp;(COUNTA($E$1:ResourceAction[[#This Row],[Resource]])-2)</f>
        <v>Action Method-26</v>
      </c>
      <c r="L28" s="70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0">
        <f>[No]</f>
        <v>50026</v>
      </c>
      <c r="N28" s="96" t="s">
        <v>127</v>
      </c>
      <c r="O28" s="97">
        <f ca="1">IF(ResourceAction[[#This Row],[Resource Name]]="","idn1",IF(ResourceAction[[#This Row],[IDN1]]="","",VLOOKUP(ResourceAction[[#This Row],[IDN1]],IDNMaps[[Display]:[ID]],2,0)))</f>
        <v>50003</v>
      </c>
      <c r="P28" s="97" t="str">
        <f>IF(ResourceAction[[#This Row],[Resource Name]]="","idn2",IF(ResourceAction[[#This Row],[IDN2]]="","",VLOOKUP(ResourceAction[[#This Row],[IDN2]],IDNMaps[[Display]:[ID]],2,0)))</f>
        <v/>
      </c>
      <c r="Q28" s="97" t="str">
        <f>IF(ResourceAction[[#This Row],[Resource Name]]="","idn3",IF(ResourceAction[[#This Row],[IDN3]]="","",VLOOKUP(ResourceAction[[#This Row],[IDN3]],IDNMaps[[Display]:[ID]],2,0)))</f>
        <v/>
      </c>
      <c r="R28" s="97" t="str">
        <f>IF(ResourceAction[[#This Row],[Resource Name]]="","idn4",IF(ResourceAction[[#This Row],[IDN4]]="","",VLOOKUP(ResourceAction[[#This Row],[IDN4]],IDNMaps[[Display]:[ID]],2,0)))</f>
        <v/>
      </c>
      <c r="S28" s="97" t="str">
        <f>IF(ResourceAction[[#This Row],[Resource Name]]="","idn5",IF(ResourceAction[[#This Row],[IDN5]]="","",VLOOKUP(ResourceAction[[#This Row],[IDN5]],IDNMaps[[Display]:[ID]],2,0)))</f>
        <v/>
      </c>
      <c r="T28" s="98" t="s">
        <v>904</v>
      </c>
      <c r="U28" s="98"/>
      <c r="V28" s="98"/>
      <c r="W28" s="98"/>
      <c r="X28" s="98"/>
      <c r="Y28" s="77">
        <f>[No]</f>
        <v>50026</v>
      </c>
    </row>
    <row r="29" spans="1:38">
      <c r="A29" s="70" t="str">
        <f>'Table Seed Map'!$A$33&amp;"-"&amp;(COUNTA($E$1:ResourceAction[[#This Row],[Resource]])-2)</f>
        <v>Resource Actions-27</v>
      </c>
      <c r="B29" s="70" t="str">
        <f>ResourceAction[[#This Row],[Resource Name]]&amp;"/"&amp;ResourceAction[[#This Row],[Name]]</f>
        <v>Wishlist/UpdateWishlistDetailsAction</v>
      </c>
      <c r="C29" s="78" t="s">
        <v>566</v>
      </c>
      <c r="D29" s="70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0">
        <f>IF(ResourceAction[[#This Row],[Resource Name]]="","resource",VLOOKUP(ResourceAction[[#This Row],[Resource Name]],ResourceTable[[RName]:[RID]],2,0))</f>
        <v>50006</v>
      </c>
      <c r="F29" s="70" t="s">
        <v>869</v>
      </c>
      <c r="G29" s="70" t="s">
        <v>870</v>
      </c>
      <c r="H29" s="70" t="s">
        <v>274</v>
      </c>
      <c r="I29" s="70"/>
      <c r="J29" s="70"/>
      <c r="K29" s="68" t="str">
        <f>'Table Seed Map'!$A$34&amp;"-"&amp;(COUNTA($E$1:ResourceAction[[#This Row],[Resource]])-2)</f>
        <v>Action Method-27</v>
      </c>
      <c r="L29" s="70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0">
        <f>[No]</f>
        <v>50027</v>
      </c>
      <c r="N29" s="96" t="s">
        <v>186</v>
      </c>
      <c r="O29" s="97">
        <f ca="1">IF(ResourceAction[[#This Row],[Resource Name]]="","idn1",IF(ResourceAction[[#This Row],[IDN1]]="","",VLOOKUP(ResourceAction[[#This Row],[IDN1]],IDNMaps[[Display]:[ID]],2,0)))</f>
        <v>50005</v>
      </c>
      <c r="P29" s="97">
        <f ca="1">IF(ResourceAction[[#This Row],[Resource Name]]="","idn2",IF(ResourceAction[[#This Row],[IDN2]]="","",VLOOKUP(ResourceAction[[#This Row],[IDN2]],IDNMaps[[Display]:[ID]],2,0)))</f>
        <v>50003</v>
      </c>
      <c r="Q29" s="97" t="str">
        <f>IF(ResourceAction[[#This Row],[Resource Name]]="","idn3",IF(ResourceAction[[#This Row],[IDN3]]="","",VLOOKUP(ResourceAction[[#This Row],[IDN3]],IDNMaps[[Display]:[ID]],2,0)))</f>
        <v/>
      </c>
      <c r="R29" s="97" t="str">
        <f>IF(ResourceAction[[#This Row],[Resource Name]]="","idn4",IF(ResourceAction[[#This Row],[IDN4]]="","",VLOOKUP(ResourceAction[[#This Row],[IDN4]],IDNMaps[[Display]:[ID]],2,0)))</f>
        <v/>
      </c>
      <c r="S29" s="97" t="str">
        <f>IF(ResourceAction[[#This Row],[Resource Name]]="","idn5",IF(ResourceAction[[#This Row],[IDN5]]="","",VLOOKUP(ResourceAction[[#This Row],[IDN5]],IDNMaps[[Display]:[ID]],2,0)))</f>
        <v/>
      </c>
      <c r="T29" s="98" t="s">
        <v>905</v>
      </c>
      <c r="U29" s="98" t="s">
        <v>904</v>
      </c>
      <c r="V29" s="98"/>
      <c r="W29" s="98"/>
      <c r="X29" s="98"/>
      <c r="Y29" s="77">
        <f>[No]</f>
        <v>50027</v>
      </c>
    </row>
    <row r="30" spans="1:38">
      <c r="A30" s="70" t="str">
        <f>'Table Seed Map'!$A$33&amp;"-"&amp;(COUNTA($E$1:ResourceAction[[#This Row],[Resource]])-2)</f>
        <v>Resource Actions-28</v>
      </c>
      <c r="B30" s="70" t="str">
        <f>ResourceAction[[#This Row],[Resource Name]]&amp;"/"&amp;ResourceAction[[#This Row],[Name]]</f>
        <v>Wishlist/AddWishlistNoteAction</v>
      </c>
      <c r="C30" s="78" t="s">
        <v>566</v>
      </c>
      <c r="D30" s="70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0">
        <f>IF(ResourceAction[[#This Row],[Resource Name]]="","resource",VLOOKUP(ResourceAction[[#This Row],[Resource Name]],ResourceTable[[RName]:[RID]],2,0))</f>
        <v>50006</v>
      </c>
      <c r="F30" s="70" t="s">
        <v>871</v>
      </c>
      <c r="G30" s="70" t="s">
        <v>872</v>
      </c>
      <c r="H30" s="70" t="s">
        <v>873</v>
      </c>
      <c r="I30" s="70"/>
      <c r="J30" s="70"/>
      <c r="K30" s="68" t="str">
        <f>'Table Seed Map'!$A$34&amp;"-"&amp;(COUNTA($E$1:ResourceAction[[#This Row],[Resource]])-2)</f>
        <v>Action Method-28</v>
      </c>
      <c r="L30" s="70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0">
        <f>[No]</f>
        <v>50028</v>
      </c>
      <c r="N30" s="96" t="s">
        <v>878</v>
      </c>
      <c r="O30" s="97">
        <f ca="1">IF(ResourceAction[[#This Row],[Resource Name]]="","idn1",IF(ResourceAction[[#This Row],[IDN1]]="","",VLOOKUP(ResourceAction[[#This Row],[IDN1]],IDNMaps[[Display]:[ID]],2,0)))</f>
        <v>50030</v>
      </c>
      <c r="P30" s="97">
        <f ca="1">IF(ResourceAction[[#This Row],[Resource Name]]="","idn2",IF(ResourceAction[[#This Row],[IDN2]]="","",VLOOKUP(ResourceAction[[#This Row],[IDN2]],IDNMaps[[Display]:[ID]],2,0)))</f>
        <v>50007</v>
      </c>
      <c r="Q30" s="97" t="str">
        <f>IF(ResourceAction[[#This Row],[Resource Name]]="","idn3",IF(ResourceAction[[#This Row],[IDN3]]="","",VLOOKUP(ResourceAction[[#This Row],[IDN3]],IDNMaps[[Display]:[ID]],2,0)))</f>
        <v/>
      </c>
      <c r="R30" s="97" t="str">
        <f>IF(ResourceAction[[#This Row],[Resource Name]]="","idn4",IF(ResourceAction[[#This Row],[IDN4]]="","",VLOOKUP(ResourceAction[[#This Row],[IDN4]],IDNMaps[[Display]:[ID]],2,0)))</f>
        <v/>
      </c>
      <c r="S30" s="97" t="str">
        <f>IF(ResourceAction[[#This Row],[Resource Name]]="","idn5",IF(ResourceAction[[#This Row],[IDN5]]="","",VLOOKUP(ResourceAction[[#This Row],[IDN5]],IDNMaps[[Display]:[ID]],2,0)))</f>
        <v/>
      </c>
      <c r="T30" s="98" t="s">
        <v>901</v>
      </c>
      <c r="U30" s="98" t="s">
        <v>913</v>
      </c>
      <c r="V30" s="98"/>
      <c r="W30" s="98"/>
      <c r="X30" s="98"/>
      <c r="Y30" s="77">
        <f>[No]</f>
        <v>50028</v>
      </c>
    </row>
    <row r="31" spans="1:38">
      <c r="A31" s="83" t="str">
        <f>'Table Seed Map'!$A$33&amp;"-"&amp;(COUNTA($E$1:ResourceAction[[#This Row],[Resource]])-2)</f>
        <v>Resource Actions-29</v>
      </c>
      <c r="B31" s="83" t="str">
        <f>ResourceAction[[#This Row],[Resource Name]]&amp;"/"&amp;ResourceAction[[#This Row],[Name]]</f>
        <v>GroupDetail/AlterWebListAction</v>
      </c>
      <c r="C31" s="78" t="s">
        <v>647</v>
      </c>
      <c r="D31" s="83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3">
        <f>IF(ResourceAction[[#This Row],[Resource Name]]="","resource",VLOOKUP(ResourceAction[[#This Row],[Resource Name]],ResourceTable[[RName]:[RID]],2,0))</f>
        <v>50002</v>
      </c>
      <c r="F31" s="83" t="s">
        <v>874</v>
      </c>
      <c r="G31" s="83" t="s">
        <v>875</v>
      </c>
      <c r="H31" s="83" t="s">
        <v>876</v>
      </c>
      <c r="I31" s="83"/>
      <c r="J31" s="83"/>
      <c r="K31" s="81" t="str">
        <f>'Table Seed Map'!$A$34&amp;"-"&amp;(COUNTA($E$1:ResourceAction[[#This Row],[Resource]])-2)</f>
        <v>Action Method-29</v>
      </c>
      <c r="L31" s="83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3">
        <f>[No]</f>
        <v>50029</v>
      </c>
      <c r="N31" s="99" t="s">
        <v>186</v>
      </c>
      <c r="O31" s="100">
        <f ca="1">IF(ResourceAction[[#This Row],[Resource Name]]="","idn1",IF(ResourceAction[[#This Row],[IDN1]]="","",VLOOKUP(ResourceAction[[#This Row],[IDN1]],IDNMaps[[Display]:[ID]],2,0)))</f>
        <v>50008</v>
      </c>
      <c r="P31" s="100">
        <f ca="1">IF(ResourceAction[[#This Row],[Resource Name]]="","idn2",IF(ResourceAction[[#This Row],[IDN2]]="","",VLOOKUP(ResourceAction[[#This Row],[IDN2]],IDNMaps[[Display]:[ID]],2,0)))</f>
        <v>50004</v>
      </c>
      <c r="Q31" s="100" t="str">
        <f>IF(ResourceAction[[#This Row],[Resource Name]]="","idn3",IF(ResourceAction[[#This Row],[IDN3]]="","",VLOOKUP(ResourceAction[[#This Row],[IDN3]],IDNMaps[[Display]:[ID]],2,0)))</f>
        <v/>
      </c>
      <c r="R31" s="100" t="str">
        <f>IF(ResourceAction[[#This Row],[Resource Name]]="","idn4",IF(ResourceAction[[#This Row],[IDN4]]="","",VLOOKUP(ResourceAction[[#This Row],[IDN4]],IDNMaps[[Display]:[ID]],2,0)))</f>
        <v/>
      </c>
      <c r="S31" s="100" t="str">
        <f>IF(ResourceAction[[#This Row],[Resource Name]]="","idn5",IF(ResourceAction[[#This Row],[IDN5]]="","",VLOOKUP(ResourceAction[[#This Row],[IDN5]],IDNMaps[[Display]:[ID]],2,0)))</f>
        <v/>
      </c>
      <c r="T31" s="101" t="s">
        <v>906</v>
      </c>
      <c r="U31" s="98" t="s">
        <v>914</v>
      </c>
      <c r="V31" s="101"/>
      <c r="W31" s="101"/>
      <c r="X31" s="101"/>
      <c r="Y31" s="90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2019-03-11T12:37:00Z</dcterms:modified>
</cp:coreProperties>
</file>