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32" i="4"/>
  <c r="P32" s="1"/>
  <c r="C32"/>
  <c r="Q32" s="1"/>
  <c r="D32"/>
  <c r="L32"/>
  <c r="M32"/>
  <c r="N32"/>
  <c r="O32" s="1"/>
  <c r="B31"/>
  <c r="C31"/>
  <c r="Q31" s="1"/>
  <c r="D31"/>
  <c r="L31"/>
  <c r="M31"/>
  <c r="N31"/>
  <c r="O31" s="1"/>
  <c r="P31"/>
  <c r="B30"/>
  <c r="P30" s="1"/>
  <c r="C30"/>
  <c r="Q30" s="1"/>
  <c r="D30"/>
  <c r="L30"/>
  <c r="N30" s="1"/>
  <c r="O30" s="1"/>
  <c r="M30"/>
  <c r="C22" i="2"/>
  <c r="E22"/>
  <c r="F22"/>
  <c r="G22"/>
  <c r="D29" i="4"/>
  <c r="L29"/>
  <c r="M29"/>
  <c r="D28" l="1"/>
  <c r="L28"/>
  <c r="M28"/>
  <c r="D27" l="1"/>
  <c r="L27"/>
  <c r="M27"/>
  <c r="D26"/>
  <c r="L26"/>
  <c r="M26"/>
  <c r="D25" l="1"/>
  <c r="L25"/>
  <c r="M25"/>
  <c r="N25"/>
  <c r="O25" s="1"/>
  <c r="N27" l="1"/>
  <c r="O27" s="1"/>
  <c r="N28"/>
  <c r="O28" s="1"/>
  <c r="C21" i="2"/>
  <c r="E21"/>
  <c r="F21"/>
  <c r="G21"/>
  <c r="D24" i="4"/>
  <c r="L24"/>
  <c r="M24"/>
  <c r="N24" l="1"/>
  <c r="O24" s="1"/>
  <c r="N26"/>
  <c r="O26" s="1"/>
  <c r="D23"/>
  <c r="L23"/>
  <c r="M23"/>
  <c r="C20" i="2"/>
  <c r="E20"/>
  <c r="F20"/>
  <c r="G20"/>
  <c r="C19"/>
  <c r="E19"/>
  <c r="F19"/>
  <c r="G19"/>
  <c r="D22" i="4" l="1"/>
  <c r="L22"/>
  <c r="N23" s="1"/>
  <c r="O23" s="1"/>
  <c r="M22"/>
  <c r="N22"/>
  <c r="O22" s="1"/>
  <c r="D21" l="1"/>
  <c r="L21"/>
  <c r="M21"/>
  <c r="C18" i="2"/>
  <c r="E18"/>
  <c r="F18"/>
  <c r="G18"/>
  <c r="D20" i="4"/>
  <c r="L20"/>
  <c r="M20"/>
  <c r="D19"/>
  <c r="L19"/>
  <c r="M19"/>
  <c r="D18"/>
  <c r="L18"/>
  <c r="N18" s="1"/>
  <c r="O18" s="1"/>
  <c r="M18"/>
  <c r="D14"/>
  <c r="L14"/>
  <c r="M14"/>
  <c r="D13"/>
  <c r="L13"/>
  <c r="N13" s="1"/>
  <c r="O13" s="1"/>
  <c r="M13"/>
  <c r="D15"/>
  <c r="L15"/>
  <c r="M15"/>
  <c r="D17"/>
  <c r="L17"/>
  <c r="M17"/>
  <c r="D16"/>
  <c r="L16"/>
  <c r="M16"/>
  <c r="C17" i="2"/>
  <c r="E17"/>
  <c r="F17"/>
  <c r="G17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C15"/>
  <c r="E15"/>
  <c r="F15"/>
  <c r="G15"/>
  <c r="C14"/>
  <c r="E14"/>
  <c r="F14"/>
  <c r="G14"/>
  <c r="C12"/>
  <c r="C11"/>
  <c r="C10"/>
  <c r="C2"/>
  <c r="C3"/>
  <c r="C4"/>
  <c r="C5"/>
  <c r="C6"/>
  <c r="C7"/>
  <c r="C8"/>
  <c r="C9"/>
  <c r="C13"/>
  <c r="N29" i="4" l="1"/>
  <c r="O29" s="1"/>
  <c r="N19"/>
  <c r="O19" s="1"/>
  <c r="N20"/>
  <c r="O20" s="1"/>
  <c r="N21"/>
  <c r="O21" s="1"/>
  <c r="N15"/>
  <c r="O15" s="1"/>
  <c r="N14"/>
  <c r="O14" s="1"/>
  <c r="N16"/>
  <c r="O16" s="1"/>
  <c r="N17"/>
  <c r="O17" s="1"/>
  <c r="N10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D2"/>
  <c r="E32" s="1"/>
  <c r="F32" s="1"/>
  <c r="L2"/>
  <c r="N8" s="1"/>
  <c r="O8" s="1"/>
  <c r="E11" i="2"/>
  <c r="F11"/>
  <c r="G11"/>
  <c r="E10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D4" s="1"/>
  <c r="D5" s="1"/>
  <c r="D6" s="1"/>
  <c r="D7" s="1"/>
  <c r="D8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E30" i="4" l="1"/>
  <c r="F30" s="1"/>
  <c r="E31"/>
  <c r="F31" s="1"/>
  <c r="C29"/>
  <c r="Q29" s="1"/>
  <c r="B29"/>
  <c r="P29" s="1"/>
  <c r="C28"/>
  <c r="Q28" s="1"/>
  <c r="B28"/>
  <c r="P28" s="1"/>
  <c r="C27"/>
  <c r="Q27" s="1"/>
  <c r="C26"/>
  <c r="Q26" s="1"/>
  <c r="B27"/>
  <c r="P27" s="1"/>
  <c r="B26"/>
  <c r="P26" s="1"/>
  <c r="B25"/>
  <c r="P25" s="1"/>
  <c r="C25"/>
  <c r="Q25" s="1"/>
  <c r="E28"/>
  <c r="F28" s="1"/>
  <c r="E29"/>
  <c r="F29" s="1"/>
  <c r="E26"/>
  <c r="F26" s="1"/>
  <c r="E27"/>
  <c r="F27" s="1"/>
  <c r="E24"/>
  <c r="F24" s="1"/>
  <c r="E25"/>
  <c r="F25" s="1"/>
  <c r="B23"/>
  <c r="P23" s="1"/>
  <c r="C24"/>
  <c r="Q24" s="1"/>
  <c r="C23"/>
  <c r="Q23" s="1"/>
  <c r="B24"/>
  <c r="P24" s="1"/>
  <c r="E22"/>
  <c r="F22" s="1"/>
  <c r="E23"/>
  <c r="F23" s="1"/>
  <c r="B22"/>
  <c r="P22" s="1"/>
  <c r="C22"/>
  <c r="Q22" s="1"/>
  <c r="B21"/>
  <c r="P21" s="1"/>
  <c r="C21"/>
  <c r="Q21" s="1"/>
  <c r="E20"/>
  <c r="F20" s="1"/>
  <c r="E21"/>
  <c r="F21" s="1"/>
  <c r="C19"/>
  <c r="Q19" s="1"/>
  <c r="B13"/>
  <c r="P13" s="1"/>
  <c r="C13"/>
  <c r="Q13" s="1"/>
  <c r="B14"/>
  <c r="P14" s="1"/>
  <c r="B18"/>
  <c r="P18" s="1"/>
  <c r="B19"/>
  <c r="P19" s="1"/>
  <c r="C14"/>
  <c r="Q14" s="1"/>
  <c r="B20"/>
  <c r="P20" s="1"/>
  <c r="B15"/>
  <c r="P15" s="1"/>
  <c r="C20"/>
  <c r="Q20" s="1"/>
  <c r="C18"/>
  <c r="Q18" s="1"/>
  <c r="C15"/>
  <c r="Q15" s="1"/>
  <c r="E18"/>
  <c r="F18" s="1"/>
  <c r="E19"/>
  <c r="F19" s="1"/>
  <c r="E13"/>
  <c r="F13" s="1"/>
  <c r="E14"/>
  <c r="F14" s="1"/>
  <c r="E3"/>
  <c r="F3" s="1"/>
  <c r="E17"/>
  <c r="F17" s="1"/>
  <c r="E15"/>
  <c r="F15" s="1"/>
  <c r="B17"/>
  <c r="P17" s="1"/>
  <c r="C17"/>
  <c r="Q17" s="1"/>
  <c r="B16"/>
  <c r="P16" s="1"/>
  <c r="C16"/>
  <c r="Q16" s="1"/>
  <c r="E16"/>
  <c r="F16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U8"/>
  <c r="V8" s="1"/>
  <c r="W8" s="1"/>
  <c r="U9"/>
  <c r="V9" s="1"/>
  <c r="W7"/>
  <c r="X7" s="1"/>
  <c r="U13"/>
  <c r="V13" s="1"/>
  <c r="W13" s="1"/>
  <c r="U14"/>
  <c r="V14" s="1"/>
  <c r="W14" s="1"/>
  <c r="U12"/>
  <c r="V12" s="1"/>
  <c r="U11"/>
  <c r="V11" s="1"/>
  <c r="H15"/>
  <c r="H16"/>
  <c r="I7"/>
  <c r="I11"/>
  <c r="D16"/>
  <c r="D15"/>
  <c r="U15" s="1"/>
  <c r="V15" s="1"/>
  <c r="B19"/>
  <c r="D17"/>
  <c r="D18"/>
  <c r="O23" i="5"/>
  <c r="N23"/>
  <c r="L23"/>
  <c r="P23"/>
  <c r="K23"/>
  <c r="J23"/>
  <c r="M23"/>
  <c r="G23"/>
  <c r="W10" i="6" l="1"/>
  <c r="Y10" s="1"/>
  <c r="W11"/>
  <c r="Y11" s="1"/>
  <c r="W15"/>
  <c r="Y15" s="1"/>
  <c r="W12"/>
  <c r="Y12" s="1"/>
  <c r="W9"/>
  <c r="Y13"/>
  <c r="Z13" s="1"/>
  <c r="AA13" s="1"/>
  <c r="AB13" s="1"/>
  <c r="X13"/>
  <c r="Y8"/>
  <c r="X8"/>
  <c r="Y14"/>
  <c r="Z14" s="1"/>
  <c r="AA14" s="1"/>
  <c r="AB14" s="1"/>
  <c r="X14"/>
  <c r="Y7"/>
  <c r="Z7" s="1"/>
  <c r="AA7" s="1"/>
  <c r="U16"/>
  <c r="V16" s="1"/>
  <c r="W16" s="1"/>
  <c r="U17"/>
  <c r="V17" s="1"/>
  <c r="U18"/>
  <c r="V18" s="1"/>
  <c r="W18" s="1"/>
  <c r="I15"/>
  <c r="H20"/>
  <c r="H22"/>
  <c r="H19"/>
  <c r="H21"/>
  <c r="D20"/>
  <c r="D22"/>
  <c r="D21"/>
  <c r="B23"/>
  <c r="D19"/>
  <c r="U19" s="1"/>
  <c r="V19" s="1"/>
  <c r="W17" l="1"/>
  <c r="Y17" s="1"/>
  <c r="X9"/>
  <c r="X10"/>
  <c r="X12"/>
  <c r="X16" s="1"/>
  <c r="Y9"/>
  <c r="Z11" s="1"/>
  <c r="AA11" s="1"/>
  <c r="Z8"/>
  <c r="AA8" s="1"/>
  <c r="Y16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X17" l="1"/>
  <c r="Z17"/>
  <c r="AA17" s="1"/>
  <c r="X11"/>
  <c r="X15" s="1"/>
  <c r="Z10"/>
  <c r="AA10" s="1"/>
  <c r="Z9"/>
  <c r="AA9" s="1"/>
  <c r="Z15"/>
  <c r="AA15" s="1"/>
  <c r="Z16"/>
  <c r="AA16" s="1"/>
  <c r="Z12"/>
  <c r="AA12" s="1"/>
  <c r="U24"/>
  <c r="V24" s="1"/>
  <c r="W24" s="1"/>
  <c r="Y24" s="1"/>
  <c r="Y21"/>
  <c r="Z21" s="1"/>
  <c r="AA21" s="1"/>
  <c r="AB21" s="1"/>
  <c r="X21"/>
  <c r="Y19"/>
  <c r="Z19" s="1"/>
  <c r="AA19" s="1"/>
  <c r="X19"/>
  <c r="Y20"/>
  <c r="X20"/>
  <c r="Y22"/>
  <c r="Z22" s="1"/>
  <c r="AA22" s="1"/>
  <c r="AB22" s="1"/>
  <c r="X22"/>
  <c r="W23"/>
  <c r="U25"/>
  <c r="V25" s="1"/>
  <c r="U26"/>
  <c r="V26" s="1"/>
  <c r="W26" s="1"/>
  <c r="I23"/>
  <c r="H28"/>
  <c r="H30"/>
  <c r="H27"/>
  <c r="H29"/>
  <c r="D28"/>
  <c r="D27"/>
  <c r="D29"/>
  <c r="D30"/>
  <c r="W25" l="1"/>
  <c r="X25" s="1"/>
  <c r="AB17"/>
  <c r="AB11"/>
  <c r="AB10"/>
  <c r="Z20"/>
  <c r="AA20" s="1"/>
  <c r="AB20" s="1"/>
  <c r="AB15"/>
  <c r="AB16"/>
  <c r="AB12"/>
  <c r="AB9"/>
  <c r="AB8"/>
  <c r="U27"/>
  <c r="V27" s="1"/>
  <c r="W27" s="1"/>
  <c r="X27" s="1"/>
  <c r="AB7"/>
  <c r="AB19"/>
  <c r="X24"/>
  <c r="Y23"/>
  <c r="Z23" s="1"/>
  <c r="AA23" s="1"/>
  <c r="AB23" s="1"/>
  <c r="X23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5" l="1"/>
  <c r="Z25" s="1"/>
  <c r="AA25" s="1"/>
  <c r="AB25" s="1"/>
  <c r="Z24"/>
  <c r="AA24" s="1"/>
  <c r="AB24" s="1"/>
  <c r="Y27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<sst xmlns="http://schemas.openxmlformats.org/spreadsheetml/2006/main" count="183" uniqueCount="88">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</sst>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67515904"/>
        <c:axId val="67517440"/>
      </c:barChart>
      <c:catAx>
        <c:axId val="6751590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17440"/>
        <c:crosses val="autoZero"/>
        <c:auto val="1"/>
        <c:lblAlgn val="ctr"/>
        <c:lblOffset val="100"/>
      </c:catAx>
      <c:valAx>
        <c:axId val="6751744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1590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gapWidth val="20"/>
        <c:overlap val="100"/>
        <c:axId val="68306432"/>
        <c:axId val="68307968"/>
      </c:barChart>
      <c:catAx>
        <c:axId val="6830643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307968"/>
        <c:crosses val="autoZero"/>
        <c:auto val="1"/>
        <c:lblAlgn val="ctr"/>
        <c:lblOffset val="100"/>
      </c:catAx>
      <c:valAx>
        <c:axId val="68307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306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68432256"/>
        <c:axId val="68433792"/>
      </c:areaChart>
      <c:catAx>
        <c:axId val="6843225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792"/>
        <c:crosses val="autoZero"/>
        <c:auto val="1"/>
        <c:lblAlgn val="ctr"/>
        <c:lblOffset val="100"/>
      </c:catAx>
      <c:valAx>
        <c:axId val="68433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225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9805184"/>
        <c:axId val="69806720"/>
      </c:barChart>
      <c:catAx>
        <c:axId val="69805184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06720"/>
        <c:crosses val="autoZero"/>
        <c:auto val="1"/>
        <c:lblAlgn val="ctr"/>
        <c:lblOffset val="100"/>
      </c:catAx>
      <c:valAx>
        <c:axId val="6980672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0518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/>
        <c:gapWidth val="25"/>
        <c:overlap val="40"/>
        <c:axId val="69852160"/>
        <c:axId val="81462016"/>
      </c:barChart>
      <c:dateAx>
        <c:axId val="69852160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462016"/>
        <c:crosses val="autoZero"/>
        <c:auto val="1"/>
        <c:lblOffset val="100"/>
        <c:baseTimeUnit val="days"/>
      </c:dateAx>
      <c:valAx>
        <c:axId val="81462016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5216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2" totalsRowShown="0" headerRowDxfId="31" dataDxfId="30">
  <autoFilter ref="A1:G2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2" totalsRowShown="0" headerRowDxfId="18" dataDxfId="17">
  <autoFilter ref="A1:Q32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8" sqref="E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D22" sqref="D22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CONCATENATE([Project],"/",[Task])</f>
        <v>RTM/Solving the issue of repeating icon in tray</v>
      </c>
      <c r="F13" s="45" t="str">
        <f>[Project]</f>
        <v>RTM</v>
      </c>
      <c r="G13" s="45" t="str">
        <f>[Task]</f>
        <v>Solving the issue of repeating icon in tray</v>
      </c>
    </row>
    <row r="14" spans="1:7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CONCATENATE([Project],"/",[Task])</f>
        <v>PPOIO/Project Study</v>
      </c>
      <c r="F14" s="53" t="str">
        <f>[Project]</f>
        <v>PPOIO</v>
      </c>
      <c r="G14" s="53" t="str">
        <f>[Task]</f>
        <v>Project Study</v>
      </c>
    </row>
    <row r="15" spans="1:7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CONCATENATE([Project],"/",[Task])</f>
        <v>PPOIO/Business Plan</v>
      </c>
      <c r="F15" s="53" t="str">
        <f>[Project]</f>
        <v>PPOIO</v>
      </c>
      <c r="G15" s="53" t="str">
        <f>[Task]</f>
        <v>Business Plan</v>
      </c>
    </row>
    <row r="16" spans="1:7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CONCATENATE([Project],"/",[Task])</f>
        <v>APPFRAME/Development</v>
      </c>
      <c r="F16" s="53" t="str">
        <f>[Project]</f>
        <v>APPFRAME</v>
      </c>
      <c r="G16" s="53" t="str">
        <f>[Task]</f>
        <v>Development</v>
      </c>
    </row>
    <row r="17" spans="1:7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CONCATENATE([Project],"/",[Task])</f>
        <v>MITWEB/Modification</v>
      </c>
      <c r="F17" s="53" t="str">
        <f>[Project]</f>
        <v>MITWEB</v>
      </c>
      <c r="G17" s="53" t="str">
        <f>[Task]</f>
        <v>Modification</v>
      </c>
    </row>
    <row r="18" spans="1:7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CONCATENATE([Project],"/",[Task])</f>
        <v>RTM/Getting branchname into tool</v>
      </c>
      <c r="F18" s="45" t="str">
        <f>[Project]</f>
        <v>RTM</v>
      </c>
      <c r="G18" s="45" t="str">
        <f>[Task]</f>
        <v>Getting branchname into tool</v>
      </c>
    </row>
    <row r="19" spans="1:7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CONCATENATE([Project],"/",[Task])</f>
        <v>TKT/Note down table relations</v>
      </c>
      <c r="F19" s="7" t="str">
        <f>[Project]</f>
        <v>TKT</v>
      </c>
      <c r="G19" s="7" t="str">
        <f>[Task]</f>
        <v>Note down table relations</v>
      </c>
    </row>
    <row r="20" spans="1:7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CONCATENATE([Project],"/",[Task])</f>
        <v>TKT/Entering table details into excel sheet</v>
      </c>
      <c r="F20" s="7" t="str">
        <f>[Project]</f>
        <v>TKT</v>
      </c>
      <c r="G20" s="7" t="str">
        <f>[Task]</f>
        <v>Entering table details into excel sheet</v>
      </c>
    </row>
    <row r="21" spans="1:7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CONCATENATE([Project],"/",[Task])</f>
        <v>SDS/Request and get Response from  web</v>
      </c>
      <c r="F21" s="65" t="str">
        <f>[Project]</f>
        <v>SDS</v>
      </c>
      <c r="G21" s="65" t="str">
        <f>[Task]</f>
        <v>Request and get Response from  web</v>
      </c>
    </row>
    <row r="22" spans="1:7">
      <c r="A22" s="116">
        <f>IFERROR($A21+1,1)</f>
        <v>21</v>
      </c>
      <c r="B22" s="118" t="s">
        <v>10</v>
      </c>
      <c r="C22" s="117" t="str">
        <f>ProjectTasks[[#This Row],[Project]]&amp;"-"&amp;COUNTIF($B$1:ProjectTasks[[#This Row],[Project]],ProjectTasks[[#This Row],[Project]])</f>
        <v>TEEBPD-7</v>
      </c>
      <c r="D22" s="118" t="s">
        <v>86</v>
      </c>
      <c r="E22" s="122" t="str">
        <f>CONCATENATE([Project],"/",[Task])</f>
        <v>TEEBPD/Finalizing</v>
      </c>
      <c r="F22" s="122" t="str">
        <f>[Project]</f>
        <v>TEEBPD</v>
      </c>
      <c r="G22" s="122" t="str">
        <f>[Task]</f>
        <v>Finalizing</v>
      </c>
    </row>
  </sheetData>
  <dataValidations count="1">
    <dataValidation type="list" allowBlank="1" showInputMessage="1" showErrorMessage="1" sqref="B2:B2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>
      <selection activeCell="G13" sqref="G13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2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5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5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5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5">
        <f t="shared" si="0"/>
        <v>5</v>
      </c>
      <c r="B6" s="44" t="str">
        <f>VLOOKUP([Task],ProjectTasks[[TaskProjectCode]:[TSK]],2,0)</f>
        <v>RTM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RTM</v>
      </c>
      <c r="Q6" s="44" t="str">
        <f>[TSK]</f>
        <v>Solving the issue of repeating icon in tray</v>
      </c>
    </row>
    <row r="7" spans="1:17">
      <c r="A7" s="5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Database Analysis from Old Project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Database Analysis from Old Project</v>
      </c>
    </row>
    <row r="8" spans="1:17">
      <c r="A8" s="5">
        <f t="shared" si="0"/>
        <v>7</v>
      </c>
      <c r="B8" s="44" t="str">
        <f>VLOOKUP([Task],ProjectTasks[[TaskProjectCode]:[TSK]],2,0)</f>
        <v>RTM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RTM</v>
      </c>
      <c r="Q8" s="44" t="str">
        <f>[TSK]</f>
        <v>Solving the issue of repeating icon in tray</v>
      </c>
    </row>
    <row r="9" spans="1:17">
      <c r="A9" s="5">
        <f t="shared" si="0"/>
        <v>8</v>
      </c>
      <c r="B9" s="52" t="str">
        <f>VLOOKUP([Task],ProjectTasks[[TaskProjectCode]:[TSK]],2,0)</f>
        <v>TKT</v>
      </c>
      <c r="C9" s="52" t="str">
        <f>VLOOKUP([Task],ProjectTasks[[TaskProjectCode]:[TSK]],3,0)</f>
        <v>Discussion for ticketing modification</v>
      </c>
      <c r="D9" s="52" t="str">
        <f>[Employee]&amp;"/"&amp;[Date]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([End Time]-[Start Time])*1440</f>
        <v>59.999999999999943</v>
      </c>
      <c r="M9" s="51" t="str">
        <f>TEXT([End Time]-[Start Time],"HH:mm")</f>
        <v>01:00</v>
      </c>
      <c r="N9" s="51">
        <f>SUMIFS([Total Minutes],[Date],[Date],[Employee],[Employee])</f>
        <v>419.99999999999989</v>
      </c>
      <c r="O9" s="51" t="str">
        <f>TEXT([Day Total Minutes]/1440,"HH:mm")</f>
        <v>07:00</v>
      </c>
      <c r="P9" s="52" t="str">
        <f>[PRJ]</f>
        <v>TKT</v>
      </c>
      <c r="Q9" s="52" t="str">
        <f>[TSK]</f>
        <v>Discussion for ticketing modification</v>
      </c>
    </row>
    <row r="10" spans="1:17">
      <c r="A10" s="5">
        <f t="shared" si="0"/>
        <v>9</v>
      </c>
      <c r="B10" s="52" t="str">
        <f>VLOOKUP([Task],ProjectTasks[[TaskProjectCode]:[TSK]],2,0)</f>
        <v>PPOIO</v>
      </c>
      <c r="C10" s="52" t="str">
        <f>VLOOKUP([Task],ProjectTasks[[TaskProjectCode]:[TSK]],3,0)</f>
        <v>Project Study</v>
      </c>
      <c r="D10" s="52" t="str">
        <f>[Employee]&amp;"/"&amp;[Date]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([End Time]-[Start Time])*1440</f>
        <v>119.99999999999997</v>
      </c>
      <c r="M10" s="51" t="str">
        <f>TEXT([End Time]-[Start Time],"HH:mm")</f>
        <v>02:00</v>
      </c>
      <c r="N10" s="51">
        <f>SUMIFS([Total Minutes],[Date],[Date],[Employee],[Employee])</f>
        <v>419.99999999999989</v>
      </c>
      <c r="O10" s="51" t="str">
        <f>TEXT([Day Total Minutes]/1440,"HH:mm")</f>
        <v>07:00</v>
      </c>
      <c r="P10" s="52" t="str">
        <f>[PRJ]</f>
        <v>PPOIO</v>
      </c>
      <c r="Q10" s="52" t="str">
        <f>[TSK]</f>
        <v>Project Study</v>
      </c>
    </row>
    <row r="11" spans="1:17">
      <c r="A11" s="5">
        <f t="shared" si="0"/>
        <v>10</v>
      </c>
      <c r="B11" s="52" t="str">
        <f>VLOOKUP([Task],ProjectTasks[[TaskProjectCode]:[TSK]],2,0)</f>
        <v>PPOIO</v>
      </c>
      <c r="C11" s="52" t="str">
        <f>VLOOKUP([Task],ProjectTasks[[TaskProjectCode]:[TSK]],3,0)</f>
        <v>Business Plan</v>
      </c>
      <c r="D11" s="52" t="str">
        <f>[Employee]&amp;"/"&amp;[Date]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([End Time]-[Start Time])*1440</f>
        <v>239.99999999999994</v>
      </c>
      <c r="M11" s="51" t="str">
        <f>TEXT([End Time]-[Start Time],"HH:mm")</f>
        <v>04:00</v>
      </c>
      <c r="N11" s="51">
        <f>SUMIFS([Total Minutes],[Date],[Date],[Employee],[Employee])</f>
        <v>419.99999999999989</v>
      </c>
      <c r="O11" s="51" t="str">
        <f>TEXT([Day Total Minutes]/1440,"HH:mm")</f>
        <v>07:00</v>
      </c>
      <c r="P11" s="52" t="str">
        <f>[PRJ]</f>
        <v>PPOIO</v>
      </c>
      <c r="Q11" s="52" t="str">
        <f>[TSK]</f>
        <v>Business Plan</v>
      </c>
    </row>
    <row r="12" spans="1:17">
      <c r="A12" s="5">
        <f t="shared" si="0"/>
        <v>11</v>
      </c>
      <c r="B12" s="52" t="str">
        <f>VLOOKUP([Task],ProjectTasks[[TaskProjectCode]:[TSK]],2,0)</f>
        <v>TEEBPD</v>
      </c>
      <c r="C12" s="52" t="str">
        <f>VLOOKUP([Task],ProjectTasks[[TaskProjectCode]:[TSK]],3,0)</f>
        <v>Client Suggestion Implementation</v>
      </c>
      <c r="D12" s="52" t="str">
        <f>[Employee]&amp;"/"&amp;[Date]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([End Time]-[Start Time])*1440</f>
        <v>480.00000000000006</v>
      </c>
      <c r="M12" s="51" t="str">
        <f>TEXT([End Time]-[Start Time],"HH:mm")</f>
        <v>08:00</v>
      </c>
      <c r="N12" s="51">
        <f>SUMIFS([Total Minutes],[Date],[Date],[Employee],[Employee])</f>
        <v>480.00000000000006</v>
      </c>
      <c r="O12" s="51" t="str">
        <f>TEXT([Day Total Minutes]/1440,"HH:mm")</f>
        <v>08:00</v>
      </c>
      <c r="P12" s="52" t="str">
        <f>[PRJ]</f>
        <v>TEEBPD</v>
      </c>
      <c r="Q12" s="52" t="str">
        <f>[TSK]</f>
        <v>Client Suggestion Implementation</v>
      </c>
    </row>
    <row r="13" spans="1:17">
      <c r="A13" s="5">
        <f t="shared" si="0"/>
        <v>12</v>
      </c>
      <c r="B13" s="52" t="str">
        <f>VLOOKUP([Task],ProjectTasks[[TaskProjectCode]:[TSK]],2,0)</f>
        <v>TKT</v>
      </c>
      <c r="C13" s="52" t="str">
        <f>VLOOKUP([Task],ProjectTasks[[TaskProjectCode]:[TSK]],3,0)</f>
        <v>Database Analysis from Old Project</v>
      </c>
      <c r="D13" s="52" t="str">
        <f>[Employee]&amp;"/"&amp;[Date]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([End Time]-[Start Time])*1440</f>
        <v>135</v>
      </c>
      <c r="M13" s="51" t="str">
        <f>TEXT([End Time]-[Start Time],"HH:mm")</f>
        <v>02:15</v>
      </c>
      <c r="N13" s="51">
        <f>SUMIFS([Total Minutes],[Date],[Date],[Employee],[Employee])</f>
        <v>135</v>
      </c>
      <c r="O13" s="51" t="str">
        <f>TEXT([Day Total Minutes]/1440,"HH:mm")</f>
        <v>02:15</v>
      </c>
      <c r="P13" s="52" t="str">
        <f>[PRJ]</f>
        <v>TKT</v>
      </c>
      <c r="Q13" s="52" t="str">
        <f>[TSK]</f>
        <v>Database Analysis from Old Project</v>
      </c>
    </row>
    <row r="14" spans="1:17">
      <c r="A14" s="5">
        <f t="shared" si="0"/>
        <v>13</v>
      </c>
      <c r="B14" s="52" t="str">
        <f>VLOOKUP([Task],ProjectTasks[[TaskProjectCode]:[TSK]],2,0)</f>
        <v>RTM</v>
      </c>
      <c r="C14" s="52" t="str">
        <f>VLOOKUP([Task],ProjectTasks[[TaskProjectCode]:[TSK]],3,0)</f>
        <v>Solving the issue of repeating icon in tray</v>
      </c>
      <c r="D14" s="52" t="str">
        <f>[Employee]&amp;"/"&amp;[Date]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([End Time]-[Start Time])*1440</f>
        <v>45</v>
      </c>
      <c r="M14" s="51" t="str">
        <f>TEXT([End Time]-[Start Time],"HH:mm")</f>
        <v>00:45</v>
      </c>
      <c r="N14" s="51">
        <f>SUMIFS([Total Minutes],[Date],[Date],[Employee],[Employee])</f>
        <v>144.99999999999989</v>
      </c>
      <c r="O14" s="51" t="str">
        <f>TEXT([Day Total Minutes]/1440,"HH:mm")</f>
        <v>02:25</v>
      </c>
      <c r="P14" s="52" t="str">
        <f>[PRJ]</f>
        <v>RTM</v>
      </c>
      <c r="Q14" s="52" t="str">
        <f>[TSK]</f>
        <v>Solving the issue of repeating icon in tray</v>
      </c>
    </row>
    <row r="15" spans="1:17">
      <c r="A15" s="5">
        <f t="shared" si="0"/>
        <v>14</v>
      </c>
      <c r="B15" s="52" t="str">
        <f>VLOOKUP([Task],ProjectTasks[[TaskProjectCode]:[TSK]],2,0)</f>
        <v>RTM</v>
      </c>
      <c r="C15" s="52" t="str">
        <f>VLOOKUP([Task],ProjectTasks[[TaskProjectCode]:[TSK]],3,0)</f>
        <v>Solving the issue of repeating icon in tray</v>
      </c>
      <c r="D15" s="52" t="str">
        <f>[Employee]&amp;"/"&amp;[Date]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([End Time]-[Start Time])*1440</f>
        <v>99.999999999999886</v>
      </c>
      <c r="M15" s="51" t="str">
        <f>TEXT([End Time]-[Start Time],"HH:mm")</f>
        <v>01:40</v>
      </c>
      <c r="N15" s="51">
        <f>SUMIFS([Total Minutes],[Date],[Date],[Employee],[Employee])</f>
        <v>144.99999999999989</v>
      </c>
      <c r="O15" s="51" t="str">
        <f>TEXT([Day Total Minutes]/1440,"HH:mm")</f>
        <v>02:25</v>
      </c>
      <c r="P15" s="52" t="str">
        <f>[PRJ]</f>
        <v>RTM</v>
      </c>
      <c r="Q15" s="52" t="str">
        <f>[TSK]</f>
        <v>Solving the issue of repeating icon in tray</v>
      </c>
    </row>
    <row r="16" spans="1:17">
      <c r="A16" s="5">
        <f t="shared" si="0"/>
        <v>15</v>
      </c>
      <c r="B16" s="52" t="str">
        <f>VLOOKUP([Task],ProjectTasks[[TaskProjectCode]:[TSK]],2,0)</f>
        <v>MITWEB</v>
      </c>
      <c r="C16" s="52" t="str">
        <f>VLOOKUP([Task],ProjectTasks[[TaskProjectCode]:[TSK]],3,0)</f>
        <v>Modification</v>
      </c>
      <c r="D16" s="52" t="str">
        <f>[Employee]&amp;"/"&amp;[Date]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([End Time]-[Start Time])*1440</f>
        <v>60.000000000000028</v>
      </c>
      <c r="M16" s="51" t="str">
        <f>TEXT([End Time]-[Start Time],"HH:mm")</f>
        <v>01:00</v>
      </c>
      <c r="N16" s="51">
        <f>SUMIFS([Total Minutes],[Date],[Date],[Employee],[Employee])</f>
        <v>210.00000000000006</v>
      </c>
      <c r="O16" s="51" t="str">
        <f>TEXT([Day Total Minutes]/1440,"HH:mm")</f>
        <v>03:30</v>
      </c>
      <c r="P16" s="52" t="str">
        <f>[PRJ]</f>
        <v>MITWEB</v>
      </c>
      <c r="Q16" s="52" t="str">
        <f>[TSK]</f>
        <v>Modification</v>
      </c>
    </row>
    <row r="17" spans="1:17">
      <c r="A17" s="5">
        <f t="shared" si="0"/>
        <v>16</v>
      </c>
      <c r="B17" s="52" t="str">
        <f>VLOOKUP([Task],ProjectTasks[[TaskProjectCode]:[TSK]],2,0)</f>
        <v>TKT</v>
      </c>
      <c r="C17" s="52" t="str">
        <f>VLOOKUP([Task],ProjectTasks[[TaskProjectCode]:[TSK]],3,0)</f>
        <v>Discussion for ticketing modification</v>
      </c>
      <c r="D17" s="52" t="str">
        <f>[Employee]&amp;"/"&amp;[Date]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([End Time]-[Start Time])*1440</f>
        <v>29.999999999999972</v>
      </c>
      <c r="M17" s="51" t="str">
        <f>TEXT([End Time]-[Start Time],"HH:mm")</f>
        <v>00:30</v>
      </c>
      <c r="N17" s="51">
        <f>SUMIFS([Total Minutes],[Date],[Date],[Employee],[Employee])</f>
        <v>210.00000000000006</v>
      </c>
      <c r="O17" s="51" t="str">
        <f>TEXT([Day Total Minutes]/1440,"HH:mm")</f>
        <v>03:30</v>
      </c>
      <c r="P17" s="52" t="str">
        <f>[PRJ]</f>
        <v>TKT</v>
      </c>
      <c r="Q17" s="52" t="str">
        <f>[TSK]</f>
        <v>Discussion for ticketing modification</v>
      </c>
    </row>
    <row r="18" spans="1:17">
      <c r="A18" s="5">
        <f t="shared" si="0"/>
        <v>17</v>
      </c>
      <c r="B18" s="44" t="str">
        <f>VLOOKUP([Task],ProjectTasks[[TaskProjectCode]:[TSK]],2,0)</f>
        <v>TKT</v>
      </c>
      <c r="C18" s="44" t="str">
        <f>VLOOKUP([Task],ProjectTasks[[TaskProjectCode]:[TSK]],3,0)</f>
        <v>Note down table relations</v>
      </c>
      <c r="D18" s="44" t="str">
        <f>[Employee]&amp;"/"&amp;[Date]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([End Time]-[Start Time])*1440</f>
        <v>380.00000000000011</v>
      </c>
      <c r="M18" s="40" t="str">
        <f>TEXT([End Time]-[Start Time],"HH:mm")</f>
        <v>06:20</v>
      </c>
      <c r="N18" s="40">
        <f>SUMIFS([Total Minutes],[Date],[Date],[Employee],[Employee])</f>
        <v>380.00000000000011</v>
      </c>
      <c r="O18" s="40" t="str">
        <f>TEXT([Day Total Minutes]/1440,"HH:mm")</f>
        <v>06:20</v>
      </c>
      <c r="P18" s="44" t="str">
        <f>[PRJ]</f>
        <v>TKT</v>
      </c>
      <c r="Q18" s="44" t="str">
        <f>[TSK]</f>
        <v>Note down table relations</v>
      </c>
    </row>
    <row r="19" spans="1:17">
      <c r="A19" s="5">
        <f t="shared" si="0"/>
        <v>18</v>
      </c>
      <c r="B19" s="44" t="str">
        <f>VLOOKUP([Task],ProjectTasks[[TaskProjectCode]:[TSK]],2,0)</f>
        <v>SDS</v>
      </c>
      <c r="C19" s="44" t="str">
        <f>VLOOKUP([Task],ProjectTasks[[TaskProjectCode]:[TSK]],3,0)</f>
        <v>Decryption</v>
      </c>
      <c r="D19" s="44" t="str">
        <f>[Employee]&amp;"/"&amp;[Date]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([End Time]-[Start Time])*1440</f>
        <v>69.999999999999915</v>
      </c>
      <c r="M19" s="40" t="str">
        <f>TEXT([End Time]-[Start Time],"HH:mm")</f>
        <v>01:10</v>
      </c>
      <c r="N19" s="40">
        <f>SUMIFS([Total Minutes],[Date],[Date],[Employee],[Employee])</f>
        <v>320</v>
      </c>
      <c r="O19" s="40" t="str">
        <f>TEXT([Day Total Minutes]/1440,"HH:mm")</f>
        <v>05:20</v>
      </c>
      <c r="P19" s="44" t="str">
        <f>[PRJ]</f>
        <v>SDS</v>
      </c>
      <c r="Q19" s="44" t="str">
        <f>[TSK]</f>
        <v>Decryption</v>
      </c>
    </row>
    <row r="20" spans="1:17">
      <c r="A20" s="5">
        <f t="shared" si="0"/>
        <v>19</v>
      </c>
      <c r="B20" s="44" t="str">
        <f>VLOOKUP([Task],ProjectTasks[[TaskProjectCode]:[TSK]],2,0)</f>
        <v>RTM</v>
      </c>
      <c r="C20" s="44" t="str">
        <f>VLOOKUP([Task],ProjectTasks[[TaskProjectCode]:[TSK]],3,0)</f>
        <v>Getting branchname into tool</v>
      </c>
      <c r="D20" s="44" t="str">
        <f>[Employee]&amp;"/"&amp;[Date]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([End Time]-[Start Time])*1440</f>
        <v>30.000000000000053</v>
      </c>
      <c r="M20" s="40" t="str">
        <f>TEXT([End Time]-[Start Time],"HH:mm")</f>
        <v>00:30</v>
      </c>
      <c r="N20" s="40">
        <f>SUMIFS([Total Minutes],[Date],[Date],[Employee],[Employee])</f>
        <v>320</v>
      </c>
      <c r="O20" s="40" t="str">
        <f>TEXT([Day Total Minutes]/1440,"HH:mm")</f>
        <v>05:20</v>
      </c>
      <c r="P20" s="44" t="str">
        <f>[PRJ]</f>
        <v>RTM</v>
      </c>
      <c r="Q20" s="44" t="str">
        <f>[TSK]</f>
        <v>Getting branchname into tool</v>
      </c>
    </row>
    <row r="21" spans="1:17">
      <c r="A21" s="5">
        <f t="shared" si="0"/>
        <v>20</v>
      </c>
      <c r="B21" s="44" t="str">
        <f>VLOOKUP([Task],ProjectTasks[[TaskProjectCode]:[TSK]],2,0)</f>
        <v>SDS</v>
      </c>
      <c r="C21" s="44" t="str">
        <f>VLOOKUP([Task],ProjectTasks[[TaskProjectCode]:[TSK]],3,0)</f>
        <v>Decryption</v>
      </c>
      <c r="D21" s="44" t="str">
        <f>[Employee]&amp;"/"&amp;[Date]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([End Time]-[Start Time])*1440</f>
        <v>220.00000000000003</v>
      </c>
      <c r="M21" s="40" t="str">
        <f>TEXT([End Time]-[Start Time],"HH:mm")</f>
        <v>03:40</v>
      </c>
      <c r="N21" s="40">
        <f>SUMIFS([Total Minutes],[Date],[Date],[Employee],[Employee])</f>
        <v>320</v>
      </c>
      <c r="O21" s="40" t="str">
        <f>TEXT([Day Total Minutes]/1440,"HH:mm")</f>
        <v>05:20</v>
      </c>
      <c r="P21" s="44" t="str">
        <f>[PRJ]</f>
        <v>SDS</v>
      </c>
      <c r="Q21" s="44" t="str">
        <f>[TSK]</f>
        <v>Decryption</v>
      </c>
    </row>
    <row r="22" spans="1:17">
      <c r="A22" s="5">
        <f t="shared" si="0"/>
        <v>21</v>
      </c>
      <c r="B22" s="44" t="str">
        <f>VLOOKUP([Task],ProjectTasks[[TaskProjectCode]:[TSK]],2,0)</f>
        <v>TKT</v>
      </c>
      <c r="C22" s="44" t="str">
        <f>VLOOKUP([Task],ProjectTasks[[TaskProjectCode]:[TSK]],3,0)</f>
        <v>Note down table relations</v>
      </c>
      <c r="D22" s="44" t="str">
        <f>[Employee]&amp;"/"&amp;[Date]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([End Time]-[Start Time])*1440</f>
        <v>130.00000000000003</v>
      </c>
      <c r="M22" s="40" t="str">
        <f>TEXT([End Time]-[Start Time],"HH:mm")</f>
        <v>02:10</v>
      </c>
      <c r="N22" s="40">
        <f>SUMIFS([Total Minutes],[Date],[Date],[Employee],[Employee])</f>
        <v>250.00000000000009</v>
      </c>
      <c r="O22" s="40" t="str">
        <f>TEXT([Day Total Minutes]/1440,"HH:mm")</f>
        <v>04:10</v>
      </c>
      <c r="P22" s="44" t="str">
        <f>[PRJ]</f>
        <v>TKT</v>
      </c>
      <c r="Q22" s="44" t="str">
        <f>[TSK]</f>
        <v>Note down table relations</v>
      </c>
    </row>
    <row r="23" spans="1:17">
      <c r="A23" s="5">
        <f t="shared" si="0"/>
        <v>22</v>
      </c>
      <c r="B23" s="10" t="str">
        <f>VLOOKUP([Task],ProjectTasks[[TaskProjectCode]:[TSK]],2,0)</f>
        <v>TKT</v>
      </c>
      <c r="C23" s="10" t="str">
        <f>VLOOKUP([Task],ProjectTasks[[TaskProjectCode]:[TSK]],3,0)</f>
        <v>Entering table details into excel sheet</v>
      </c>
      <c r="D23" s="10" t="str">
        <f>[Employee]&amp;"/"&amp;[Date]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([End Time]-[Start Time])*1440</f>
        <v>120.00000000000006</v>
      </c>
      <c r="M23" s="2" t="str">
        <f>TEXT([End Time]-[Start Time],"HH:mm")</f>
        <v>02:00</v>
      </c>
      <c r="N23" s="2">
        <f>SUMIFS([Total Minutes],[Date],[Date],[Employee],[Employee])</f>
        <v>250.00000000000009</v>
      </c>
      <c r="O23" s="2" t="str">
        <f>TEXT([Day Total Minutes]/1440,"HH:mm")</f>
        <v>04:10</v>
      </c>
      <c r="P23" s="10" t="str">
        <f>[PRJ]</f>
        <v>TKT</v>
      </c>
      <c r="Q23" s="10" t="str">
        <f>[TSK]</f>
        <v>Entering table details into excel sheet</v>
      </c>
    </row>
    <row r="24" spans="1:17">
      <c r="A24" s="5">
        <f t="shared" si="0"/>
        <v>23</v>
      </c>
      <c r="B24" s="60" t="str">
        <f>VLOOKUP([Task],ProjectTasks[[TaskProjectCode]:[TSK]],2,0)</f>
        <v>SDS</v>
      </c>
      <c r="C24" s="60" t="str">
        <f>VLOOKUP([Task],ProjectTasks[[TaskProjectCode]:[TSK]],3,0)</f>
        <v>Request and get Response from  web</v>
      </c>
      <c r="D24" s="60" t="str">
        <f>[Employee]&amp;"/"&amp;[Date]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([End Time]-[Start Time])*1440</f>
        <v>227.99999999999991</v>
      </c>
      <c r="M24" s="64" t="str">
        <f>TEXT([End Time]-[Start Time],"HH:mm")</f>
        <v>03:48</v>
      </c>
      <c r="N24" s="64">
        <f>SUMIFS([Total Minutes],[Date],[Date],[Employee],[Employee])</f>
        <v>423</v>
      </c>
      <c r="O24" s="64" t="str">
        <f>TEXT([Day Total Minutes]/1440,"HH:mm")</f>
        <v>07:03</v>
      </c>
      <c r="P24" s="60" t="str">
        <f>[PRJ]</f>
        <v>SDS</v>
      </c>
      <c r="Q24" s="60" t="str">
        <f>[TSK]</f>
        <v>Request and get Response from  web</v>
      </c>
    </row>
    <row r="25" spans="1:17">
      <c r="A25" s="5">
        <f t="shared" si="0"/>
        <v>24</v>
      </c>
      <c r="B25" s="60" t="str">
        <f>VLOOKUP([Task],ProjectTasks[[TaskProjectCode]:[TSK]],2,0)</f>
        <v>TKT</v>
      </c>
      <c r="C25" s="60" t="str">
        <f>VLOOKUP([Task],ProjectTasks[[TaskProjectCode]:[TSK]],3,0)</f>
        <v>Entering table details into excel sheet</v>
      </c>
      <c r="D25" s="60" t="str">
        <f>[Employee]&amp;"/"&amp;[Date]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([End Time]-[Start Time])*1440</f>
        <v>204.99999999999991</v>
      </c>
      <c r="M25" s="64" t="str">
        <f>TEXT([End Time]-[Start Time],"HH:mm")</f>
        <v>03:25</v>
      </c>
      <c r="N25" s="64">
        <f>SUMIFS([Total Minutes],[Date],[Date],[Employee],[Employee])</f>
        <v>389.99999999999989</v>
      </c>
      <c r="O25" s="64" t="str">
        <f>TEXT([Day Total Minutes]/1440,"HH:mm")</f>
        <v>06:30</v>
      </c>
      <c r="P25" s="60" t="str">
        <f>[PRJ]</f>
        <v>TKT</v>
      </c>
      <c r="Q25" s="60" t="str">
        <f>[TSK]</f>
        <v>Entering table details into excel sheet</v>
      </c>
    </row>
    <row r="26" spans="1:17">
      <c r="A26" s="5">
        <f t="shared" si="0"/>
        <v>25</v>
      </c>
      <c r="B26" s="60" t="str">
        <f>VLOOKUP([Task],ProjectTasks[[TaskProjectCode]:[TSK]],2,0)</f>
        <v>SDS</v>
      </c>
      <c r="C26" s="60" t="str">
        <f>VLOOKUP([Task],ProjectTasks[[TaskProjectCode]:[TSK]],3,0)</f>
        <v>Request and get Response from  web</v>
      </c>
      <c r="D26" s="60" t="str">
        <f>[Employee]&amp;"/"&amp;[Date]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([End Time]-[Start Time])*1440</f>
        <v>195.00000000000011</v>
      </c>
      <c r="M26" s="64" t="str">
        <f>TEXT([End Time]-[Start Time],"HH:mm")</f>
        <v>03:15</v>
      </c>
      <c r="N26" s="64">
        <f>SUMIFS([Total Minutes],[Date],[Date],[Employee],[Employee])</f>
        <v>423</v>
      </c>
      <c r="O26" s="64" t="str">
        <f>TEXT([Day Total Minutes]/1440,"HH:mm")</f>
        <v>07:03</v>
      </c>
      <c r="P26" s="60" t="str">
        <f>[PRJ]</f>
        <v>SDS</v>
      </c>
      <c r="Q26" s="60" t="str">
        <f>[TSK]</f>
        <v>Request and get Response from  web</v>
      </c>
    </row>
    <row r="27" spans="1:17">
      <c r="A27" s="5">
        <f t="shared" si="0"/>
        <v>26</v>
      </c>
      <c r="B27" s="60" t="str">
        <f>VLOOKUP([Task],ProjectTasks[[TaskProjectCode]:[TSK]],2,0)</f>
        <v>TKT</v>
      </c>
      <c r="C27" s="60" t="str">
        <f>VLOOKUP([Task],ProjectTasks[[TaskProjectCode]:[TSK]],3,0)</f>
        <v>Entering table details into excel sheet</v>
      </c>
      <c r="D27" s="60" t="str">
        <f>[Employee]&amp;"/"&amp;[Date]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([End Time]-[Start Time])*1440</f>
        <v>125.00000000000003</v>
      </c>
      <c r="M27" s="64" t="str">
        <f>TEXT([End Time]-[Start Time],"HH:mm")</f>
        <v>02:05</v>
      </c>
      <c r="N27" s="64">
        <f>SUMIFS([Total Minutes],[Date],[Date],[Employee],[Employee])</f>
        <v>389.99999999999989</v>
      </c>
      <c r="O27" s="64" t="str">
        <f>TEXT([Day Total Minutes]/1440,"HH:mm")</f>
        <v>06:30</v>
      </c>
      <c r="P27" s="60" t="str">
        <f>[PRJ]</f>
        <v>TKT</v>
      </c>
      <c r="Q27" s="60" t="str">
        <f>[TSK]</f>
        <v>Entering table details into excel sheet</v>
      </c>
    </row>
    <row r="28" spans="1:17">
      <c r="A28" s="5">
        <f t="shared" si="0"/>
        <v>27</v>
      </c>
      <c r="B28" s="60" t="str">
        <f>VLOOKUP([Task],ProjectTasks[[TaskProjectCode]:[TSK]],2,0)</f>
        <v>TEEBPD</v>
      </c>
      <c r="C28" s="60" t="str">
        <f>VLOOKUP([Task],ProjectTasks[[TaskProjectCode]:[TSK]],3,0)</f>
        <v>Inhouse Testing</v>
      </c>
      <c r="D28" s="60" t="str">
        <f>[Employee]&amp;"/"&amp;[Date]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([End Time]-[Start Time])*1440</f>
        <v>59.999999999999943</v>
      </c>
      <c r="M28" s="64" t="str">
        <f>TEXT([End Time]-[Start Time],"HH:mm")</f>
        <v>01:00</v>
      </c>
      <c r="N28" s="64">
        <f>SUMIFS([Total Minutes],[Date],[Date],[Employee],[Employee])</f>
        <v>389.99999999999989</v>
      </c>
      <c r="O28" s="64" t="str">
        <f>TEXT([Day Total Minutes]/1440,"HH:mm")</f>
        <v>06:30</v>
      </c>
      <c r="P28" s="60" t="str">
        <f>[PRJ]</f>
        <v>TEEBPD</v>
      </c>
      <c r="Q28" s="60" t="str">
        <f>[TSK]</f>
        <v>Inhouse Testing</v>
      </c>
    </row>
    <row r="29" spans="1:17">
      <c r="A29" s="116">
        <f>IFERROR($A28+1,1)</f>
        <v>28</v>
      </c>
      <c r="B29" s="117" t="str">
        <f>VLOOKUP([Task],ProjectTasks[[TaskProjectCode]:[TSK]],2,0)</f>
        <v>TEEBPD</v>
      </c>
      <c r="C29" s="117" t="str">
        <f>VLOOKUP([Task],ProjectTasks[[TaskProjectCode]:[TSK]],3,0)</f>
        <v>Finalizing</v>
      </c>
      <c r="D29" s="117" t="str">
        <f>[Employee]&amp;"/"&amp;[Date]</f>
        <v>Firose/43432</v>
      </c>
      <c r="E29" s="117">
        <f>COUNTIF($D$1:TaskTimings[[#This Row],[EmployeeDate]],TaskTimings[[#This Row],[EmployeeDate]])</f>
        <v>3</v>
      </c>
      <c r="F29" s="117" t="str">
        <f>TaskTimings[[#This Row],[EmployeeDate]]&amp;"/"&amp;TaskTimings[[#This Row],[EmployeeDateSeq]]</f>
        <v>Firose/43432/3</v>
      </c>
      <c r="G29" s="118" t="s">
        <v>87</v>
      </c>
      <c r="H29" s="118" t="s">
        <v>34</v>
      </c>
      <c r="I29" s="119">
        <v>43432</v>
      </c>
      <c r="J29" s="120">
        <v>0.625</v>
      </c>
      <c r="K29" s="120">
        <v>0.70833333333333337</v>
      </c>
      <c r="L29" s="121">
        <f>([End Time]-[Start Time])*1440</f>
        <v>120.00000000000006</v>
      </c>
      <c r="M29" s="121" t="str">
        <f>TEXT([End Time]-[Start Time],"HH:mm")</f>
        <v>02:00</v>
      </c>
      <c r="N29" s="121">
        <f>SUMIFS([Total Minutes],[Date],[Date],[Employee],[Employee])</f>
        <v>210.00000000000006</v>
      </c>
      <c r="O29" s="121" t="str">
        <f>TEXT([Day Total Minutes]/1440,"HH:mm")</f>
        <v>03:30</v>
      </c>
      <c r="P29" s="117" t="str">
        <f>[PRJ]</f>
        <v>TEEBPD</v>
      </c>
      <c r="Q29" s="117" t="str">
        <f>[TSK]</f>
        <v>Finalizing</v>
      </c>
    </row>
    <row r="30" spans="1:17">
      <c r="A30" s="116">
        <f>IFERROR($A29+1,1)</f>
        <v>29</v>
      </c>
      <c r="B30" s="117" t="str">
        <f>VLOOKUP([Task],ProjectTasks[[TaskProjectCode]:[TSK]],2,0)</f>
        <v>TEEBPD</v>
      </c>
      <c r="C30" s="117" t="str">
        <f>VLOOKUP([Task],ProjectTasks[[TaskProjectCode]:[TSK]],3,0)</f>
        <v>Finalizing</v>
      </c>
      <c r="D30" s="117" t="str">
        <f>[Employee]&amp;"/"&amp;[Date]</f>
        <v>Firose/43433</v>
      </c>
      <c r="E30" s="117">
        <f>COUNTIF($D$1:TaskTimings[[#This Row],[EmployeeDate]],TaskTimings[[#This Row],[EmployeeDate]])</f>
        <v>1</v>
      </c>
      <c r="F30" s="117" t="str">
        <f>TaskTimings[[#This Row],[EmployeeDate]]&amp;"/"&amp;TaskTimings[[#This Row],[EmployeeDateSeq]]</f>
        <v>Firose/43433/1</v>
      </c>
      <c r="G30" s="118" t="s">
        <v>87</v>
      </c>
      <c r="H30" s="118" t="s">
        <v>34</v>
      </c>
      <c r="I30" s="119">
        <v>43433</v>
      </c>
      <c r="J30" s="120">
        <v>0.41666666666666669</v>
      </c>
      <c r="K30" s="120">
        <v>0.70833333333333337</v>
      </c>
      <c r="L30" s="121">
        <f>([End Time]-[Start Time])*1440</f>
        <v>420</v>
      </c>
      <c r="M30" s="121" t="str">
        <f>TEXT([End Time]-[Start Time],"HH:mm")</f>
        <v>07:00</v>
      </c>
      <c r="N30" s="121">
        <f>SUMIFS([Total Minutes],[Date],[Date],[Employee],[Employee])</f>
        <v>420</v>
      </c>
      <c r="O30" s="121" t="str">
        <f>TEXT([Day Total Minutes]/1440,"HH:mm")</f>
        <v>07:00</v>
      </c>
      <c r="P30" s="117" t="str">
        <f>[PRJ]</f>
        <v>TEEBPD</v>
      </c>
      <c r="Q30" s="117" t="str">
        <f>[TSK]</f>
        <v>Finalizing</v>
      </c>
    </row>
    <row r="31" spans="1:17">
      <c r="A31" s="116">
        <f>IFERROR($A30+1,1)</f>
        <v>30</v>
      </c>
      <c r="B31" s="117" t="str">
        <f>VLOOKUP([Task],ProjectTasks[[TaskProjectCode]:[TSK]],2,0)</f>
        <v>TEEBPD</v>
      </c>
      <c r="C31" s="117" t="str">
        <f>VLOOKUP([Task],ProjectTasks[[TaskProjectCode]:[TSK]],3,0)</f>
        <v>Finalizing</v>
      </c>
      <c r="D31" s="117" t="str">
        <f>[Employee]&amp;"/"&amp;[Date]</f>
        <v>Firose/43434</v>
      </c>
      <c r="E31" s="117">
        <f>COUNTIF($D$1:TaskTimings[[#This Row],[EmployeeDate]],TaskTimings[[#This Row],[EmployeeDate]])</f>
        <v>1</v>
      </c>
      <c r="F31" s="117" t="str">
        <f>TaskTimings[[#This Row],[EmployeeDate]]&amp;"/"&amp;TaskTimings[[#This Row],[EmployeeDateSeq]]</f>
        <v>Firose/43434/1</v>
      </c>
      <c r="G31" s="118" t="s">
        <v>87</v>
      </c>
      <c r="H31" s="118" t="s">
        <v>34</v>
      </c>
      <c r="I31" s="119">
        <v>43434</v>
      </c>
      <c r="J31" s="120">
        <v>0.375</v>
      </c>
      <c r="K31" s="120">
        <v>0.5</v>
      </c>
      <c r="L31" s="121">
        <f>([End Time]-[Start Time])*1440</f>
        <v>180</v>
      </c>
      <c r="M31" s="121" t="str">
        <f>TEXT([End Time]-[Start Time],"HH:mm")</f>
        <v>03:00</v>
      </c>
      <c r="N31" s="121">
        <f>SUMIFS([Total Minutes],[Date],[Date],[Employee],[Employee])</f>
        <v>360</v>
      </c>
      <c r="O31" s="121" t="str">
        <f>TEXT([Day Total Minutes]/1440,"HH:mm")</f>
        <v>06:00</v>
      </c>
      <c r="P31" s="117" t="str">
        <f>[PRJ]</f>
        <v>TEEBPD</v>
      </c>
      <c r="Q31" s="117" t="str">
        <f>[TSK]</f>
        <v>Finalizing</v>
      </c>
    </row>
    <row r="32" spans="1:17">
      <c r="A32" s="116">
        <f>IFERROR($A31+1,1)</f>
        <v>31</v>
      </c>
      <c r="B32" s="117" t="str">
        <f>VLOOKUP([Task],ProjectTasks[[TaskProjectCode]:[TSK]],2,0)</f>
        <v>TEEBPD</v>
      </c>
      <c r="C32" s="117" t="str">
        <f>VLOOKUP([Task],ProjectTasks[[TaskProjectCode]:[TSK]],3,0)</f>
        <v>Inhouse Testing</v>
      </c>
      <c r="D32" s="117" t="str">
        <f>[Employee]&amp;"/"&amp;[Date]</f>
        <v>Firose/43434</v>
      </c>
      <c r="E32" s="117">
        <f>COUNTIF($D$1:TaskTimings[[#This Row],[EmployeeDate]],TaskTimings[[#This Row],[EmployeeDate]])</f>
        <v>2</v>
      </c>
      <c r="F32" s="117" t="str">
        <f>TaskTimings[[#This Row],[EmployeeDate]]&amp;"/"&amp;TaskTimings[[#This Row],[EmployeeDateSeq]]</f>
        <v>Firose/43434/2</v>
      </c>
      <c r="G32" s="118" t="s">
        <v>85</v>
      </c>
      <c r="H32" s="118" t="s">
        <v>34</v>
      </c>
      <c r="I32" s="119">
        <v>43434</v>
      </c>
      <c r="J32" s="120">
        <v>0.58333333333333337</v>
      </c>
      <c r="K32" s="120">
        <v>0.70833333333333337</v>
      </c>
      <c r="L32" s="121">
        <f>([End Time]-[Start Time])*1440</f>
        <v>180</v>
      </c>
      <c r="M32" s="121" t="str">
        <f>TEXT([End Time]-[Start Time],"HH:mm")</f>
        <v>03:00</v>
      </c>
      <c r="N32" s="121">
        <f>SUMIFS([Total Minutes],[Date],[Date],[Employee],[Employee])</f>
        <v>360</v>
      </c>
      <c r="O32" s="121" t="str">
        <f>TEXT([Day Total Minutes]/1440,"HH:mm")</f>
        <v>06:00</v>
      </c>
      <c r="P32" s="117" t="str">
        <f>[PRJ]</f>
        <v>TEEBPD</v>
      </c>
      <c r="Q32" s="117" t="str">
        <f>[TSK]</f>
        <v>Inhouse Testing</v>
      </c>
    </row>
  </sheetData>
  <dataValidations count="2">
    <dataValidation type="list" allowBlank="1" showInputMessage="1" showErrorMessage="1" sqref="H2:H32">
      <formula1>EmployeeNames</formula1>
    </dataValidation>
    <dataValidation type="list" allowBlank="1" showInputMessage="1" showErrorMessage="1" sqref="G2:G3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sqref="A1:E3"/>
    </sheetView>
  </sheetViews>
  <sheetFormatPr defaultRowHeight="15"/>
  <cols>
    <col min="10" max="16" width="13.28515625" customWidth="1"/>
  </cols>
  <sheetData>
    <row r="1" spans="1:16">
      <c r="A1" s="88" t="s">
        <v>72</v>
      </c>
      <c r="B1" s="88"/>
      <c r="C1" s="88"/>
      <c r="D1" s="88"/>
      <c r="E1" s="88"/>
    </row>
    <row r="2" spans="1:16">
      <c r="A2" s="88"/>
      <c r="B2" s="88"/>
      <c r="C2" s="88"/>
      <c r="D2" s="88"/>
      <c r="E2" s="88"/>
      <c r="J2" s="73" t="s">
        <v>33</v>
      </c>
      <c r="K2" s="73"/>
      <c r="L2" s="73"/>
    </row>
    <row r="3" spans="1:16">
      <c r="A3" s="88"/>
      <c r="B3" s="88"/>
      <c r="C3" s="88"/>
      <c r="D3" s="88"/>
      <c r="E3" s="88"/>
      <c r="J3" s="73"/>
      <c r="K3" s="73"/>
      <c r="L3" s="73"/>
    </row>
    <row r="4" spans="1:16" ht="15.75" thickBot="1">
      <c r="A4" s="89" t="str">
        <f>VLOOKUP($A$1,Project[[Project]:[Project Code]],2,0)</f>
        <v>MITWEB</v>
      </c>
      <c r="B4" s="8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80" t="s">
        <v>31</v>
      </c>
      <c r="B5" s="90" t="s">
        <v>29</v>
      </c>
      <c r="C5" s="90"/>
      <c r="D5" s="90"/>
      <c r="E5" s="90"/>
      <c r="F5" s="90"/>
      <c r="G5" s="69" t="s">
        <v>32</v>
      </c>
      <c r="H5" s="71"/>
      <c r="J5" s="80" t="str">
        <f>IFERROR(VLOOKUP(J$4,Employees[],2,0),"")</f>
        <v>Aswathy</v>
      </c>
      <c r="K5" s="69" t="str">
        <f>IFERROR(VLOOKUP(K$4,Employees[],2,0),"")</f>
        <v>Vishnu</v>
      </c>
      <c r="L5" s="69" t="str">
        <f>IFERROR(VLOOKUP(L$4,Employees[],2,0),"")</f>
        <v>Shareena</v>
      </c>
      <c r="M5" s="69" t="str">
        <f>IFERROR(VLOOKUP(M$4,Employees[],2,0),"")</f>
        <v>Firose</v>
      </c>
      <c r="N5" s="69" t="str">
        <f>IFERROR(VLOOKUP(N$4,Employees[],2,0),"")</f>
        <v/>
      </c>
      <c r="O5" s="69" t="str">
        <f>IFERROR(VLOOKUP(O$4,Employees[],2,0),"")</f>
        <v/>
      </c>
      <c r="P5" s="71" t="str">
        <f>IFERROR(VLOOKUP(P$4,Employees[],2,0),"")</f>
        <v/>
      </c>
    </row>
    <row r="6" spans="1:16">
      <c r="A6" s="81"/>
      <c r="B6" s="91"/>
      <c r="C6" s="91"/>
      <c r="D6" s="91"/>
      <c r="E6" s="91"/>
      <c r="F6" s="91"/>
      <c r="G6" s="70"/>
      <c r="H6" s="72"/>
      <c r="J6" s="81"/>
      <c r="K6" s="70"/>
      <c r="L6" s="70"/>
      <c r="M6" s="70"/>
      <c r="N6" s="70"/>
      <c r="O6" s="70"/>
      <c r="P6" s="72"/>
    </row>
    <row r="7" spans="1:16">
      <c r="A7" s="12">
        <v>1</v>
      </c>
      <c r="B7" s="84" t="str">
        <f>IFERROR(VLOOKUP($A$4&amp;"-"&amp;$A7,ProjectTasks[[PRJTSKSEQ]:[Task]],2,0),"")</f>
        <v>Modification</v>
      </c>
      <c r="C7" s="84"/>
      <c r="D7" s="84"/>
      <c r="E7" s="84"/>
      <c r="F7" s="84"/>
      <c r="G7" s="82">
        <f>SUMIFS(TaskTimings[Total Minutes],TaskTimings[PRJ],$A$4,TaskTimings[TSK],$B7)</f>
        <v>60.000000000000028</v>
      </c>
      <c r="H7" s="83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84" t="str">
        <f>IFERROR(VLOOKUP($A$4&amp;"-"&amp;$A8,ProjectTasks[[PRJTSKSEQ]:[Task]],2,0),"")</f>
        <v/>
      </c>
      <c r="C8" s="84"/>
      <c r="D8" s="84"/>
      <c r="E8" s="84"/>
      <c r="F8" s="84"/>
      <c r="G8" s="82">
        <f>SUMIFS(TaskTimings[Total Minutes],TaskTimings[PRJ],$A$4,TaskTimings[TSK],$B8)</f>
        <v>0</v>
      </c>
      <c r="H8" s="83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84" t="str">
        <f>IFERROR(VLOOKUP($A$4&amp;"-"&amp;$A9,ProjectTasks[[PRJTSKSEQ]:[Task]],2,0),"")</f>
        <v/>
      </c>
      <c r="C9" s="84"/>
      <c r="D9" s="84"/>
      <c r="E9" s="84"/>
      <c r="F9" s="84"/>
      <c r="G9" s="82">
        <f>SUMIFS(TaskTimings[Total Minutes],TaskTimings[PRJ],$A$4,TaskTimings[TSK],$B9)</f>
        <v>0</v>
      </c>
      <c r="H9" s="8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84" t="str">
        <f>IFERROR(VLOOKUP($A$4&amp;"-"&amp;$A10,ProjectTasks[[PRJTSKSEQ]:[Task]],2,0),"")</f>
        <v/>
      </c>
      <c r="C10" s="84"/>
      <c r="D10" s="84"/>
      <c r="E10" s="84"/>
      <c r="F10" s="84"/>
      <c r="G10" s="82">
        <f>SUMIFS(TaskTimings[Total Minutes],TaskTimings[PRJ],$A$4,TaskTimings[TSK],$B10)</f>
        <v>0</v>
      </c>
      <c r="H10" s="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84" t="str">
        <f>IFERROR(VLOOKUP($A$4&amp;"-"&amp;$A11,ProjectTasks[[PRJTSKSEQ]:[Task]],2,0),"")</f>
        <v/>
      </c>
      <c r="C11" s="84"/>
      <c r="D11" s="84"/>
      <c r="E11" s="84"/>
      <c r="F11" s="84"/>
      <c r="G11" s="82">
        <f>SUMIFS(TaskTimings[Total Minutes],TaskTimings[PRJ],$A$4,TaskTimings[TSK],$B11)</f>
        <v>0</v>
      </c>
      <c r="H11" s="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84" t="str">
        <f>IFERROR(VLOOKUP($A$4&amp;"-"&amp;$A12,ProjectTasks[[PRJTSKSEQ]:[Task]],2,0),"")</f>
        <v/>
      </c>
      <c r="C12" s="84"/>
      <c r="D12" s="84"/>
      <c r="E12" s="84"/>
      <c r="F12" s="84"/>
      <c r="G12" s="82">
        <f>SUMIFS(TaskTimings[Total Minutes],TaskTimings[PRJ],$A$4,TaskTimings[TSK],$B12)</f>
        <v>0</v>
      </c>
      <c r="H12" s="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84" t="str">
        <f>IFERROR(VLOOKUP($A$4&amp;"-"&amp;$A13,ProjectTasks[[PRJTSKSEQ]:[Task]],2,0),"")</f>
        <v/>
      </c>
      <c r="C13" s="84"/>
      <c r="D13" s="84"/>
      <c r="E13" s="84"/>
      <c r="F13" s="84"/>
      <c r="G13" s="82">
        <f>SUMIFS(TaskTimings[Total Minutes],TaskTimings[PRJ],$A$4,TaskTimings[TSK],$B13)</f>
        <v>0</v>
      </c>
      <c r="H13" s="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84" t="str">
        <f>IFERROR(VLOOKUP($A$4&amp;"-"&amp;$A14,ProjectTasks[[PRJTSKSEQ]:[Task]],2,0),"")</f>
        <v/>
      </c>
      <c r="C14" s="84"/>
      <c r="D14" s="84"/>
      <c r="E14" s="84"/>
      <c r="F14" s="84"/>
      <c r="G14" s="82">
        <f>SUMIFS(TaskTimings[Total Minutes],TaskTimings[PRJ],$A$4,TaskTimings[TSK],$B14)</f>
        <v>0</v>
      </c>
      <c r="H14" s="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84" t="str">
        <f>IFERROR(VLOOKUP($A$4&amp;"-"&amp;$A15,ProjectTasks[[PRJTSKSEQ]:[Task]],2,0),"")</f>
        <v/>
      </c>
      <c r="C15" s="84"/>
      <c r="D15" s="84"/>
      <c r="E15" s="84"/>
      <c r="F15" s="84"/>
      <c r="G15" s="82">
        <f>SUMIFS(TaskTimings[Total Minutes],TaskTimings[PRJ],$A$4,TaskTimings[TSK],$B15)</f>
        <v>0</v>
      </c>
      <c r="H15" s="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84" t="str">
        <f>IFERROR(VLOOKUP($A$4&amp;"-"&amp;$A16,ProjectTasks[[PRJTSKSEQ]:[Task]],2,0),"")</f>
        <v/>
      </c>
      <c r="C16" s="84"/>
      <c r="D16" s="84"/>
      <c r="E16" s="84"/>
      <c r="F16" s="84"/>
      <c r="G16" s="82">
        <f>SUMIFS(TaskTimings[Total Minutes],TaskTimings[PRJ],$A$4,TaskTimings[TSK],$B16)</f>
        <v>0</v>
      </c>
      <c r="H16" s="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84" t="str">
        <f>IFERROR(VLOOKUP($A$4&amp;"-"&amp;$A17,ProjectTasks[[PRJTSKSEQ]:[Task]],2,0),"")</f>
        <v/>
      </c>
      <c r="C17" s="84"/>
      <c r="D17" s="84"/>
      <c r="E17" s="84"/>
      <c r="F17" s="84"/>
      <c r="G17" s="82">
        <f>SUMIFS(TaskTimings[Total Minutes],TaskTimings[PRJ],$A$4,TaskTimings[TSK],$B17)</f>
        <v>0</v>
      </c>
      <c r="H17" s="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84" t="str">
        <f>IFERROR(VLOOKUP($A$4&amp;"-"&amp;$A18,ProjectTasks[[PRJTSKSEQ]:[Task]],2,0),"")</f>
        <v/>
      </c>
      <c r="C18" s="84"/>
      <c r="D18" s="84"/>
      <c r="E18" s="84"/>
      <c r="F18" s="84"/>
      <c r="G18" s="82">
        <f>SUMIFS(TaskTimings[Total Minutes],TaskTimings[PRJ],$A$4,TaskTimings[TSK],$B18)</f>
        <v>0</v>
      </c>
      <c r="H18" s="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84" t="str">
        <f>IFERROR(VLOOKUP($A$4&amp;"-"&amp;$A19,ProjectTasks[[PRJTSKSEQ]:[Task]],2,0),"")</f>
        <v/>
      </c>
      <c r="C19" s="84"/>
      <c r="D19" s="84"/>
      <c r="E19" s="84"/>
      <c r="F19" s="84"/>
      <c r="G19" s="82">
        <f>SUMIFS(TaskTimings[Total Minutes],TaskTimings[PRJ],$A$4,TaskTimings[TSK],$B19)</f>
        <v>0</v>
      </c>
      <c r="H19" s="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84" t="str">
        <f>IFERROR(VLOOKUP($A$4&amp;"-"&amp;$A20,ProjectTasks[[PRJTSKSEQ]:[Task]],2,0),"")</f>
        <v/>
      </c>
      <c r="C20" s="84"/>
      <c r="D20" s="84"/>
      <c r="E20" s="84"/>
      <c r="F20" s="84"/>
      <c r="G20" s="82">
        <f>SUMIFS(TaskTimings[Total Minutes],TaskTimings[PRJ],$A$4,TaskTimings[TSK],$B20)</f>
        <v>0</v>
      </c>
      <c r="H20" s="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87" t="str">
        <f>IFERROR(VLOOKUP($A$4&amp;"-"&amp;$A21,ProjectTasks[[PRJTSKSEQ]:[Task]],2,0),"")</f>
        <v/>
      </c>
      <c r="C21" s="87"/>
      <c r="D21" s="87"/>
      <c r="E21" s="87"/>
      <c r="F21" s="87"/>
      <c r="G21" s="85">
        <f>SUMIFS(TaskTimings[Total Minutes],TaskTimings[PRJ],$A$4,TaskTimings[TSK],$B21)</f>
        <v>0</v>
      </c>
      <c r="H21" s="8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74" t="s">
        <v>24</v>
      </c>
      <c r="E23" s="75"/>
      <c r="F23" s="76"/>
      <c r="G23" s="74">
        <f>SUM(G7:H21)</f>
        <v>60.000000000000028</v>
      </c>
      <c r="H23" s="76"/>
      <c r="J23" s="67">
        <f>SUM(J7:J21)</f>
        <v>0</v>
      </c>
      <c r="K23" s="67">
        <f t="shared" ref="K23:P23" si="0">SUM(K7:K21)</f>
        <v>0</v>
      </c>
      <c r="L23" s="67">
        <f t="shared" si="0"/>
        <v>0</v>
      </c>
      <c r="M23" s="67">
        <f t="shared" si="0"/>
        <v>60.000000000000028</v>
      </c>
      <c r="N23" s="67">
        <f t="shared" si="0"/>
        <v>0</v>
      </c>
      <c r="O23" s="67">
        <f t="shared" si="0"/>
        <v>0</v>
      </c>
      <c r="P23" s="67">
        <f t="shared" si="0"/>
        <v>0</v>
      </c>
    </row>
    <row r="24" spans="1:16" ht="15.75" thickBot="1">
      <c r="D24" s="77"/>
      <c r="E24" s="78"/>
      <c r="F24" s="79"/>
      <c r="G24" s="77"/>
      <c r="H24" s="79"/>
      <c r="J24" s="68"/>
      <c r="K24" s="68"/>
      <c r="L24" s="68"/>
      <c r="M24" s="68"/>
      <c r="N24" s="68"/>
      <c r="O24" s="68"/>
      <c r="P24" s="68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topLeftCell="A16" workbookViewId="0">
      <selection sqref="A1:D3"/>
    </sheetView>
  </sheetViews>
  <sheetFormatPr defaultRowHeight="15"/>
  <sheetData>
    <row r="1" spans="1:28">
      <c r="A1" s="94" t="s">
        <v>34</v>
      </c>
      <c r="B1" s="94"/>
      <c r="C1" s="94"/>
      <c r="D1" s="94"/>
      <c r="F1" s="96" t="s">
        <v>35</v>
      </c>
      <c r="G1" s="96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94"/>
      <c r="B2" s="94"/>
      <c r="C2" s="94"/>
      <c r="D2" s="94"/>
      <c r="F2" s="95">
        <v>43430</v>
      </c>
      <c r="G2" s="95"/>
      <c r="I2" s="112">
        <f>SUM(I7:I30)</f>
        <v>1890</v>
      </c>
      <c r="J2" s="106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94"/>
      <c r="B3" s="94"/>
      <c r="C3" s="94"/>
      <c r="D3" s="94"/>
      <c r="F3" s="95"/>
      <c r="G3" s="95"/>
      <c r="I3" s="113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73" t="s">
        <v>44</v>
      </c>
      <c r="L4" s="73"/>
      <c r="M4" s="73"/>
    </row>
    <row r="5" spans="1:28" ht="15.75" thickBot="1">
      <c r="B5" s="73" t="s">
        <v>45</v>
      </c>
      <c r="C5" s="73"/>
      <c r="D5" s="73"/>
      <c r="E5" s="73"/>
      <c r="F5" s="73"/>
      <c r="K5" s="92"/>
      <c r="L5" s="92"/>
      <c r="M5" s="92"/>
    </row>
    <row r="6" spans="1:28" ht="15.75" thickBot="1">
      <c r="A6" s="14">
        <v>1</v>
      </c>
      <c r="B6" s="93"/>
      <c r="C6" s="93"/>
      <c r="D6" s="93"/>
      <c r="E6" s="93"/>
      <c r="F6" s="93"/>
      <c r="J6" s="25"/>
      <c r="K6" s="38" t="s">
        <v>0</v>
      </c>
      <c r="L6" s="103" t="s">
        <v>4</v>
      </c>
      <c r="M6" s="103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97">
        <f>$F$2</f>
        <v>43430</v>
      </c>
      <c r="C7" s="69"/>
      <c r="D7" s="98" t="str">
        <f>IFERROR(VLOOKUP($A$1&amp;"/"&amp;$B$7&amp;"/"&amp;$A6,TaskTimings[[EmployeeDateSeqCode]:[Task]],2,0),"")</f>
        <v>TKT/Discussion for ticketing modification</v>
      </c>
      <c r="E7" s="98"/>
      <c r="F7" s="98"/>
      <c r="G7" s="98"/>
      <c r="H7" s="23">
        <f>IFERROR(VLOOKUP($A$1&amp;"/"&amp;$B$7&amp;"/"&amp;$A6,TaskTimings[[EmployeeDateSeqCode]:[Total Minutes]],7,0),0)</f>
        <v>59.999999999999943</v>
      </c>
      <c r="I7" s="105">
        <f>SUM(H7:H10)</f>
        <v>419.99999999999989</v>
      </c>
      <c r="J7" s="25"/>
      <c r="K7" s="30">
        <v>1</v>
      </c>
      <c r="L7" s="108" t="str">
        <f>IFERROR(VLOOKUP($K7,$X$7:$Y$30,2,0),"")</f>
        <v>TKT</v>
      </c>
      <c r="M7" s="108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>
      <c r="A8" s="14">
        <v>3</v>
      </c>
      <c r="B8" s="81"/>
      <c r="C8" s="70"/>
      <c r="D8" s="99" t="str">
        <f>IFERROR(VLOOKUP($A$1&amp;"/"&amp;$B$7&amp;"/"&amp;$A7,TaskTimings[[EmployeeDateSeqCode]:[Task]],2,0),"")</f>
        <v>PPOIO/Project Study</v>
      </c>
      <c r="E8" s="99"/>
      <c r="F8" s="99"/>
      <c r="G8" s="99"/>
      <c r="H8" s="22">
        <f>IFERROR(VLOOKUP($A$1&amp;"/"&amp;$B$7&amp;"/"&amp;$A7,TaskTimings[[EmployeeDateSeqCode]:[Total Minutes]],7,0),0)</f>
        <v>119.99999999999997</v>
      </c>
      <c r="I8" s="106"/>
      <c r="J8" s="25"/>
      <c r="K8" s="30">
        <v>2</v>
      </c>
      <c r="L8" s="108" t="str">
        <f>IFERROR(VLOOKUP($K8,$X$7:$Y$30,2,0),"")</f>
        <v>PPOIO</v>
      </c>
      <c r="M8" s="108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>
      <c r="A9" s="14">
        <v>4</v>
      </c>
      <c r="B9" s="81"/>
      <c r="C9" s="70"/>
      <c r="D9" s="99" t="str">
        <f>IFERROR(VLOOKUP($A$1&amp;"/"&amp;$B$7&amp;"/"&amp;$A8,TaskTimings[[EmployeeDateSeqCode]:[Task]],2,0),"")</f>
        <v>PPOIO/Business Plan</v>
      </c>
      <c r="E9" s="99"/>
      <c r="F9" s="99"/>
      <c r="G9" s="99"/>
      <c r="H9" s="22">
        <f>IFERROR(VLOOKUP($A$1&amp;"/"&amp;$B$7&amp;"/"&amp;$A8,TaskTimings[[EmployeeDateSeqCode]:[Total Minutes]],7,0),0)</f>
        <v>239.99999999999994</v>
      </c>
      <c r="I9" s="106"/>
      <c r="J9" s="25"/>
      <c r="K9" s="30">
        <v>3</v>
      </c>
      <c r="L9" s="108" t="str">
        <f>IFERROR(VLOOKUP($K9,$X$7:$Y$30,2,0),"")</f>
        <v/>
      </c>
      <c r="M9" s="108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>
      <c r="A10" s="14">
        <v>1</v>
      </c>
      <c r="B10" s="81"/>
      <c r="C10" s="70"/>
      <c r="D10" s="99" t="str">
        <f>IFERROR(VLOOKUP($A$1&amp;"/"&amp;$B$7&amp;"/"&amp;$A9,TaskTimings[[EmployeeDateSeqCode]:[Task]],2,0),"")</f>
        <v/>
      </c>
      <c r="E10" s="99"/>
      <c r="F10" s="99"/>
      <c r="G10" s="99"/>
      <c r="H10" s="22">
        <f>IFERROR(VLOOKUP($A$1&amp;"/"&amp;$B$7&amp;"/"&amp;$A9,TaskTimings[[EmployeeDateSeqCode]:[Total Minutes]],7,0),0)</f>
        <v>0</v>
      </c>
      <c r="I10" s="106"/>
      <c r="J10" s="25"/>
      <c r="K10" s="30">
        <v>4</v>
      </c>
      <c r="L10" s="108" t="str">
        <f>IFERROR(VLOOKUP($K10,$X$7:$Y$30,2,0),"")</f>
        <v>TEEBPD</v>
      </c>
      <c r="M10" s="108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100">
        <f>B7+1</f>
        <v>43431</v>
      </c>
      <c r="C11" s="70"/>
      <c r="D11" s="99" t="str">
        <f>IFERROR(VLOOKUP($A$1&amp;"/"&amp;$B$11&amp;"/"&amp;$A10,TaskTimings[[EmployeeDateSeqCode]:[Task]],2,0),"")</f>
        <v>TEEBPD/Client Suggestion Implementation</v>
      </c>
      <c r="E11" s="99"/>
      <c r="F11" s="99"/>
      <c r="G11" s="99"/>
      <c r="H11" s="22">
        <f>IFERROR(VLOOKUP($A$1&amp;"/"&amp;$B$11&amp;"/"&amp;$A10,TaskTimings[[EmployeeDateSeqCode]:[Total Minutes]],7,0),0)</f>
        <v>480.00000000000006</v>
      </c>
      <c r="I11" s="106">
        <f t="shared" ref="I11" si="3">SUM(H11:H14)</f>
        <v>480.00000000000006</v>
      </c>
      <c r="J11" s="25"/>
      <c r="K11" s="31">
        <v>5</v>
      </c>
      <c r="L11" s="111" t="str">
        <f>IFERROR(VLOOKUP($K11,$X$7:$Y$30,2,0),"")</f>
        <v/>
      </c>
      <c r="M11" s="111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>
      <c r="A12" s="14">
        <v>3</v>
      </c>
      <c r="B12" s="81"/>
      <c r="C12" s="70"/>
      <c r="D12" s="99" t="str">
        <f>IFERROR(VLOOKUP($A$1&amp;"/"&amp;$B$11&amp;"/"&amp;$A11,TaskTimings[[EmployeeDateSeqCode]:[Task]],2,0),"")</f>
        <v/>
      </c>
      <c r="E12" s="99"/>
      <c r="F12" s="99"/>
      <c r="G12" s="99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81"/>
      <c r="C13" s="70"/>
      <c r="D13" s="99" t="str">
        <f>IFERROR(VLOOKUP($A$1&amp;"/"&amp;$B$11&amp;"/"&amp;$A12,TaskTimings[[EmployeeDateSeqCode]:[Task]],2,0),"")</f>
        <v/>
      </c>
      <c r="E13" s="99"/>
      <c r="F13" s="99"/>
      <c r="G13" s="99"/>
      <c r="H13" s="22">
        <f>IFERROR(VLOOKUP($A$1&amp;"/"&amp;$B$11&amp;"/"&amp;$A12,TaskTimings[[EmployeeDateSeqCode]:[Total Minutes]],7,0),0)</f>
        <v>0</v>
      </c>
      <c r="I13" s="106"/>
      <c r="J13" s="25"/>
      <c r="K13" s="92" t="s">
        <v>46</v>
      </c>
      <c r="L13" s="92"/>
      <c r="M13" s="92"/>
      <c r="N13" s="92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81"/>
      <c r="C14" s="70"/>
      <c r="D14" s="99" t="str">
        <f>IFERROR(VLOOKUP($A$1&amp;"/"&amp;$B$11&amp;"/"&amp;$A13,TaskTimings[[EmployeeDateSeqCode]:[Task]],2,0),"")</f>
        <v/>
      </c>
      <c r="E14" s="99"/>
      <c r="F14" s="99"/>
      <c r="G14" s="99"/>
      <c r="H14" s="22">
        <f>IFERROR(VLOOKUP($A$1&amp;"/"&amp;$B$11&amp;"/"&amp;$A13,TaskTimings[[EmployeeDateSeqCode]:[Total Minutes]],7,0),0)</f>
        <v>0</v>
      </c>
      <c r="I14" s="106"/>
      <c r="J14" s="25"/>
      <c r="K14" s="93"/>
      <c r="L14" s="93"/>
      <c r="M14" s="93"/>
      <c r="N14" s="93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100">
        <f>B11+1</f>
        <v>43432</v>
      </c>
      <c r="C15" s="70"/>
      <c r="D15" s="99" t="str">
        <f>IFERROR(VLOOKUP($A$1&amp;"/"&amp;$B$15&amp;"/"&amp;$A14,TaskTimings[[EmployeeDateSeqCode]:[Task]],2,0),"")</f>
        <v>MITWEB/Modification</v>
      </c>
      <c r="E15" s="99"/>
      <c r="F15" s="99"/>
      <c r="G15" s="99"/>
      <c r="H15" s="22">
        <f>IFERROR(VLOOKUP($A$1&amp;"/"&amp;$B$15&amp;"/"&amp;$A14,TaskTimings[[EmployeeDateSeqCode]:[Total Minutes]],7,0),0)</f>
        <v>60.000000000000028</v>
      </c>
      <c r="I15" s="106">
        <f t="shared" ref="I15" si="4">SUM(H15:H18)</f>
        <v>210.00000000000006</v>
      </c>
      <c r="J15" s="25"/>
      <c r="K15" s="109" t="s">
        <v>4</v>
      </c>
      <c r="L15" s="110"/>
      <c r="M15" s="110" t="s">
        <v>29</v>
      </c>
      <c r="N15" s="110"/>
      <c r="O15" s="110"/>
      <c r="P15" s="110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>
      <c r="A16" s="14">
        <v>3</v>
      </c>
      <c r="B16" s="81"/>
      <c r="C16" s="70"/>
      <c r="D16" s="99" t="str">
        <f>IFERROR(VLOOKUP($A$1&amp;"/"&amp;$B$15&amp;"/"&amp;$A15,TaskTimings[[EmployeeDateSeqCode]:[Task]],2,0),"")</f>
        <v>TKT/Discussion for ticketing modification</v>
      </c>
      <c r="E16" s="99"/>
      <c r="F16" s="99"/>
      <c r="G16" s="99"/>
      <c r="H16" s="22">
        <f>IFERROR(VLOOKUP($A$1&amp;"/"&amp;$B$15&amp;"/"&amp;$A15,TaskTimings[[EmployeeDateSeqCode]:[Total Minutes]],7,0),0)</f>
        <v>29.999999999999972</v>
      </c>
      <c r="I16" s="106"/>
      <c r="J16" s="28">
        <v>1</v>
      </c>
      <c r="K16" s="114" t="str">
        <f>VLOOKUP(1,$K$7:$M$11,2,0)</f>
        <v>TKT</v>
      </c>
      <c r="L16" s="82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89.999999999999915</v>
      </c>
      <c r="R16" s="106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81"/>
      <c r="C17" s="70"/>
      <c r="D17" s="99" t="str">
        <f>IFERROR(VLOOKUP($A$1&amp;"/"&amp;$B$15&amp;"/"&amp;$A16,TaskTimings[[EmployeeDateSeqCode]:[Task]],2,0),"")</f>
        <v>TEEBPD/Finalizing</v>
      </c>
      <c r="E17" s="99"/>
      <c r="F17" s="99"/>
      <c r="G17" s="99"/>
      <c r="H17" s="22">
        <f>IFERROR(VLOOKUP($A$1&amp;"/"&amp;$B$15&amp;"/"&amp;$A16,TaskTimings[[EmployeeDateSeqCode]:[Total Minutes]],7,0),0)</f>
        <v>120.00000000000006</v>
      </c>
      <c r="I17" s="106"/>
      <c r="J17" s="28">
        <v>2</v>
      </c>
      <c r="K17" s="114"/>
      <c r="L17" s="82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>
      <c r="A18" s="14">
        <v>1</v>
      </c>
      <c r="B18" s="81"/>
      <c r="C18" s="70"/>
      <c r="D18" s="99" t="str">
        <f>IFERROR(VLOOKUP($A$1&amp;"/"&amp;$B$15&amp;"/"&amp;$A17,TaskTimings[[EmployeeDateSeqCode]:[Task]],2,0),"")</f>
        <v/>
      </c>
      <c r="E18" s="99"/>
      <c r="F18" s="99"/>
      <c r="G18" s="99"/>
      <c r="H18" s="22">
        <f>IFERROR(VLOOKUP($A$1&amp;"/"&amp;$B$15&amp;"/"&amp;$A17,TaskTimings[[EmployeeDateSeqCode]:[Total Minutes]],7,0),0)</f>
        <v>0</v>
      </c>
      <c r="I18" s="106"/>
      <c r="J18" s="28">
        <v>3</v>
      </c>
      <c r="K18" s="114"/>
      <c r="L18" s="82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100">
        <f>B15+1</f>
        <v>43433</v>
      </c>
      <c r="C19" s="70"/>
      <c r="D19" s="99" t="str">
        <f>IFERROR(VLOOKUP($A$1&amp;"/"&amp;$B$19&amp;"/"&amp;$A18,TaskTimings[[EmployeeDateSeqCode]:[Task]],2,0),"")</f>
        <v>TEEBPD/Finalizing</v>
      </c>
      <c r="E19" s="99"/>
      <c r="F19" s="99"/>
      <c r="G19" s="99"/>
      <c r="H19" s="22">
        <f>IFERROR(VLOOKUP($A$1&amp;"/"&amp;$B$19&amp;"/"&amp;$A18,TaskTimings[[EmployeeDateSeqCode]:[Total Minutes]],7,0),0)</f>
        <v>420</v>
      </c>
      <c r="I19" s="106">
        <f t="shared" ref="I19" si="5">SUM(H19:H22)</f>
        <v>420</v>
      </c>
      <c r="J19" s="28">
        <v>4</v>
      </c>
      <c r="K19" s="114"/>
      <c r="L19" s="82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81"/>
      <c r="C20" s="70"/>
      <c r="D20" s="99" t="str">
        <f>IFERROR(VLOOKUP($A$1&amp;"/"&amp;$B$19&amp;"/"&amp;$A19,TaskTimings[[EmployeeDateSeqCode]:[Task]],2,0),"")</f>
        <v/>
      </c>
      <c r="E20" s="99"/>
      <c r="F20" s="99"/>
      <c r="G20" s="99"/>
      <c r="H20" s="22">
        <f>IFERROR(VLOOKUP($A$1&amp;"/"&amp;$B$19&amp;"/"&amp;$A19,TaskTimings[[EmployeeDateSeqCode]:[Total Minutes]],7,0),0)</f>
        <v>0</v>
      </c>
      <c r="I20" s="106"/>
      <c r="J20" s="28">
        <v>1</v>
      </c>
      <c r="K20" s="114" t="str">
        <f>VLOOKUP(2,$K$7:$M$11,2,0)</f>
        <v>PPOIO</v>
      </c>
      <c r="L20" s="82"/>
      <c r="M20" s="108" t="str">
        <f>IF($K$20="","",IFERROR(VLOOKUP($K$20&amp;"/"&amp;$J20,$Z$7:$AA$30,2,0),""))</f>
        <v>Project Study</v>
      </c>
      <c r="N20" s="108"/>
      <c r="O20" s="108"/>
      <c r="P20" s="108"/>
      <c r="Q20" s="22">
        <f>IF($M20="","",SUMIFS($H$7:$H$30,$D$7:$D$30,$K$20&amp;"/"&amp;$M20))</f>
        <v>119.99999999999997</v>
      </c>
      <c r="R20" s="106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81"/>
      <c r="C21" s="70"/>
      <c r="D21" s="99" t="str">
        <f>IFERROR(VLOOKUP($A$1&amp;"/"&amp;$B$19&amp;"/"&amp;$A20,TaskTimings[[EmployeeDateSeqCode]:[Task]],2,0),"")</f>
        <v/>
      </c>
      <c r="E21" s="99"/>
      <c r="F21" s="99"/>
      <c r="G21" s="99"/>
      <c r="H21" s="22">
        <f>IFERROR(VLOOKUP($A$1&amp;"/"&amp;$B$19&amp;"/"&amp;$A20,TaskTimings[[EmployeeDateSeqCode]:[Total Minutes]],7,0),0)</f>
        <v>0</v>
      </c>
      <c r="I21" s="106"/>
      <c r="J21" s="28">
        <v>2</v>
      </c>
      <c r="K21" s="114"/>
      <c r="L21" s="82"/>
      <c r="M21" s="108" t="str">
        <f>IF($K$20="","",IFERROR(VLOOKUP($K$20&amp;"/"&amp;$J21,$Z$7:$AA$30,2,0),""))</f>
        <v>Business Plan</v>
      </c>
      <c r="N21" s="108"/>
      <c r="O21" s="108"/>
      <c r="P21" s="108"/>
      <c r="Q21" s="22">
        <f>IF($M21="","",SUMIFS($H$7:$H$30,$D$7:$D$30,$K$20&amp;"/"&amp;$M21))</f>
        <v>239.99999999999994</v>
      </c>
      <c r="R21" s="106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81"/>
      <c r="C22" s="70"/>
      <c r="D22" s="99" t="str">
        <f>IFERROR(VLOOKUP($A$1&amp;"/"&amp;$B$19&amp;"/"&amp;$A21,TaskTimings[[EmployeeDateSeqCode]:[Task]],2,0),"")</f>
        <v/>
      </c>
      <c r="E22" s="99"/>
      <c r="F22" s="99"/>
      <c r="G22" s="99"/>
      <c r="H22" s="22">
        <f>IFERROR(VLOOKUP($A$1&amp;"/"&amp;$B$19&amp;"/"&amp;$A21,TaskTimings[[EmployeeDateSeqCode]:[Total Minutes]],7,0),0)</f>
        <v>0</v>
      </c>
      <c r="I22" s="106"/>
      <c r="J22" s="28">
        <v>3</v>
      </c>
      <c r="K22" s="114"/>
      <c r="L22" s="82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100">
        <f>B19+1</f>
        <v>43434</v>
      </c>
      <c r="C23" s="70"/>
      <c r="D23" s="99" t="str">
        <f>IFERROR(VLOOKUP($A$1&amp;"/"&amp;$B$23&amp;"/"&amp;$A22,TaskTimings[[EmployeeDateSeqCode]:[Task]],2,0),"")</f>
        <v>TEEBPD/Finalizing</v>
      </c>
      <c r="E23" s="99"/>
      <c r="F23" s="99"/>
      <c r="G23" s="99"/>
      <c r="H23" s="22">
        <f>IFERROR(VLOOKUP($A$1&amp;"/"&amp;$B$23&amp;"/"&amp;$A22,TaskTimings[[EmployeeDateSeqCode]:[Total Minutes]],7,0),0)</f>
        <v>180</v>
      </c>
      <c r="I23" s="106">
        <f t="shared" ref="I23" si="7">SUM(H23:H26)</f>
        <v>360</v>
      </c>
      <c r="J23" s="28">
        <v>4</v>
      </c>
      <c r="K23" s="114"/>
      <c r="L23" s="82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81"/>
      <c r="C24" s="70"/>
      <c r="D24" s="99" t="str">
        <f>IFERROR(VLOOKUP($A$1&amp;"/"&amp;$B$23&amp;"/"&amp;$A23,TaskTimings[[EmployeeDateSeqCode]:[Task]],2,0),"")</f>
        <v>TEEBPD/Inhouse Testing</v>
      </c>
      <c r="E24" s="99"/>
      <c r="F24" s="99"/>
      <c r="G24" s="99"/>
      <c r="H24" s="22">
        <f>IFERROR(VLOOKUP($A$1&amp;"/"&amp;$B$23&amp;"/"&amp;$A23,TaskTimings[[EmployeeDateSeqCode]:[Total Minutes]],7,0),0)</f>
        <v>180</v>
      </c>
      <c r="I24" s="106"/>
      <c r="J24" s="28">
        <v>1</v>
      </c>
      <c r="K24" s="114" t="str">
        <f>VLOOKUP(3,$K$7:$M$11,2,0)</f>
        <v/>
      </c>
      <c r="L24" s="82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>
      <c r="A25" s="14">
        <v>4</v>
      </c>
      <c r="B25" s="81"/>
      <c r="C25" s="70"/>
      <c r="D25" s="99" t="str">
        <f>IFERROR(VLOOKUP($A$1&amp;"/"&amp;$B$23&amp;"/"&amp;$A24,TaskTimings[[EmployeeDateSeqCode]:[Task]],2,0),"")</f>
        <v/>
      </c>
      <c r="E25" s="99"/>
      <c r="F25" s="99"/>
      <c r="G25" s="99"/>
      <c r="H25" s="22">
        <f>IFERROR(VLOOKUP($A$1&amp;"/"&amp;$B$23&amp;"/"&amp;$A24,TaskTimings[[EmployeeDateSeqCode]:[Total Minutes]],7,0),0)</f>
        <v>0</v>
      </c>
      <c r="I25" s="106"/>
      <c r="J25" s="28">
        <v>2</v>
      </c>
      <c r="K25" s="114"/>
      <c r="L25" s="82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81"/>
      <c r="C26" s="70"/>
      <c r="D26" s="99" t="str">
        <f>IFERROR(VLOOKUP($A$1&amp;"/"&amp;$B$23&amp;"/"&amp;$A25,TaskTimings[[EmployeeDateSeqCode]:[Task]],2,0),"")</f>
        <v/>
      </c>
      <c r="E26" s="99"/>
      <c r="F26" s="99"/>
      <c r="G26" s="99"/>
      <c r="H26" s="22">
        <f>IFERROR(VLOOKUP($A$1&amp;"/"&amp;$B$23&amp;"/"&amp;$A25,TaskTimings[[EmployeeDateSeqCode]:[Total Minutes]],7,0),0)</f>
        <v>0</v>
      </c>
      <c r="I26" s="106"/>
      <c r="J26" s="28">
        <v>3</v>
      </c>
      <c r="K26" s="114"/>
      <c r="L26" s="82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100">
        <f>B23+1</f>
        <v>43435</v>
      </c>
      <c r="C27" s="70"/>
      <c r="D27" s="99" t="str">
        <f>IFERROR(VLOOKUP($A$1&amp;"/"&amp;$B$27&amp;"/"&amp;$A26,TaskTimings[[EmployeeDateSeqCode]:[Task]],2,0),"")</f>
        <v/>
      </c>
      <c r="E27" s="99"/>
      <c r="F27" s="99"/>
      <c r="G27" s="99"/>
      <c r="H27" s="22">
        <f>IFERROR(VLOOKUP($A$1&amp;"/"&amp;$B$27&amp;"/"&amp;$A26,TaskTimings[[EmployeeDateSeqCode]:[Total Minutes]],7,0),0)</f>
        <v>0</v>
      </c>
      <c r="I27" s="106">
        <f t="shared" ref="I27" si="9">SUM(H27:H30)</f>
        <v>0</v>
      </c>
      <c r="J27" s="28">
        <v>4</v>
      </c>
      <c r="K27" s="114"/>
      <c r="L27" s="82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81"/>
      <c r="C28" s="70"/>
      <c r="D28" s="99" t="str">
        <f>IFERROR(VLOOKUP($A$1&amp;"/"&amp;$B$27&amp;"/"&amp;$A27,TaskTimings[[EmployeeDateSeqCode]:[Task]],2,0),"")</f>
        <v/>
      </c>
      <c r="E28" s="99"/>
      <c r="F28" s="99"/>
      <c r="G28" s="99"/>
      <c r="H28" s="22">
        <f>IFERROR(VLOOKUP($A$1&amp;"/"&amp;$B$27&amp;"/"&amp;$A27,TaskTimings[[EmployeeDateSeqCode]:[Total Minutes]],7,0),0)</f>
        <v>0</v>
      </c>
      <c r="I28" s="106"/>
      <c r="J28" s="28">
        <v>1</v>
      </c>
      <c r="K28" s="114" t="str">
        <f>VLOOKUP(4,$K$7:$M$11,2,0)</f>
        <v>TEEBPD</v>
      </c>
      <c r="L28" s="82"/>
      <c r="M28" s="108" t="str">
        <f>IF($K$28="","",IFERROR(VLOOKUP($K$28&amp;"/"&amp;$J28,$Z$7:$AA$30,2,0),""))</f>
        <v>Client Suggestion Implementation</v>
      </c>
      <c r="N28" s="108"/>
      <c r="O28" s="108"/>
      <c r="P28" s="108"/>
      <c r="Q28" s="22">
        <f>IF($M28="","",SUMIFS($H$7:$H$30,$D$7:$D$30,$K$28&amp;"/"&amp;$M28))</f>
        <v>480.00000000000006</v>
      </c>
      <c r="R28" s="106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81"/>
      <c r="C29" s="70"/>
      <c r="D29" s="99" t="str">
        <f>IFERROR(VLOOKUP($A$1&amp;"/"&amp;$B$27&amp;"/"&amp;$A28,TaskTimings[[EmployeeDateSeqCode]:[Task]],2,0),"")</f>
        <v/>
      </c>
      <c r="E29" s="99"/>
      <c r="F29" s="99"/>
      <c r="G29" s="99"/>
      <c r="H29" s="22">
        <f>IFERROR(VLOOKUP($A$1&amp;"/"&amp;$B$27&amp;"/"&amp;$A28,TaskTimings[[EmployeeDateSeqCode]:[Total Minutes]],7,0),0)</f>
        <v>0</v>
      </c>
      <c r="I29" s="106"/>
      <c r="J29" s="28">
        <v>2</v>
      </c>
      <c r="K29" s="114"/>
      <c r="L29" s="82"/>
      <c r="M29" s="108" t="str">
        <f>IF($K$28="","",IFERROR(VLOOKUP($K$28&amp;"/"&amp;$J29,$Z$7:$AA$30,2,0),""))</f>
        <v>Finalizing</v>
      </c>
      <c r="N29" s="108"/>
      <c r="O29" s="108"/>
      <c r="P29" s="108"/>
      <c r="Q29" s="22">
        <f>IF($M29="","",SUMIFS($H$7:$H$30,$D$7:$D$30,$K$28&amp;"/"&amp;$M29))</f>
        <v>720</v>
      </c>
      <c r="R29" s="106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101"/>
      <c r="C30" s="102"/>
      <c r="D30" s="104" t="str">
        <f>IFERROR(VLOOKUP($A$1&amp;"/"&amp;$B$27&amp;"/"&amp;$A29,TaskTimings[[EmployeeDateSeqCode]:[Task]],2,0),"")</f>
        <v/>
      </c>
      <c r="E30" s="104"/>
      <c r="F30" s="104"/>
      <c r="G30" s="104"/>
      <c r="H30" s="24">
        <f>IFERROR(VLOOKUP($A$1&amp;"/"&amp;$B$27&amp;"/"&amp;$A29,TaskTimings[[EmployeeDateSeqCode]:[Total Minutes]],7,0),0)</f>
        <v>0</v>
      </c>
      <c r="I30" s="107"/>
      <c r="J30" s="28">
        <v>3</v>
      </c>
      <c r="K30" s="114"/>
      <c r="L30" s="82"/>
      <c r="M30" s="108" t="str">
        <f>IF($K$28="","",IFERROR(VLOOKUP($K$28&amp;"/"&amp;$J30,$Z$7:$AA$30,2,0),""))</f>
        <v>Inhouse Testing</v>
      </c>
      <c r="N30" s="108"/>
      <c r="O30" s="108"/>
      <c r="P30" s="108"/>
      <c r="Q30" s="22">
        <f>IF($M30="","",SUMIFS($H$7:$H$30,$D$7:$D$30,$K$28&amp;"/"&amp;$M30))</f>
        <v>180</v>
      </c>
      <c r="R30" s="106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114"/>
      <c r="L31" s="82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>
      <c r="J32" s="28">
        <v>1</v>
      </c>
      <c r="K32" s="114" t="str">
        <f>VLOOKUP(5,$K$7:$M$11,2,0)</f>
        <v/>
      </c>
      <c r="L32" s="82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1">SUM(Q32:Q35)</f>
        <v>0</v>
      </c>
    </row>
    <row r="33" spans="10:18">
      <c r="J33" s="28">
        <v>2</v>
      </c>
      <c r="K33" s="114"/>
      <c r="L33" s="82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>
      <c r="J34" s="28">
        <v>3</v>
      </c>
      <c r="K34" s="114"/>
      <c r="L34" s="82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>
      <c r="J35" s="28">
        <v>4</v>
      </c>
      <c r="K35" s="115"/>
      <c r="L35" s="8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2018-12-01T00:06:16Z</dcterms:modified>
</cp:coreProperties>
</file>