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8" i="4" l="1"/>
  <c r="B28" i="4"/>
  <c r="P28" i="4" s="1"/>
  <c r="C28" i="4"/>
  <c r="Q28" i="4" s="1"/>
  <c r="D28" i="4"/>
  <c r="L28" i="4"/>
  <c r="M28" i="4"/>
  <c r="N28" i="4"/>
  <c r="O28" i="4" s="1"/>
  <c r="A27" i="4" l="1"/>
  <c r="B27" i="4"/>
  <c r="P27" i="4" s="1"/>
  <c r="C27" i="4"/>
  <c r="Q27" i="4" s="1"/>
  <c r="D27" i="4"/>
  <c r="L27" i="4"/>
  <c r="M27" i="4"/>
  <c r="A26" i="4"/>
  <c r="B26" i="4"/>
  <c r="P26" i="4" s="1"/>
  <c r="C26" i="4"/>
  <c r="Q26" i="4" s="1"/>
  <c r="D26" i="4"/>
  <c r="L26" i="4"/>
  <c r="M26" i="4"/>
  <c r="A25" i="4" l="1"/>
  <c r="B25" i="4"/>
  <c r="P25" i="4" s="1"/>
  <c r="C25" i="4"/>
  <c r="Q25" i="4" s="1"/>
  <c r="D25" i="4"/>
  <c r="L25" i="4"/>
  <c r="N27" i="4" s="1"/>
  <c r="O27" i="4" s="1"/>
  <c r="M25" i="4"/>
  <c r="N25" i="4"/>
  <c r="O25" i="4" s="1"/>
  <c r="A21" i="2" l="1"/>
  <c r="C21" i="2"/>
  <c r="E21" i="2"/>
  <c r="F21" i="2"/>
  <c r="G21" i="2"/>
  <c r="A24" i="4"/>
  <c r="D24" i="4"/>
  <c r="L24" i="4"/>
  <c r="M24" i="4"/>
  <c r="N24" i="4" l="1"/>
  <c r="O24" i="4" s="1"/>
  <c r="N26" i="4"/>
  <c r="O26" i="4" s="1"/>
  <c r="A23" i="4"/>
  <c r="D23" i="4"/>
  <c r="L23" i="4"/>
  <c r="M23" i="4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N23" i="4" s="1"/>
  <c r="O23" i="4" s="1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A18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9" i="4" l="1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E28" i="4" s="1"/>
  <c r="F2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6" i="4" l="1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X11" i="6"/>
  <c r="X10" i="6"/>
  <c r="X12" i="6"/>
  <c r="X16" i="6" s="1"/>
  <c r="Y9" i="6"/>
  <c r="Z11" i="6" s="1"/>
  <c r="AA11" i="6" s="1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0" i="6" l="1"/>
  <c r="AA10" i="6" s="1"/>
  <c r="X15" i="6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AB11" i="6" s="1"/>
  <c r="D29" i="6"/>
  <c r="D30" i="6"/>
  <c r="AB10" i="6" l="1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<sst xmlns="http://schemas.openxmlformats.org/spreadsheetml/2006/main" count="173" uniqueCount="86">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</sst>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-597.00000000000011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6343552"/>
        <c:axId val="1056344640"/>
      </c:barChart>
      <c:catAx>
        <c:axId val="10563435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44640"/>
        <c:crosses val="autoZero"/>
        <c:auto val="1"/>
        <c:lblAlgn val="ctr"/>
        <c:lblOffset val="100"/>
        <c:noMultiLvlLbl val="0"/>
      </c:catAx>
      <c:valAx>
        <c:axId val="1056344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435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-597.00000000000011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56344096"/>
        <c:axId val="1056345184"/>
      </c:barChart>
      <c:catAx>
        <c:axId val="10563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45184"/>
        <c:crosses val="autoZero"/>
        <c:auto val="1"/>
        <c:lblAlgn val="ctr"/>
        <c:lblOffset val="100"/>
        <c:noMultiLvlLbl val="0"/>
      </c:catAx>
      <c:valAx>
        <c:axId val="10563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44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-597.00000000000011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-597.00000000000011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35392"/>
        <c:axId val="1056341376"/>
      </c:areaChart>
      <c:catAx>
        <c:axId val="105633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41376"/>
        <c:crosses val="autoZero"/>
        <c:auto val="1"/>
        <c:lblAlgn val="ctr"/>
        <c:lblOffset val="100"/>
        <c:noMultiLvlLbl val="0"/>
      </c:catAx>
      <c:valAx>
        <c:axId val="1056341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353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-277.00000000000011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-277.00000000000011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-597.00000000000011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56334848"/>
        <c:axId val="1056335936"/>
      </c:barChart>
      <c:catAx>
        <c:axId val="1056334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35936"/>
        <c:crosses val="autoZero"/>
        <c:auto val="1"/>
        <c:lblAlgn val="ctr"/>
        <c:lblOffset val="100"/>
        <c:noMultiLvlLbl val="0"/>
      </c:catAx>
      <c:valAx>
        <c:axId val="105633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3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-597.00000000000011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056337568"/>
        <c:axId val="1056346272"/>
      </c:barChart>
      <c:dateAx>
        <c:axId val="105633756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46272"/>
        <c:crosses val="autoZero"/>
        <c:auto val="1"/>
        <c:lblOffset val="100"/>
        <c:baseTimeUnit val="days"/>
      </c:dateAx>
      <c:valAx>
        <c:axId val="105634627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633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1" totalsRowShown="0" headerRowDxfId="31" dataDxfId="30">
  <autoFilter ref="A1:G2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8" totalsRowShown="0" headerRowDxfId="18" dataDxfId="17">
  <autoFilter ref="A1:Q2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3"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</sheetData>
  <dataValidations count="1">
    <dataValidation type="list" allowBlank="1" showInputMessage="1" showErrorMessage="1" sqref="B2:B2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9" workbookViewId="0">
      <selection activeCell="G31" sqref="G3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4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9">
        <f t="shared" si="2"/>
        <v>20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-597.00000000000011</v>
      </c>
      <c r="O24" s="64" t="e">
        <f>TEXT(TaskTimings[Day Total Minutes]/1440,"HH:mm")</f>
        <v>#VALUE!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9">
        <f>IFERROR($A24+1,1)</f>
        <v>21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9">
        <f>IFERROR($A25+1,1)</f>
        <v>22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4"/>
      <c r="L26" s="64">
        <f>(TaskTimings[End Time]-TaskTimings[Start Time])*1440</f>
        <v>-825</v>
      </c>
      <c r="M26" s="64" t="e">
        <f>TEXT(TaskTimings[End Time]-TaskTimings[Start Time],"HH:mm")</f>
        <v>#VALUE!</v>
      </c>
      <c r="N26" s="64">
        <f>SUMIFS(TaskTimings[Total Minutes],TaskTimings[Date],TaskTimings[Date],TaskTimings[Employee],TaskTimings[Employee])</f>
        <v>-597.00000000000011</v>
      </c>
      <c r="O26" s="64" t="e">
        <f>TEXT(TaskTimings[Day Total Minutes]/1440,"HH:mm")</f>
        <v>#VALUE!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9">
        <f>IFERROR($A26+1,1)</f>
        <v>23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9">
        <f>IFERROR($A27+1,1)</f>
        <v>24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</sheetData>
  <dataValidations count="2">
    <dataValidation type="list" allowBlank="1" showInputMessage="1" showErrorMessage="1" sqref="H2:H28">
      <formula1>EmployeeNames</formula1>
    </dataValidation>
    <dataValidation type="list" allowBlank="1" showInputMessage="1" showErrorMessage="1" sqref="G2:G2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8" sqref="B8:F8"/>
    </sheetView>
  </sheetViews>
  <sheetFormatPr defaultRowHeight="15" x14ac:dyDescent="0.25"/>
  <cols>
    <col min="10" max="16" width="13.28515625" customWidth="1"/>
  </cols>
  <sheetData>
    <row r="1" spans="1:16" x14ac:dyDescent="0.25">
      <c r="A1" s="88" t="s">
        <v>51</v>
      </c>
      <c r="B1" s="88"/>
      <c r="C1" s="88"/>
      <c r="D1" s="88"/>
      <c r="E1" s="88"/>
    </row>
    <row r="2" spans="1:16" x14ac:dyDescent="0.25">
      <c r="A2" s="88"/>
      <c r="B2" s="88"/>
      <c r="C2" s="88"/>
      <c r="D2" s="88"/>
      <c r="E2" s="88"/>
      <c r="J2" s="73" t="s">
        <v>33</v>
      </c>
      <c r="K2" s="73"/>
      <c r="L2" s="73"/>
    </row>
    <row r="3" spans="1:16" x14ac:dyDescent="0.25">
      <c r="A3" s="88"/>
      <c r="B3" s="88"/>
      <c r="C3" s="88"/>
      <c r="D3" s="88"/>
      <c r="E3" s="88"/>
      <c r="J3" s="73"/>
      <c r="K3" s="73"/>
      <c r="L3" s="73"/>
    </row>
    <row r="4" spans="1:16" ht="15.75" thickBot="1" x14ac:dyDescent="0.3">
      <c r="A4" s="89" t="str">
        <f>VLOOKUP($A$1,Project[[Project]:[Project Code]],2,0)</f>
        <v>SDS</v>
      </c>
      <c r="B4" s="8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0" t="s">
        <v>31</v>
      </c>
      <c r="B5" s="90" t="s">
        <v>29</v>
      </c>
      <c r="C5" s="90"/>
      <c r="D5" s="90"/>
      <c r="E5" s="90"/>
      <c r="F5" s="90"/>
      <c r="G5" s="69" t="s">
        <v>32</v>
      </c>
      <c r="H5" s="71"/>
      <c r="J5" s="80" t="str">
        <f>IFERROR(VLOOKUP(J$4,Employees[],2,0),"")</f>
        <v>Aswathy</v>
      </c>
      <c r="K5" s="69" t="str">
        <f>IFERROR(VLOOKUP(K$4,Employees[],2,0),"")</f>
        <v>Vishnu</v>
      </c>
      <c r="L5" s="69" t="str">
        <f>IFERROR(VLOOKUP(L$4,Employees[],2,0),"")</f>
        <v>Shareena</v>
      </c>
      <c r="M5" s="69" t="str">
        <f>IFERROR(VLOOKUP(M$4,Employees[],2,0),"")</f>
        <v>Firose</v>
      </c>
      <c r="N5" s="69" t="str">
        <f>IFERROR(VLOOKUP(N$4,Employees[],2,0),"")</f>
        <v/>
      </c>
      <c r="O5" s="69" t="str">
        <f>IFERROR(VLOOKUP(O$4,Employees[],2,0),"")</f>
        <v/>
      </c>
      <c r="P5" s="71" t="str">
        <f>IFERROR(VLOOKUP(P$4,Employees[],2,0),"")</f>
        <v/>
      </c>
    </row>
    <row r="6" spans="1:16" x14ac:dyDescent="0.25">
      <c r="A6" s="81"/>
      <c r="B6" s="91"/>
      <c r="C6" s="91"/>
      <c r="D6" s="91"/>
      <c r="E6" s="91"/>
      <c r="F6" s="91"/>
      <c r="G6" s="70"/>
      <c r="H6" s="72"/>
      <c r="J6" s="81"/>
      <c r="K6" s="70"/>
      <c r="L6" s="70"/>
      <c r="M6" s="70"/>
      <c r="N6" s="70"/>
      <c r="O6" s="70"/>
      <c r="P6" s="72"/>
    </row>
    <row r="7" spans="1:16" x14ac:dyDescent="0.25">
      <c r="A7" s="12">
        <v>1</v>
      </c>
      <c r="B7" s="84" t="str">
        <f>IFERROR(VLOOKUP($A$4&amp;"-"&amp;$A7,ProjectTasks[[PRJTSKSEQ]:[Task]],2,0),"")</f>
        <v>Decryption</v>
      </c>
      <c r="C7" s="84"/>
      <c r="D7" s="84"/>
      <c r="E7" s="84"/>
      <c r="F7" s="84"/>
      <c r="G7" s="82">
        <f>SUMIFS(TaskTimings[Total Minutes],TaskTimings[PRJ],$A$4,TaskTimings[TSK],$B7)</f>
        <v>320</v>
      </c>
      <c r="H7" s="83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4" t="str">
        <f>IFERROR(VLOOKUP($A$4&amp;"-"&amp;$A8,ProjectTasks[[PRJTSKSEQ]:[Task]],2,0),"")</f>
        <v>Request and get Response from  web</v>
      </c>
      <c r="C8" s="84"/>
      <c r="D8" s="84"/>
      <c r="E8" s="84"/>
      <c r="F8" s="84"/>
      <c r="G8" s="82">
        <f>SUMIFS(TaskTimings[Total Minutes],TaskTimings[PRJ],$A$4,TaskTimings[TSK],$B8)</f>
        <v>-597.00000000000011</v>
      </c>
      <c r="H8" s="83"/>
      <c r="J8" s="15">
        <f>SUMIFS(TaskTimings[Total Minutes],TaskTimings[PRJ],$A$4,TaskTimings[TSK],$B8,TaskTimings[Employee],J$5)</f>
        <v>-597.00000000000011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4" t="str">
        <f>IFERROR(VLOOKUP($A$4&amp;"-"&amp;$A9,ProjectTasks[[PRJTSKSEQ]:[Task]],2,0),"")</f>
        <v/>
      </c>
      <c r="C9" s="84"/>
      <c r="D9" s="84"/>
      <c r="E9" s="84"/>
      <c r="F9" s="84"/>
      <c r="G9" s="82">
        <f>SUMIFS(TaskTimings[Total Minutes],TaskTimings[PRJ],$A$4,TaskTimings[TSK],$B9)</f>
        <v>0</v>
      </c>
      <c r="H9" s="8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4" t="str">
        <f>IFERROR(VLOOKUP($A$4&amp;"-"&amp;$A10,ProjectTasks[[PRJTSKSEQ]:[Task]],2,0),"")</f>
        <v/>
      </c>
      <c r="C10" s="84"/>
      <c r="D10" s="84"/>
      <c r="E10" s="84"/>
      <c r="F10" s="84"/>
      <c r="G10" s="82">
        <f>SUMIFS(TaskTimings[Total Minutes],TaskTimings[PRJ],$A$4,TaskTimings[TSK],$B10)</f>
        <v>0</v>
      </c>
      <c r="H10" s="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4" t="str">
        <f>IFERROR(VLOOKUP($A$4&amp;"-"&amp;$A11,ProjectTasks[[PRJTSKSEQ]:[Task]],2,0),"")</f>
        <v/>
      </c>
      <c r="C11" s="84"/>
      <c r="D11" s="84"/>
      <c r="E11" s="84"/>
      <c r="F11" s="84"/>
      <c r="G11" s="82">
        <f>SUMIFS(TaskTimings[Total Minutes],TaskTimings[PRJ],$A$4,TaskTimings[TSK],$B11)</f>
        <v>0</v>
      </c>
      <c r="H11" s="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4" t="str">
        <f>IFERROR(VLOOKUP($A$4&amp;"-"&amp;$A12,ProjectTasks[[PRJTSKSEQ]:[Task]],2,0),"")</f>
        <v/>
      </c>
      <c r="C12" s="84"/>
      <c r="D12" s="84"/>
      <c r="E12" s="84"/>
      <c r="F12" s="84"/>
      <c r="G12" s="82">
        <f>SUMIFS(TaskTimings[Total Minutes],TaskTimings[PRJ],$A$4,TaskTimings[TSK],$B12)</f>
        <v>0</v>
      </c>
      <c r="H12" s="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4" t="str">
        <f>IFERROR(VLOOKUP($A$4&amp;"-"&amp;$A13,ProjectTasks[[PRJTSKSEQ]:[Task]],2,0),"")</f>
        <v/>
      </c>
      <c r="C13" s="84"/>
      <c r="D13" s="84"/>
      <c r="E13" s="84"/>
      <c r="F13" s="84"/>
      <c r="G13" s="82">
        <f>SUMIFS(TaskTimings[Total Minutes],TaskTimings[PRJ],$A$4,TaskTimings[TSK],$B13)</f>
        <v>0</v>
      </c>
      <c r="H13" s="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4" t="str">
        <f>IFERROR(VLOOKUP($A$4&amp;"-"&amp;$A14,ProjectTasks[[PRJTSKSEQ]:[Task]],2,0),"")</f>
        <v/>
      </c>
      <c r="C14" s="84"/>
      <c r="D14" s="84"/>
      <c r="E14" s="84"/>
      <c r="F14" s="84"/>
      <c r="G14" s="82">
        <f>SUMIFS(TaskTimings[Total Minutes],TaskTimings[PRJ],$A$4,TaskTimings[TSK],$B14)</f>
        <v>0</v>
      </c>
      <c r="H14" s="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4" t="str">
        <f>IFERROR(VLOOKUP($A$4&amp;"-"&amp;$A15,ProjectTasks[[PRJTSKSEQ]:[Task]],2,0),"")</f>
        <v/>
      </c>
      <c r="C15" s="84"/>
      <c r="D15" s="84"/>
      <c r="E15" s="84"/>
      <c r="F15" s="84"/>
      <c r="G15" s="82">
        <f>SUMIFS(TaskTimings[Total Minutes],TaskTimings[PRJ],$A$4,TaskTimings[TSK],$B15)</f>
        <v>0</v>
      </c>
      <c r="H15" s="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4" t="str">
        <f>IFERROR(VLOOKUP($A$4&amp;"-"&amp;$A16,ProjectTasks[[PRJTSKSEQ]:[Task]],2,0),"")</f>
        <v/>
      </c>
      <c r="C16" s="84"/>
      <c r="D16" s="84"/>
      <c r="E16" s="84"/>
      <c r="F16" s="84"/>
      <c r="G16" s="82">
        <f>SUMIFS(TaskTimings[Total Minutes],TaskTimings[PRJ],$A$4,TaskTimings[TSK],$B16)</f>
        <v>0</v>
      </c>
      <c r="H16" s="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4" t="str">
        <f>IFERROR(VLOOKUP($A$4&amp;"-"&amp;$A17,ProjectTasks[[PRJTSKSEQ]:[Task]],2,0),"")</f>
        <v/>
      </c>
      <c r="C17" s="84"/>
      <c r="D17" s="84"/>
      <c r="E17" s="84"/>
      <c r="F17" s="84"/>
      <c r="G17" s="82">
        <f>SUMIFS(TaskTimings[Total Minutes],TaskTimings[PRJ],$A$4,TaskTimings[TSK],$B17)</f>
        <v>0</v>
      </c>
      <c r="H17" s="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4" t="str">
        <f>IFERROR(VLOOKUP($A$4&amp;"-"&amp;$A18,ProjectTasks[[PRJTSKSEQ]:[Task]],2,0),"")</f>
        <v/>
      </c>
      <c r="C18" s="84"/>
      <c r="D18" s="84"/>
      <c r="E18" s="84"/>
      <c r="F18" s="84"/>
      <c r="G18" s="82">
        <f>SUMIFS(TaskTimings[Total Minutes],TaskTimings[PRJ],$A$4,TaskTimings[TSK],$B18)</f>
        <v>0</v>
      </c>
      <c r="H18" s="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4" t="str">
        <f>IFERROR(VLOOKUP($A$4&amp;"-"&amp;$A19,ProjectTasks[[PRJTSKSEQ]:[Task]],2,0),"")</f>
        <v/>
      </c>
      <c r="C19" s="84"/>
      <c r="D19" s="84"/>
      <c r="E19" s="84"/>
      <c r="F19" s="84"/>
      <c r="G19" s="82">
        <f>SUMIFS(TaskTimings[Total Minutes],TaskTimings[PRJ],$A$4,TaskTimings[TSK],$B19)</f>
        <v>0</v>
      </c>
      <c r="H19" s="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4" t="str">
        <f>IFERROR(VLOOKUP($A$4&amp;"-"&amp;$A20,ProjectTasks[[PRJTSKSEQ]:[Task]],2,0),"")</f>
        <v/>
      </c>
      <c r="C20" s="84"/>
      <c r="D20" s="84"/>
      <c r="E20" s="84"/>
      <c r="F20" s="84"/>
      <c r="G20" s="82">
        <f>SUMIFS(TaskTimings[Total Minutes],TaskTimings[PRJ],$A$4,TaskTimings[TSK],$B20)</f>
        <v>0</v>
      </c>
      <c r="H20" s="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7" t="str">
        <f>IFERROR(VLOOKUP($A$4&amp;"-"&amp;$A21,ProjectTasks[[PRJTSKSEQ]:[Task]],2,0),"")</f>
        <v/>
      </c>
      <c r="C21" s="87"/>
      <c r="D21" s="87"/>
      <c r="E21" s="87"/>
      <c r="F21" s="87"/>
      <c r="G21" s="85">
        <f>SUMIFS(TaskTimings[Total Minutes],TaskTimings[PRJ],$A$4,TaskTimings[TSK],$B21)</f>
        <v>0</v>
      </c>
      <c r="H21" s="8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74" t="s">
        <v>24</v>
      </c>
      <c r="E23" s="75"/>
      <c r="F23" s="76"/>
      <c r="G23" s="74">
        <f>SUM(G7:H21)</f>
        <v>-277.00000000000011</v>
      </c>
      <c r="H23" s="76"/>
      <c r="J23" s="67">
        <f>SUM(J7:J21)</f>
        <v>-277.00000000000011</v>
      </c>
      <c r="K23" s="67">
        <f t="shared" ref="K23:P23" si="0">SUM(K7:K21)</f>
        <v>0</v>
      </c>
      <c r="L23" s="67">
        <f t="shared" si="0"/>
        <v>0</v>
      </c>
      <c r="M23" s="67">
        <f t="shared" si="0"/>
        <v>0</v>
      </c>
      <c r="N23" s="67">
        <f t="shared" si="0"/>
        <v>0</v>
      </c>
      <c r="O23" s="67">
        <f t="shared" si="0"/>
        <v>0</v>
      </c>
      <c r="P23" s="67">
        <f t="shared" si="0"/>
        <v>0</v>
      </c>
    </row>
    <row r="24" spans="1:16" ht="15.75" thickBot="1" x14ac:dyDescent="0.3">
      <c r="D24" s="77"/>
      <c r="E24" s="78"/>
      <c r="F24" s="79"/>
      <c r="G24" s="77"/>
      <c r="H24" s="79"/>
      <c r="J24" s="68"/>
      <c r="K24" s="68"/>
      <c r="L24" s="68"/>
      <c r="M24" s="68"/>
      <c r="N24" s="68"/>
      <c r="O24" s="68"/>
      <c r="P24" s="68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94" t="s">
        <v>54</v>
      </c>
      <c r="B1" s="94"/>
      <c r="C1" s="94"/>
      <c r="D1" s="94"/>
      <c r="F1" s="96" t="s">
        <v>35</v>
      </c>
      <c r="G1" s="96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94"/>
      <c r="B2" s="94"/>
      <c r="C2" s="94"/>
      <c r="D2" s="94"/>
      <c r="F2" s="95">
        <v>43430</v>
      </c>
      <c r="G2" s="95"/>
      <c r="I2" s="112">
        <f>SUM(I7:I30)</f>
        <v>197.99999999999977</v>
      </c>
      <c r="J2" s="106" t="str">
        <f>TEXT($I$2/1440,"H:mm")</f>
        <v>3:18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94"/>
      <c r="B3" s="94"/>
      <c r="C3" s="94"/>
      <c r="D3" s="94"/>
      <c r="F3" s="95"/>
      <c r="G3" s="95"/>
      <c r="I3" s="113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73" t="s">
        <v>44</v>
      </c>
      <c r="L4" s="73"/>
      <c r="M4" s="73"/>
    </row>
    <row r="5" spans="1:28" ht="15.75" thickBot="1" x14ac:dyDescent="0.3">
      <c r="B5" s="73" t="s">
        <v>45</v>
      </c>
      <c r="C5" s="73"/>
      <c r="D5" s="73"/>
      <c r="E5" s="73"/>
      <c r="F5" s="73"/>
      <c r="K5" s="92"/>
      <c r="L5" s="92"/>
      <c r="M5" s="92"/>
    </row>
    <row r="6" spans="1:28" ht="15.75" thickBot="1" x14ac:dyDescent="0.3">
      <c r="A6" s="14">
        <v>1</v>
      </c>
      <c r="B6" s="93"/>
      <c r="C6" s="93"/>
      <c r="D6" s="93"/>
      <c r="E6" s="93"/>
      <c r="F6" s="93"/>
      <c r="J6" s="25"/>
      <c r="K6" s="38" t="s">
        <v>0</v>
      </c>
      <c r="L6" s="103" t="s">
        <v>4</v>
      </c>
      <c r="M6" s="103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97">
        <f>$F$2</f>
        <v>43430</v>
      </c>
      <c r="C7" s="69"/>
      <c r="D7" s="98" t="str">
        <f>IFERROR(VLOOKUP($A$1&amp;"/"&amp;$B$7&amp;"/"&amp;$A6,TaskTimings[[EmployeeDateSeqCode]:[Task]],2,0),"")</f>
        <v>TKT/Discussion for ticketing modification</v>
      </c>
      <c r="E7" s="98"/>
      <c r="F7" s="98"/>
      <c r="G7" s="98"/>
      <c r="H7" s="23">
        <f>IFERROR(VLOOKUP($A$1&amp;"/"&amp;$B$7&amp;"/"&amp;$A6,TaskTimings[[EmployeeDateSeqCode]:[Total Minutes]],7,0),0)</f>
        <v>90</v>
      </c>
      <c r="I7" s="105">
        <f>SUM(H7:H10)</f>
        <v>330</v>
      </c>
      <c r="J7" s="25"/>
      <c r="K7" s="30">
        <v>1</v>
      </c>
      <c r="L7" s="108" t="str">
        <f>IFERROR(VLOOKUP($K7,$X$7:$Y$30,2,0),"")</f>
        <v>TKT</v>
      </c>
      <c r="M7" s="108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81"/>
      <c r="C8" s="70"/>
      <c r="D8" s="99" t="str">
        <f>IFERROR(VLOOKUP($A$1&amp;"/"&amp;$B$7&amp;"/"&amp;$A7,TaskTimings[[EmployeeDateSeqCode]:[Task]],2,0),"")</f>
        <v>SDS/Decryption</v>
      </c>
      <c r="E8" s="99"/>
      <c r="F8" s="99"/>
      <c r="G8" s="99"/>
      <c r="H8" s="22">
        <f>IFERROR(VLOOKUP($A$1&amp;"/"&amp;$B$7&amp;"/"&amp;$A7,TaskTimings[[EmployeeDateSeqCode]:[Total Minutes]],7,0),0)</f>
        <v>30.000000000000053</v>
      </c>
      <c r="I8" s="106"/>
      <c r="J8" s="25"/>
      <c r="K8" s="30">
        <v>2</v>
      </c>
      <c r="L8" s="108" t="str">
        <f>IFERROR(VLOOKUP($K8,$X$7:$Y$30,2,0),"")</f>
        <v>SDS</v>
      </c>
      <c r="M8" s="108"/>
      <c r="N8" s="26">
        <f t="shared" ref="N8:N11" si="0">SUMIFS($AB$8:$AB$30,$Y$8:$Y$30,$L8)</f>
        <v>-277.00000000000011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 x14ac:dyDescent="0.25">
      <c r="A9" s="14">
        <v>4</v>
      </c>
      <c r="B9" s="81"/>
      <c r="C9" s="70"/>
      <c r="D9" s="99" t="str">
        <f>IFERROR(VLOOKUP($A$1&amp;"/"&amp;$B$7&amp;"/"&amp;$A8,TaskTimings[[EmployeeDateSeqCode]:[Task]],2,0),"")</f>
        <v>RTM/Solving the issue of repeating icon in tray</v>
      </c>
      <c r="E9" s="99"/>
      <c r="F9" s="99"/>
      <c r="G9" s="99"/>
      <c r="H9" s="22">
        <f>IFERROR(VLOOKUP($A$1&amp;"/"&amp;$B$7&amp;"/"&amp;$A8,TaskTimings[[EmployeeDateSeqCode]:[Total Minutes]],7,0),0)</f>
        <v>89.999999999999915</v>
      </c>
      <c r="I9" s="106"/>
      <c r="J9" s="25"/>
      <c r="K9" s="30">
        <v>3</v>
      </c>
      <c r="L9" s="108" t="str">
        <f>IFERROR(VLOOKUP($K9,$X$7:$Y$30,2,0),"")</f>
        <v/>
      </c>
      <c r="M9" s="108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 x14ac:dyDescent="0.25">
      <c r="A10" s="14">
        <v>1</v>
      </c>
      <c r="B10" s="81"/>
      <c r="C10" s="70"/>
      <c r="D10" s="99" t="str">
        <f>IFERROR(VLOOKUP($A$1&amp;"/"&amp;$B$7&amp;"/"&amp;$A9,TaskTimings[[EmployeeDateSeqCode]:[Task]],2,0),"")</f>
        <v>RTM/Solving the issue of repeating icon in tray</v>
      </c>
      <c r="E10" s="99"/>
      <c r="F10" s="99"/>
      <c r="G10" s="99"/>
      <c r="H10" s="22">
        <f>IFERROR(VLOOKUP($A$1&amp;"/"&amp;$B$7&amp;"/"&amp;$A9,TaskTimings[[EmployeeDateSeqCode]:[Total Minutes]],7,0),0)</f>
        <v>120.00000000000006</v>
      </c>
      <c r="I10" s="106"/>
      <c r="J10" s="25"/>
      <c r="K10" s="30">
        <v>4</v>
      </c>
      <c r="L10" s="108" t="str">
        <f>IFERROR(VLOOKUP($K10,$X$7:$Y$30,2,0),"")</f>
        <v>RTM</v>
      </c>
      <c r="M10" s="108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0">
        <f>B7+1</f>
        <v>43431</v>
      </c>
      <c r="C11" s="70"/>
      <c r="D11" s="99" t="str">
        <f>IFERROR(VLOOKUP($A$1&amp;"/"&amp;$B$11&amp;"/"&amp;$A10,TaskTimings[[EmployeeDateSeqCode]:[Task]],2,0),"")</f>
        <v>RTM/Solving the issue of repeating icon in tray</v>
      </c>
      <c r="E11" s="99"/>
      <c r="F11" s="99"/>
      <c r="G11" s="99"/>
      <c r="H11" s="22">
        <f>IFERROR(VLOOKUP($A$1&amp;"/"&amp;$B$11&amp;"/"&amp;$A10,TaskTimings[[EmployeeDateSeqCode]:[Total Minutes]],7,0),0)</f>
        <v>45</v>
      </c>
      <c r="I11" s="106">
        <f t="shared" ref="I11" si="3">SUM(H11:H14)</f>
        <v>144.99999999999989</v>
      </c>
      <c r="J11" s="25"/>
      <c r="K11" s="31">
        <v>5</v>
      </c>
      <c r="L11" s="111" t="str">
        <f>IFERROR(VLOOKUP($K11,$X$7:$Y$30,2,0),"")</f>
        <v/>
      </c>
      <c r="M11" s="111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81"/>
      <c r="C12" s="70"/>
      <c r="D12" s="99" t="str">
        <f>IFERROR(VLOOKUP($A$1&amp;"/"&amp;$B$11&amp;"/"&amp;$A11,TaskTimings[[EmployeeDateSeqCode]:[Task]],2,0),"")</f>
        <v>RTM/Solving the issue of repeating icon in tray</v>
      </c>
      <c r="E12" s="99"/>
      <c r="F12" s="99"/>
      <c r="G12" s="99"/>
      <c r="H12" s="22">
        <f>IFERROR(VLOOKUP($A$1&amp;"/"&amp;$B$11&amp;"/"&amp;$A11,TaskTimings[[EmployeeDateSeqCode]:[Total Minutes]],7,0),0)</f>
        <v>99.999999999999886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1"/>
      <c r="C13" s="70"/>
      <c r="D13" s="99" t="str">
        <f>IFERROR(VLOOKUP($A$1&amp;"/"&amp;$B$11&amp;"/"&amp;$A12,TaskTimings[[EmployeeDateSeqCode]:[Task]],2,0),"")</f>
        <v/>
      </c>
      <c r="E13" s="99"/>
      <c r="F13" s="99"/>
      <c r="G13" s="99"/>
      <c r="H13" s="22">
        <f>IFERROR(VLOOKUP($A$1&amp;"/"&amp;$B$11&amp;"/"&amp;$A12,TaskTimings[[EmployeeDateSeqCode]:[Total Minutes]],7,0),0)</f>
        <v>0</v>
      </c>
      <c r="I13" s="106"/>
      <c r="J13" s="25"/>
      <c r="K13" s="92" t="s">
        <v>46</v>
      </c>
      <c r="L13" s="92"/>
      <c r="M13" s="92"/>
      <c r="N13" s="92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1"/>
      <c r="C14" s="70"/>
      <c r="D14" s="99" t="str">
        <f>IFERROR(VLOOKUP($A$1&amp;"/"&amp;$B$11&amp;"/"&amp;$A13,TaskTimings[[EmployeeDateSeqCode]:[Task]],2,0),"")</f>
        <v/>
      </c>
      <c r="E14" s="99"/>
      <c r="F14" s="99"/>
      <c r="G14" s="99"/>
      <c r="H14" s="22">
        <f>IFERROR(VLOOKUP($A$1&amp;"/"&amp;$B$11&amp;"/"&amp;$A13,TaskTimings[[EmployeeDateSeqCode]:[Total Minutes]],7,0),0)</f>
        <v>0</v>
      </c>
      <c r="I14" s="106"/>
      <c r="J14" s="25"/>
      <c r="K14" s="93"/>
      <c r="L14" s="93"/>
      <c r="M14" s="93"/>
      <c r="N14" s="93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0">
        <f>B11+1</f>
        <v>43432</v>
      </c>
      <c r="C15" s="70"/>
      <c r="D15" s="99" t="str">
        <f>IFERROR(VLOOKUP($A$1&amp;"/"&amp;$B$15&amp;"/"&amp;$A14,TaskTimings[[EmployeeDateSeqCode]:[Task]],2,0),"")</f>
        <v>SDS/Decryption</v>
      </c>
      <c r="E15" s="99"/>
      <c r="F15" s="99"/>
      <c r="G15" s="99"/>
      <c r="H15" s="22">
        <f>IFERROR(VLOOKUP($A$1&amp;"/"&amp;$B$15&amp;"/"&amp;$A14,TaskTimings[[EmployeeDateSeqCode]:[Total Minutes]],7,0),0)</f>
        <v>69.999999999999915</v>
      </c>
      <c r="I15" s="106">
        <f t="shared" ref="I15" si="4">SUM(H15:H18)</f>
        <v>320</v>
      </c>
      <c r="J15" s="25"/>
      <c r="K15" s="109" t="s">
        <v>4</v>
      </c>
      <c r="L15" s="110"/>
      <c r="M15" s="110" t="s">
        <v>29</v>
      </c>
      <c r="N15" s="110"/>
      <c r="O15" s="110"/>
      <c r="P15" s="110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81"/>
      <c r="C16" s="70"/>
      <c r="D16" s="99" t="str">
        <f>IFERROR(VLOOKUP($A$1&amp;"/"&amp;$B$15&amp;"/"&amp;$A15,TaskTimings[[EmployeeDateSeqCode]:[Task]],2,0),"")</f>
        <v>RTM/Getting branchname into tool</v>
      </c>
      <c r="E16" s="99"/>
      <c r="F16" s="99"/>
      <c r="G16" s="99"/>
      <c r="H16" s="22">
        <f>IFERROR(VLOOKUP($A$1&amp;"/"&amp;$B$15&amp;"/"&amp;$A15,TaskTimings[[EmployeeDateSeqCode]:[Total Minutes]],7,0),0)</f>
        <v>30.000000000000053</v>
      </c>
      <c r="I16" s="106"/>
      <c r="J16" s="28">
        <v>1</v>
      </c>
      <c r="K16" s="114" t="str">
        <f>VLOOKUP(1,$K$7:$M$11,2,0)</f>
        <v>TKT</v>
      </c>
      <c r="L16" s="82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 x14ac:dyDescent="0.25">
      <c r="A17" s="14">
        <v>4</v>
      </c>
      <c r="B17" s="81"/>
      <c r="C17" s="70"/>
      <c r="D17" s="99" t="str">
        <f>IFERROR(VLOOKUP($A$1&amp;"/"&amp;$B$15&amp;"/"&amp;$A16,TaskTimings[[EmployeeDateSeqCode]:[Task]],2,0),"")</f>
        <v>SDS/Decryption</v>
      </c>
      <c r="E17" s="99"/>
      <c r="F17" s="99"/>
      <c r="G17" s="99"/>
      <c r="H17" s="22">
        <f>IFERROR(VLOOKUP($A$1&amp;"/"&amp;$B$15&amp;"/"&amp;$A16,TaskTimings[[EmployeeDateSeqCode]:[Total Minutes]],7,0),0)</f>
        <v>220.00000000000003</v>
      </c>
      <c r="I17" s="106"/>
      <c r="J17" s="28">
        <v>2</v>
      </c>
      <c r="K17" s="114"/>
      <c r="L17" s="82"/>
      <c r="M17" s="108" t="str">
        <f>IF($K$16="","",IFERROR(VLOOKUP($K$16&amp;"/"&amp;$J17,$Z$7:$AA$30,2,0),""))</f>
        <v/>
      </c>
      <c r="N17" s="108"/>
      <c r="O17" s="108"/>
      <c r="P17" s="108"/>
      <c r="Q17" s="22" t="str">
        <f>IF($M17="","",SUMIFS($H$7:$H$30,$D$7:$D$30,$K$16&amp;"/"&amp;$M17))</f>
        <v/>
      </c>
      <c r="R17" s="106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81"/>
      <c r="C18" s="70"/>
      <c r="D18" s="99" t="str">
        <f>IFERROR(VLOOKUP($A$1&amp;"/"&amp;$B$15&amp;"/"&amp;$A17,TaskTimings[[EmployeeDateSeqCode]:[Task]],2,0),"")</f>
        <v/>
      </c>
      <c r="E18" s="99"/>
      <c r="F18" s="99"/>
      <c r="G18" s="99"/>
      <c r="H18" s="22">
        <f>IFERROR(VLOOKUP($A$1&amp;"/"&amp;$B$15&amp;"/"&amp;$A17,TaskTimings[[EmployeeDateSeqCode]:[Total Minutes]],7,0),0)</f>
        <v>0</v>
      </c>
      <c r="I18" s="106"/>
      <c r="J18" s="28">
        <v>3</v>
      </c>
      <c r="K18" s="114"/>
      <c r="L18" s="82"/>
      <c r="M18" s="108" t="str">
        <f>IF($K$16="","",IFERROR(VLOOKUP($K$16&amp;"/"&amp;$J18,$Z$7:$AA$30,2,0),""))</f>
        <v/>
      </c>
      <c r="N18" s="108"/>
      <c r="O18" s="108"/>
      <c r="P18" s="108"/>
      <c r="Q18" s="22" t="str">
        <f>IF($M18="","",SUMIFS($H$7:$H$30,$D$7:$D$30,$K$16&amp;"/"&amp;$M18))</f>
        <v/>
      </c>
      <c r="R18" s="106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0">
        <f>B15+1</f>
        <v>43433</v>
      </c>
      <c r="C19" s="70"/>
      <c r="D19" s="99" t="str">
        <f>IFERROR(VLOOKUP($A$1&amp;"/"&amp;$B$19&amp;"/"&amp;$A18,TaskTimings[[EmployeeDateSeqCode]:[Task]],2,0),"")</f>
        <v/>
      </c>
      <c r="E19" s="99"/>
      <c r="F19" s="99"/>
      <c r="G19" s="99"/>
      <c r="H19" s="22">
        <f>IFERROR(VLOOKUP($A$1&amp;"/"&amp;$B$19&amp;"/"&amp;$A18,TaskTimings[[EmployeeDateSeqCode]:[Total Minutes]],7,0),0)</f>
        <v>0</v>
      </c>
      <c r="I19" s="106">
        <f t="shared" ref="I19" si="5">SUM(H19:H22)</f>
        <v>0</v>
      </c>
      <c r="J19" s="28">
        <v>4</v>
      </c>
      <c r="K19" s="114"/>
      <c r="L19" s="82"/>
      <c r="M19" s="108" t="str">
        <f>IF($K$16="","",IFERROR(VLOOKUP($K$16&amp;"/"&amp;$J19,$Z$7:$AA$30,2,0),""))</f>
        <v/>
      </c>
      <c r="N19" s="108"/>
      <c r="O19" s="108"/>
      <c r="P19" s="108"/>
      <c r="Q19" s="22" t="str">
        <f>IF($M19="","",SUMIFS($H$7:$H$30,$D$7:$D$30,$K$16&amp;"/"&amp;$M19))</f>
        <v/>
      </c>
      <c r="R19" s="106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1"/>
      <c r="C20" s="70"/>
      <c r="D20" s="99" t="str">
        <f>IFERROR(VLOOKUP($A$1&amp;"/"&amp;$B$19&amp;"/"&amp;$A19,TaskTimings[[EmployeeDateSeqCode]:[Task]],2,0),"")</f>
        <v/>
      </c>
      <c r="E20" s="99"/>
      <c r="F20" s="99"/>
      <c r="G20" s="99"/>
      <c r="H20" s="22">
        <f>IFERROR(VLOOKUP($A$1&amp;"/"&amp;$B$19&amp;"/"&amp;$A19,TaskTimings[[EmployeeDateSeqCode]:[Total Minutes]],7,0),0)</f>
        <v>0</v>
      </c>
      <c r="I20" s="106"/>
      <c r="J20" s="28">
        <v>1</v>
      </c>
      <c r="K20" s="114" t="str">
        <f>VLOOKUP(2,$K$7:$M$11,2,0)</f>
        <v>SDS</v>
      </c>
      <c r="L20" s="82"/>
      <c r="M20" s="108" t="str">
        <f>IF($K$20="","",IFERROR(VLOOKUP($K$20&amp;"/"&amp;$J20,$Z$7:$AA$30,2,0),""))</f>
        <v>Decryption</v>
      </c>
      <c r="N20" s="108"/>
      <c r="O20" s="108"/>
      <c r="P20" s="108"/>
      <c r="Q20" s="22">
        <f>IF($M20="","",SUMIFS($H$7:$H$30,$D$7:$D$30,$K$20&amp;"/"&amp;$M20))</f>
        <v>320</v>
      </c>
      <c r="R20" s="106">
        <f t="shared" ref="R20" si="6">SUM(Q20:Q23)</f>
        <v>-277.00000000000011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1"/>
      <c r="C21" s="70"/>
      <c r="D21" s="99" t="str">
        <f>IFERROR(VLOOKUP($A$1&amp;"/"&amp;$B$19&amp;"/"&amp;$A20,TaskTimings[[EmployeeDateSeqCode]:[Task]],2,0),"")</f>
        <v/>
      </c>
      <c r="E21" s="99"/>
      <c r="F21" s="99"/>
      <c r="G21" s="99"/>
      <c r="H21" s="22">
        <f>IFERROR(VLOOKUP($A$1&amp;"/"&amp;$B$19&amp;"/"&amp;$A20,TaskTimings[[EmployeeDateSeqCode]:[Total Minutes]],7,0),0)</f>
        <v>0</v>
      </c>
      <c r="I21" s="106"/>
      <c r="J21" s="28">
        <v>2</v>
      </c>
      <c r="K21" s="114"/>
      <c r="L21" s="82"/>
      <c r="M21" s="108" t="str">
        <f>IF($K$20="","",IFERROR(VLOOKUP($K$20&amp;"/"&amp;$J21,$Z$7:$AA$30,2,0),""))</f>
        <v>Request and get Response from  web</v>
      </c>
      <c r="N21" s="108"/>
      <c r="O21" s="108"/>
      <c r="P21" s="108"/>
      <c r="Q21" s="22">
        <f>IF($M21="","",SUMIFS($H$7:$H$30,$D$7:$D$30,$K$20&amp;"/"&amp;$M21))</f>
        <v>-597.00000000000011</v>
      </c>
      <c r="R21" s="106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1"/>
      <c r="C22" s="70"/>
      <c r="D22" s="99" t="str">
        <f>IFERROR(VLOOKUP($A$1&amp;"/"&amp;$B$19&amp;"/"&amp;$A21,TaskTimings[[EmployeeDateSeqCode]:[Task]],2,0),"")</f>
        <v/>
      </c>
      <c r="E22" s="99"/>
      <c r="F22" s="99"/>
      <c r="G22" s="99"/>
      <c r="H22" s="22">
        <f>IFERROR(VLOOKUP($A$1&amp;"/"&amp;$B$19&amp;"/"&amp;$A21,TaskTimings[[EmployeeDateSeqCode]:[Total Minutes]],7,0),0)</f>
        <v>0</v>
      </c>
      <c r="I22" s="106"/>
      <c r="J22" s="28">
        <v>3</v>
      </c>
      <c r="K22" s="114"/>
      <c r="L22" s="82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0">
        <f>B19+1</f>
        <v>43434</v>
      </c>
      <c r="C23" s="70"/>
      <c r="D23" s="99" t="str">
        <f>IFERROR(VLOOKUP($A$1&amp;"/"&amp;$B$23&amp;"/"&amp;$A22,TaskTimings[[EmployeeDateSeqCode]:[Task]],2,0),"")</f>
        <v>SDS/Request and get Response from  web</v>
      </c>
      <c r="E23" s="99"/>
      <c r="F23" s="99"/>
      <c r="G23" s="99"/>
      <c r="H23" s="22">
        <f>IFERROR(VLOOKUP($A$1&amp;"/"&amp;$B$23&amp;"/"&amp;$A22,TaskTimings[[EmployeeDateSeqCode]:[Total Minutes]],7,0),0)</f>
        <v>227.99999999999991</v>
      </c>
      <c r="I23" s="106">
        <f t="shared" ref="I23" si="7">SUM(H23:H26)</f>
        <v>-597.00000000000011</v>
      </c>
      <c r="J23" s="28">
        <v>4</v>
      </c>
      <c r="K23" s="114"/>
      <c r="L23" s="82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-597.00000000000011</v>
      </c>
    </row>
    <row r="24" spans="1:28" x14ac:dyDescent="0.25">
      <c r="A24" s="14">
        <v>3</v>
      </c>
      <c r="B24" s="81"/>
      <c r="C24" s="70"/>
      <c r="D24" s="99" t="str">
        <f>IFERROR(VLOOKUP($A$1&amp;"/"&amp;$B$23&amp;"/"&amp;$A23,TaskTimings[[EmployeeDateSeqCode]:[Task]],2,0),"")</f>
        <v>SDS/Request and get Response from  web</v>
      </c>
      <c r="E24" s="99"/>
      <c r="F24" s="99"/>
      <c r="G24" s="99"/>
      <c r="H24" s="22">
        <f>IFERROR(VLOOKUP($A$1&amp;"/"&amp;$B$23&amp;"/"&amp;$A23,TaskTimings[[EmployeeDateSeqCode]:[Total Minutes]],7,0),0)</f>
        <v>-825</v>
      </c>
      <c r="I24" s="106"/>
      <c r="J24" s="28">
        <v>1</v>
      </c>
      <c r="K24" s="114" t="str">
        <f>VLOOKUP(3,$K$7:$M$11,2,0)</f>
        <v/>
      </c>
      <c r="L24" s="82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81"/>
      <c r="C25" s="70"/>
      <c r="D25" s="99" t="str">
        <f>IFERROR(VLOOKUP($A$1&amp;"/"&amp;$B$23&amp;"/"&amp;$A24,TaskTimings[[EmployeeDateSeqCode]:[Task]],2,0),"")</f>
        <v/>
      </c>
      <c r="E25" s="99"/>
      <c r="F25" s="99"/>
      <c r="G25" s="99"/>
      <c r="H25" s="22">
        <f>IFERROR(VLOOKUP($A$1&amp;"/"&amp;$B$23&amp;"/"&amp;$A24,TaskTimings[[EmployeeDateSeqCode]:[Total Minutes]],7,0),0)</f>
        <v>0</v>
      </c>
      <c r="I25" s="106"/>
      <c r="J25" s="28">
        <v>2</v>
      </c>
      <c r="K25" s="114"/>
      <c r="L25" s="82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1"/>
      <c r="C26" s="70"/>
      <c r="D26" s="99" t="str">
        <f>IFERROR(VLOOKUP($A$1&amp;"/"&amp;$B$23&amp;"/"&amp;$A25,TaskTimings[[EmployeeDateSeqCode]:[Task]],2,0),"")</f>
        <v/>
      </c>
      <c r="E26" s="99"/>
      <c r="F26" s="99"/>
      <c r="G26" s="99"/>
      <c r="H26" s="22">
        <f>IFERROR(VLOOKUP($A$1&amp;"/"&amp;$B$23&amp;"/"&amp;$A25,TaskTimings[[EmployeeDateSeqCode]:[Total Minutes]],7,0),0)</f>
        <v>0</v>
      </c>
      <c r="I26" s="106"/>
      <c r="J26" s="28">
        <v>3</v>
      </c>
      <c r="K26" s="114"/>
      <c r="L26" s="82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0">
        <f>B23+1</f>
        <v>43435</v>
      </c>
      <c r="C27" s="70"/>
      <c r="D27" s="99" t="str">
        <f>IFERROR(VLOOKUP($A$1&amp;"/"&amp;$B$27&amp;"/"&amp;$A26,TaskTimings[[EmployeeDateSeqCode]:[Task]],2,0),"")</f>
        <v/>
      </c>
      <c r="E27" s="99"/>
      <c r="F27" s="99"/>
      <c r="G27" s="99"/>
      <c r="H27" s="22">
        <f>IFERROR(VLOOKUP($A$1&amp;"/"&amp;$B$27&amp;"/"&amp;$A26,TaskTimings[[EmployeeDateSeqCode]:[Total Minutes]],7,0),0)</f>
        <v>0</v>
      </c>
      <c r="I27" s="106">
        <f t="shared" ref="I27" si="9">SUM(H27:H30)</f>
        <v>0</v>
      </c>
      <c r="J27" s="28">
        <v>4</v>
      </c>
      <c r="K27" s="114"/>
      <c r="L27" s="82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1"/>
      <c r="C28" s="70"/>
      <c r="D28" s="99" t="str">
        <f>IFERROR(VLOOKUP($A$1&amp;"/"&amp;$B$27&amp;"/"&amp;$A27,TaskTimings[[EmployeeDateSeqCode]:[Task]],2,0),"")</f>
        <v/>
      </c>
      <c r="E28" s="99"/>
      <c r="F28" s="99"/>
      <c r="G28" s="99"/>
      <c r="H28" s="22">
        <f>IFERROR(VLOOKUP($A$1&amp;"/"&amp;$B$27&amp;"/"&amp;$A27,TaskTimings[[EmployeeDateSeqCode]:[Total Minutes]],7,0),0)</f>
        <v>0</v>
      </c>
      <c r="I28" s="106"/>
      <c r="J28" s="28">
        <v>1</v>
      </c>
      <c r="K28" s="114" t="str">
        <f>VLOOKUP(4,$K$7:$M$11,2,0)</f>
        <v>RTM</v>
      </c>
      <c r="L28" s="82"/>
      <c r="M28" s="108" t="str">
        <f>IF($K$28="","",IFERROR(VLOOKUP($K$28&amp;"/"&amp;$J28,$Z$7:$AA$30,2,0),""))</f>
        <v>Solving the issue of repeating icon in tray</v>
      </c>
      <c r="N28" s="108"/>
      <c r="O28" s="108"/>
      <c r="P28" s="108"/>
      <c r="Q28" s="22">
        <f>IF($M28="","",SUMIFS($H$7:$H$30,$D$7:$D$30,$K$28&amp;"/"&amp;$M28))</f>
        <v>354.99999999999989</v>
      </c>
      <c r="R28" s="106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1"/>
      <c r="C29" s="70"/>
      <c r="D29" s="99" t="str">
        <f>IFERROR(VLOOKUP($A$1&amp;"/"&amp;$B$27&amp;"/"&amp;$A28,TaskTimings[[EmployeeDateSeqCode]:[Task]],2,0),"")</f>
        <v/>
      </c>
      <c r="E29" s="99"/>
      <c r="F29" s="99"/>
      <c r="G29" s="99"/>
      <c r="H29" s="22">
        <f>IFERROR(VLOOKUP($A$1&amp;"/"&amp;$B$27&amp;"/"&amp;$A28,TaskTimings[[EmployeeDateSeqCode]:[Total Minutes]],7,0),0)</f>
        <v>0</v>
      </c>
      <c r="I29" s="106"/>
      <c r="J29" s="28">
        <v>2</v>
      </c>
      <c r="K29" s="114"/>
      <c r="L29" s="82"/>
      <c r="M29" s="108" t="str">
        <f>IF($K$28="","",IFERROR(VLOOKUP($K$28&amp;"/"&amp;$J29,$Z$7:$AA$30,2,0),""))</f>
        <v>Getting branchname into tool</v>
      </c>
      <c r="N29" s="108"/>
      <c r="O29" s="108"/>
      <c r="P29" s="108"/>
      <c r="Q29" s="22">
        <f>IF($M29="","",SUMIFS($H$7:$H$30,$D$7:$D$30,$K$28&amp;"/"&amp;$M29))</f>
        <v>30.000000000000053</v>
      </c>
      <c r="R29" s="106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1"/>
      <c r="C30" s="102"/>
      <c r="D30" s="104" t="str">
        <f>IFERROR(VLOOKUP($A$1&amp;"/"&amp;$B$27&amp;"/"&amp;$A29,TaskTimings[[EmployeeDateSeqCode]:[Task]],2,0),"")</f>
        <v/>
      </c>
      <c r="E30" s="104"/>
      <c r="F30" s="104"/>
      <c r="G30" s="104"/>
      <c r="H30" s="24">
        <f>IFERROR(VLOOKUP($A$1&amp;"/"&amp;$B$27&amp;"/"&amp;$A29,TaskTimings[[EmployeeDateSeqCode]:[Total Minutes]],7,0),0)</f>
        <v>0</v>
      </c>
      <c r="I30" s="107"/>
      <c r="J30" s="28">
        <v>3</v>
      </c>
      <c r="K30" s="114"/>
      <c r="L30" s="82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14"/>
      <c r="L31" s="82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8">
        <v>1</v>
      </c>
      <c r="K32" s="114" t="str">
        <f>VLOOKUP(5,$K$7:$M$11,2,0)</f>
        <v/>
      </c>
      <c r="L32" s="82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1">SUM(Q32:Q35)</f>
        <v>0</v>
      </c>
    </row>
    <row r="33" spans="10:18" x14ac:dyDescent="0.25">
      <c r="J33" s="28">
        <v>2</v>
      </c>
      <c r="K33" s="114"/>
      <c r="L33" s="82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8">
        <v>3</v>
      </c>
      <c r="K34" s="114"/>
      <c r="L34" s="82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8">
        <v>4</v>
      </c>
      <c r="K35" s="115"/>
      <c r="L35" s="8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2018-11-30T11:30:38Z</dcterms:modified>
</cp:coreProperties>
</file>