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 gopi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15" i="4" l="1"/>
  <c r="B115" i="4"/>
  <c r="P115" i="4" s="1"/>
  <c r="C115" i="4"/>
  <c r="Q115" i="4" s="1"/>
  <c r="D115" i="4"/>
  <c r="L115" i="4"/>
  <c r="M115" i="4"/>
  <c r="N115" i="4"/>
  <c r="O115" i="4" s="1"/>
  <c r="B113" i="4" l="1"/>
  <c r="P113" i="4" s="1"/>
  <c r="C113" i="4"/>
  <c r="Q113" i="4" s="1"/>
  <c r="D113" i="4"/>
  <c r="L113" i="4"/>
  <c r="M113" i="4"/>
  <c r="N113" i="4"/>
  <c r="O113" i="4" s="1"/>
  <c r="B114" i="4"/>
  <c r="P114" i="4" s="1"/>
  <c r="C114" i="4"/>
  <c r="Q114" i="4" s="1"/>
  <c r="D114" i="4"/>
  <c r="L114" i="4"/>
  <c r="M114" i="4"/>
  <c r="N114" i="4"/>
  <c r="O114" i="4" s="1"/>
  <c r="B112" i="4"/>
  <c r="P112" i="4" s="1"/>
  <c r="C112" i="4"/>
  <c r="Q112" i="4" s="1"/>
  <c r="D112" i="4"/>
  <c r="L112" i="4"/>
  <c r="M112" i="4"/>
  <c r="N112" i="4"/>
  <c r="O112" i="4" s="1"/>
  <c r="B111" i="4" l="1"/>
  <c r="P111" i="4" s="1"/>
  <c r="C111" i="4"/>
  <c r="Q111" i="4" s="1"/>
  <c r="D111" i="4"/>
  <c r="L111" i="4"/>
  <c r="M111" i="4"/>
  <c r="N111" i="4"/>
  <c r="O111" i="4" s="1"/>
  <c r="B110" i="4" l="1"/>
  <c r="P110" i="4" s="1"/>
  <c r="C110" i="4"/>
  <c r="Q110" i="4" s="1"/>
  <c r="D110" i="4"/>
  <c r="L110" i="4"/>
  <c r="M110" i="4"/>
  <c r="N110" i="4"/>
  <c r="O110" i="4" s="1"/>
  <c r="B109" i="4"/>
  <c r="P109" i="4" s="1"/>
  <c r="C109" i="4"/>
  <c r="Q109" i="4" s="1"/>
  <c r="D109" i="4"/>
  <c r="L109" i="4"/>
  <c r="M109" i="4"/>
  <c r="N109" i="4"/>
  <c r="O109" i="4" s="1"/>
  <c r="B108" i="4"/>
  <c r="P108" i="4" s="1"/>
  <c r="C108" i="4"/>
  <c r="Q108" i="4" s="1"/>
  <c r="D108" i="4"/>
  <c r="L108" i="4"/>
  <c r="M108" i="4"/>
  <c r="N108" i="4"/>
  <c r="O108" i="4" s="1"/>
  <c r="B107" i="4"/>
  <c r="P107" i="4" s="1"/>
  <c r="C107" i="4"/>
  <c r="Q107" i="4" s="1"/>
  <c r="D107" i="4"/>
  <c r="L107" i="4"/>
  <c r="N107" i="4" s="1"/>
  <c r="O107" i="4" s="1"/>
  <c r="M107" i="4"/>
  <c r="B106" i="4" l="1"/>
  <c r="P106" i="4" s="1"/>
  <c r="C106" i="4"/>
  <c r="Q106" i="4" s="1"/>
  <c r="D106" i="4"/>
  <c r="L106" i="4"/>
  <c r="M106" i="4"/>
  <c r="N106" i="4"/>
  <c r="O106" i="4" s="1"/>
  <c r="B105" i="4" l="1"/>
  <c r="P105" i="4" s="1"/>
  <c r="C105" i="4"/>
  <c r="Q105" i="4" s="1"/>
  <c r="D105" i="4"/>
  <c r="L105" i="4"/>
  <c r="M105" i="4"/>
  <c r="B104" i="4" l="1"/>
  <c r="P104" i="4" s="1"/>
  <c r="C104" i="4"/>
  <c r="Q104" i="4" s="1"/>
  <c r="D104" i="4"/>
  <c r="L104" i="4"/>
  <c r="N105" i="4" s="1"/>
  <c r="O105" i="4" s="1"/>
  <c r="M104" i="4"/>
  <c r="N104" i="4"/>
  <c r="O104" i="4" s="1"/>
  <c r="B103" i="4"/>
  <c r="P103" i="4" s="1"/>
  <c r="C103" i="4"/>
  <c r="Q103" i="4" s="1"/>
  <c r="D103" i="4"/>
  <c r="L103" i="4"/>
  <c r="M103" i="4"/>
  <c r="B102" i="4"/>
  <c r="P102" i="4" s="1"/>
  <c r="C102" i="4"/>
  <c r="Q102" i="4" s="1"/>
  <c r="D102" i="4"/>
  <c r="L102" i="4"/>
  <c r="M102" i="4"/>
  <c r="B101" i="4" l="1"/>
  <c r="P101" i="4" s="1"/>
  <c r="C101" i="4"/>
  <c r="Q101" i="4" s="1"/>
  <c r="D101" i="4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M91" i="4"/>
  <c r="N91" i="4"/>
  <c r="O91" i="4" s="1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13" i="4" l="1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A113" i="4" l="1"/>
  <c r="A114" i="4"/>
  <c r="H18" i="6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 s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<sst xmlns="http://schemas.openxmlformats.org/spreadsheetml/2006/main" count="367" uniqueCount="105">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</sst>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2945.9999999999995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9300016"/>
        <c:axId val="449301648"/>
      </c:barChart>
      <c:catAx>
        <c:axId val="4493000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9301648"/>
        <c:crosses val="autoZero"/>
        <c:auto val="1"/>
        <c:lblAlgn val="ctr"/>
        <c:lblOffset val="100"/>
        <c:noMultiLvlLbl val="0"/>
      </c:catAx>
      <c:valAx>
        <c:axId val="449301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930001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49298928"/>
        <c:axId val="449290768"/>
      </c:barChart>
      <c:catAx>
        <c:axId val="44929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9290768"/>
        <c:crosses val="autoZero"/>
        <c:auto val="1"/>
        <c:lblAlgn val="ctr"/>
        <c:lblOffset val="100"/>
        <c:noMultiLvlLbl val="0"/>
      </c:catAx>
      <c:valAx>
        <c:axId val="44929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92989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2945.9999999999995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3701.9999999999995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0560"/>
        <c:axId val="449301104"/>
      </c:areaChart>
      <c:catAx>
        <c:axId val="449300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9301104"/>
        <c:crosses val="autoZero"/>
        <c:auto val="1"/>
        <c:lblAlgn val="ctr"/>
        <c:lblOffset val="100"/>
        <c:noMultiLvlLbl val="0"/>
      </c:catAx>
      <c:valAx>
        <c:axId val="44930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93005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-756</c:v>
                </c:pt>
                <c:pt idx="2">
                  <c:v>3761.9999999999995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49291312"/>
        <c:axId val="449297840"/>
      </c:barChart>
      <c:catAx>
        <c:axId val="449291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9297840"/>
        <c:crosses val="autoZero"/>
        <c:auto val="1"/>
        <c:lblAlgn val="ctr"/>
        <c:lblOffset val="100"/>
        <c:noMultiLvlLbl val="0"/>
      </c:catAx>
      <c:valAx>
        <c:axId val="44929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9291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449298384"/>
        <c:axId val="449299472"/>
      </c:barChart>
      <c:dateAx>
        <c:axId val="44929838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9299472"/>
        <c:crosses val="autoZero"/>
        <c:auto val="1"/>
        <c:lblOffset val="100"/>
        <c:baseTimeUnit val="days"/>
      </c:dateAx>
      <c:valAx>
        <c:axId val="44929947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929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1" totalsRowShown="0" headerRowDxfId="31" dataDxfId="30">
  <autoFilter ref="A1:G3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15" totalsRowShown="0" headerRowDxfId="18" dataDxfId="17">
  <autoFilter ref="A1:Q115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9" sqref="E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D35" sqref="D3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</sheetData>
  <dataValidations count="1">
    <dataValidation type="list" allowBlank="1" showInputMessage="1" showErrorMessage="1" sqref="B2:B3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abSelected="1" topLeftCell="A105" zoomScaleNormal="100" workbookViewId="0">
      <selection activeCell="K118" sqref="K118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8"/>
      <c r="L115" s="138">
        <f>(TaskTimings[End Time]-TaskTimings[Start Time])*1440</f>
        <v>-756</v>
      </c>
      <c r="M115" s="138" t="e">
        <f>TEXT(TaskTimings[End Time]-TaskTimings[Start Time],"HH:mm")</f>
        <v>#VALUE!</v>
      </c>
      <c r="N115" s="138">
        <f>SUMIFS(TaskTimings[Total Minutes],TaskTimings[Date],TaskTimings[Date],TaskTimings[Employee],TaskTimings[Employee])</f>
        <v>-756</v>
      </c>
      <c r="O115" s="138" t="e">
        <f>TEXT(TaskTimings[Day Total Minutes]/1440,"HH:mm")</f>
        <v>#VALUE!</v>
      </c>
      <c r="P115" s="134" t="str">
        <f>TaskTimings[PRJ]</f>
        <v>TEEBPD</v>
      </c>
      <c r="Q115" s="134" t="str">
        <f>TaskTimings[TSK]</f>
        <v>Table syncing</v>
      </c>
    </row>
  </sheetData>
  <dataValidations count="2">
    <dataValidation type="list" allowBlank="1" showInputMessage="1" showErrorMessage="1" sqref="H2:H115">
      <formula1>EmployeeNames</formula1>
    </dataValidation>
    <dataValidation type="list" allowBlank="1" showInputMessage="1" showErrorMessage="1" sqref="G2:G115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0" t="s">
        <v>5</v>
      </c>
      <c r="B1" s="140"/>
      <c r="C1" s="140"/>
      <c r="D1" s="140"/>
      <c r="E1" s="140"/>
    </row>
    <row r="2" spans="1:16" x14ac:dyDescent="0.25">
      <c r="A2" s="140"/>
      <c r="B2" s="140"/>
      <c r="C2" s="140"/>
      <c r="D2" s="140"/>
      <c r="E2" s="140"/>
      <c r="J2" s="158" t="s">
        <v>33</v>
      </c>
      <c r="K2" s="158"/>
      <c r="L2" s="158"/>
    </row>
    <row r="3" spans="1:16" x14ac:dyDescent="0.25">
      <c r="A3" s="140"/>
      <c r="B3" s="140"/>
      <c r="C3" s="140"/>
      <c r="D3" s="140"/>
      <c r="E3" s="140"/>
      <c r="J3" s="158"/>
      <c r="K3" s="158"/>
      <c r="L3" s="158"/>
    </row>
    <row r="4" spans="1:16" ht="15.75" thickBot="1" x14ac:dyDescent="0.3">
      <c r="A4" s="142" t="str">
        <f>VLOOKUP($A$1,Project[[Project]:[Project Code]],2,0)</f>
        <v>TEEBPD</v>
      </c>
      <c r="B4" s="142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45" t="s">
        <v>31</v>
      </c>
      <c r="B5" s="143" t="s">
        <v>29</v>
      </c>
      <c r="C5" s="143"/>
      <c r="D5" s="143"/>
      <c r="E5" s="143"/>
      <c r="F5" s="143"/>
      <c r="G5" s="148" t="s">
        <v>32</v>
      </c>
      <c r="H5" s="152"/>
      <c r="J5" s="145" t="str">
        <f>IFERROR(VLOOKUP(J$4,Employees[],2,0),"")</f>
        <v>Aswathy</v>
      </c>
      <c r="K5" s="148" t="str">
        <f>IFERROR(VLOOKUP(K$4,Employees[],2,0),"")</f>
        <v>Vishnu</v>
      </c>
      <c r="L5" s="148" t="str">
        <f>IFERROR(VLOOKUP(L$4,Employees[],2,0),"")</f>
        <v>Shareena</v>
      </c>
      <c r="M5" s="148" t="str">
        <f>IFERROR(VLOOKUP(M$4,Employees[],2,0),"")</f>
        <v>Firose</v>
      </c>
      <c r="N5" s="148" t="str">
        <f>IFERROR(VLOOKUP(N$4,Employees[],2,0),"")</f>
        <v/>
      </c>
      <c r="O5" s="148" t="str">
        <f>IFERROR(VLOOKUP(O$4,Employees[],2,0),"")</f>
        <v/>
      </c>
      <c r="P5" s="152" t="str">
        <f>IFERROR(VLOOKUP(P$4,Employees[],2,0),"")</f>
        <v/>
      </c>
    </row>
    <row r="6" spans="1:16" x14ac:dyDescent="0.25">
      <c r="A6" s="146"/>
      <c r="B6" s="144"/>
      <c r="C6" s="144"/>
      <c r="D6" s="144"/>
      <c r="E6" s="144"/>
      <c r="F6" s="144"/>
      <c r="G6" s="149"/>
      <c r="H6" s="153"/>
      <c r="J6" s="146"/>
      <c r="K6" s="149"/>
      <c r="L6" s="149"/>
      <c r="M6" s="149"/>
      <c r="N6" s="149"/>
      <c r="O6" s="149"/>
      <c r="P6" s="153"/>
    </row>
    <row r="7" spans="1:16" x14ac:dyDescent="0.25">
      <c r="A7" s="12">
        <v>1</v>
      </c>
      <c r="B7" s="141" t="str">
        <f>IFERROR(VLOOKUP($A$4&amp;"-"&amp;$A7,ProjectTasks[[PRJTSKSEQ]:[Task]],2,0),"")</f>
        <v>Theme Designing</v>
      </c>
      <c r="C7" s="141"/>
      <c r="D7" s="141"/>
      <c r="E7" s="141"/>
      <c r="F7" s="141"/>
      <c r="G7" s="150">
        <f>SUMIFS(TaskTimings[Total Minutes],TaskTimings[PRJ],$A$4,TaskTimings[TSK],$B7)</f>
        <v>0</v>
      </c>
      <c r="H7" s="151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1" t="str">
        <f>IFERROR(VLOOKUP($A$4&amp;"-"&amp;$A8,ProjectTasks[[PRJTSKSEQ]:[Task]],2,0),"")</f>
        <v>Database Structure Designing</v>
      </c>
      <c r="C8" s="141"/>
      <c r="D8" s="141"/>
      <c r="E8" s="141"/>
      <c r="F8" s="141"/>
      <c r="G8" s="150">
        <f>SUMIFS(TaskTimings[Total Minutes],TaskTimings[PRJ],$A$4,TaskTimings[TSK],$B8)</f>
        <v>0</v>
      </c>
      <c r="H8" s="151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1" t="str">
        <f>IFERROR(VLOOKUP($A$4&amp;"-"&amp;$A9,ProjectTasks[[PRJTSKSEQ]:[Task]],2,0),"")</f>
        <v>Appframe configuration</v>
      </c>
      <c r="C9" s="141"/>
      <c r="D9" s="141"/>
      <c r="E9" s="141"/>
      <c r="F9" s="141"/>
      <c r="G9" s="150">
        <f>SUMIFS(TaskTimings[Total Minutes],TaskTimings[PRJ],$A$4,TaskTimings[TSK],$B9)</f>
        <v>0</v>
      </c>
      <c r="H9" s="151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1" t="str">
        <f>IFERROR(VLOOKUP($A$4&amp;"-"&amp;$A10,ProjectTasks[[PRJTSKSEQ]:[Task]],2,0),"")</f>
        <v>Inhouse Testing</v>
      </c>
      <c r="C10" s="141"/>
      <c r="D10" s="141"/>
      <c r="E10" s="141"/>
      <c r="F10" s="141"/>
      <c r="G10" s="150">
        <f>SUMIFS(TaskTimings[Total Minutes],TaskTimings[PRJ],$A$4,TaskTimings[TSK],$B10)</f>
        <v>239.99999999999994</v>
      </c>
      <c r="H10" s="151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1" t="str">
        <f>IFERROR(VLOOKUP($A$4&amp;"-"&amp;$A11,ProjectTasks[[PRJTSKSEQ]:[Task]],2,0),"")</f>
        <v>Client Demonstration</v>
      </c>
      <c r="C11" s="141"/>
      <c r="D11" s="141"/>
      <c r="E11" s="141"/>
      <c r="F11" s="141"/>
      <c r="G11" s="150">
        <f>SUMIFS(TaskTimings[Total Minutes],TaskTimings[PRJ],$A$4,TaskTimings[TSK],$B11)</f>
        <v>0</v>
      </c>
      <c r="H11" s="151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1" t="str">
        <f>IFERROR(VLOOKUP($A$4&amp;"-"&amp;$A12,ProjectTasks[[PRJTSKSEQ]:[Task]],2,0),"")</f>
        <v>Client Suggestion Implementation</v>
      </c>
      <c r="C12" s="141"/>
      <c r="D12" s="141"/>
      <c r="E12" s="141"/>
      <c r="F12" s="141"/>
      <c r="G12" s="150">
        <f>SUMIFS(TaskTimings[Total Minutes],TaskTimings[PRJ],$A$4,TaskTimings[TSK],$B12)</f>
        <v>1200</v>
      </c>
      <c r="H12" s="151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1" t="str">
        <f>IFERROR(VLOOKUP($A$4&amp;"-"&amp;$A13,ProjectTasks[[PRJTSKSEQ]:[Task]],2,0),"")</f>
        <v>Finalizing</v>
      </c>
      <c r="C13" s="141"/>
      <c r="D13" s="141"/>
      <c r="E13" s="141"/>
      <c r="F13" s="141"/>
      <c r="G13" s="150">
        <f>SUMIFS(TaskTimings[Total Minutes],TaskTimings[PRJ],$A$4,TaskTimings[TSK],$B13)</f>
        <v>839.99999999999989</v>
      </c>
      <c r="H13" s="151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1" t="str">
        <f>IFERROR(VLOOKUP($A$4&amp;"-"&amp;$A14,ProjectTasks[[PRJTSKSEQ]:[Task]],2,0),"")</f>
        <v>Synchronization Implementing</v>
      </c>
      <c r="C14" s="141"/>
      <c r="D14" s="141"/>
      <c r="E14" s="141"/>
      <c r="F14" s="141"/>
      <c r="G14" s="150">
        <f>SUMIFS(TaskTimings[Total Minutes],TaskTimings[PRJ],$A$4,TaskTimings[TSK],$B14)</f>
        <v>480.00000000000006</v>
      </c>
      <c r="H14" s="151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1" t="str">
        <f>IFERROR(VLOOKUP($A$4&amp;"-"&amp;$A15,ProjectTasks[[PRJTSKSEQ]:[Task]],2,0),"")</f>
        <v>Table syncing</v>
      </c>
      <c r="C15" s="141"/>
      <c r="D15" s="141"/>
      <c r="E15" s="141"/>
      <c r="F15" s="141"/>
      <c r="G15" s="150">
        <f>SUMIFS(TaskTimings[Total Minutes],TaskTimings[PRJ],$A$4,TaskTimings[TSK],$B15)</f>
        <v>2945.9999999999995</v>
      </c>
      <c r="H15" s="151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-756</v>
      </c>
      <c r="L15" s="16">
        <f>SUMIFS(TaskTimings[Total Minutes],TaskTimings[PRJ],$A$4,TaskTimings[TSK],$B15,TaskTimings[Employee],L$5)</f>
        <v>3701.9999999999995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1" t="str">
        <f>IFERROR(VLOOKUP($A$4&amp;"-"&amp;$A16,ProjectTasks[[PRJTSKSEQ]:[Task]],2,0),"")</f>
        <v/>
      </c>
      <c r="C16" s="141"/>
      <c r="D16" s="141"/>
      <c r="E16" s="141"/>
      <c r="F16" s="141"/>
      <c r="G16" s="150">
        <f>SUMIFS(TaskTimings[Total Minutes],TaskTimings[PRJ],$A$4,TaskTimings[TSK],$B16)</f>
        <v>0</v>
      </c>
      <c r="H16" s="151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1" t="str">
        <f>IFERROR(VLOOKUP($A$4&amp;"-"&amp;$A17,ProjectTasks[[PRJTSKSEQ]:[Task]],2,0),"")</f>
        <v/>
      </c>
      <c r="C17" s="141"/>
      <c r="D17" s="141"/>
      <c r="E17" s="141"/>
      <c r="F17" s="141"/>
      <c r="G17" s="150">
        <f>SUMIFS(TaskTimings[Total Minutes],TaskTimings[PRJ],$A$4,TaskTimings[TSK],$B17)</f>
        <v>0</v>
      </c>
      <c r="H17" s="151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1" t="str">
        <f>IFERROR(VLOOKUP($A$4&amp;"-"&amp;$A18,ProjectTasks[[PRJTSKSEQ]:[Task]],2,0),"")</f>
        <v/>
      </c>
      <c r="C18" s="141"/>
      <c r="D18" s="141"/>
      <c r="E18" s="141"/>
      <c r="F18" s="141"/>
      <c r="G18" s="150">
        <f>SUMIFS(TaskTimings[Total Minutes],TaskTimings[PRJ],$A$4,TaskTimings[TSK],$B18)</f>
        <v>0</v>
      </c>
      <c r="H18" s="151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1" t="str">
        <f>IFERROR(VLOOKUP($A$4&amp;"-"&amp;$A19,ProjectTasks[[PRJTSKSEQ]:[Task]],2,0),"")</f>
        <v/>
      </c>
      <c r="C19" s="141"/>
      <c r="D19" s="141"/>
      <c r="E19" s="141"/>
      <c r="F19" s="141"/>
      <c r="G19" s="150">
        <f>SUMIFS(TaskTimings[Total Minutes],TaskTimings[PRJ],$A$4,TaskTimings[TSK],$B19)</f>
        <v>0</v>
      </c>
      <c r="H19" s="151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1" t="str">
        <f>IFERROR(VLOOKUP($A$4&amp;"-"&amp;$A20,ProjectTasks[[PRJTSKSEQ]:[Task]],2,0),"")</f>
        <v/>
      </c>
      <c r="C20" s="141"/>
      <c r="D20" s="141"/>
      <c r="E20" s="141"/>
      <c r="F20" s="141"/>
      <c r="G20" s="150">
        <f>SUMIFS(TaskTimings[Total Minutes],TaskTimings[PRJ],$A$4,TaskTimings[TSK],$B20)</f>
        <v>0</v>
      </c>
      <c r="H20" s="151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7" t="str">
        <f>IFERROR(VLOOKUP($A$4&amp;"-"&amp;$A21,ProjectTasks[[PRJTSKSEQ]:[Task]],2,0),"")</f>
        <v/>
      </c>
      <c r="C21" s="147"/>
      <c r="D21" s="147"/>
      <c r="E21" s="147"/>
      <c r="F21" s="147"/>
      <c r="G21" s="156">
        <f>SUMIFS(TaskTimings[Total Minutes],TaskTimings[PRJ],$A$4,TaskTimings[TSK],$B21)</f>
        <v>0</v>
      </c>
      <c r="H21" s="157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59" t="s">
        <v>24</v>
      </c>
      <c r="E23" s="160"/>
      <c r="F23" s="161"/>
      <c r="G23" s="159">
        <f>SUM(G7:H21)</f>
        <v>5706</v>
      </c>
      <c r="H23" s="161"/>
      <c r="J23" s="154">
        <f>SUM(J7:J21)</f>
        <v>0</v>
      </c>
      <c r="K23" s="154">
        <f t="shared" ref="K23:P23" si="0">SUM(K7:K21)</f>
        <v>-756</v>
      </c>
      <c r="L23" s="154">
        <f t="shared" si="0"/>
        <v>3761.9999999999995</v>
      </c>
      <c r="M23" s="154">
        <f t="shared" si="0"/>
        <v>2700</v>
      </c>
      <c r="N23" s="154">
        <f t="shared" si="0"/>
        <v>0</v>
      </c>
      <c r="O23" s="154">
        <f t="shared" si="0"/>
        <v>0</v>
      </c>
      <c r="P23" s="154">
        <f t="shared" si="0"/>
        <v>0</v>
      </c>
    </row>
    <row r="24" spans="1:16" ht="15.75" thickBot="1" x14ac:dyDescent="0.3">
      <c r="D24" s="162"/>
      <c r="E24" s="163"/>
      <c r="F24" s="164"/>
      <c r="G24" s="162"/>
      <c r="H24" s="164"/>
      <c r="J24" s="155"/>
      <c r="K24" s="155"/>
      <c r="L24" s="155"/>
      <c r="M24" s="155"/>
      <c r="N24" s="155"/>
      <c r="O24" s="155"/>
      <c r="P24" s="155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7"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84" t="s">
        <v>54</v>
      </c>
      <c r="B1" s="184"/>
      <c r="C1" s="184"/>
      <c r="D1" s="184"/>
      <c r="F1" s="186" t="s">
        <v>35</v>
      </c>
      <c r="G1" s="186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84"/>
      <c r="B2" s="184"/>
      <c r="C2" s="184"/>
      <c r="D2" s="184"/>
      <c r="F2" s="185">
        <v>43475</v>
      </c>
      <c r="G2" s="185"/>
      <c r="I2" s="165">
        <f>SUM(I7:I30)</f>
        <v>315</v>
      </c>
      <c r="J2" s="167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84"/>
      <c r="B3" s="184"/>
      <c r="C3" s="184"/>
      <c r="D3" s="184"/>
      <c r="F3" s="185"/>
      <c r="G3" s="185"/>
      <c r="I3" s="166"/>
      <c r="J3" s="168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58" t="s">
        <v>44</v>
      </c>
      <c r="L4" s="158"/>
      <c r="M4" s="158"/>
    </row>
    <row r="5" spans="1:28" ht="15.75" thickBot="1" x14ac:dyDescent="0.3">
      <c r="B5" s="158" t="s">
        <v>45</v>
      </c>
      <c r="C5" s="158"/>
      <c r="D5" s="158"/>
      <c r="E5" s="158"/>
      <c r="F5" s="158"/>
      <c r="K5" s="182"/>
      <c r="L5" s="182"/>
      <c r="M5" s="182"/>
    </row>
    <row r="6" spans="1:28" ht="15.75" thickBot="1" x14ac:dyDescent="0.3">
      <c r="A6" s="14">
        <v>1</v>
      </c>
      <c r="B6" s="183"/>
      <c r="C6" s="183"/>
      <c r="D6" s="183"/>
      <c r="E6" s="183"/>
      <c r="F6" s="183"/>
      <c r="J6" s="25"/>
      <c r="K6" s="32" t="s">
        <v>0</v>
      </c>
      <c r="L6" s="175" t="s">
        <v>4</v>
      </c>
      <c r="M6" s="175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87">
        <f>$F$2</f>
        <v>43475</v>
      </c>
      <c r="C7" s="148"/>
      <c r="D7" s="188" t="str">
        <f>IFERROR(VLOOKUP($A$1&amp;"/"&amp;$B$7&amp;"/"&amp;$A6,TaskTimings[[EmployeeDateSeqCode]:[Task]],2,0),"")</f>
        <v/>
      </c>
      <c r="E7" s="188"/>
      <c r="F7" s="188"/>
      <c r="G7" s="188"/>
      <c r="H7" s="23">
        <f>IFERROR(VLOOKUP($A$1&amp;"/"&amp;$B$7&amp;"/"&amp;$A6,TaskTimings[[EmployeeDateSeqCode]:[Total Minutes]],7,0),0)</f>
        <v>0</v>
      </c>
      <c r="I7" s="177">
        <f>SUM(H7:H10)</f>
        <v>0</v>
      </c>
      <c r="J7" s="25"/>
      <c r="K7" s="70">
        <v>1</v>
      </c>
      <c r="L7" s="169" t="str">
        <f>IFERROR(VLOOKUP($K7,$X$7:$Y$30,2,0),"")</f>
        <v>SDS</v>
      </c>
      <c r="M7" s="169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46"/>
      <c r="C8" s="149"/>
      <c r="D8" s="178" t="str">
        <f>IFERROR(VLOOKUP($A$1&amp;"/"&amp;$B$7&amp;"/"&amp;$A7,TaskTimings[[EmployeeDateSeqCode]:[Task]],2,0),"")</f>
        <v/>
      </c>
      <c r="E8" s="178"/>
      <c r="F8" s="178"/>
      <c r="G8" s="178"/>
      <c r="H8" s="22">
        <f>IFERROR(VLOOKUP($A$1&amp;"/"&amp;$B$7&amp;"/"&amp;$A7,TaskTimings[[EmployeeDateSeqCode]:[Total Minutes]],7,0),0)</f>
        <v>0</v>
      </c>
      <c r="I8" s="167"/>
      <c r="J8" s="25"/>
      <c r="K8" s="70">
        <v>2</v>
      </c>
      <c r="L8" s="169" t="str">
        <f>IFERROR(VLOOKUP($K8,$X$7:$Y$30,2,0),"")</f>
        <v/>
      </c>
      <c r="M8" s="169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46"/>
      <c r="C9" s="149"/>
      <c r="D9" s="178" t="str">
        <f>IFERROR(VLOOKUP($A$1&amp;"/"&amp;$B$7&amp;"/"&amp;$A8,TaskTimings[[EmployeeDateSeqCode]:[Task]],2,0),"")</f>
        <v/>
      </c>
      <c r="E9" s="178"/>
      <c r="F9" s="178"/>
      <c r="G9" s="178"/>
      <c r="H9" s="22">
        <f>IFERROR(VLOOKUP($A$1&amp;"/"&amp;$B$7&amp;"/"&amp;$A8,TaskTimings[[EmployeeDateSeqCode]:[Total Minutes]],7,0),0)</f>
        <v>0</v>
      </c>
      <c r="I9" s="167"/>
      <c r="J9" s="25"/>
      <c r="K9" s="70">
        <v>3</v>
      </c>
      <c r="L9" s="169" t="str">
        <f>IFERROR(VLOOKUP($K9,$X$7:$Y$30,2,0),"")</f>
        <v/>
      </c>
      <c r="M9" s="169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46"/>
      <c r="C10" s="149"/>
      <c r="D10" s="178" t="str">
        <f>IFERROR(VLOOKUP($A$1&amp;"/"&amp;$B$7&amp;"/"&amp;$A9,TaskTimings[[EmployeeDateSeqCode]:[Task]],2,0),"")</f>
        <v/>
      </c>
      <c r="E10" s="178"/>
      <c r="F10" s="178"/>
      <c r="G10" s="178"/>
      <c r="H10" s="22">
        <f>IFERROR(VLOOKUP($A$1&amp;"/"&amp;$B$7&amp;"/"&amp;$A9,TaskTimings[[EmployeeDateSeqCode]:[Total Minutes]],7,0),0)</f>
        <v>0</v>
      </c>
      <c r="I10" s="167"/>
      <c r="J10" s="25"/>
      <c r="K10" s="70">
        <v>4</v>
      </c>
      <c r="L10" s="169" t="str">
        <f>IFERROR(VLOOKUP($K10,$X$7:$Y$30,2,0),"")</f>
        <v/>
      </c>
      <c r="M10" s="169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9">
        <f>B7+1</f>
        <v>43476</v>
      </c>
      <c r="C11" s="149"/>
      <c r="D11" s="178" t="str">
        <f>IFERROR(VLOOKUP($A$1&amp;"/"&amp;$B$11&amp;"/"&amp;$A10,TaskTimings[[EmployeeDateSeqCode]:[Task]],2,0),"")</f>
        <v/>
      </c>
      <c r="E11" s="178"/>
      <c r="F11" s="178"/>
      <c r="G11" s="178"/>
      <c r="H11" s="22">
        <f>IFERROR(VLOOKUP($A$1&amp;"/"&amp;$B$11&amp;"/"&amp;$A10,TaskTimings[[EmployeeDateSeqCode]:[Total Minutes]],7,0),0)</f>
        <v>0</v>
      </c>
      <c r="I11" s="167">
        <f t="shared" ref="I11" si="2">SUM(H11:H14)</f>
        <v>0</v>
      </c>
      <c r="J11" s="25"/>
      <c r="K11" s="71">
        <v>5</v>
      </c>
      <c r="L11" s="172" t="str">
        <f>IFERROR(VLOOKUP($K11,$X$7:$Y$30,2,0),"")</f>
        <v/>
      </c>
      <c r="M11" s="172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46"/>
      <c r="C12" s="149"/>
      <c r="D12" s="178" t="str">
        <f>IFERROR(VLOOKUP($A$1&amp;"/"&amp;$B$11&amp;"/"&amp;$A11,TaskTimings[[EmployeeDateSeqCode]:[Task]],2,0),"")</f>
        <v/>
      </c>
      <c r="E12" s="178"/>
      <c r="F12" s="178"/>
      <c r="G12" s="178"/>
      <c r="H12" s="22">
        <f>IFERROR(VLOOKUP($A$1&amp;"/"&amp;$B$11&amp;"/"&amp;$A11,TaskTimings[[EmployeeDateSeqCode]:[Total Minutes]],7,0),0)</f>
        <v>0</v>
      </c>
      <c r="I12" s="16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46"/>
      <c r="C13" s="149"/>
      <c r="D13" s="178" t="str">
        <f>IFERROR(VLOOKUP($A$1&amp;"/"&amp;$B$11&amp;"/"&amp;$A12,TaskTimings[[EmployeeDateSeqCode]:[Task]],2,0),"")</f>
        <v/>
      </c>
      <c r="E13" s="178"/>
      <c r="F13" s="178"/>
      <c r="G13" s="178"/>
      <c r="H13" s="22">
        <f>IFERROR(VLOOKUP($A$1&amp;"/"&amp;$B$11&amp;"/"&amp;$A12,TaskTimings[[EmployeeDateSeqCode]:[Total Minutes]],7,0),0)</f>
        <v>0</v>
      </c>
      <c r="I13" s="167"/>
      <c r="J13" s="25"/>
      <c r="K13" s="182" t="s">
        <v>46</v>
      </c>
      <c r="L13" s="182"/>
      <c r="M13" s="182"/>
      <c r="N13" s="182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46"/>
      <c r="C14" s="149"/>
      <c r="D14" s="178" t="str">
        <f>IFERROR(VLOOKUP($A$1&amp;"/"&amp;$B$11&amp;"/"&amp;$A13,TaskTimings[[EmployeeDateSeqCode]:[Task]],2,0),"")</f>
        <v/>
      </c>
      <c r="E14" s="178"/>
      <c r="F14" s="178"/>
      <c r="G14" s="178"/>
      <c r="H14" s="22">
        <f>IFERROR(VLOOKUP($A$1&amp;"/"&amp;$B$11&amp;"/"&amp;$A13,TaskTimings[[EmployeeDateSeqCode]:[Total Minutes]],7,0),0)</f>
        <v>0</v>
      </c>
      <c r="I14" s="167"/>
      <c r="J14" s="25"/>
      <c r="K14" s="183"/>
      <c r="L14" s="183"/>
      <c r="M14" s="183"/>
      <c r="N14" s="183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9">
        <f>B11+1</f>
        <v>43477</v>
      </c>
      <c r="C15" s="149"/>
      <c r="D15" s="178" t="str">
        <f>IFERROR(VLOOKUP($A$1&amp;"/"&amp;$B$15&amp;"/"&amp;$A14,TaskTimings[[EmployeeDateSeqCode]:[Task]],2,0),"")</f>
        <v>SDS/Modification</v>
      </c>
      <c r="E15" s="178"/>
      <c r="F15" s="178"/>
      <c r="G15" s="178"/>
      <c r="H15" s="22">
        <f>IFERROR(VLOOKUP($A$1&amp;"/"&amp;$B$15&amp;"/"&amp;$A14,TaskTimings[[EmployeeDateSeqCode]:[Total Minutes]],7,0),0)</f>
        <v>59.999999999999943</v>
      </c>
      <c r="I15" s="167">
        <f t="shared" ref="I15" si="3">SUM(H15:H18)</f>
        <v>59.999999999999943</v>
      </c>
      <c r="J15" s="25"/>
      <c r="K15" s="174" t="s">
        <v>4</v>
      </c>
      <c r="L15" s="173"/>
      <c r="M15" s="173" t="s">
        <v>29</v>
      </c>
      <c r="N15" s="173"/>
      <c r="O15" s="173"/>
      <c r="P15" s="173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46"/>
      <c r="C16" s="149"/>
      <c r="D16" s="178" t="str">
        <f>IFERROR(VLOOKUP($A$1&amp;"/"&amp;$B$15&amp;"/"&amp;$A15,TaskTimings[[EmployeeDateSeqCode]:[Task]],2,0),"")</f>
        <v/>
      </c>
      <c r="E16" s="178"/>
      <c r="F16" s="178"/>
      <c r="G16" s="178"/>
      <c r="H16" s="22">
        <f>IFERROR(VLOOKUP($A$1&amp;"/"&amp;$B$15&amp;"/"&amp;$A15,TaskTimings[[EmployeeDateSeqCode]:[Total Minutes]],7,0),0)</f>
        <v>0</v>
      </c>
      <c r="I16" s="167"/>
      <c r="J16" s="26">
        <v>1</v>
      </c>
      <c r="K16" s="170" t="str">
        <f>VLOOKUP(1,$K$7:$M$11,2,0)</f>
        <v>SDS</v>
      </c>
      <c r="L16" s="150"/>
      <c r="M16" s="169" t="str">
        <f>IF($K$16="","",IFERROR(VLOOKUP($K$16&amp;"/"&amp;$J16,$Z$7:$AA$30,2,0),""))</f>
        <v>Modification</v>
      </c>
      <c r="N16" s="169"/>
      <c r="O16" s="169"/>
      <c r="P16" s="169"/>
      <c r="Q16" s="22">
        <f>IF($M16="","",SUMIFS($H$7:$H$30,$D$7:$D$30,$K$16&amp;"/"&amp;$M16))</f>
        <v>180</v>
      </c>
      <c r="R16" s="167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46"/>
      <c r="C17" s="149"/>
      <c r="D17" s="178" t="str">
        <f>IFERROR(VLOOKUP($A$1&amp;"/"&amp;$B$15&amp;"/"&amp;$A16,TaskTimings[[EmployeeDateSeqCode]:[Task]],2,0),"")</f>
        <v/>
      </c>
      <c r="E17" s="178"/>
      <c r="F17" s="178"/>
      <c r="G17" s="178"/>
      <c r="H17" s="22">
        <f>IFERROR(VLOOKUP($A$1&amp;"/"&amp;$B$15&amp;"/"&amp;$A16,TaskTimings[[EmployeeDateSeqCode]:[Total Minutes]],7,0),0)</f>
        <v>0</v>
      </c>
      <c r="I17" s="167"/>
      <c r="J17" s="26">
        <v>2</v>
      </c>
      <c r="K17" s="170"/>
      <c r="L17" s="150"/>
      <c r="M17" s="169" t="str">
        <f>IF($K$16="","",IFERROR(VLOOKUP($K$16&amp;"/"&amp;$J17,$Z$7:$AA$30,2,0),""))</f>
        <v>Testing</v>
      </c>
      <c r="N17" s="169"/>
      <c r="O17" s="169"/>
      <c r="P17" s="169"/>
      <c r="Q17" s="22">
        <f>IF($M17="","",SUMIFS($H$7:$H$30,$D$7:$D$30,$K$16&amp;"/"&amp;$M17))</f>
        <v>135</v>
      </c>
      <c r="R17" s="167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46"/>
      <c r="C18" s="149"/>
      <c r="D18" s="178" t="str">
        <f>IFERROR(VLOOKUP($A$1&amp;"/"&amp;$B$15&amp;"/"&amp;$A17,TaskTimings[[EmployeeDateSeqCode]:[Task]],2,0),"")</f>
        <v/>
      </c>
      <c r="E18" s="178"/>
      <c r="F18" s="178"/>
      <c r="G18" s="178"/>
      <c r="H18" s="22">
        <f>IFERROR(VLOOKUP($A$1&amp;"/"&amp;$B$15&amp;"/"&amp;$A17,TaskTimings[[EmployeeDateSeqCode]:[Total Minutes]],7,0),0)</f>
        <v>0</v>
      </c>
      <c r="I18" s="167"/>
      <c r="J18" s="26">
        <v>3</v>
      </c>
      <c r="K18" s="170"/>
      <c r="L18" s="150"/>
      <c r="M18" s="169" t="str">
        <f>IF($K$16="","",IFERROR(VLOOKUP($K$16&amp;"/"&amp;$J18,$Z$7:$AA$30,2,0),""))</f>
        <v/>
      </c>
      <c r="N18" s="169"/>
      <c r="O18" s="169"/>
      <c r="P18" s="169"/>
      <c r="Q18" s="22" t="str">
        <f>IF($M18="","",SUMIFS($H$7:$H$30,$D$7:$D$30,$K$16&amp;"/"&amp;$M18))</f>
        <v/>
      </c>
      <c r="R18" s="167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9">
        <f>B15+1</f>
        <v>43478</v>
      </c>
      <c r="C19" s="149"/>
      <c r="D19" s="178" t="str">
        <f>IFERROR(VLOOKUP($A$1&amp;"/"&amp;$B$19&amp;"/"&amp;$A18,TaskTimings[[EmployeeDateSeqCode]:[Task]],2,0),"")</f>
        <v/>
      </c>
      <c r="E19" s="178"/>
      <c r="F19" s="178"/>
      <c r="G19" s="178"/>
      <c r="H19" s="22">
        <f>IFERROR(VLOOKUP($A$1&amp;"/"&amp;$B$19&amp;"/"&amp;$A18,TaskTimings[[EmployeeDateSeqCode]:[Total Minutes]],7,0),0)</f>
        <v>0</v>
      </c>
      <c r="I19" s="167">
        <f t="shared" ref="I19" si="4">SUM(H19:H22)</f>
        <v>0</v>
      </c>
      <c r="J19" s="26">
        <v>4</v>
      </c>
      <c r="K19" s="170"/>
      <c r="L19" s="150"/>
      <c r="M19" s="169" t="str">
        <f>IF($K$16="","",IFERROR(VLOOKUP($K$16&amp;"/"&amp;$J19,$Z$7:$AA$30,2,0),""))</f>
        <v/>
      </c>
      <c r="N19" s="169"/>
      <c r="O19" s="169"/>
      <c r="P19" s="169"/>
      <c r="Q19" s="22" t="str">
        <f>IF($M19="","",SUMIFS($H$7:$H$30,$D$7:$D$30,$K$16&amp;"/"&amp;$M19))</f>
        <v/>
      </c>
      <c r="R19" s="167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46"/>
      <c r="C20" s="149"/>
      <c r="D20" s="178" t="str">
        <f>IFERROR(VLOOKUP($A$1&amp;"/"&amp;$B$19&amp;"/"&amp;$A19,TaskTimings[[EmployeeDateSeqCode]:[Task]],2,0),"")</f>
        <v/>
      </c>
      <c r="E20" s="178"/>
      <c r="F20" s="178"/>
      <c r="G20" s="178"/>
      <c r="H20" s="22">
        <f>IFERROR(VLOOKUP($A$1&amp;"/"&amp;$B$19&amp;"/"&amp;$A19,TaskTimings[[EmployeeDateSeqCode]:[Total Minutes]],7,0),0)</f>
        <v>0</v>
      </c>
      <c r="I20" s="167"/>
      <c r="J20" s="26">
        <v>1</v>
      </c>
      <c r="K20" s="170" t="str">
        <f>VLOOKUP(2,$K$7:$M$11,2,0)</f>
        <v/>
      </c>
      <c r="L20" s="150"/>
      <c r="M20" s="169" t="str">
        <f>IF($K$20="","",IFERROR(VLOOKUP($K$20&amp;"/"&amp;$J20,$Z$7:$AA$30,2,0),""))</f>
        <v/>
      </c>
      <c r="N20" s="169"/>
      <c r="O20" s="169"/>
      <c r="P20" s="169"/>
      <c r="Q20" s="22" t="str">
        <f>IF($M20="","",SUMIFS($H$7:$H$30,$D$7:$D$30,$K$20&amp;"/"&amp;$M20))</f>
        <v/>
      </c>
      <c r="R20" s="167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46"/>
      <c r="C21" s="149"/>
      <c r="D21" s="178" t="str">
        <f>IFERROR(VLOOKUP($A$1&amp;"/"&amp;$B$19&amp;"/"&amp;$A20,TaskTimings[[EmployeeDateSeqCode]:[Task]],2,0),"")</f>
        <v/>
      </c>
      <c r="E21" s="178"/>
      <c r="F21" s="178"/>
      <c r="G21" s="178"/>
      <c r="H21" s="22">
        <f>IFERROR(VLOOKUP($A$1&amp;"/"&amp;$B$19&amp;"/"&amp;$A20,TaskTimings[[EmployeeDateSeqCode]:[Total Minutes]],7,0),0)</f>
        <v>0</v>
      </c>
      <c r="I21" s="167"/>
      <c r="J21" s="26">
        <v>2</v>
      </c>
      <c r="K21" s="170"/>
      <c r="L21" s="150"/>
      <c r="M21" s="169" t="str">
        <f>IF($K$20="","",IFERROR(VLOOKUP($K$20&amp;"/"&amp;$J21,$Z$7:$AA$30,2,0),""))</f>
        <v/>
      </c>
      <c r="N21" s="169"/>
      <c r="O21" s="169"/>
      <c r="P21" s="169"/>
      <c r="Q21" s="22" t="str">
        <f>IF($M21="","",SUMIFS($H$7:$H$30,$D$7:$D$30,$K$20&amp;"/"&amp;$M21))</f>
        <v/>
      </c>
      <c r="R21" s="167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46"/>
      <c r="C22" s="149"/>
      <c r="D22" s="178" t="str">
        <f>IFERROR(VLOOKUP($A$1&amp;"/"&amp;$B$19&amp;"/"&amp;$A21,TaskTimings[[EmployeeDateSeqCode]:[Task]],2,0),"")</f>
        <v/>
      </c>
      <c r="E22" s="178"/>
      <c r="F22" s="178"/>
      <c r="G22" s="178"/>
      <c r="H22" s="22">
        <f>IFERROR(VLOOKUP($A$1&amp;"/"&amp;$B$19&amp;"/"&amp;$A21,TaskTimings[[EmployeeDateSeqCode]:[Total Minutes]],7,0),0)</f>
        <v>0</v>
      </c>
      <c r="I22" s="167"/>
      <c r="J22" s="26">
        <v>3</v>
      </c>
      <c r="K22" s="170"/>
      <c r="L22" s="150"/>
      <c r="M22" s="169" t="str">
        <f>IF($K$20="","",IFERROR(VLOOKUP($K$20&amp;"/"&amp;$J22,$Z$7:$AA$30,2,0),""))</f>
        <v/>
      </c>
      <c r="N22" s="169"/>
      <c r="O22" s="169"/>
      <c r="P22" s="169"/>
      <c r="Q22" s="22" t="str">
        <f>IF($M22="","",SUMIFS($H$7:$H$30,$D$7:$D$30,$K$20&amp;"/"&amp;$M22))</f>
        <v/>
      </c>
      <c r="R22" s="167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9">
        <f>B19+1</f>
        <v>43479</v>
      </c>
      <c r="C23" s="149"/>
      <c r="D23" s="178" t="str">
        <f>IFERROR(VLOOKUP($A$1&amp;"/"&amp;$B$23&amp;"/"&amp;$A22,TaskTimings[[EmployeeDateSeqCode]:[Task]],2,0),"")</f>
        <v>SDS/Modification</v>
      </c>
      <c r="E23" s="178"/>
      <c r="F23" s="178"/>
      <c r="G23" s="178"/>
      <c r="H23" s="22">
        <f>IFERROR(VLOOKUP($A$1&amp;"/"&amp;$B$23&amp;"/"&amp;$A22,TaskTimings[[EmployeeDateSeqCode]:[Total Minutes]],7,0),0)</f>
        <v>60.000000000000107</v>
      </c>
      <c r="I23" s="167">
        <f t="shared" ref="I23" si="6">SUM(H23:H26)</f>
        <v>165.00000000000006</v>
      </c>
      <c r="J23" s="26">
        <v>4</v>
      </c>
      <c r="K23" s="170"/>
      <c r="L23" s="150"/>
      <c r="M23" s="169" t="str">
        <f>IF($K$20="","",IFERROR(VLOOKUP($K$20&amp;"/"&amp;$J23,$Z$7:$AA$30,2,0),""))</f>
        <v/>
      </c>
      <c r="N23" s="169"/>
      <c r="O23" s="169"/>
      <c r="P23" s="169"/>
      <c r="Q23" s="22" t="str">
        <f>IF($M23="","",SUMIFS($H$7:$H$30,$D$7:$D$30,$K$20&amp;"/"&amp;$M23))</f>
        <v/>
      </c>
      <c r="R23" s="167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46"/>
      <c r="C24" s="149"/>
      <c r="D24" s="178" t="str">
        <f>IFERROR(VLOOKUP($A$1&amp;"/"&amp;$B$23&amp;"/"&amp;$A23,TaskTimings[[EmployeeDateSeqCode]:[Task]],2,0),"")</f>
        <v>SDS/Modification</v>
      </c>
      <c r="E24" s="178"/>
      <c r="F24" s="178"/>
      <c r="G24" s="178"/>
      <c r="H24" s="22">
        <f>IFERROR(VLOOKUP($A$1&amp;"/"&amp;$B$23&amp;"/"&amp;$A23,TaskTimings[[EmployeeDateSeqCode]:[Total Minutes]],7,0),0)</f>
        <v>59.999999999999943</v>
      </c>
      <c r="I24" s="167"/>
      <c r="J24" s="26">
        <v>1</v>
      </c>
      <c r="K24" s="170" t="str">
        <f>VLOOKUP(3,$K$7:$M$11,2,0)</f>
        <v/>
      </c>
      <c r="L24" s="150"/>
      <c r="M24" s="169" t="str">
        <f>IF($K$24="","",IFERROR(VLOOKUP($K$24&amp;"/"&amp;$J24,$Z$7:$AA$30,2,0),""))</f>
        <v/>
      </c>
      <c r="N24" s="169"/>
      <c r="O24" s="169"/>
      <c r="P24" s="169"/>
      <c r="Q24" s="22" t="str">
        <f>IF($M24="","",SUMIFS($H$7:$H$30,$D$7:$D$30,$K$24&amp;"/"&amp;$M24))</f>
        <v/>
      </c>
      <c r="R24" s="167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46"/>
      <c r="C25" s="149"/>
      <c r="D25" s="178" t="str">
        <f>IFERROR(VLOOKUP($A$1&amp;"/"&amp;$B$23&amp;"/"&amp;$A24,TaskTimings[[EmployeeDateSeqCode]:[Task]],2,0),"")</f>
        <v>SDS/Testing</v>
      </c>
      <c r="E25" s="178"/>
      <c r="F25" s="178"/>
      <c r="G25" s="178"/>
      <c r="H25" s="22">
        <f>IFERROR(VLOOKUP($A$1&amp;"/"&amp;$B$23&amp;"/"&amp;$A24,TaskTimings[[EmployeeDateSeqCode]:[Total Minutes]],7,0),0)</f>
        <v>45</v>
      </c>
      <c r="I25" s="167"/>
      <c r="J25" s="26">
        <v>2</v>
      </c>
      <c r="K25" s="170"/>
      <c r="L25" s="150"/>
      <c r="M25" s="169" t="str">
        <f>IF($K$24="","",IFERROR(VLOOKUP($K$24&amp;"/"&amp;$J25,$Z$7:$AA$30,2,0),""))</f>
        <v/>
      </c>
      <c r="N25" s="169"/>
      <c r="O25" s="169"/>
      <c r="P25" s="169"/>
      <c r="Q25" s="22" t="str">
        <f>IF($M25="","",SUMIFS($H$7:$H$30,$D$7:$D$30,$K$24&amp;"/"&amp;$M25))</f>
        <v/>
      </c>
      <c r="R25" s="167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46"/>
      <c r="C26" s="149"/>
      <c r="D26" s="178" t="str">
        <f>IFERROR(VLOOKUP($A$1&amp;"/"&amp;$B$23&amp;"/"&amp;$A25,TaskTimings[[EmployeeDateSeqCode]:[Task]],2,0),"")</f>
        <v/>
      </c>
      <c r="E26" s="178"/>
      <c r="F26" s="178"/>
      <c r="G26" s="178"/>
      <c r="H26" s="22">
        <f>IFERROR(VLOOKUP($A$1&amp;"/"&amp;$B$23&amp;"/"&amp;$A25,TaskTimings[[EmployeeDateSeqCode]:[Total Minutes]],7,0),0)</f>
        <v>0</v>
      </c>
      <c r="I26" s="167"/>
      <c r="J26" s="26">
        <v>3</v>
      </c>
      <c r="K26" s="170"/>
      <c r="L26" s="150"/>
      <c r="M26" s="169" t="str">
        <f>IF($K$24="","",IFERROR(VLOOKUP($K$24&amp;"/"&amp;$J26,$Z$7:$AA$30,2,0),""))</f>
        <v/>
      </c>
      <c r="N26" s="169"/>
      <c r="O26" s="169"/>
      <c r="P26" s="169"/>
      <c r="Q26" s="22" t="str">
        <f>IF($M26="","",SUMIFS($H$7:$H$30,$D$7:$D$30,$K$24&amp;"/"&amp;$M26))</f>
        <v/>
      </c>
      <c r="R26" s="167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9">
        <f>B23+1</f>
        <v>43480</v>
      </c>
      <c r="C27" s="149"/>
      <c r="D27" s="178" t="str">
        <f>IFERROR(VLOOKUP($A$1&amp;"/"&amp;$B$27&amp;"/"&amp;$A26,TaskTimings[[EmployeeDateSeqCode]:[Task]],2,0),"")</f>
        <v>SDS/Testing</v>
      </c>
      <c r="E27" s="178"/>
      <c r="F27" s="178"/>
      <c r="G27" s="178"/>
      <c r="H27" s="22">
        <f>IFERROR(VLOOKUP($A$1&amp;"/"&amp;$B$27&amp;"/"&amp;$A26,TaskTimings[[EmployeeDateSeqCode]:[Total Minutes]],7,0),0)</f>
        <v>90</v>
      </c>
      <c r="I27" s="167">
        <f t="shared" ref="I27" si="8">SUM(H27:H30)</f>
        <v>90</v>
      </c>
      <c r="J27" s="26">
        <v>4</v>
      </c>
      <c r="K27" s="170"/>
      <c r="L27" s="150"/>
      <c r="M27" s="169" t="str">
        <f>IF($K$24="","",IFERROR(VLOOKUP($K$24&amp;"/"&amp;$J27,$Z$7:$AA$30,2,0),""))</f>
        <v/>
      </c>
      <c r="N27" s="169"/>
      <c r="O27" s="169"/>
      <c r="P27" s="169"/>
      <c r="Q27" s="22" t="str">
        <f>IF($M27="","",SUMIFS($H$7:$H$30,$D$7:$D$30,$K$24&amp;"/"&amp;$M27))</f>
        <v/>
      </c>
      <c r="R27" s="167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46"/>
      <c r="C28" s="149"/>
      <c r="D28" s="178" t="str">
        <f>IFERROR(VLOOKUP($A$1&amp;"/"&amp;$B$27&amp;"/"&amp;$A27,TaskTimings[[EmployeeDateSeqCode]:[Task]],2,0),"")</f>
        <v/>
      </c>
      <c r="E28" s="178"/>
      <c r="F28" s="178"/>
      <c r="G28" s="178"/>
      <c r="H28" s="22">
        <f>IFERROR(VLOOKUP($A$1&amp;"/"&amp;$B$27&amp;"/"&amp;$A27,TaskTimings[[EmployeeDateSeqCode]:[Total Minutes]],7,0),0)</f>
        <v>0</v>
      </c>
      <c r="I28" s="167"/>
      <c r="J28" s="26">
        <v>1</v>
      </c>
      <c r="K28" s="170" t="str">
        <f>VLOOKUP(4,$K$7:$M$11,2,0)</f>
        <v/>
      </c>
      <c r="L28" s="150"/>
      <c r="M28" s="169" t="str">
        <f>IF($K$28="","",IFERROR(VLOOKUP($K$28&amp;"/"&amp;$J28,$Z$7:$AA$30,2,0),""))</f>
        <v/>
      </c>
      <c r="N28" s="169"/>
      <c r="O28" s="169"/>
      <c r="P28" s="169"/>
      <c r="Q28" s="22" t="str">
        <f>IF($M28="","",SUMIFS($H$7:$H$30,$D$7:$D$30,$K$28&amp;"/"&amp;$M28))</f>
        <v/>
      </c>
      <c r="R28" s="167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46"/>
      <c r="C29" s="149"/>
      <c r="D29" s="178" t="str">
        <f>IFERROR(VLOOKUP($A$1&amp;"/"&amp;$B$27&amp;"/"&amp;$A28,TaskTimings[[EmployeeDateSeqCode]:[Task]],2,0),"")</f>
        <v/>
      </c>
      <c r="E29" s="178"/>
      <c r="F29" s="178"/>
      <c r="G29" s="178"/>
      <c r="H29" s="22">
        <f>IFERROR(VLOOKUP($A$1&amp;"/"&amp;$B$27&amp;"/"&amp;$A28,TaskTimings[[EmployeeDateSeqCode]:[Total Minutes]],7,0),0)</f>
        <v>0</v>
      </c>
      <c r="I29" s="167"/>
      <c r="J29" s="26">
        <v>2</v>
      </c>
      <c r="K29" s="170"/>
      <c r="L29" s="150"/>
      <c r="M29" s="169" t="str">
        <f>IF($K$28="","",IFERROR(VLOOKUP($K$28&amp;"/"&amp;$J29,$Z$7:$AA$30,2,0),""))</f>
        <v/>
      </c>
      <c r="N29" s="169"/>
      <c r="O29" s="169"/>
      <c r="P29" s="169"/>
      <c r="Q29" s="22" t="str">
        <f>IF($M29="","",SUMIFS($H$7:$H$30,$D$7:$D$30,$K$28&amp;"/"&amp;$M29))</f>
        <v/>
      </c>
      <c r="R29" s="167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80"/>
      <c r="C30" s="181"/>
      <c r="D30" s="176" t="str">
        <f>IFERROR(VLOOKUP($A$1&amp;"/"&amp;$B$27&amp;"/"&amp;$A29,TaskTimings[[EmployeeDateSeqCode]:[Task]],2,0),"")</f>
        <v/>
      </c>
      <c r="E30" s="176"/>
      <c r="F30" s="176"/>
      <c r="G30" s="176"/>
      <c r="H30" s="24">
        <f>IFERROR(VLOOKUP($A$1&amp;"/"&amp;$B$27&amp;"/"&amp;$A29,TaskTimings[[EmployeeDateSeqCode]:[Total Minutes]],7,0),0)</f>
        <v>0</v>
      </c>
      <c r="I30" s="168"/>
      <c r="J30" s="26">
        <v>3</v>
      </c>
      <c r="K30" s="170"/>
      <c r="L30" s="150"/>
      <c r="M30" s="169" t="str">
        <f>IF($K$28="","",IFERROR(VLOOKUP($K$28&amp;"/"&amp;$J30,$Z$7:$AA$30,2,0),""))</f>
        <v/>
      </c>
      <c r="N30" s="169"/>
      <c r="O30" s="169"/>
      <c r="P30" s="169"/>
      <c r="Q30" s="22" t="str">
        <f>IF($M30="","",SUMIFS($H$7:$H$30,$D$7:$D$30,$K$28&amp;"/"&amp;$M30))</f>
        <v/>
      </c>
      <c r="R30" s="167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0"/>
      <c r="L31" s="150"/>
      <c r="M31" s="169" t="str">
        <f>IF($K$28="","",IFERROR(VLOOKUP($K$28&amp;"/"&amp;$J31,$Z$7:$AA$30,2,0),""))</f>
        <v/>
      </c>
      <c r="N31" s="169"/>
      <c r="O31" s="169"/>
      <c r="P31" s="169"/>
      <c r="Q31" s="22" t="str">
        <f>IF($M31="","",SUMIFS($H$7:$H$30,$D$7:$D$30,$K$28&amp;"/"&amp;$M31))</f>
        <v/>
      </c>
      <c r="R31" s="167"/>
    </row>
    <row r="32" spans="1:28" x14ac:dyDescent="0.25">
      <c r="J32" s="26">
        <v>1</v>
      </c>
      <c r="K32" s="170" t="str">
        <f>VLOOKUP(5,$K$7:$M$11,2,0)</f>
        <v/>
      </c>
      <c r="L32" s="150"/>
      <c r="M32" s="169" t="str">
        <f>IF($K$32="","",IFERROR(VLOOKUP($K$32&amp;"/"&amp;$J32,$Z$7:$AA$30,2,0),""))</f>
        <v/>
      </c>
      <c r="N32" s="169"/>
      <c r="O32" s="169"/>
      <c r="P32" s="169"/>
      <c r="Q32" s="22" t="str">
        <f>IF($M32="","",SUMIFS($H$7:$H$30,$D$7:$D$30,$K$32&amp;"/"&amp;$M32))</f>
        <v/>
      </c>
      <c r="R32" s="167">
        <f t="shared" ref="R32" si="10">SUM(Q32:Q35)</f>
        <v>0</v>
      </c>
    </row>
    <row r="33" spans="10:18" x14ac:dyDescent="0.25">
      <c r="J33" s="26">
        <v>2</v>
      </c>
      <c r="K33" s="170"/>
      <c r="L33" s="150"/>
      <c r="M33" s="169" t="str">
        <f>IF($K$32="","",IFERROR(VLOOKUP($K$32&amp;"/"&amp;$J33,$Z$7:$AA$30,2,0),""))</f>
        <v/>
      </c>
      <c r="N33" s="169"/>
      <c r="O33" s="169"/>
      <c r="P33" s="169"/>
      <c r="Q33" s="22" t="str">
        <f>IF($M33="","",SUMIFS($H$7:$H$30,$D$7:$D$30,$K$32&amp;"/"&amp;$M33))</f>
        <v/>
      </c>
      <c r="R33" s="167"/>
    </row>
    <row r="34" spans="10:18" x14ac:dyDescent="0.25">
      <c r="J34" s="26">
        <v>3</v>
      </c>
      <c r="K34" s="170"/>
      <c r="L34" s="150"/>
      <c r="M34" s="169" t="str">
        <f>IF($K$32="","",IFERROR(VLOOKUP($K$32&amp;"/"&amp;$J34,$Z$7:$AA$30,2,0),""))</f>
        <v/>
      </c>
      <c r="N34" s="169"/>
      <c r="O34" s="169"/>
      <c r="P34" s="169"/>
      <c r="Q34" s="22" t="str">
        <f>IF($M34="","",SUMIFS($H$7:$H$30,$D$7:$D$30,$K$32&amp;"/"&amp;$M34))</f>
        <v/>
      </c>
      <c r="R34" s="167"/>
    </row>
    <row r="35" spans="10:18" ht="15.75" thickBot="1" x14ac:dyDescent="0.3">
      <c r="J35" s="26">
        <v>4</v>
      </c>
      <c r="K35" s="171"/>
      <c r="L35" s="156"/>
      <c r="M35" s="172" t="str">
        <f>IF($K$32="","",IFERROR(VLOOKUP($K$32&amp;"/"&amp;$J35,$Z$7:$AA$30,2,0),""))</f>
        <v/>
      </c>
      <c r="N35" s="172"/>
      <c r="O35" s="172"/>
      <c r="P35" s="172"/>
      <c r="Q35" s="24" t="str">
        <f>IF($M35="","",SUMIFS($H$7:$H$30,$D$7:$D$30,$K$32&amp;"/"&amp;$M35))</f>
        <v/>
      </c>
      <c r="R35" s="168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Vishnu gopi</cp:lastModifiedBy>
  <cp:lastPrinted>2018-11-23T17:04:38Z</cp:lastPrinted>
  <dcterms:created xsi:type="dcterms:W3CDTF">2018-11-23T13:42:04Z</dcterms:created>
  <dcterms:modified xsi:type="dcterms:W3CDTF">2019-02-20T07:08:25Z</dcterms:modified>
</cp:coreProperties>
</file>