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B37" i="4" l="1"/>
  <c r="P37" i="4" s="1"/>
  <c r="C37" i="4"/>
  <c r="Q37" i="4" s="1"/>
  <c r="D37" i="4"/>
  <c r="L37" i="4"/>
  <c r="M37" i="4"/>
  <c r="A24" i="2"/>
  <c r="C24" i="2"/>
  <c r="E24" i="2"/>
  <c r="F24" i="2"/>
  <c r="G24" i="2"/>
  <c r="D36" i="4" l="1"/>
  <c r="L36" i="4"/>
  <c r="M36" i="4"/>
  <c r="A23" i="2" l="1"/>
  <c r="C23" i="2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M33" i="4"/>
  <c r="N33" i="4"/>
  <c r="O33" i="4" s="1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1" i="4" l="1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E36" i="4" l="1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W17" i="6" l="1"/>
  <c r="Y17" i="6" s="1"/>
  <c r="X9" i="6"/>
  <c r="X10" i="6"/>
  <c r="X12" i="6"/>
  <c r="X16" i="6" s="1"/>
  <c r="Y9" i="6"/>
  <c r="Z11" i="6" s="1"/>
  <c r="AA11" i="6" s="1"/>
  <c r="Z8" i="6"/>
  <c r="AA8" i="6" s="1"/>
  <c r="Y16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7" i="6" l="1"/>
  <c r="Z17" i="6"/>
  <c r="AA17" i="6" s="1"/>
  <c r="X11" i="6"/>
  <c r="X15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W25" i="6" l="1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5" i="6" l="1"/>
  <c r="Z25" i="6" s="1"/>
  <c r="AA25" i="6" s="1"/>
  <c r="AB25" i="6" s="1"/>
  <c r="Z24" i="6"/>
  <c r="AA24" i="6" s="1"/>
  <c r="AB24" i="6" s="1"/>
  <c r="Y27" i="6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<sst xmlns="http://schemas.openxmlformats.org/spreadsheetml/2006/main" count="197" uniqueCount="92">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</sst>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66" fontId="1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4915264"/>
        <c:axId val="994914720"/>
      </c:barChart>
      <c:catAx>
        <c:axId val="9949152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14720"/>
        <c:crosses val="autoZero"/>
        <c:auto val="1"/>
        <c:lblAlgn val="ctr"/>
        <c:lblOffset val="100"/>
        <c:noMultiLvlLbl val="0"/>
      </c:catAx>
      <c:valAx>
        <c:axId val="994914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1526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94912544"/>
        <c:axId val="994907104"/>
      </c:barChart>
      <c:catAx>
        <c:axId val="99491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07104"/>
        <c:crosses val="autoZero"/>
        <c:auto val="1"/>
        <c:lblAlgn val="ctr"/>
        <c:lblOffset val="100"/>
        <c:noMultiLvlLbl val="0"/>
      </c:catAx>
      <c:valAx>
        <c:axId val="9949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125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60.000000000000028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07648"/>
        <c:axId val="994921792"/>
      </c:areaChart>
      <c:catAx>
        <c:axId val="99490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21792"/>
        <c:crosses val="autoZero"/>
        <c:auto val="1"/>
        <c:lblAlgn val="ctr"/>
        <c:lblOffset val="100"/>
        <c:noMultiLvlLbl val="0"/>
      </c:catAx>
      <c:valAx>
        <c:axId val="994921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076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1E-2"/>
          <c:y val="0"/>
          <c:w val="0.700263432588169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359.99999999999989</c:v>
                </c:pt>
                <c:pt idx="2">
                  <c:v>0</c:v>
                </c:pt>
                <c:pt idx="3">
                  <c:v>1380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480.00000000000006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720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94915808"/>
        <c:axId val="994922336"/>
      </c:barChart>
      <c:catAx>
        <c:axId val="994915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22336"/>
        <c:crosses val="autoZero"/>
        <c:auto val="1"/>
        <c:lblAlgn val="ctr"/>
        <c:lblOffset val="100"/>
        <c:noMultiLvlLbl val="0"/>
      </c:catAx>
      <c:valAx>
        <c:axId val="99492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1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994911456"/>
        <c:axId val="994912000"/>
      </c:barChart>
      <c:dateAx>
        <c:axId val="9949114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12000"/>
        <c:crosses val="autoZero"/>
        <c:auto val="1"/>
        <c:lblOffset val="100"/>
        <c:baseTimeUnit val="days"/>
      </c:dateAx>
      <c:valAx>
        <c:axId val="99491200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9491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37" totalsRowShown="0" headerRowDxfId="18" dataDxfId="17">
  <autoFilter ref="A1:Q3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5" sqref="D2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  <row r="22" spans="1:7" x14ac:dyDescent="0.25">
      <c r="A22" s="67">
        <f>IFERROR($A21+1,1)</f>
        <v>21</v>
      </c>
      <c r="B22" s="69" t="s">
        <v>10</v>
      </c>
      <c r="C22" s="68" t="str">
        <f>ProjectTasks[[#This Row],[Project]]&amp;"-"&amp;COUNTIF($B$1:ProjectTasks[[#This Row],[Project]],ProjectTasks[[#This Row],[Project]])</f>
        <v>TEEBPD-7</v>
      </c>
      <c r="D22" s="69" t="s">
        <v>86</v>
      </c>
      <c r="E22" s="73" t="str">
        <f>CONCATENATE(ProjectTasks[Project],"/",ProjectTasks[Task])</f>
        <v>TEEBPD/Finalizing</v>
      </c>
      <c r="F22" s="73" t="str">
        <f>ProjectTasks[Project]</f>
        <v>TEEBPD</v>
      </c>
      <c r="G22" s="73" t="str">
        <f>ProjectTasks[Task]</f>
        <v>Finalizing</v>
      </c>
    </row>
    <row r="23" spans="1:7" x14ac:dyDescent="0.25">
      <c r="A23" s="67">
        <f>IFERROR($A22+1,1)</f>
        <v>22</v>
      </c>
      <c r="B23" s="61" t="s">
        <v>52</v>
      </c>
      <c r="C23" s="60" t="str">
        <f>ProjectTasks[[#This Row],[Project]]&amp;"-"&amp;COUNTIF($B$1:ProjectTasks[[#This Row],[Project]],ProjectTasks[[#This Row],[Project]])</f>
        <v>SDS-3</v>
      </c>
      <c r="D23" s="61" t="s">
        <v>88</v>
      </c>
      <c r="E23" s="65" t="str">
        <f>CONCATENATE(ProjectTasks[Project],"/",ProjectTasks[Task])</f>
        <v>SDS/Testing</v>
      </c>
      <c r="F23" s="65" t="str">
        <f>ProjectTasks[Project]</f>
        <v>SDS</v>
      </c>
      <c r="G23" s="65" t="str">
        <f>ProjectTasks[Task]</f>
        <v>Testing</v>
      </c>
    </row>
    <row r="24" spans="1:7" x14ac:dyDescent="0.25">
      <c r="A24" s="59">
        <f>IFERROR($A23+1,1)</f>
        <v>23</v>
      </c>
      <c r="B24" s="61" t="s">
        <v>52</v>
      </c>
      <c r="C24" s="60" t="str">
        <f>ProjectTasks[[#This Row],[Project]]&amp;"-"&amp;COUNTIF($B$1:ProjectTasks[[#This Row],[Project]],ProjectTasks[[#This Row],[Project]])</f>
        <v>SDS-4</v>
      </c>
      <c r="D24" s="61" t="s">
        <v>90</v>
      </c>
      <c r="E24" s="65" t="str">
        <f>CONCATENATE(ProjectTasks[Project],"/",ProjectTasks[Task])</f>
        <v>SDS/Stage 2</v>
      </c>
      <c r="F24" s="65" t="str">
        <f>ProjectTasks[Project]</f>
        <v>SDS</v>
      </c>
      <c r="G24" s="65" t="str">
        <f>ProjectTasks[Task]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28" workbookViewId="0">
      <selection activeCell="K38" sqref="K3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5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5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5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5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5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5">
        <f t="shared" si="0"/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5">
        <f t="shared" si="0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5">
        <f t="shared" si="0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5">
        <f t="shared" si="0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5">
        <f t="shared" si="0"/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5">
        <f t="shared" si="0"/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210.00000000000006</v>
      </c>
      <c r="O16" s="51" t="str">
        <f>TEXT(TaskTimings[Day Total Minutes]/1440,"HH:mm")</f>
        <v>03:30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5">
        <f t="shared" si="0"/>
        <v>16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210.00000000000006</v>
      </c>
      <c r="O17" s="51" t="str">
        <f>TEXT(TaskTimings[Day Total Minutes]/1440,"HH:mm")</f>
        <v>03:30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5">
        <f t="shared" si="0"/>
        <v>17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5">
        <f t="shared" si="0"/>
        <v>18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5">
        <f t="shared" si="0"/>
        <v>19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5">
        <f t="shared" si="0"/>
        <v>20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5">
        <f t="shared" si="0"/>
        <v>21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423</v>
      </c>
      <c r="O24" s="64" t="str">
        <f>TEXT(TaskTimings[Day Total Minutes]/1440,"HH:mm")</f>
        <v>07:03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">
        <f t="shared" si="0"/>
        <v>24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389.99999999999989</v>
      </c>
      <c r="O25" s="64" t="str">
        <f>TEXT(TaskTimings[Day Total Minutes]/1440,"HH:mm")</f>
        <v>06:30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">
        <f t="shared" si="0"/>
        <v>25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6">
        <v>0.70833333333333337</v>
      </c>
      <c r="L26" s="64">
        <f>(TaskTimings[End Time]-TaskTimings[Start Time])*1440</f>
        <v>195.00000000000011</v>
      </c>
      <c r="M26" s="64" t="str">
        <f>TEXT(TaskTimings[End Time]-TaskTimings[Start Time],"HH:mm")</f>
        <v>03:15</v>
      </c>
      <c r="N26" s="64">
        <f>SUMIFS(TaskTimings[Total Minutes],TaskTimings[Date],TaskTimings[Date],TaskTimings[Employee],TaskTimings[Employee])</f>
        <v>423</v>
      </c>
      <c r="O26" s="64" t="str">
        <f>TEXT(TaskTimings[Day Total Minutes]/1440,"HH:mm")</f>
        <v>07:03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">
        <f t="shared" si="0"/>
        <v>26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389.99999999999989</v>
      </c>
      <c r="O27" s="64" t="str">
        <f>TEXT(TaskTimings[Day Total Minutes]/1440,"HH:mm")</f>
        <v>06:30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">
        <f t="shared" si="0"/>
        <v>27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(TaskTimings[End Time]-TaskTimings[Start Time])*1440</f>
        <v>59.999999999999943</v>
      </c>
      <c r="M28" s="64" t="str">
        <f>TEXT(TaskTimings[End Time]-TaskTimings[Start Time],"HH:mm")</f>
        <v>01:00</v>
      </c>
      <c r="N28" s="64">
        <f>SUMIFS(TaskTimings[Total Minutes],TaskTimings[Date],TaskTimings[Date],TaskTimings[Employee],TaskTimings[Employee])</f>
        <v>389.99999999999989</v>
      </c>
      <c r="O28" s="64" t="str">
        <f>TEXT(TaskTimings[Day Total Minutes]/1440,"HH:mm")</f>
        <v>06:30</v>
      </c>
      <c r="P28" s="60" t="str">
        <f>TaskTimings[PRJ]</f>
        <v>TEEBPD</v>
      </c>
      <c r="Q28" s="60" t="str">
        <f>TaskTimings[TSK]</f>
        <v>Inhouse Testing</v>
      </c>
    </row>
    <row r="29" spans="1:17" x14ac:dyDescent="0.25">
      <c r="A29" s="67">
        <f t="shared" ref="A29:A37" si="1">IFERROR($A28+1,1)</f>
        <v>28</v>
      </c>
      <c r="B29" s="68" t="str">
        <f>VLOOKUP(TaskTimings[Task],ProjectTasks[[TaskProjectCode]:[TSK]],2,0)</f>
        <v>TEEBPD</v>
      </c>
      <c r="C29" s="68" t="str">
        <f>VLOOKUP(TaskTimings[Task],ProjectTasks[[TaskProjectCode]:[TSK]],3,0)</f>
        <v>Finalizing</v>
      </c>
      <c r="D29" s="68" t="str">
        <f>TaskTimings[Employee]&amp;"/"&amp;TaskTimings[Date]</f>
        <v>Firose/43432</v>
      </c>
      <c r="E29" s="68">
        <f>COUNTIF($D$1:TaskTimings[[#This Row],[EmployeeDate]],TaskTimings[[#This Row],[EmployeeDate]])</f>
        <v>3</v>
      </c>
      <c r="F29" s="68" t="str">
        <f>TaskTimings[[#This Row],[EmployeeDate]]&amp;"/"&amp;TaskTimings[[#This Row],[EmployeeDateSeq]]</f>
        <v>Firose/43432/3</v>
      </c>
      <c r="G29" s="69" t="s">
        <v>87</v>
      </c>
      <c r="H29" s="69" t="s">
        <v>34</v>
      </c>
      <c r="I29" s="70">
        <v>43432</v>
      </c>
      <c r="J29" s="71">
        <v>0.625</v>
      </c>
      <c r="K29" s="71">
        <v>0.70833333333333337</v>
      </c>
      <c r="L29" s="72">
        <f>(TaskTimings[End Time]-TaskTimings[Start Time])*1440</f>
        <v>120.00000000000006</v>
      </c>
      <c r="M29" s="72" t="str">
        <f>TEXT(TaskTimings[End Time]-TaskTimings[Start Time],"HH:mm")</f>
        <v>02:00</v>
      </c>
      <c r="N29" s="72">
        <f>SUMIFS(TaskTimings[Total Minutes],TaskTimings[Date],TaskTimings[Date],TaskTimings[Employee],TaskTimings[Employee])</f>
        <v>210.00000000000006</v>
      </c>
      <c r="O29" s="72" t="str">
        <f>TEXT(TaskTimings[Day Total Minutes]/1440,"HH:mm")</f>
        <v>03:30</v>
      </c>
      <c r="P29" s="68" t="str">
        <f>TaskTimings[PRJ]</f>
        <v>TEEBPD</v>
      </c>
      <c r="Q29" s="68" t="str">
        <f>TaskTimings[TSK]</f>
        <v>Finalizing</v>
      </c>
    </row>
    <row r="30" spans="1:17" x14ac:dyDescent="0.25">
      <c r="A30" s="67">
        <f t="shared" si="1"/>
        <v>29</v>
      </c>
      <c r="B30" s="68" t="str">
        <f>VLOOKUP(TaskTimings[Task],ProjectTasks[[TaskProjectCode]:[TSK]],2,0)</f>
        <v>TEEBPD</v>
      </c>
      <c r="C30" s="68" t="str">
        <f>VLOOKUP(TaskTimings[Task],ProjectTasks[[TaskProjectCode]:[TSK]],3,0)</f>
        <v>Finalizing</v>
      </c>
      <c r="D30" s="68" t="str">
        <f>TaskTimings[Employee]&amp;"/"&amp;TaskTimings[Date]</f>
        <v>Firose/43433</v>
      </c>
      <c r="E30" s="68">
        <f>COUNTIF($D$1:TaskTimings[[#This Row],[EmployeeDate]],TaskTimings[[#This Row],[EmployeeDate]])</f>
        <v>1</v>
      </c>
      <c r="F30" s="68" t="str">
        <f>TaskTimings[[#This Row],[EmployeeDate]]&amp;"/"&amp;TaskTimings[[#This Row],[EmployeeDateSeq]]</f>
        <v>Firose/43433/1</v>
      </c>
      <c r="G30" s="69" t="s">
        <v>87</v>
      </c>
      <c r="H30" s="69" t="s">
        <v>34</v>
      </c>
      <c r="I30" s="70">
        <v>43433</v>
      </c>
      <c r="J30" s="71">
        <v>0.41666666666666669</v>
      </c>
      <c r="K30" s="71">
        <v>0.70833333333333337</v>
      </c>
      <c r="L30" s="72">
        <f>(TaskTimings[End Time]-TaskTimings[Start Time])*1440</f>
        <v>420</v>
      </c>
      <c r="M30" s="72" t="str">
        <f>TEXT(TaskTimings[End Time]-TaskTimings[Start Time],"HH:mm")</f>
        <v>07:00</v>
      </c>
      <c r="N30" s="72">
        <f>SUMIFS(TaskTimings[Total Minutes],TaskTimings[Date],TaskTimings[Date],TaskTimings[Employee],TaskTimings[Employee])</f>
        <v>420</v>
      </c>
      <c r="O30" s="72" t="str">
        <f>TEXT(TaskTimings[Day Total Minutes]/1440,"HH:mm")</f>
        <v>07:00</v>
      </c>
      <c r="P30" s="68" t="str">
        <f>TaskTimings[PRJ]</f>
        <v>TEEBPD</v>
      </c>
      <c r="Q30" s="68" t="str">
        <f>TaskTimings[TSK]</f>
        <v>Finalizing</v>
      </c>
    </row>
    <row r="31" spans="1:17" x14ac:dyDescent="0.25">
      <c r="A31" s="67">
        <f t="shared" si="1"/>
        <v>30</v>
      </c>
      <c r="B31" s="68" t="str">
        <f>VLOOKUP(TaskTimings[Task],ProjectTasks[[TaskProjectCode]:[TSK]],2,0)</f>
        <v>TEEBPD</v>
      </c>
      <c r="C31" s="68" t="str">
        <f>VLOOKUP(TaskTimings[Task],ProjectTasks[[TaskProjectCode]:[TSK]],3,0)</f>
        <v>Finalizing</v>
      </c>
      <c r="D31" s="68" t="str">
        <f>TaskTimings[Employee]&amp;"/"&amp;TaskTimings[Date]</f>
        <v>Firose/43434</v>
      </c>
      <c r="E31" s="68">
        <f>COUNTIF($D$1:TaskTimings[[#This Row],[EmployeeDate]],TaskTimings[[#This Row],[EmployeeDate]])</f>
        <v>1</v>
      </c>
      <c r="F31" s="68" t="str">
        <f>TaskTimings[[#This Row],[EmployeeDate]]&amp;"/"&amp;TaskTimings[[#This Row],[EmployeeDateSeq]]</f>
        <v>Firose/43434/1</v>
      </c>
      <c r="G31" s="69" t="s">
        <v>87</v>
      </c>
      <c r="H31" s="69" t="s">
        <v>34</v>
      </c>
      <c r="I31" s="70">
        <v>43434</v>
      </c>
      <c r="J31" s="71">
        <v>0.375</v>
      </c>
      <c r="K31" s="71">
        <v>0.5</v>
      </c>
      <c r="L31" s="72">
        <f>(TaskTimings[End Time]-TaskTimings[Start Time])*1440</f>
        <v>180</v>
      </c>
      <c r="M31" s="72" t="str">
        <f>TEXT(TaskTimings[End Time]-TaskTimings[Start Time],"HH:mm")</f>
        <v>03:00</v>
      </c>
      <c r="N31" s="72">
        <f>SUMIFS(TaskTimings[Total Minutes],TaskTimings[Date],TaskTimings[Date],TaskTimings[Employee],TaskTimings[Employee])</f>
        <v>360</v>
      </c>
      <c r="O31" s="72" t="str">
        <f>TEXT(TaskTimings[Day Total Minutes]/1440,"HH:mm")</f>
        <v>06:00</v>
      </c>
      <c r="P31" s="68" t="str">
        <f>TaskTimings[PRJ]</f>
        <v>TEEBPD</v>
      </c>
      <c r="Q31" s="68" t="str">
        <f>TaskTimings[TSK]</f>
        <v>Finalizing</v>
      </c>
    </row>
    <row r="32" spans="1:17" x14ac:dyDescent="0.25">
      <c r="A32" s="67">
        <f t="shared" si="1"/>
        <v>31</v>
      </c>
      <c r="B32" s="68" t="str">
        <f>VLOOKUP(TaskTimings[Task],ProjectTasks[[TaskProjectCode]:[TSK]],2,0)</f>
        <v>TEEBPD</v>
      </c>
      <c r="C32" s="68" t="str">
        <f>VLOOKUP(TaskTimings[Task],ProjectTasks[[TaskProjectCode]:[TSK]],3,0)</f>
        <v>Inhouse Testing</v>
      </c>
      <c r="D32" s="68" t="str">
        <f>TaskTimings[Employee]&amp;"/"&amp;TaskTimings[Date]</f>
        <v>Firose/43434</v>
      </c>
      <c r="E32" s="68">
        <f>COUNTIF($D$1:TaskTimings[[#This Row],[EmployeeDate]],TaskTimings[[#This Row],[EmployeeDate]])</f>
        <v>2</v>
      </c>
      <c r="F32" s="68" t="str">
        <f>TaskTimings[[#This Row],[EmployeeDate]]&amp;"/"&amp;TaskTimings[[#This Row],[EmployeeDateSeq]]</f>
        <v>Firose/43434/2</v>
      </c>
      <c r="G32" s="69" t="s">
        <v>85</v>
      </c>
      <c r="H32" s="69" t="s">
        <v>34</v>
      </c>
      <c r="I32" s="70">
        <v>43434</v>
      </c>
      <c r="J32" s="71">
        <v>0.58333333333333337</v>
      </c>
      <c r="K32" s="71">
        <v>0.70833333333333337</v>
      </c>
      <c r="L32" s="72">
        <f>(TaskTimings[End Time]-TaskTimings[Start Time])*1440</f>
        <v>180</v>
      </c>
      <c r="M32" s="72" t="str">
        <f>TEXT(TaskTimings[End Time]-TaskTimings[Start Time],"HH:mm")</f>
        <v>03:00</v>
      </c>
      <c r="N32" s="72">
        <f>SUMIFS(TaskTimings[Total Minutes],TaskTimings[Date],TaskTimings[Date],TaskTimings[Employee],TaskTimings[Employee])</f>
        <v>360</v>
      </c>
      <c r="O32" s="72" t="str">
        <f>TEXT(TaskTimings[Day Total Minutes]/1440,"HH:mm")</f>
        <v>06:00</v>
      </c>
      <c r="P32" s="68" t="str">
        <f>TaskTimings[PRJ]</f>
        <v>TEEBPD</v>
      </c>
      <c r="Q32" s="68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4">
        <v>0.45833333333333331</v>
      </c>
      <c r="K33" s="58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90.000000000000085</v>
      </c>
      <c r="O33" s="2" t="str">
        <f>TEXT(TaskTimings[Day Total Minutes]/1440,"HH:mm")</f>
        <v>01:30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9">
        <f t="shared" si="1"/>
        <v>33</v>
      </c>
      <c r="B34" s="60" t="str">
        <f>VLOOKUP(TaskTimings[Task],ProjectTasks[[TaskProjectCode]:[TSK]],2,0)</f>
        <v>SDS</v>
      </c>
      <c r="C34" s="60" t="str">
        <f>VLOOKUP(TaskTimings[Task],ProjectTasks[[TaskProjectCode]:[TSK]],3,0)</f>
        <v>Request and get Response from  web</v>
      </c>
      <c r="D34" s="60" t="str">
        <f>TaskTimings[Employee]&amp;"/"&amp;TaskTimings[Date]</f>
        <v>Aswathy/43435</v>
      </c>
      <c r="E34" s="60">
        <f>COUNTIF($D$1:TaskTimings[[#This Row],[EmployeeDate]],TaskTimings[[#This Row],[EmployeeDate]])</f>
        <v>1</v>
      </c>
      <c r="F34" s="60" t="str">
        <f>TaskTimings[[#This Row],[EmployeeDate]]&amp;"/"&amp;TaskTimings[[#This Row],[EmployeeDateSeq]]</f>
        <v>Aswathy/43435/1</v>
      </c>
      <c r="G34" s="69" t="s">
        <v>83</v>
      </c>
      <c r="H34" s="61" t="s">
        <v>54</v>
      </c>
      <c r="I34" s="62">
        <v>43435</v>
      </c>
      <c r="J34" s="75">
        <v>0.40625</v>
      </c>
      <c r="K34" s="66">
        <v>0.55208333333333337</v>
      </c>
      <c r="L34" s="64">
        <f>(TaskTimings[End Time]-TaskTimings[Start Time])*1440</f>
        <v>210.00000000000006</v>
      </c>
      <c r="M34" s="64" t="str">
        <f>TEXT(TaskTimings[End Time]-TaskTimings[Start Time],"HH:mm")</f>
        <v>03:30</v>
      </c>
      <c r="N34" s="64">
        <f>SUMIFS(TaskTimings[Total Minutes],TaskTimings[Date],TaskTimings[Date],TaskTimings[Employee],TaskTimings[Employee])</f>
        <v>375.00000000000011</v>
      </c>
      <c r="O34" s="64" t="str">
        <f>TEXT(TaskTimings[Day Total Minutes]/1440,"HH:mm")</f>
        <v>06:15</v>
      </c>
      <c r="P34" s="60" t="str">
        <f>TaskTimings[PRJ]</f>
        <v>SDS</v>
      </c>
      <c r="Q34" s="60" t="str">
        <f>TaskTimings[TSK]</f>
        <v>Request and get Response from  web</v>
      </c>
    </row>
    <row r="35" spans="1:17" x14ac:dyDescent="0.25">
      <c r="A35" s="59">
        <f t="shared" si="1"/>
        <v>34</v>
      </c>
      <c r="B35" s="60" t="str">
        <f>VLOOKUP(TaskTimings[Task],ProjectTasks[[TaskProjectCode]:[TSK]],2,0)</f>
        <v>SDS</v>
      </c>
      <c r="C35" s="60" t="str">
        <f>VLOOKUP(TaskTimings[Task],ProjectTasks[[TaskProjectCode]:[TSK]],3,0)</f>
        <v>Testing</v>
      </c>
      <c r="D35" s="60" t="str">
        <f>TaskTimings[Employee]&amp;"/"&amp;TaskTimings[Date]</f>
        <v>Aswathy/43435</v>
      </c>
      <c r="E35" s="60">
        <f>COUNTIF($D$1:TaskTimings[[#This Row],[EmployeeDate]],TaskTimings[[#This Row],[EmployeeDate]])</f>
        <v>2</v>
      </c>
      <c r="F35" s="60" t="str">
        <f>TaskTimings[[#This Row],[EmployeeDate]]&amp;"/"&amp;TaskTimings[[#This Row],[EmployeeDateSeq]]</f>
        <v>Aswathy/43435/2</v>
      </c>
      <c r="G35" s="61" t="s">
        <v>89</v>
      </c>
      <c r="H35" s="61" t="s">
        <v>54</v>
      </c>
      <c r="I35" s="62">
        <v>43435</v>
      </c>
      <c r="J35" s="75">
        <v>0.56944444444444442</v>
      </c>
      <c r="K35" s="66">
        <v>0.58333333333333337</v>
      </c>
      <c r="L35" s="64">
        <f>(TaskTimings[End Time]-TaskTimings[Start Time])*1440</f>
        <v>20.000000000000089</v>
      </c>
      <c r="M35" s="64" t="str">
        <f>TEXT(TaskTimings[End Time]-TaskTimings[Start Time],"HH:mm")</f>
        <v>00:20</v>
      </c>
      <c r="N35" s="64">
        <f>SUMIFS(TaskTimings[Total Minutes],TaskTimings[Date],TaskTimings[Date],TaskTimings[Employee],TaskTimings[Employee])</f>
        <v>375.00000000000011</v>
      </c>
      <c r="O35" s="64" t="str">
        <f>TEXT(TaskTimings[Day Total Minutes]/1440,"HH:mm")</f>
        <v>06:15</v>
      </c>
      <c r="P35" s="60" t="str">
        <f>TaskTimings[PRJ]</f>
        <v>SDS</v>
      </c>
      <c r="Q35" s="60" t="str">
        <f>TaskTimings[TSK]</f>
        <v>Testing</v>
      </c>
    </row>
    <row r="36" spans="1:17" x14ac:dyDescent="0.25">
      <c r="A36" s="59">
        <f t="shared" si="1"/>
        <v>35</v>
      </c>
      <c r="B36" s="60" t="str">
        <f>VLOOKUP(TaskTimings[Task],ProjectTasks[[TaskProjectCode]:[TSK]],2,0)</f>
        <v>SDS</v>
      </c>
      <c r="C36" s="60" t="str">
        <f>VLOOKUP(TaskTimings[Task],ProjectTasks[[TaskProjectCode]:[TSK]],3,0)</f>
        <v>Testing</v>
      </c>
      <c r="D36" s="60" t="str">
        <f>TaskTimings[Employee]&amp;"/"&amp;TaskTimings[Date]</f>
        <v>Aswathy/43435</v>
      </c>
      <c r="E36" s="60">
        <f>COUNTIF($D$1:TaskTimings[[#This Row],[EmployeeDate]],TaskTimings[[#This Row],[EmployeeDate]])</f>
        <v>3</v>
      </c>
      <c r="F36" s="60" t="str">
        <f>TaskTimings[[#This Row],[EmployeeDate]]&amp;"/"&amp;TaskTimings[[#This Row],[EmployeeDateSeq]]</f>
        <v>Aswathy/43435/3</v>
      </c>
      <c r="G36" s="61" t="s">
        <v>89</v>
      </c>
      <c r="H36" s="61" t="s">
        <v>54</v>
      </c>
      <c r="I36" s="62">
        <v>43435</v>
      </c>
      <c r="J36" s="75">
        <v>0.60763888888888895</v>
      </c>
      <c r="K36" s="66">
        <v>0.65277777777777779</v>
      </c>
      <c r="L36" s="64">
        <f>(TaskTimings[End Time]-TaskTimings[Start Time])*1440</f>
        <v>64.999999999999929</v>
      </c>
      <c r="M36" s="64" t="str">
        <f>TEXT(TaskTimings[End Time]-TaskTimings[Start Time],"HH:mm")</f>
        <v>01:05</v>
      </c>
      <c r="N36" s="64">
        <f>SUMIFS(TaskTimings[Total Minutes],TaskTimings[Date],TaskTimings[Date],TaskTimings[Employee],TaskTimings[Employee])</f>
        <v>375.00000000000011</v>
      </c>
      <c r="O36" s="64" t="str">
        <f>TEXT(TaskTimings[Day Total Minutes]/1440,"HH:mm")</f>
        <v>06:15</v>
      </c>
      <c r="P36" s="60" t="str">
        <f>TaskTimings[PRJ]</f>
        <v>SDS</v>
      </c>
      <c r="Q36" s="60" t="str">
        <f>TaskTimings[TSK]</f>
        <v>Testing</v>
      </c>
    </row>
    <row r="37" spans="1:17" x14ac:dyDescent="0.25">
      <c r="A37" s="59">
        <f t="shared" si="1"/>
        <v>36</v>
      </c>
      <c r="B37" s="60" t="str">
        <f>VLOOKUP(TaskTimings[Task],ProjectTasks[[TaskProjectCode]:[TSK]],2,0)</f>
        <v>SDS</v>
      </c>
      <c r="C37" s="60" t="str">
        <f>VLOOKUP(TaskTimings[Task],ProjectTasks[[TaskProjectCode]:[TSK]],3,0)</f>
        <v>Stage 2</v>
      </c>
      <c r="D37" s="60" t="str">
        <f>TaskTimings[Employee]&amp;"/"&amp;TaskTimings[Date]</f>
        <v>Aswathy/43435</v>
      </c>
      <c r="E37" s="60">
        <f>COUNTIF($D$1:TaskTimings[[#This Row],[EmployeeDate]],TaskTimings[[#This Row],[EmployeeDate]])</f>
        <v>4</v>
      </c>
      <c r="F37" s="60" t="str">
        <f>TaskTimings[[#This Row],[EmployeeDate]]&amp;"/"&amp;TaskTimings[[#This Row],[EmployeeDateSeq]]</f>
        <v>Aswathy/43435/4</v>
      </c>
      <c r="G37" s="61" t="s">
        <v>91</v>
      </c>
      <c r="H37" s="61" t="s">
        <v>54</v>
      </c>
      <c r="I37" s="62">
        <v>43435</v>
      </c>
      <c r="J37" s="75">
        <v>0.65277777777777779</v>
      </c>
      <c r="K37" s="66">
        <v>0.70833333333333337</v>
      </c>
      <c r="L37" s="64">
        <f>(TaskTimings[End Time]-TaskTimings[Start Time])*1440</f>
        <v>80.000000000000028</v>
      </c>
      <c r="M37" s="64" t="str">
        <f>TEXT(TaskTimings[End Time]-TaskTimings[Start Time],"HH:mm")</f>
        <v>01:20</v>
      </c>
      <c r="N37" s="64">
        <f>SUMIFS(TaskTimings[Total Minutes],TaskTimings[Date],TaskTimings[Date],TaskTimings[Employee],TaskTimings[Employee])</f>
        <v>375.00000000000011</v>
      </c>
      <c r="O37" s="64" t="str">
        <f>TEXT(TaskTimings[Day Total Minutes]/1440,"HH:mm")</f>
        <v>06:15</v>
      </c>
      <c r="P37" s="60" t="str">
        <f>TaskTimings[PRJ]</f>
        <v>SDS</v>
      </c>
      <c r="Q37" s="60" t="str">
        <f>TaskTimings[TSK]</f>
        <v>Stage 2</v>
      </c>
    </row>
  </sheetData>
  <dataValidations count="2">
    <dataValidation type="list" allowBlank="1" showInputMessage="1" showErrorMessage="1" sqref="H2:H37">
      <formula1>EmployeeNames</formula1>
    </dataValidation>
    <dataValidation type="list" allowBlank="1" showInputMessage="1" showErrorMessage="1" sqref="G2:G3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76" t="s">
        <v>72</v>
      </c>
      <c r="B1" s="76"/>
      <c r="C1" s="76"/>
      <c r="D1" s="76"/>
      <c r="E1" s="76"/>
    </row>
    <row r="2" spans="1:16" x14ac:dyDescent="0.25">
      <c r="A2" s="76"/>
      <c r="B2" s="76"/>
      <c r="C2" s="76"/>
      <c r="D2" s="76"/>
      <c r="E2" s="76"/>
      <c r="J2" s="94" t="s">
        <v>33</v>
      </c>
      <c r="K2" s="94"/>
      <c r="L2" s="94"/>
    </row>
    <row r="3" spans="1:16" x14ac:dyDescent="0.25">
      <c r="A3" s="76"/>
      <c r="B3" s="76"/>
      <c r="C3" s="76"/>
      <c r="D3" s="76"/>
      <c r="E3" s="76"/>
      <c r="J3" s="94"/>
      <c r="K3" s="94"/>
      <c r="L3" s="94"/>
    </row>
    <row r="4" spans="1:16" ht="15.75" thickBot="1" x14ac:dyDescent="0.3">
      <c r="A4" s="78" t="str">
        <f>VLOOKUP($A$1,Project[[Project]:[Project Code]],2,0)</f>
        <v>MITWEB</v>
      </c>
      <c r="B4" s="78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1" t="s">
        <v>31</v>
      </c>
      <c r="B5" s="79" t="s">
        <v>29</v>
      </c>
      <c r="C5" s="79"/>
      <c r="D5" s="79"/>
      <c r="E5" s="79"/>
      <c r="F5" s="79"/>
      <c r="G5" s="84" t="s">
        <v>32</v>
      </c>
      <c r="H5" s="88"/>
      <c r="J5" s="81" t="str">
        <f>IFERROR(VLOOKUP(J$4,Employees[],2,0),"")</f>
        <v>Aswathy</v>
      </c>
      <c r="K5" s="84" t="str">
        <f>IFERROR(VLOOKUP(K$4,Employees[],2,0),"")</f>
        <v>Vishnu</v>
      </c>
      <c r="L5" s="84" t="str">
        <f>IFERROR(VLOOKUP(L$4,Employees[],2,0),"")</f>
        <v>Shareena</v>
      </c>
      <c r="M5" s="84" t="str">
        <f>IFERROR(VLOOKUP(M$4,Employees[],2,0),"")</f>
        <v>Firose</v>
      </c>
      <c r="N5" s="84" t="str">
        <f>IFERROR(VLOOKUP(N$4,Employees[],2,0),"")</f>
        <v/>
      </c>
      <c r="O5" s="84" t="str">
        <f>IFERROR(VLOOKUP(O$4,Employees[],2,0),"")</f>
        <v/>
      </c>
      <c r="P5" s="88" t="str">
        <f>IFERROR(VLOOKUP(P$4,Employees[],2,0),"")</f>
        <v/>
      </c>
    </row>
    <row r="6" spans="1:16" x14ac:dyDescent="0.25">
      <c r="A6" s="82"/>
      <c r="B6" s="80"/>
      <c r="C6" s="80"/>
      <c r="D6" s="80"/>
      <c r="E6" s="80"/>
      <c r="F6" s="80"/>
      <c r="G6" s="85"/>
      <c r="H6" s="89"/>
      <c r="J6" s="82"/>
      <c r="K6" s="85"/>
      <c r="L6" s="85"/>
      <c r="M6" s="85"/>
      <c r="N6" s="85"/>
      <c r="O6" s="85"/>
      <c r="P6" s="89"/>
    </row>
    <row r="7" spans="1:16" x14ac:dyDescent="0.25">
      <c r="A7" s="12">
        <v>1</v>
      </c>
      <c r="B7" s="77" t="str">
        <f>IFERROR(VLOOKUP($A$4&amp;"-"&amp;$A7,ProjectTasks[[PRJTSKSEQ]:[Task]],2,0),"")</f>
        <v>Modification</v>
      </c>
      <c r="C7" s="77"/>
      <c r="D7" s="77"/>
      <c r="E7" s="77"/>
      <c r="F7" s="77"/>
      <c r="G7" s="86">
        <f>SUMIFS(TaskTimings[Total Minutes],TaskTimings[PRJ],$A$4,TaskTimings[TSK],$B7)</f>
        <v>60.000000000000028</v>
      </c>
      <c r="H7" s="87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60.000000000000028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77" t="str">
        <f>IFERROR(VLOOKUP($A$4&amp;"-"&amp;$A8,ProjectTasks[[PRJTSKSEQ]:[Task]],2,0),"")</f>
        <v/>
      </c>
      <c r="C8" s="77"/>
      <c r="D8" s="77"/>
      <c r="E8" s="77"/>
      <c r="F8" s="77"/>
      <c r="G8" s="86">
        <f>SUMIFS(TaskTimings[Total Minutes],TaskTimings[PRJ],$A$4,TaskTimings[TSK],$B8)</f>
        <v>0</v>
      </c>
      <c r="H8" s="87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77" t="str">
        <f>IFERROR(VLOOKUP($A$4&amp;"-"&amp;$A9,ProjectTasks[[PRJTSKSEQ]:[Task]],2,0),"")</f>
        <v/>
      </c>
      <c r="C9" s="77"/>
      <c r="D9" s="77"/>
      <c r="E9" s="77"/>
      <c r="F9" s="77"/>
      <c r="G9" s="86">
        <f>SUMIFS(TaskTimings[Total Minutes],TaskTimings[PRJ],$A$4,TaskTimings[TSK],$B9)</f>
        <v>0</v>
      </c>
      <c r="H9" s="87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77" t="str">
        <f>IFERROR(VLOOKUP($A$4&amp;"-"&amp;$A10,ProjectTasks[[PRJTSKSEQ]:[Task]],2,0),"")</f>
        <v/>
      </c>
      <c r="C10" s="77"/>
      <c r="D10" s="77"/>
      <c r="E10" s="77"/>
      <c r="F10" s="77"/>
      <c r="G10" s="86">
        <f>SUMIFS(TaskTimings[Total Minutes],TaskTimings[PRJ],$A$4,TaskTimings[TSK],$B10)</f>
        <v>0</v>
      </c>
      <c r="H10" s="87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77" t="str">
        <f>IFERROR(VLOOKUP($A$4&amp;"-"&amp;$A11,ProjectTasks[[PRJTSKSEQ]:[Task]],2,0),"")</f>
        <v/>
      </c>
      <c r="C11" s="77"/>
      <c r="D11" s="77"/>
      <c r="E11" s="77"/>
      <c r="F11" s="77"/>
      <c r="G11" s="86">
        <f>SUMIFS(TaskTimings[Total Minutes],TaskTimings[PRJ],$A$4,TaskTimings[TSK],$B11)</f>
        <v>0</v>
      </c>
      <c r="H11" s="87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77" t="str">
        <f>IFERROR(VLOOKUP($A$4&amp;"-"&amp;$A12,ProjectTasks[[PRJTSKSEQ]:[Task]],2,0),"")</f>
        <v/>
      </c>
      <c r="C12" s="77"/>
      <c r="D12" s="77"/>
      <c r="E12" s="77"/>
      <c r="F12" s="77"/>
      <c r="G12" s="86">
        <f>SUMIFS(TaskTimings[Total Minutes],TaskTimings[PRJ],$A$4,TaskTimings[TSK],$B12)</f>
        <v>0</v>
      </c>
      <c r="H12" s="87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77" t="str">
        <f>IFERROR(VLOOKUP($A$4&amp;"-"&amp;$A13,ProjectTasks[[PRJTSKSEQ]:[Task]],2,0),"")</f>
        <v/>
      </c>
      <c r="C13" s="77"/>
      <c r="D13" s="77"/>
      <c r="E13" s="77"/>
      <c r="F13" s="77"/>
      <c r="G13" s="86">
        <f>SUMIFS(TaskTimings[Total Minutes],TaskTimings[PRJ],$A$4,TaskTimings[TSK],$B13)</f>
        <v>0</v>
      </c>
      <c r="H13" s="87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77" t="str">
        <f>IFERROR(VLOOKUP($A$4&amp;"-"&amp;$A14,ProjectTasks[[PRJTSKSEQ]:[Task]],2,0),"")</f>
        <v/>
      </c>
      <c r="C14" s="77"/>
      <c r="D14" s="77"/>
      <c r="E14" s="77"/>
      <c r="F14" s="77"/>
      <c r="G14" s="86">
        <f>SUMIFS(TaskTimings[Total Minutes],TaskTimings[PRJ],$A$4,TaskTimings[TSK],$B14)</f>
        <v>0</v>
      </c>
      <c r="H14" s="87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77" t="str">
        <f>IFERROR(VLOOKUP($A$4&amp;"-"&amp;$A15,ProjectTasks[[PRJTSKSEQ]:[Task]],2,0),"")</f>
        <v/>
      </c>
      <c r="C15" s="77"/>
      <c r="D15" s="77"/>
      <c r="E15" s="77"/>
      <c r="F15" s="77"/>
      <c r="G15" s="86">
        <f>SUMIFS(TaskTimings[Total Minutes],TaskTimings[PRJ],$A$4,TaskTimings[TSK],$B15)</f>
        <v>0</v>
      </c>
      <c r="H15" s="87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77" t="str">
        <f>IFERROR(VLOOKUP($A$4&amp;"-"&amp;$A16,ProjectTasks[[PRJTSKSEQ]:[Task]],2,0),"")</f>
        <v/>
      </c>
      <c r="C16" s="77"/>
      <c r="D16" s="77"/>
      <c r="E16" s="77"/>
      <c r="F16" s="77"/>
      <c r="G16" s="86">
        <f>SUMIFS(TaskTimings[Total Minutes],TaskTimings[PRJ],$A$4,TaskTimings[TSK],$B16)</f>
        <v>0</v>
      </c>
      <c r="H16" s="87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77" t="str">
        <f>IFERROR(VLOOKUP($A$4&amp;"-"&amp;$A17,ProjectTasks[[PRJTSKSEQ]:[Task]],2,0),"")</f>
        <v/>
      </c>
      <c r="C17" s="77"/>
      <c r="D17" s="77"/>
      <c r="E17" s="77"/>
      <c r="F17" s="77"/>
      <c r="G17" s="86">
        <f>SUMIFS(TaskTimings[Total Minutes],TaskTimings[PRJ],$A$4,TaskTimings[TSK],$B17)</f>
        <v>0</v>
      </c>
      <c r="H17" s="87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77" t="str">
        <f>IFERROR(VLOOKUP($A$4&amp;"-"&amp;$A18,ProjectTasks[[PRJTSKSEQ]:[Task]],2,0),"")</f>
        <v/>
      </c>
      <c r="C18" s="77"/>
      <c r="D18" s="77"/>
      <c r="E18" s="77"/>
      <c r="F18" s="77"/>
      <c r="G18" s="86">
        <f>SUMIFS(TaskTimings[Total Minutes],TaskTimings[PRJ],$A$4,TaskTimings[TSK],$B18)</f>
        <v>0</v>
      </c>
      <c r="H18" s="87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77" t="str">
        <f>IFERROR(VLOOKUP($A$4&amp;"-"&amp;$A19,ProjectTasks[[PRJTSKSEQ]:[Task]],2,0),"")</f>
        <v/>
      </c>
      <c r="C19" s="77"/>
      <c r="D19" s="77"/>
      <c r="E19" s="77"/>
      <c r="F19" s="77"/>
      <c r="G19" s="86">
        <f>SUMIFS(TaskTimings[Total Minutes],TaskTimings[PRJ],$A$4,TaskTimings[TSK],$B19)</f>
        <v>0</v>
      </c>
      <c r="H19" s="87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77" t="str">
        <f>IFERROR(VLOOKUP($A$4&amp;"-"&amp;$A20,ProjectTasks[[PRJTSKSEQ]:[Task]],2,0),"")</f>
        <v/>
      </c>
      <c r="C20" s="77"/>
      <c r="D20" s="77"/>
      <c r="E20" s="77"/>
      <c r="F20" s="77"/>
      <c r="G20" s="86">
        <f>SUMIFS(TaskTimings[Total Minutes],TaskTimings[PRJ],$A$4,TaskTimings[TSK],$B20)</f>
        <v>0</v>
      </c>
      <c r="H20" s="87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3" t="str">
        <f>IFERROR(VLOOKUP($A$4&amp;"-"&amp;$A21,ProjectTasks[[PRJTSKSEQ]:[Task]],2,0),"")</f>
        <v/>
      </c>
      <c r="C21" s="83"/>
      <c r="D21" s="83"/>
      <c r="E21" s="83"/>
      <c r="F21" s="83"/>
      <c r="G21" s="92">
        <f>SUMIFS(TaskTimings[Total Minutes],TaskTimings[PRJ],$A$4,TaskTimings[TSK],$B21)</f>
        <v>0</v>
      </c>
      <c r="H21" s="9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5" t="s">
        <v>24</v>
      </c>
      <c r="E23" s="96"/>
      <c r="F23" s="97"/>
      <c r="G23" s="95">
        <f>SUM(G7:H21)</f>
        <v>60.000000000000028</v>
      </c>
      <c r="H23" s="97"/>
      <c r="J23" s="90">
        <f>SUM(J7:J21)</f>
        <v>0</v>
      </c>
      <c r="K23" s="90">
        <f t="shared" ref="K23:P23" si="0">SUM(K7:K21)</f>
        <v>0</v>
      </c>
      <c r="L23" s="90">
        <f t="shared" si="0"/>
        <v>0</v>
      </c>
      <c r="M23" s="90">
        <f t="shared" si="0"/>
        <v>60.000000000000028</v>
      </c>
      <c r="N23" s="90">
        <f t="shared" si="0"/>
        <v>0</v>
      </c>
      <c r="O23" s="90">
        <f t="shared" si="0"/>
        <v>0</v>
      </c>
      <c r="P23" s="90">
        <f t="shared" si="0"/>
        <v>0</v>
      </c>
    </row>
    <row r="24" spans="1:16" ht="15.75" thickBot="1" x14ac:dyDescent="0.3">
      <c r="D24" s="98"/>
      <c r="E24" s="99"/>
      <c r="F24" s="100"/>
      <c r="G24" s="98"/>
      <c r="H24" s="100"/>
      <c r="J24" s="91"/>
      <c r="K24" s="91"/>
      <c r="L24" s="91"/>
      <c r="M24" s="91"/>
      <c r="N24" s="91"/>
      <c r="O24" s="91"/>
      <c r="P24" s="91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6" workbookViewId="0">
      <selection sqref="A1:D3"/>
    </sheetView>
  </sheetViews>
  <sheetFormatPr defaultRowHeight="15" x14ac:dyDescent="0.25"/>
  <sheetData>
    <row r="1" spans="1:28" x14ac:dyDescent="0.25">
      <c r="A1" s="120" t="s">
        <v>34</v>
      </c>
      <c r="B1" s="120"/>
      <c r="C1" s="120"/>
      <c r="D1" s="120"/>
      <c r="F1" s="122" t="s">
        <v>35</v>
      </c>
      <c r="G1" s="122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0"/>
      <c r="B2" s="120"/>
      <c r="C2" s="120"/>
      <c r="D2" s="120"/>
      <c r="F2" s="121">
        <v>43430</v>
      </c>
      <c r="G2" s="121"/>
      <c r="I2" s="101">
        <f>SUM(I7:I30)</f>
        <v>1890</v>
      </c>
      <c r="J2" s="103" t="str">
        <f>TEXT($I$2/1440,"H:mm")</f>
        <v>7:30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0"/>
      <c r="B3" s="120"/>
      <c r="C3" s="120"/>
      <c r="D3" s="120"/>
      <c r="F3" s="121"/>
      <c r="G3" s="121"/>
      <c r="I3" s="102"/>
      <c r="J3" s="10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4" t="s">
        <v>44</v>
      </c>
      <c r="L4" s="94"/>
      <c r="M4" s="94"/>
    </row>
    <row r="5" spans="1:28" ht="15.75" thickBot="1" x14ac:dyDescent="0.3">
      <c r="B5" s="94" t="s">
        <v>45</v>
      </c>
      <c r="C5" s="94"/>
      <c r="D5" s="94"/>
      <c r="E5" s="94"/>
      <c r="F5" s="94"/>
      <c r="K5" s="118"/>
      <c r="L5" s="118"/>
      <c r="M5" s="118"/>
    </row>
    <row r="6" spans="1:28" ht="15.75" thickBot="1" x14ac:dyDescent="0.3">
      <c r="A6" s="14">
        <v>1</v>
      </c>
      <c r="B6" s="119"/>
      <c r="C6" s="119"/>
      <c r="D6" s="119"/>
      <c r="E6" s="119"/>
      <c r="F6" s="119"/>
      <c r="J6" s="25"/>
      <c r="K6" s="38" t="s">
        <v>0</v>
      </c>
      <c r="L6" s="111" t="s">
        <v>4</v>
      </c>
      <c r="M6" s="111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3">
        <f>$F$2</f>
        <v>43430</v>
      </c>
      <c r="C7" s="84"/>
      <c r="D7" s="124" t="str">
        <f>IFERROR(VLOOKUP($A$1&amp;"/"&amp;$B$7&amp;"/"&amp;$A6,TaskTimings[[EmployeeDateSeqCode]:[Task]],2,0),"")</f>
        <v>TKT/Discussion for ticketing modification</v>
      </c>
      <c r="E7" s="124"/>
      <c r="F7" s="124"/>
      <c r="G7" s="124"/>
      <c r="H7" s="23">
        <f>IFERROR(VLOOKUP($A$1&amp;"/"&amp;$B$7&amp;"/"&amp;$A6,TaskTimings[[EmployeeDateSeqCode]:[Total Minutes]],7,0),0)</f>
        <v>59.999999999999943</v>
      </c>
      <c r="I7" s="113">
        <f>SUM(H7:H10)</f>
        <v>419.99999999999989</v>
      </c>
      <c r="J7" s="25"/>
      <c r="K7" s="30">
        <v>1</v>
      </c>
      <c r="L7" s="105" t="str">
        <f>IFERROR(VLOOKUP($K7,$X$7:$Y$30,2,0),"")</f>
        <v>TKT</v>
      </c>
      <c r="M7" s="105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89.999999999999915</v>
      </c>
    </row>
    <row r="8" spans="1:28" x14ac:dyDescent="0.25">
      <c r="A8" s="14">
        <v>3</v>
      </c>
      <c r="B8" s="82"/>
      <c r="C8" s="85"/>
      <c r="D8" s="114" t="str">
        <f>IFERROR(VLOOKUP($A$1&amp;"/"&amp;$B$7&amp;"/"&amp;$A7,TaskTimings[[EmployeeDateSeqCode]:[Task]],2,0),"")</f>
        <v>PPOIO/Project Study</v>
      </c>
      <c r="E8" s="114"/>
      <c r="F8" s="114"/>
      <c r="G8" s="114"/>
      <c r="H8" s="22">
        <f>IFERROR(VLOOKUP($A$1&amp;"/"&amp;$B$7&amp;"/"&amp;$A7,TaskTimings[[EmployeeDateSeqCode]:[Total Minutes]],7,0),0)</f>
        <v>119.99999999999997</v>
      </c>
      <c r="I8" s="103"/>
      <c r="J8" s="25"/>
      <c r="K8" s="30">
        <v>2</v>
      </c>
      <c r="L8" s="105" t="str">
        <f>IFERROR(VLOOKUP($K8,$X$7:$Y$30,2,0),"")</f>
        <v>PPOIO</v>
      </c>
      <c r="M8" s="105"/>
      <c r="N8" s="26">
        <f t="shared" ref="N8:N11" si="0">SUMIFS($AB$8:$AB$30,$Y$8:$Y$30,$L8)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PPOIO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PPOIO</v>
      </c>
      <c r="Z8" s="33" t="str">
        <f>IF($Y8="","",$Y8&amp;"/"&amp;COUNTIF($Y$7:$Y8,$Y8))</f>
        <v>PPOIO/1</v>
      </c>
      <c r="AA8" s="33" t="str">
        <f>IF($Z8="","",VLOOKUP($D8,TaskTimings[[Task]:[TSKLST]],11,0))</f>
        <v>Project Study</v>
      </c>
      <c r="AB8" s="33">
        <f t="shared" ref="AB8:AB30" si="2">IF($AA8="",0,SUMIFS($H$7:$H$30,$D$7:$D$30,$Y8&amp;"/"&amp;$AA8))</f>
        <v>119.99999999999997</v>
      </c>
    </row>
    <row r="9" spans="1:28" x14ac:dyDescent="0.25">
      <c r="A9" s="14">
        <v>4</v>
      </c>
      <c r="B9" s="82"/>
      <c r="C9" s="85"/>
      <c r="D9" s="114" t="str">
        <f>IFERROR(VLOOKUP($A$1&amp;"/"&amp;$B$7&amp;"/"&amp;$A8,TaskTimings[[EmployeeDateSeqCode]:[Task]],2,0),"")</f>
        <v>PPOIO/Business Plan</v>
      </c>
      <c r="E9" s="114"/>
      <c r="F9" s="114"/>
      <c r="G9" s="114"/>
      <c r="H9" s="22">
        <f>IFERROR(VLOOKUP($A$1&amp;"/"&amp;$B$7&amp;"/"&amp;$A8,TaskTimings[[EmployeeDateSeqCode]:[Total Minutes]],7,0),0)</f>
        <v>239.99999999999994</v>
      </c>
      <c r="I9" s="103"/>
      <c r="J9" s="25"/>
      <c r="K9" s="30">
        <v>3</v>
      </c>
      <c r="L9" s="105" t="str">
        <f>IFERROR(VLOOKUP($K9,$X$7:$Y$30,2,0),"")</f>
        <v/>
      </c>
      <c r="M9" s="105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PPOIO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PPOIO</v>
      </c>
      <c r="Z9" s="33" t="str">
        <f>IF($Y9="","",$Y9&amp;"/"&amp;COUNTIF($Y$7:$Y9,$Y9))</f>
        <v>PPOIO/2</v>
      </c>
      <c r="AA9" s="33" t="str">
        <f>IF($Z9="","",VLOOKUP($D9,TaskTimings[[Task]:[TSKLST]],11,0))</f>
        <v>Business Plan</v>
      </c>
      <c r="AB9" s="33">
        <f t="shared" si="2"/>
        <v>239.99999999999994</v>
      </c>
    </row>
    <row r="10" spans="1:28" x14ac:dyDescent="0.25">
      <c r="A10" s="14">
        <v>1</v>
      </c>
      <c r="B10" s="82"/>
      <c r="C10" s="85"/>
      <c r="D10" s="114" t="str">
        <f>IFERROR(VLOOKUP($A$1&amp;"/"&amp;$B$7&amp;"/"&amp;$A9,TaskTimings[[EmployeeDateSeqCode]:[Task]],2,0),"")</f>
        <v/>
      </c>
      <c r="E10" s="114"/>
      <c r="F10" s="114"/>
      <c r="G10" s="114"/>
      <c r="H10" s="22">
        <f>IFERROR(VLOOKUP($A$1&amp;"/"&amp;$B$7&amp;"/"&amp;$A9,TaskTimings[[EmployeeDateSeqCode]:[Total Minutes]],7,0),0)</f>
        <v>0</v>
      </c>
      <c r="I10" s="103"/>
      <c r="J10" s="25"/>
      <c r="K10" s="30">
        <v>4</v>
      </c>
      <c r="L10" s="105" t="str">
        <f>IFERROR(VLOOKUP($K10,$X$7:$Y$30,2,0),"")</f>
        <v>TEEBPD</v>
      </c>
      <c r="M10" s="105"/>
      <c r="N10" s="26">
        <f t="shared" si="0"/>
        <v>1380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15">
        <f>B7+1</f>
        <v>43431</v>
      </c>
      <c r="C11" s="85"/>
      <c r="D11" s="114" t="str">
        <f>IFERROR(VLOOKUP($A$1&amp;"/"&amp;$B$11&amp;"/"&amp;$A10,TaskTimings[[EmployeeDateSeqCode]:[Task]],2,0),"")</f>
        <v>TEEBPD/Client Suggestion Implementation</v>
      </c>
      <c r="E11" s="114"/>
      <c r="F11" s="114"/>
      <c r="G11" s="114"/>
      <c r="H11" s="22">
        <f>IFERROR(VLOOKUP($A$1&amp;"/"&amp;$B$11&amp;"/"&amp;$A10,TaskTimings[[EmployeeDateSeqCode]:[Total Minutes]],7,0),0)</f>
        <v>480.00000000000006</v>
      </c>
      <c r="I11" s="103">
        <f t="shared" ref="I11" si="3">SUM(H11:H14)</f>
        <v>480.00000000000006</v>
      </c>
      <c r="J11" s="25"/>
      <c r="K11" s="31">
        <v>5</v>
      </c>
      <c r="L11" s="108" t="str">
        <f>IFERROR(VLOOKUP($K11,$X$7:$Y$30,2,0),"")</f>
        <v/>
      </c>
      <c r="M11" s="108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33" t="str">
        <f>IF($U11=0,"",VLOOKUP($D11,TaskTimings[[Task]:[PRJLST]],10,0))</f>
        <v>TEEBPD</v>
      </c>
      <c r="W11" s="14">
        <f>IF($V11="","",COUNTIF($V$7:$V11,$V11))</f>
        <v>1</v>
      </c>
      <c r="X11" s="14">
        <f>IF($W11=1,SUM($X$6:$X10)+1,"")</f>
        <v>4</v>
      </c>
      <c r="Y11" s="37" t="str">
        <f t="shared" si="1"/>
        <v>TEEBPD</v>
      </c>
      <c r="Z11" s="33" t="str">
        <f>IF($Y11="","",$Y11&amp;"/"&amp;COUNTIF($Y$7:$Y11,$Y11))</f>
        <v>TEEBPD/1</v>
      </c>
      <c r="AA11" s="33" t="str">
        <f>IF($Z11="","",VLOOKUP($D11,TaskTimings[[Task]:[TSKLST]],11,0))</f>
        <v>Client Suggestion Implementation</v>
      </c>
      <c r="AB11" s="33">
        <f t="shared" si="2"/>
        <v>480.00000000000006</v>
      </c>
    </row>
    <row r="12" spans="1:28" x14ac:dyDescent="0.25">
      <c r="A12" s="14">
        <v>3</v>
      </c>
      <c r="B12" s="82"/>
      <c r="C12" s="85"/>
      <c r="D12" s="114" t="str">
        <f>IFERROR(VLOOKUP($A$1&amp;"/"&amp;$B$11&amp;"/"&amp;$A11,TaskTimings[[EmployeeDateSeqCode]:[Task]],2,0),"")</f>
        <v/>
      </c>
      <c r="E12" s="114"/>
      <c r="F12" s="114"/>
      <c r="G12" s="114"/>
      <c r="H12" s="22">
        <f>IFERROR(VLOOKUP($A$1&amp;"/"&amp;$B$11&amp;"/"&amp;$A11,TaskTimings[[EmployeeDateSeqCode]:[Total Minutes]],7,0),0)</f>
        <v>0</v>
      </c>
      <c r="I12" s="10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82"/>
      <c r="C13" s="85"/>
      <c r="D13" s="114" t="str">
        <f>IFERROR(VLOOKUP($A$1&amp;"/"&amp;$B$11&amp;"/"&amp;$A12,TaskTimings[[EmployeeDateSeqCode]:[Task]],2,0),"")</f>
        <v/>
      </c>
      <c r="E13" s="114"/>
      <c r="F13" s="114"/>
      <c r="G13" s="114"/>
      <c r="H13" s="22">
        <f>IFERROR(VLOOKUP($A$1&amp;"/"&amp;$B$11&amp;"/"&amp;$A12,TaskTimings[[EmployeeDateSeqCode]:[Total Minutes]],7,0),0)</f>
        <v>0</v>
      </c>
      <c r="I13" s="103"/>
      <c r="J13" s="25"/>
      <c r="K13" s="118" t="s">
        <v>46</v>
      </c>
      <c r="L13" s="118"/>
      <c r="M13" s="118"/>
      <c r="N13" s="118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82"/>
      <c r="C14" s="85"/>
      <c r="D14" s="114" t="str">
        <f>IFERROR(VLOOKUP($A$1&amp;"/"&amp;$B$11&amp;"/"&amp;$A13,TaskTimings[[EmployeeDateSeqCode]:[Task]],2,0),"")</f>
        <v/>
      </c>
      <c r="E14" s="114"/>
      <c r="F14" s="114"/>
      <c r="G14" s="114"/>
      <c r="H14" s="22">
        <f>IFERROR(VLOOKUP($A$1&amp;"/"&amp;$B$11&amp;"/"&amp;$A13,TaskTimings[[EmployeeDateSeqCode]:[Total Minutes]],7,0),0)</f>
        <v>0</v>
      </c>
      <c r="I14" s="103"/>
      <c r="J14" s="25"/>
      <c r="K14" s="119"/>
      <c r="L14" s="119"/>
      <c r="M14" s="119"/>
      <c r="N14" s="119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15">
        <f>B11+1</f>
        <v>43432</v>
      </c>
      <c r="C15" s="85"/>
      <c r="D15" s="114" t="str">
        <f>IFERROR(VLOOKUP($A$1&amp;"/"&amp;$B$15&amp;"/"&amp;$A14,TaskTimings[[EmployeeDateSeqCode]:[Task]],2,0),"")</f>
        <v>MITWEB/Modification</v>
      </c>
      <c r="E15" s="114"/>
      <c r="F15" s="114"/>
      <c r="G15" s="114"/>
      <c r="H15" s="22">
        <f>IFERROR(VLOOKUP($A$1&amp;"/"&amp;$B$15&amp;"/"&amp;$A14,TaskTimings[[EmployeeDateSeqCode]:[Total Minutes]],7,0),0)</f>
        <v>60.000000000000028</v>
      </c>
      <c r="I15" s="103">
        <f t="shared" ref="I15" si="4">SUM(H15:H18)</f>
        <v>210.00000000000006</v>
      </c>
      <c r="J15" s="25"/>
      <c r="K15" s="110" t="s">
        <v>4</v>
      </c>
      <c r="L15" s="109"/>
      <c r="M15" s="109" t="s">
        <v>29</v>
      </c>
      <c r="N15" s="109"/>
      <c r="O15" s="109"/>
      <c r="P15" s="109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MITWEB</v>
      </c>
      <c r="W15" s="14">
        <f>IF($V15="","",COUNTIF($V$7:$V15,$V15))</f>
        <v>1</v>
      </c>
      <c r="X15" s="14">
        <f>IF($W15=1,SUM($X$6:$X14)+1,"")</f>
        <v>8</v>
      </c>
      <c r="Y15" s="37" t="str">
        <f t="shared" si="1"/>
        <v>MITWEB</v>
      </c>
      <c r="Z15" s="33" t="str">
        <f>IF($Y15="","",$Y15&amp;"/"&amp;COUNTIF($Y$7:$Y15,$Y15))</f>
        <v>MITWEB/1</v>
      </c>
      <c r="AA15" s="33" t="str">
        <f>IF($Z15="","",VLOOKUP($D15,TaskTimings[[Task]:[TSKLST]],11,0))</f>
        <v>Modification</v>
      </c>
      <c r="AB15" s="33">
        <f t="shared" si="2"/>
        <v>60.000000000000028</v>
      </c>
    </row>
    <row r="16" spans="1:28" x14ac:dyDescent="0.25">
      <c r="A16" s="14">
        <v>3</v>
      </c>
      <c r="B16" s="82"/>
      <c r="C16" s="85"/>
      <c r="D16" s="114" t="str">
        <f>IFERROR(VLOOKUP($A$1&amp;"/"&amp;$B$15&amp;"/"&amp;$A15,TaskTimings[[EmployeeDateSeqCode]:[Task]],2,0),"")</f>
        <v>TKT/Discussion for ticketing modification</v>
      </c>
      <c r="E16" s="114"/>
      <c r="F16" s="114"/>
      <c r="G16" s="114"/>
      <c r="H16" s="22">
        <f>IFERROR(VLOOKUP($A$1&amp;"/"&amp;$B$15&amp;"/"&amp;$A15,TaskTimings[[EmployeeDateSeqCode]:[Total Minutes]],7,0),0)</f>
        <v>29.999999999999972</v>
      </c>
      <c r="I16" s="103"/>
      <c r="J16" s="28">
        <v>1</v>
      </c>
      <c r="K16" s="106" t="str">
        <f>VLOOKUP(1,$K$7:$M$11,2,0)</f>
        <v>TKT</v>
      </c>
      <c r="L16" s="86"/>
      <c r="M16" s="105" t="str">
        <f>IF($K$16="","",IFERROR(VLOOKUP($K$16&amp;"/"&amp;$J16,$Z$7:$AA$30,2,0),""))</f>
        <v>Discussion for ticketing modification</v>
      </c>
      <c r="N16" s="105"/>
      <c r="O16" s="105"/>
      <c r="P16" s="105"/>
      <c r="Q16" s="22">
        <f>IF($M16="","",SUMIFS($H$7:$H$30,$D$7:$D$30,$K$16&amp;"/"&amp;$M16))</f>
        <v>89.999999999999915</v>
      </c>
      <c r="R16" s="103">
        <f>SUM(Q16:Q19)</f>
        <v>89.999999999999915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82"/>
      <c r="C17" s="85"/>
      <c r="D17" s="114" t="str">
        <f>IFERROR(VLOOKUP($A$1&amp;"/"&amp;$B$15&amp;"/"&amp;$A16,TaskTimings[[EmployeeDateSeqCode]:[Task]],2,0),"")</f>
        <v>TEEBPD/Finalizing</v>
      </c>
      <c r="E17" s="114"/>
      <c r="F17" s="114"/>
      <c r="G17" s="114"/>
      <c r="H17" s="22">
        <f>IFERROR(VLOOKUP($A$1&amp;"/"&amp;$B$15&amp;"/"&amp;$A16,TaskTimings[[EmployeeDateSeqCode]:[Total Minutes]],7,0),0)</f>
        <v>120.00000000000006</v>
      </c>
      <c r="I17" s="103"/>
      <c r="J17" s="28">
        <v>2</v>
      </c>
      <c r="K17" s="106"/>
      <c r="L17" s="86"/>
      <c r="M17" s="105" t="str">
        <f>IF($K$16="","",IFERROR(VLOOKUP($K$16&amp;"/"&amp;$J17,$Z$7:$AA$30,2,0),""))</f>
        <v/>
      </c>
      <c r="N17" s="105"/>
      <c r="O17" s="105"/>
      <c r="P17" s="105"/>
      <c r="Q17" s="22" t="str">
        <f>IF($M17="","",SUMIFS($H$7:$H$30,$D$7:$D$30,$K$16&amp;"/"&amp;$M17))</f>
        <v/>
      </c>
      <c r="R17" s="103"/>
      <c r="S17" s="35"/>
      <c r="T17" s="36"/>
      <c r="U17" s="14">
        <f>IF(COUNTIFS($D$6:$D17,D17)=1,1,0)</f>
        <v>1</v>
      </c>
      <c r="V17" s="33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IF($W17=1,SUM($X$6:$X16)+1,"")</f>
        <v/>
      </c>
      <c r="Y17" s="37" t="str">
        <f t="shared" si="1"/>
        <v>TEEBPD</v>
      </c>
      <c r="Z17" s="33" t="str">
        <f>IF($Y17="","",$Y17&amp;"/"&amp;COUNTIF($Y$7:$Y17,$Y17))</f>
        <v>TEEBPD/2</v>
      </c>
      <c r="AA17" s="33" t="str">
        <f>IF($Z17="","",VLOOKUP($D17,TaskTimings[[Task]:[TSKLST]],11,0))</f>
        <v>Finalizing</v>
      </c>
      <c r="AB17" s="33">
        <f t="shared" si="2"/>
        <v>720</v>
      </c>
    </row>
    <row r="18" spans="1:28" x14ac:dyDescent="0.25">
      <c r="A18" s="14">
        <v>1</v>
      </c>
      <c r="B18" s="82"/>
      <c r="C18" s="85"/>
      <c r="D18" s="114" t="str">
        <f>IFERROR(VLOOKUP($A$1&amp;"/"&amp;$B$15&amp;"/"&amp;$A17,TaskTimings[[EmployeeDateSeqCode]:[Task]],2,0),"")</f>
        <v/>
      </c>
      <c r="E18" s="114"/>
      <c r="F18" s="114"/>
      <c r="G18" s="114"/>
      <c r="H18" s="22">
        <f>IFERROR(VLOOKUP($A$1&amp;"/"&amp;$B$15&amp;"/"&amp;$A17,TaskTimings[[EmployeeDateSeqCode]:[Total Minutes]],7,0),0)</f>
        <v>0</v>
      </c>
      <c r="I18" s="103"/>
      <c r="J18" s="28">
        <v>3</v>
      </c>
      <c r="K18" s="106"/>
      <c r="L18" s="86"/>
      <c r="M18" s="105" t="str">
        <f>IF($K$16="","",IFERROR(VLOOKUP($K$16&amp;"/"&amp;$J18,$Z$7:$AA$30,2,0),""))</f>
        <v/>
      </c>
      <c r="N18" s="105"/>
      <c r="O18" s="105"/>
      <c r="P18" s="105"/>
      <c r="Q18" s="22" t="str">
        <f>IF($M18="","",SUMIFS($H$7:$H$30,$D$7:$D$30,$K$16&amp;"/"&amp;$M18))</f>
        <v/>
      </c>
      <c r="R18" s="103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15">
        <f>B15+1</f>
        <v>43433</v>
      </c>
      <c r="C19" s="85"/>
      <c r="D19" s="114" t="str">
        <f>IFERROR(VLOOKUP($A$1&amp;"/"&amp;$B$19&amp;"/"&amp;$A18,TaskTimings[[EmployeeDateSeqCode]:[Task]],2,0),"")</f>
        <v>TEEBPD/Finalizing</v>
      </c>
      <c r="E19" s="114"/>
      <c r="F19" s="114"/>
      <c r="G19" s="114"/>
      <c r="H19" s="22">
        <f>IFERROR(VLOOKUP($A$1&amp;"/"&amp;$B$19&amp;"/"&amp;$A18,TaskTimings[[EmployeeDateSeqCode]:[Total Minutes]],7,0),0)</f>
        <v>420</v>
      </c>
      <c r="I19" s="103">
        <f t="shared" ref="I19" si="5">SUM(H19:H22)</f>
        <v>420</v>
      </c>
      <c r="J19" s="28">
        <v>4</v>
      </c>
      <c r="K19" s="106"/>
      <c r="L19" s="86"/>
      <c r="M19" s="105" t="str">
        <f>IF($K$16="","",IFERROR(VLOOKUP($K$16&amp;"/"&amp;$J19,$Z$7:$AA$30,2,0),""))</f>
        <v/>
      </c>
      <c r="N19" s="105"/>
      <c r="O19" s="105"/>
      <c r="P19" s="105"/>
      <c r="Q19" s="22" t="str">
        <f>IF($M19="","",SUMIFS($H$7:$H$30,$D$7:$D$30,$K$16&amp;"/"&amp;$M19))</f>
        <v/>
      </c>
      <c r="R19" s="103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82"/>
      <c r="C20" s="85"/>
      <c r="D20" s="114" t="str">
        <f>IFERROR(VLOOKUP($A$1&amp;"/"&amp;$B$19&amp;"/"&amp;$A19,TaskTimings[[EmployeeDateSeqCode]:[Task]],2,0),"")</f>
        <v/>
      </c>
      <c r="E20" s="114"/>
      <c r="F20" s="114"/>
      <c r="G20" s="114"/>
      <c r="H20" s="22">
        <f>IFERROR(VLOOKUP($A$1&amp;"/"&amp;$B$19&amp;"/"&amp;$A19,TaskTimings[[EmployeeDateSeqCode]:[Total Minutes]],7,0),0)</f>
        <v>0</v>
      </c>
      <c r="I20" s="103"/>
      <c r="J20" s="28">
        <v>1</v>
      </c>
      <c r="K20" s="106" t="str">
        <f>VLOOKUP(2,$K$7:$M$11,2,0)</f>
        <v>PPOIO</v>
      </c>
      <c r="L20" s="86"/>
      <c r="M20" s="105" t="str">
        <f>IF($K$20="","",IFERROR(VLOOKUP($K$20&amp;"/"&amp;$J20,$Z$7:$AA$30,2,0),""))</f>
        <v>Project Study</v>
      </c>
      <c r="N20" s="105"/>
      <c r="O20" s="105"/>
      <c r="P20" s="105"/>
      <c r="Q20" s="22">
        <f>IF($M20="","",SUMIFS($H$7:$H$30,$D$7:$D$30,$K$20&amp;"/"&amp;$M20))</f>
        <v>119.99999999999997</v>
      </c>
      <c r="R20" s="103">
        <f t="shared" ref="R20" si="6">SUM(Q20:Q23)</f>
        <v>359.99999999999989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82"/>
      <c r="C21" s="85"/>
      <c r="D21" s="114" t="str">
        <f>IFERROR(VLOOKUP($A$1&amp;"/"&amp;$B$19&amp;"/"&amp;$A20,TaskTimings[[EmployeeDateSeqCode]:[Task]],2,0),"")</f>
        <v/>
      </c>
      <c r="E21" s="114"/>
      <c r="F21" s="114"/>
      <c r="G21" s="114"/>
      <c r="H21" s="22">
        <f>IFERROR(VLOOKUP($A$1&amp;"/"&amp;$B$19&amp;"/"&amp;$A20,TaskTimings[[EmployeeDateSeqCode]:[Total Minutes]],7,0),0)</f>
        <v>0</v>
      </c>
      <c r="I21" s="103"/>
      <c r="J21" s="28">
        <v>2</v>
      </c>
      <c r="K21" s="106"/>
      <c r="L21" s="86"/>
      <c r="M21" s="105" t="str">
        <f>IF($K$20="","",IFERROR(VLOOKUP($K$20&amp;"/"&amp;$J21,$Z$7:$AA$30,2,0),""))</f>
        <v>Business Plan</v>
      </c>
      <c r="N21" s="105"/>
      <c r="O21" s="105"/>
      <c r="P21" s="105"/>
      <c r="Q21" s="22">
        <f>IF($M21="","",SUMIFS($H$7:$H$30,$D$7:$D$30,$K$20&amp;"/"&amp;$M21))</f>
        <v>239.99999999999994</v>
      </c>
      <c r="R21" s="103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82"/>
      <c r="C22" s="85"/>
      <c r="D22" s="114" t="str">
        <f>IFERROR(VLOOKUP($A$1&amp;"/"&amp;$B$19&amp;"/"&amp;$A21,TaskTimings[[EmployeeDateSeqCode]:[Task]],2,0),"")</f>
        <v/>
      </c>
      <c r="E22" s="114"/>
      <c r="F22" s="114"/>
      <c r="G22" s="114"/>
      <c r="H22" s="22">
        <f>IFERROR(VLOOKUP($A$1&amp;"/"&amp;$B$19&amp;"/"&amp;$A21,TaskTimings[[EmployeeDateSeqCode]:[Total Minutes]],7,0),0)</f>
        <v>0</v>
      </c>
      <c r="I22" s="103"/>
      <c r="J22" s="28">
        <v>3</v>
      </c>
      <c r="K22" s="106"/>
      <c r="L22" s="86"/>
      <c r="M22" s="105" t="str">
        <f>IF($K$20="","",IFERROR(VLOOKUP($K$20&amp;"/"&amp;$J22,$Z$7:$AA$30,2,0),""))</f>
        <v/>
      </c>
      <c r="N22" s="105"/>
      <c r="O22" s="105"/>
      <c r="P22" s="105"/>
      <c r="Q22" s="22" t="str">
        <f>IF($M22="","",SUMIFS($H$7:$H$30,$D$7:$D$30,$K$20&amp;"/"&amp;$M22))</f>
        <v/>
      </c>
      <c r="R22" s="103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15">
        <f>B19+1</f>
        <v>43434</v>
      </c>
      <c r="C23" s="85"/>
      <c r="D23" s="114" t="str">
        <f>IFERROR(VLOOKUP($A$1&amp;"/"&amp;$B$23&amp;"/"&amp;$A22,TaskTimings[[EmployeeDateSeqCode]:[Task]],2,0),"")</f>
        <v>TEEBPD/Finalizing</v>
      </c>
      <c r="E23" s="114"/>
      <c r="F23" s="114"/>
      <c r="G23" s="114"/>
      <c r="H23" s="22">
        <f>IFERROR(VLOOKUP($A$1&amp;"/"&amp;$B$23&amp;"/"&amp;$A22,TaskTimings[[EmployeeDateSeqCode]:[Total Minutes]],7,0),0)</f>
        <v>180</v>
      </c>
      <c r="I23" s="103">
        <f t="shared" ref="I23" si="7">SUM(H23:H26)</f>
        <v>360</v>
      </c>
      <c r="J23" s="28">
        <v>4</v>
      </c>
      <c r="K23" s="106"/>
      <c r="L23" s="86"/>
      <c r="M23" s="105" t="str">
        <f>IF($K$20="","",IFERROR(VLOOKUP($K$20&amp;"/"&amp;$J23,$Z$7:$AA$30,2,0),""))</f>
        <v/>
      </c>
      <c r="N23" s="105"/>
      <c r="O23" s="105"/>
      <c r="P23" s="105"/>
      <c r="Q23" s="22" t="str">
        <f>IF($M23="","",SUMIFS($H$7:$H$30,$D$7:$D$30,$K$20&amp;"/"&amp;$M23))</f>
        <v/>
      </c>
      <c r="R23" s="103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82"/>
      <c r="C24" s="85"/>
      <c r="D24" s="114" t="str">
        <f>IFERROR(VLOOKUP($A$1&amp;"/"&amp;$B$23&amp;"/"&amp;$A23,TaskTimings[[EmployeeDateSeqCode]:[Task]],2,0),"")</f>
        <v>TEEBPD/Inhouse Testing</v>
      </c>
      <c r="E24" s="114"/>
      <c r="F24" s="114"/>
      <c r="G24" s="114"/>
      <c r="H24" s="22">
        <f>IFERROR(VLOOKUP($A$1&amp;"/"&amp;$B$23&amp;"/"&amp;$A23,TaskTimings[[EmployeeDateSeqCode]:[Total Minutes]],7,0),0)</f>
        <v>180</v>
      </c>
      <c r="I24" s="103"/>
      <c r="J24" s="28">
        <v>1</v>
      </c>
      <c r="K24" s="106" t="str">
        <f>VLOOKUP(3,$K$7:$M$11,2,0)</f>
        <v/>
      </c>
      <c r="L24" s="86"/>
      <c r="M24" s="105" t="str">
        <f>IF($K$24="","",IFERROR(VLOOKUP($K$24&amp;"/"&amp;$J24,$Z$7:$AA$30,2,0),""))</f>
        <v/>
      </c>
      <c r="N24" s="105"/>
      <c r="O24" s="105"/>
      <c r="P24" s="105"/>
      <c r="Q24" s="22" t="str">
        <f>IF($M24="","",SUMIFS($H$7:$H$30,$D$7:$D$30,$K$24&amp;"/"&amp;$M24))</f>
        <v/>
      </c>
      <c r="R24" s="103">
        <f t="shared" ref="R24" si="8">SUM(Q24:Q27)</f>
        <v>0</v>
      </c>
      <c r="S24" s="25"/>
      <c r="T24" s="25"/>
      <c r="U24" s="14">
        <f>IF(COUNTIFS($D$6:$D24,D24)=1,1,0)</f>
        <v>1</v>
      </c>
      <c r="V24" s="33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IF($W24=1,SUM($X$6:$X23)+1,"")</f>
        <v/>
      </c>
      <c r="Y24" s="37" t="str">
        <f t="shared" si="1"/>
        <v>TEEBPD</v>
      </c>
      <c r="Z24" s="33" t="str">
        <f>IF($Y24="","",$Y24&amp;"/"&amp;COUNTIF($Y$7:$Y24,$Y24))</f>
        <v>TEEBPD/3</v>
      </c>
      <c r="AA24" s="33" t="str">
        <f>IF($Z24="","",VLOOKUP($D24,TaskTimings[[Task]:[TSKLST]],11,0))</f>
        <v>Inhouse Testing</v>
      </c>
      <c r="AB24" s="33">
        <f t="shared" si="2"/>
        <v>180</v>
      </c>
    </row>
    <row r="25" spans="1:28" x14ac:dyDescent="0.25">
      <c r="A25" s="14">
        <v>4</v>
      </c>
      <c r="B25" s="82"/>
      <c r="C25" s="85"/>
      <c r="D25" s="114" t="str">
        <f>IFERROR(VLOOKUP($A$1&amp;"/"&amp;$B$23&amp;"/"&amp;$A24,TaskTimings[[EmployeeDateSeqCode]:[Task]],2,0),"")</f>
        <v/>
      </c>
      <c r="E25" s="114"/>
      <c r="F25" s="114"/>
      <c r="G25" s="114"/>
      <c r="H25" s="22">
        <f>IFERROR(VLOOKUP($A$1&amp;"/"&amp;$B$23&amp;"/"&amp;$A24,TaskTimings[[EmployeeDateSeqCode]:[Total Minutes]],7,0),0)</f>
        <v>0</v>
      </c>
      <c r="I25" s="103"/>
      <c r="J25" s="28">
        <v>2</v>
      </c>
      <c r="K25" s="106"/>
      <c r="L25" s="86"/>
      <c r="M25" s="105" t="str">
        <f>IF($K$24="","",IFERROR(VLOOKUP($K$24&amp;"/"&amp;$J25,$Z$7:$AA$30,2,0),""))</f>
        <v/>
      </c>
      <c r="N25" s="105"/>
      <c r="O25" s="105"/>
      <c r="P25" s="105"/>
      <c r="Q25" s="22" t="str">
        <f>IF($M25="","",SUMIFS($H$7:$H$30,$D$7:$D$30,$K$24&amp;"/"&amp;$M25))</f>
        <v/>
      </c>
      <c r="R25" s="103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82"/>
      <c r="C26" s="85"/>
      <c r="D26" s="114" t="str">
        <f>IFERROR(VLOOKUP($A$1&amp;"/"&amp;$B$23&amp;"/"&amp;$A25,TaskTimings[[EmployeeDateSeqCode]:[Task]],2,0),"")</f>
        <v/>
      </c>
      <c r="E26" s="114"/>
      <c r="F26" s="114"/>
      <c r="G26" s="114"/>
      <c r="H26" s="22">
        <f>IFERROR(VLOOKUP($A$1&amp;"/"&amp;$B$23&amp;"/"&amp;$A25,TaskTimings[[EmployeeDateSeqCode]:[Total Minutes]],7,0),0)</f>
        <v>0</v>
      </c>
      <c r="I26" s="103"/>
      <c r="J26" s="28">
        <v>3</v>
      </c>
      <c r="K26" s="106"/>
      <c r="L26" s="86"/>
      <c r="M26" s="105" t="str">
        <f>IF($K$24="","",IFERROR(VLOOKUP($K$24&amp;"/"&amp;$J26,$Z$7:$AA$30,2,0),""))</f>
        <v/>
      </c>
      <c r="N26" s="105"/>
      <c r="O26" s="105"/>
      <c r="P26" s="105"/>
      <c r="Q26" s="22" t="str">
        <f>IF($M26="","",SUMIFS($H$7:$H$30,$D$7:$D$30,$K$24&amp;"/"&amp;$M26))</f>
        <v/>
      </c>
      <c r="R26" s="103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15">
        <f>B23+1</f>
        <v>43435</v>
      </c>
      <c r="C27" s="85"/>
      <c r="D27" s="114" t="str">
        <f>IFERROR(VLOOKUP($A$1&amp;"/"&amp;$B$27&amp;"/"&amp;$A26,TaskTimings[[EmployeeDateSeqCode]:[Task]],2,0),"")</f>
        <v/>
      </c>
      <c r="E27" s="114"/>
      <c r="F27" s="114"/>
      <c r="G27" s="114"/>
      <c r="H27" s="22">
        <f>IFERROR(VLOOKUP($A$1&amp;"/"&amp;$B$27&amp;"/"&amp;$A26,TaskTimings[[EmployeeDateSeqCode]:[Total Minutes]],7,0),0)</f>
        <v>0</v>
      </c>
      <c r="I27" s="103">
        <f t="shared" ref="I27" si="9">SUM(H27:H30)</f>
        <v>0</v>
      </c>
      <c r="J27" s="28">
        <v>4</v>
      </c>
      <c r="K27" s="106"/>
      <c r="L27" s="86"/>
      <c r="M27" s="105" t="str">
        <f>IF($K$24="","",IFERROR(VLOOKUP($K$24&amp;"/"&amp;$J27,$Z$7:$AA$30,2,0),""))</f>
        <v/>
      </c>
      <c r="N27" s="105"/>
      <c r="O27" s="105"/>
      <c r="P27" s="105"/>
      <c r="Q27" s="22" t="str">
        <f>IF($M27="","",SUMIFS($H$7:$H$30,$D$7:$D$30,$K$24&amp;"/"&amp;$M27))</f>
        <v/>
      </c>
      <c r="R27" s="103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82"/>
      <c r="C28" s="85"/>
      <c r="D28" s="114" t="str">
        <f>IFERROR(VLOOKUP($A$1&amp;"/"&amp;$B$27&amp;"/"&amp;$A27,TaskTimings[[EmployeeDateSeqCode]:[Task]],2,0),"")</f>
        <v/>
      </c>
      <c r="E28" s="114"/>
      <c r="F28" s="114"/>
      <c r="G28" s="114"/>
      <c r="H28" s="22">
        <f>IFERROR(VLOOKUP($A$1&amp;"/"&amp;$B$27&amp;"/"&amp;$A27,TaskTimings[[EmployeeDateSeqCode]:[Total Minutes]],7,0),0)</f>
        <v>0</v>
      </c>
      <c r="I28" s="103"/>
      <c r="J28" s="28">
        <v>1</v>
      </c>
      <c r="K28" s="106" t="str">
        <f>VLOOKUP(4,$K$7:$M$11,2,0)</f>
        <v>TEEBPD</v>
      </c>
      <c r="L28" s="86"/>
      <c r="M28" s="105" t="str">
        <f>IF($K$28="","",IFERROR(VLOOKUP($K$28&amp;"/"&amp;$J28,$Z$7:$AA$30,2,0),""))</f>
        <v>Client Suggestion Implementation</v>
      </c>
      <c r="N28" s="105"/>
      <c r="O28" s="105"/>
      <c r="P28" s="105"/>
      <c r="Q28" s="22">
        <f>IF($M28="","",SUMIFS($H$7:$H$30,$D$7:$D$30,$K$28&amp;"/"&amp;$M28))</f>
        <v>480.00000000000006</v>
      </c>
      <c r="R28" s="103">
        <f t="shared" ref="R28" si="10">SUM(Q28:Q31)</f>
        <v>1380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82"/>
      <c r="C29" s="85"/>
      <c r="D29" s="114" t="str">
        <f>IFERROR(VLOOKUP($A$1&amp;"/"&amp;$B$27&amp;"/"&amp;$A28,TaskTimings[[EmployeeDateSeqCode]:[Task]],2,0),"")</f>
        <v/>
      </c>
      <c r="E29" s="114"/>
      <c r="F29" s="114"/>
      <c r="G29" s="114"/>
      <c r="H29" s="22">
        <f>IFERROR(VLOOKUP($A$1&amp;"/"&amp;$B$27&amp;"/"&amp;$A28,TaskTimings[[EmployeeDateSeqCode]:[Total Minutes]],7,0),0)</f>
        <v>0</v>
      </c>
      <c r="I29" s="103"/>
      <c r="J29" s="28">
        <v>2</v>
      </c>
      <c r="K29" s="106"/>
      <c r="L29" s="86"/>
      <c r="M29" s="105" t="str">
        <f>IF($K$28="","",IFERROR(VLOOKUP($K$28&amp;"/"&amp;$J29,$Z$7:$AA$30,2,0),""))</f>
        <v>Finalizing</v>
      </c>
      <c r="N29" s="105"/>
      <c r="O29" s="105"/>
      <c r="P29" s="105"/>
      <c r="Q29" s="22">
        <f>IF($M29="","",SUMIFS($H$7:$H$30,$D$7:$D$30,$K$28&amp;"/"&amp;$M29))</f>
        <v>720</v>
      </c>
      <c r="R29" s="103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16"/>
      <c r="C30" s="117"/>
      <c r="D30" s="112" t="str">
        <f>IFERROR(VLOOKUP($A$1&amp;"/"&amp;$B$27&amp;"/"&amp;$A29,TaskTimings[[EmployeeDateSeqCode]:[Task]],2,0),"")</f>
        <v/>
      </c>
      <c r="E30" s="112"/>
      <c r="F30" s="112"/>
      <c r="G30" s="112"/>
      <c r="H30" s="24">
        <f>IFERROR(VLOOKUP($A$1&amp;"/"&amp;$B$27&amp;"/"&amp;$A29,TaskTimings[[EmployeeDateSeqCode]:[Total Minutes]],7,0),0)</f>
        <v>0</v>
      </c>
      <c r="I30" s="104"/>
      <c r="J30" s="28">
        <v>3</v>
      </c>
      <c r="K30" s="106"/>
      <c r="L30" s="86"/>
      <c r="M30" s="105" t="str">
        <f>IF($K$28="","",IFERROR(VLOOKUP($K$28&amp;"/"&amp;$J30,$Z$7:$AA$30,2,0),""))</f>
        <v>Inhouse Testing</v>
      </c>
      <c r="N30" s="105"/>
      <c r="O30" s="105"/>
      <c r="P30" s="105"/>
      <c r="Q30" s="22">
        <f>IF($M30="","",SUMIFS($H$7:$H$30,$D$7:$D$30,$K$28&amp;"/"&amp;$M30))</f>
        <v>180</v>
      </c>
      <c r="R30" s="103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06"/>
      <c r="L31" s="86"/>
      <c r="M31" s="105" t="str">
        <f>IF($K$28="","",IFERROR(VLOOKUP($K$28&amp;"/"&amp;$J31,$Z$7:$AA$30,2,0),""))</f>
        <v/>
      </c>
      <c r="N31" s="105"/>
      <c r="O31" s="105"/>
      <c r="P31" s="105"/>
      <c r="Q31" s="22" t="str">
        <f>IF($M31="","",SUMIFS($H$7:$H$30,$D$7:$D$30,$K$28&amp;"/"&amp;$M31))</f>
        <v/>
      </c>
      <c r="R31" s="103"/>
    </row>
    <row r="32" spans="1:28" x14ac:dyDescent="0.25">
      <c r="J32" s="28">
        <v>1</v>
      </c>
      <c r="K32" s="106" t="str">
        <f>VLOOKUP(5,$K$7:$M$11,2,0)</f>
        <v/>
      </c>
      <c r="L32" s="86"/>
      <c r="M32" s="105" t="str">
        <f>IF($K$32="","",IFERROR(VLOOKUP($K$32&amp;"/"&amp;$J32,$Z$7:$AA$30,2,0),""))</f>
        <v/>
      </c>
      <c r="N32" s="105"/>
      <c r="O32" s="105"/>
      <c r="P32" s="105"/>
      <c r="Q32" s="22" t="str">
        <f>IF($M32="","",SUMIFS($H$7:$H$30,$D$7:$D$30,$K$32&amp;"/"&amp;$M32))</f>
        <v/>
      </c>
      <c r="R32" s="103">
        <f t="shared" ref="R32" si="11">SUM(Q32:Q35)</f>
        <v>0</v>
      </c>
    </row>
    <row r="33" spans="10:18" x14ac:dyDescent="0.25">
      <c r="J33" s="28">
        <v>2</v>
      </c>
      <c r="K33" s="106"/>
      <c r="L33" s="86"/>
      <c r="M33" s="105" t="str">
        <f>IF($K$32="","",IFERROR(VLOOKUP($K$32&amp;"/"&amp;$J33,$Z$7:$AA$30,2,0),""))</f>
        <v/>
      </c>
      <c r="N33" s="105"/>
      <c r="O33" s="105"/>
      <c r="P33" s="105"/>
      <c r="Q33" s="22" t="str">
        <f>IF($M33="","",SUMIFS($H$7:$H$30,$D$7:$D$30,$K$32&amp;"/"&amp;$M33))</f>
        <v/>
      </c>
      <c r="R33" s="103"/>
    </row>
    <row r="34" spans="10:18" x14ac:dyDescent="0.25">
      <c r="J34" s="28">
        <v>3</v>
      </c>
      <c r="K34" s="106"/>
      <c r="L34" s="86"/>
      <c r="M34" s="105" t="str">
        <f>IF($K$32="","",IFERROR(VLOOKUP($K$32&amp;"/"&amp;$J34,$Z$7:$AA$30,2,0),""))</f>
        <v/>
      </c>
      <c r="N34" s="105"/>
      <c r="O34" s="105"/>
      <c r="P34" s="105"/>
      <c r="Q34" s="22" t="str">
        <f>IF($M34="","",SUMIFS($H$7:$H$30,$D$7:$D$30,$K$32&amp;"/"&amp;$M34))</f>
        <v/>
      </c>
      <c r="R34" s="103"/>
    </row>
    <row r="35" spans="10:18" ht="15.75" thickBot="1" x14ac:dyDescent="0.3">
      <c r="J35" s="28">
        <v>4</v>
      </c>
      <c r="K35" s="107"/>
      <c r="L35" s="92"/>
      <c r="M35" s="108" t="str">
        <f>IF($K$32="","",IFERROR(VLOOKUP($K$32&amp;"/"&amp;$J35,$Z$7:$AA$30,2,0),""))</f>
        <v/>
      </c>
      <c r="N35" s="108"/>
      <c r="O35" s="108"/>
      <c r="P35" s="108"/>
      <c r="Q35" s="24" t="str">
        <f>IF($M35="","",SUMIFS($H$7:$H$30,$D$7:$D$30,$K$32&amp;"/"&amp;$M35))</f>
        <v/>
      </c>
      <c r="R35" s="104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2018-12-01T11:30:25Z</dcterms:modified>
</cp:coreProperties>
</file>