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athy M S\Desktop\Project-Development\"/>
    </mc:Choice>
  </mc:AlternateContent>
  <bookViews>
    <workbookView xWindow="0" yWindow="0" windowWidth="20400" windowHeight="68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68" i="4" l="1"/>
  <c r="B68" i="4"/>
  <c r="P68" i="4" s="1"/>
  <c r="C68" i="4"/>
  <c r="Q68" i="4" s="1"/>
  <c r="D68" i="4"/>
  <c r="L68" i="4"/>
  <c r="M68" i="4"/>
  <c r="N68" i="4"/>
  <c r="O68" i="4" s="1"/>
  <c r="A67" i="4" l="1"/>
  <c r="B67" i="4"/>
  <c r="P67" i="4" s="1"/>
  <c r="C67" i="4"/>
  <c r="Q67" i="4" s="1"/>
  <c r="D67" i="4"/>
  <c r="L67" i="4"/>
  <c r="M67" i="4"/>
  <c r="N67" i="4"/>
  <c r="O67" i="4" s="1"/>
  <c r="M65" i="4" l="1"/>
  <c r="D66" i="4" l="1"/>
  <c r="L66" i="4"/>
  <c r="M66" i="4"/>
  <c r="N66" i="4"/>
  <c r="O66" i="4" s="1"/>
  <c r="M64" i="4" l="1"/>
  <c r="D64" i="4"/>
  <c r="L64" i="4"/>
  <c r="D65" i="4"/>
  <c r="L65" i="4"/>
  <c r="N65" i="4"/>
  <c r="O65" i="4" s="1"/>
  <c r="C28" i="2"/>
  <c r="E28" i="2"/>
  <c r="F28" i="2"/>
  <c r="G28" i="2"/>
  <c r="M63" i="4" l="1"/>
  <c r="D63" i="4" l="1"/>
  <c r="L63" i="4"/>
  <c r="N64" i="4" s="1"/>
  <c r="O64" i="4" s="1"/>
  <c r="N63" i="4"/>
  <c r="O63" i="4" s="1"/>
  <c r="M62" i="4" l="1"/>
  <c r="M61" i="4"/>
  <c r="D62" i="4" l="1"/>
  <c r="L62" i="4"/>
  <c r="D61" i="4" l="1"/>
  <c r="L61" i="4"/>
  <c r="D60" i="4" l="1"/>
  <c r="L60" i="4"/>
  <c r="N60" i="4" s="1"/>
  <c r="O60" i="4" s="1"/>
  <c r="M60" i="4"/>
  <c r="D59" i="4"/>
  <c r="L59" i="4"/>
  <c r="N59" i="4" s="1"/>
  <c r="O59" i="4" s="1"/>
  <c r="M59" i="4"/>
  <c r="N61" i="4" l="1"/>
  <c r="O61" i="4" s="1"/>
  <c r="N62" i="4"/>
  <c r="O62" i="4" s="1"/>
  <c r="C27" i="2"/>
  <c r="E27" i="2"/>
  <c r="F27" i="2"/>
  <c r="G27" i="2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N49" i="4" s="1"/>
  <c r="O49" i="4" s="1"/>
  <c r="M49" i="4"/>
  <c r="N50" i="4" l="1"/>
  <c r="O50" i="4" s="1"/>
  <c r="C26" i="2"/>
  <c r="E26" i="2"/>
  <c r="F26" i="2"/>
  <c r="G26" i="2"/>
  <c r="D48" i="4"/>
  <c r="L48" i="4"/>
  <c r="M48" i="4"/>
  <c r="N48" i="4"/>
  <c r="O48" i="4" s="1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E67" i="4" l="1"/>
  <c r="F67" i="4" s="1"/>
  <c r="E68" i="4"/>
  <c r="F68" i="4" s="1"/>
  <c r="B66" i="4"/>
  <c r="P66" i="4" s="1"/>
  <c r="C66" i="4"/>
  <c r="Q66" i="4" s="1"/>
  <c r="B64" i="4"/>
  <c r="P64" i="4" s="1"/>
  <c r="C64" i="4"/>
  <c r="Q64" i="4" s="1"/>
  <c r="C65" i="4"/>
  <c r="Q65" i="4" s="1"/>
  <c r="B65" i="4"/>
  <c r="P65" i="4" s="1"/>
  <c r="E64" i="4"/>
  <c r="F64" i="4" s="1"/>
  <c r="E66" i="4"/>
  <c r="F66" i="4" s="1"/>
  <c r="A64" i="4"/>
  <c r="A65" i="4" s="1"/>
  <c r="A66" i="4" s="1"/>
  <c r="E63" i="4"/>
  <c r="F63" i="4" s="1"/>
  <c r="E65" i="4"/>
  <c r="F65" i="4" s="1"/>
  <c r="C63" i="4"/>
  <c r="Q63" i="4" s="1"/>
  <c r="B63" i="4"/>
  <c r="P63" i="4" s="1"/>
  <c r="B62" i="4"/>
  <c r="P62" i="4" s="1"/>
  <c r="C62" i="4"/>
  <c r="Q62" i="4" s="1"/>
  <c r="B61" i="4"/>
  <c r="P61" i="4" s="1"/>
  <c r="C61" i="4"/>
  <c r="Q61" i="4" s="1"/>
  <c r="B60" i="4"/>
  <c r="P60" i="4" s="1"/>
  <c r="C60" i="4"/>
  <c r="Q60" i="4" s="1"/>
  <c r="B59" i="4"/>
  <c r="P59" i="4" s="1"/>
  <c r="C59" i="4"/>
  <c r="Q59" i="4" s="1"/>
  <c r="E62" i="4"/>
  <c r="F62" i="4" s="1"/>
  <c r="E60" i="4"/>
  <c r="F60" i="4" s="1"/>
  <c r="E61" i="4"/>
  <c r="F61" i="4" s="1"/>
  <c r="E58" i="4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X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X10" i="6" s="1"/>
  <c r="W11" i="6"/>
  <c r="X11" i="6" s="1"/>
  <c r="W15" i="6"/>
  <c r="X15" i="6" s="1"/>
  <c r="W12" i="6"/>
  <c r="X12" i="6" s="1"/>
  <c r="W9" i="6"/>
  <c r="X9" i="6" s="1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Y10" i="6" l="1"/>
  <c r="Y11" i="6"/>
  <c r="Y12" i="6"/>
  <c r="Y15" i="6"/>
  <c r="W17" i="6"/>
  <c r="X17" i="6" s="1"/>
  <c r="Y9" i="6"/>
  <c r="Z8" i="6"/>
  <c r="AA8" i="6" s="1"/>
  <c r="Y16" i="6"/>
  <c r="Y18" i="6"/>
  <c r="Z18" i="6" s="1"/>
  <c r="AA18" i="6" s="1"/>
  <c r="AB18" i="6" s="1"/>
  <c r="W19" i="6"/>
  <c r="X19" i="6" s="1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Z11" i="6" l="1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<sst xmlns="http://schemas.openxmlformats.org/spreadsheetml/2006/main" count="267" uniqueCount="100">
  <si>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</si>
  <si>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</si>
  <si>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</si>
  <si>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</si>
  <si>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</si>
  <si>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</si>
  <si>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</si>
  <si>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</si>
  <si>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</si>
  <si>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</si>
  <si>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</si>
  <si>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</si>
  <si>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</si>
  <si>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</si>
  <si>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</si>
  <si>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</si>
  <si>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</si>
  <si>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</si>
  <si>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</si>
  <si>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</si>
  <si>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</si>
  <si>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</si>
  <si>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</si>
  <si>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</si>
  <si>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</si>
  <si>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</si>
  <si>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</si>
  <si>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</si>
  <si>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</si>
  <si>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</si>
  <si>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</si>
  <si>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</si>
  <si>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</si>
  <si>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</si>
  <si>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</si>
  <si>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</si>
  <si>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</si>
  <si>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</si>
  <si>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</si>
  <si>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</si>
  <si>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</si>
  <si>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</si>
  <si>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</si>
  <si>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</si>
  <si>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</si>
  <si>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</si>
  <si>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</si>
  <si>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</si>
  <si>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</si>
  <si>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</si>
  <si>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</si>
  <si>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</si>
  <si>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</si>
  <si>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</si>
  <si>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</si>
  <si>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</si>
  <si>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</si>
  <si>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</si>
  <si>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</si>
  <si>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</si>
  <si>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</si>
  <si>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</si>
  <si>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</si>
  <si>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</si>
  <si>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</si>
  <si>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</si>
  <si>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</si>
  <si>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</si>
  <si>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</si>
  <si>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</si>
  <si>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</si>
  <si>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</si>
  <si>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</si>
  <si>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</si>
  <si>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</si>
  <si>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</si>
  <si>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</si>
  <si>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</si>
  <si>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</si>
  <si>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</si>
  <si>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</si>
  <si>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</si>
  <si>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</si>
  <si>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</si>
  <si>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</si>
  <si>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</si>
  <si>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</si>
  <si>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</si>
  <si>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</si>
  <si>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</si>
  <si>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</si>
  <si>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</si>
  <si>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</si>
  <si>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</si>
  <si>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SDS/Modification</t>
  </si>
  <si>
    <t>Package Creation-Stage1</t>
  </si>
  <si>
    <t>Package Creation-Stage2(Resource creation)</t>
  </si>
  <si>
    <t>TKT/Package Creation-Stage1</t>
  </si>
  <si>
    <t>TKT/Package Creation-Stage2(Resource creation)</t>
  </si>
  <si>
    <t>APPFRAME/Development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</si>
</sst>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8" fontId="12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9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164" fontId="14" fillId="0" borderId="0" xfId="0" applyNumberFormat="1" applyFont="1" applyBorder="1" applyAlignment="1">
      <alignment horizontal="center"/>
    </xf>
    <xf numFmtId="18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20" fontId="14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left"/>
    </xf>
    <xf numFmtId="0" fontId="15" fillId="0" borderId="0" xfId="0" applyFont="1"/>
    <xf numFmtId="164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8" fontId="15" fillId="0" borderId="0" xfId="0" applyNumberFormat="1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419.99999999999994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55138432"/>
        <c:axId val="1755134624"/>
      </c:barChart>
      <c:catAx>
        <c:axId val="175513843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55134624"/>
        <c:crosses val="autoZero"/>
        <c:auto val="1"/>
        <c:lblAlgn val="ctr"/>
        <c:lblOffset val="100"/>
        <c:noMultiLvlLbl val="0"/>
      </c:catAx>
      <c:valAx>
        <c:axId val="17551346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55138432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419.99999999999994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755142784"/>
        <c:axId val="1755133536"/>
      </c:barChart>
      <c:catAx>
        <c:axId val="1755142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55133536"/>
        <c:crosses val="autoZero"/>
        <c:auto val="1"/>
        <c:lblAlgn val="ctr"/>
        <c:lblOffset val="100"/>
        <c:noMultiLvlLbl val="0"/>
      </c:catAx>
      <c:valAx>
        <c:axId val="175513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5514278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419.99999999999994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419.99999999999994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136256"/>
        <c:axId val="1755144416"/>
      </c:areaChart>
      <c:catAx>
        <c:axId val="1755136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55144416"/>
        <c:crosses val="autoZero"/>
        <c:auto val="1"/>
        <c:lblAlgn val="ctr"/>
        <c:lblOffset val="100"/>
        <c:noMultiLvlLbl val="0"/>
      </c:catAx>
      <c:valAx>
        <c:axId val="17551444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55136256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8E-2"/>
          <c:y val="0"/>
          <c:w val="0.70026343258816959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419.99999999999994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479.99999999999989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314.99999999999989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164.99999999999997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755145504"/>
        <c:axId val="1755135168"/>
      </c:barChart>
      <c:catAx>
        <c:axId val="1755145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55135168"/>
        <c:crosses val="autoZero"/>
        <c:auto val="1"/>
        <c:lblAlgn val="ctr"/>
        <c:lblOffset val="100"/>
        <c:noMultiLvlLbl val="0"/>
      </c:catAx>
      <c:valAx>
        <c:axId val="1755135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55145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314.99999999999989</c:v>
                </c:pt>
                <c:pt idx="1">
                  <c:v>164.99999999999997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1755131904"/>
        <c:axId val="1755132448"/>
      </c:barChart>
      <c:dateAx>
        <c:axId val="1755131904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55132448"/>
        <c:crosses val="autoZero"/>
        <c:auto val="1"/>
        <c:lblOffset val="100"/>
        <c:baseTimeUnit val="days"/>
      </c:dateAx>
      <c:valAx>
        <c:axId val="1755132448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55131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8" totalsRowShown="0" headerRowDxfId="31" dataDxfId="30">
  <autoFilter ref="A1:G28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68" totalsRowShown="0" headerRowDxfId="18" dataDxfId="17">
  <autoFilter ref="A1:Q68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3" workbookViewId="0">
      <selection activeCell="D26" sqref="D26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1" t="s">
        <v>95</v>
      </c>
      <c r="E26" s="59" t="str">
        <f>CONCATENATE(ProjectTasks[Project],"/",ProjectTasks[Task])</f>
        <v>TKT/Package Creation-Stage1</v>
      </c>
      <c r="F26" s="59" t="str">
        <f>ProjectTasks[Project]</f>
        <v>TKT</v>
      </c>
      <c r="G26" s="59" t="str">
        <f>ProjectTasks[Task]</f>
        <v>Package Creation-Stage1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  <row r="28" spans="1:7" x14ac:dyDescent="0.25">
      <c r="A28" s="101">
        <f>IFERROR($A27+1,1)</f>
        <v>27</v>
      </c>
      <c r="B28" s="103" t="s">
        <v>48</v>
      </c>
      <c r="C28" s="102" t="str">
        <f>ProjectTasks[[#This Row],[Project]]&amp;"-"&amp;COUNTIF($B$1:ProjectTasks[[#This Row],[Project]],ProjectTasks[[#This Row],[Project]])</f>
        <v>TKT-8</v>
      </c>
      <c r="D28" s="1" t="s">
        <v>96</v>
      </c>
      <c r="E28" s="109" t="str">
        <f>CONCATENATE(ProjectTasks[Project],"/",ProjectTasks[Task])</f>
        <v>TKT/Package Creation-Stage2(Resource creation)</v>
      </c>
      <c r="F28" s="109" t="str">
        <f>ProjectTasks[Project]</f>
        <v>TKT</v>
      </c>
      <c r="G28" s="109" t="str">
        <f>ProjectTasks[Task]</f>
        <v>Package Creation-Stage2(Resource creation)</v>
      </c>
    </row>
  </sheetData>
  <dataValidations count="1">
    <dataValidation type="list" allowBlank="1" showInputMessage="1" showErrorMessage="1" sqref="B2:B28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tabSelected="1" topLeftCell="A55" workbookViewId="0">
      <selection activeCell="K69" sqref="K69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Creation-Stage1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97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Creation-Stage1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Creation-Stage1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97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Creation-Stage1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Creation-Stage1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97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Creation-Stage1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94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 t="shared" ref="A59:A68" si="5"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Creation-Stage1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55" t="s">
        <v>97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251</v>
      </c>
      <c r="O59" s="2" t="str">
        <f>TEXT(TaskTimings[Day Total Minutes]/1440,"HH:mm")</f>
        <v>04:11</v>
      </c>
      <c r="P59" s="10" t="str">
        <f>TaskTimings[PRJ]</f>
        <v>TKT</v>
      </c>
      <c r="Q59" s="10" t="str">
        <f>TaskTimings[TSK]</f>
        <v>Package Creation-Stage1</v>
      </c>
    </row>
    <row r="60" spans="1:17" x14ac:dyDescent="0.25">
      <c r="A60" s="5">
        <f t="shared" si="5"/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94</v>
      </c>
      <c r="H60" s="1" t="s">
        <v>54</v>
      </c>
      <c r="I60" s="8">
        <v>43442</v>
      </c>
      <c r="J60" s="93">
        <v>0.41666666666666669</v>
      </c>
      <c r="K60" s="68">
        <v>0.58333333333333337</v>
      </c>
      <c r="L60" s="2">
        <f>(TaskTimings[End Time]-TaskTimings[Start Time])*1440</f>
        <v>240.00000000000003</v>
      </c>
      <c r="M60" s="2" t="str">
        <f>TEXT(TaskTimings[End Time]-TaskTimings[Start Time],"HH:mm")</f>
        <v>04:00</v>
      </c>
      <c r="N60" s="2">
        <f>SUMIFS(TaskTimings[Total Minutes],TaskTimings[Date],TaskTimings[Date],TaskTimings[Employee],TaskTimings[Employee])</f>
        <v>240.00000000000003</v>
      </c>
      <c r="O60" s="2" t="str">
        <f>TEXT(TaskTimings[Day Total Minutes]/1440,"HH:mm")</f>
        <v>04:00</v>
      </c>
      <c r="P60" s="10" t="str">
        <f>TaskTimings[PRJ]</f>
        <v>SDS</v>
      </c>
      <c r="Q60" s="10" t="str">
        <f>TaskTimings[TSK]</f>
        <v>Modification</v>
      </c>
    </row>
    <row r="61" spans="1:17" x14ac:dyDescent="0.25">
      <c r="A61" s="94">
        <f t="shared" si="5"/>
        <v>60</v>
      </c>
      <c r="B61" s="95" t="str">
        <f>VLOOKUP(TaskTimings[Task],ProjectTasks[[TaskProjectCode]:[TSK]],2,0)</f>
        <v>TKT</v>
      </c>
      <c r="C61" s="95" t="str">
        <f>VLOOKUP(TaskTimings[Task],ProjectTasks[[TaskProjectCode]:[TSK]],3,0)</f>
        <v>Package Creation-Stage1</v>
      </c>
      <c r="D61" s="95" t="str">
        <f>TaskTimings[Employee]&amp;"/"&amp;TaskTimings[Date]</f>
        <v>Shareena/43442</v>
      </c>
      <c r="E61" s="95">
        <f>COUNTIF($D$1:TaskTimings[[#This Row],[EmployeeDate]],TaskTimings[[#This Row],[EmployeeDate]])</f>
        <v>2</v>
      </c>
      <c r="F61" s="95" t="str">
        <f>TaskTimings[[#This Row],[EmployeeDate]]&amp;"/"&amp;TaskTimings[[#This Row],[EmployeeDateSeq]]</f>
        <v>Shareena/43442/2</v>
      </c>
      <c r="G61" s="1" t="s">
        <v>97</v>
      </c>
      <c r="H61" s="96" t="s">
        <v>16</v>
      </c>
      <c r="I61" s="97">
        <v>43442</v>
      </c>
      <c r="J61" s="98">
        <v>0.59375</v>
      </c>
      <c r="K61" s="100">
        <v>0.625</v>
      </c>
      <c r="L61" s="99">
        <f>(TaskTimings[End Time]-TaskTimings[Start Time])*1440</f>
        <v>45</v>
      </c>
      <c r="M61" s="99" t="str">
        <f>TEXT(TaskTimings[End Time]-TaskTimings[Start Time],"HH:mm")</f>
        <v>00:45</v>
      </c>
      <c r="N61" s="99">
        <f>SUMIFS(TaskTimings[Total Minutes],TaskTimings[Date],TaskTimings[Date],TaskTimings[Employee],TaskTimings[Employee])</f>
        <v>251</v>
      </c>
      <c r="O61" s="99" t="str">
        <f>TEXT(TaskTimings[Day Total Minutes]/1440,"HH:mm")</f>
        <v>04:11</v>
      </c>
      <c r="P61" s="95" t="str">
        <f>TaskTimings[PRJ]</f>
        <v>TKT</v>
      </c>
      <c r="Q61" s="95" t="str">
        <f>TaskTimings[TSK]</f>
        <v>Package Creation-Stage1</v>
      </c>
    </row>
    <row r="62" spans="1:17" x14ac:dyDescent="0.25">
      <c r="A62" s="101">
        <f t="shared" si="5"/>
        <v>61</v>
      </c>
      <c r="B62" s="102" t="str">
        <f>VLOOKUP(TaskTimings[Task],ProjectTasks[[TaskProjectCode]:[TSK]],2,0)</f>
        <v>TKT</v>
      </c>
      <c r="C62" s="102" t="str">
        <f>VLOOKUP(TaskTimings[Task],ProjectTasks[[TaskProjectCode]:[TSK]],3,0)</f>
        <v>Package Creation-Stage1</v>
      </c>
      <c r="D62" s="102" t="str">
        <f>TaskTimings[Employee]&amp;"/"&amp;TaskTimings[Date]</f>
        <v>Shareena/43442</v>
      </c>
      <c r="E62" s="102">
        <f>COUNTIF($D$1:TaskTimings[[#This Row],[EmployeeDate]],TaskTimings[[#This Row],[EmployeeDate]])</f>
        <v>3</v>
      </c>
      <c r="F62" s="102" t="str">
        <f>TaskTimings[[#This Row],[EmployeeDate]]&amp;"/"&amp;TaskTimings[[#This Row],[EmployeeDateSeq]]</f>
        <v>Shareena/43442/3</v>
      </c>
      <c r="G62" s="103" t="s">
        <v>97</v>
      </c>
      <c r="H62" s="103" t="s">
        <v>16</v>
      </c>
      <c r="I62" s="104">
        <v>43442</v>
      </c>
      <c r="J62" s="105">
        <v>0.67708333333333337</v>
      </c>
      <c r="K62" s="107">
        <v>0.70486111111111116</v>
      </c>
      <c r="L62" s="106">
        <f>(TaskTimings[End Time]-TaskTimings[Start Time])*1440</f>
        <v>40.000000000000014</v>
      </c>
      <c r="M62" s="99" t="str">
        <f>TEXT(TaskTimings[End Time]-TaskTimings[Start Time],"HH:mm")</f>
        <v>00:40</v>
      </c>
      <c r="N62" s="106">
        <f>SUMIFS(TaskTimings[Total Minutes],TaskTimings[Date],TaskTimings[Date],TaskTimings[Employee],TaskTimings[Employee])</f>
        <v>251</v>
      </c>
      <c r="O62" s="106" t="str">
        <f>TEXT(TaskTimings[Day Total Minutes]/1440,"HH:mm")</f>
        <v>04:11</v>
      </c>
      <c r="P62" s="102" t="str">
        <f>TaskTimings[PRJ]</f>
        <v>TKT</v>
      </c>
      <c r="Q62" s="102" t="str">
        <f>TaskTimings[TSK]</f>
        <v>Package Creation-Stage1</v>
      </c>
    </row>
    <row r="63" spans="1:17" x14ac:dyDescent="0.25">
      <c r="A63" s="101">
        <f t="shared" si="5"/>
        <v>62</v>
      </c>
      <c r="B63" s="102" t="str">
        <f>VLOOKUP(TaskTimings[Task],ProjectTasks[[TaskProjectCode]:[TSK]],2,0)</f>
        <v>TKT</v>
      </c>
      <c r="C63" s="102" t="str">
        <f>VLOOKUP(TaskTimings[Task],ProjectTasks[[TaskProjectCode]:[TSK]],3,0)</f>
        <v>Package Creation-Stage1</v>
      </c>
      <c r="D63" s="102" t="str">
        <f>TaskTimings[Employee]&amp;"/"&amp;TaskTimings[Date]</f>
        <v>Shareena/43444</v>
      </c>
      <c r="E63" s="102">
        <f>COUNTIF($D$1:TaskTimings[[#This Row],[EmployeeDate]],TaskTimings[[#This Row],[EmployeeDate]])</f>
        <v>1</v>
      </c>
      <c r="F63" s="102" t="str">
        <f>TaskTimings[[#This Row],[EmployeeDate]]&amp;"/"&amp;TaskTimings[[#This Row],[EmployeeDateSeq]]</f>
        <v>Shareena/43444/1</v>
      </c>
      <c r="G63" s="103" t="s">
        <v>97</v>
      </c>
      <c r="H63" s="103" t="s">
        <v>16</v>
      </c>
      <c r="I63" s="104">
        <v>43444</v>
      </c>
      <c r="J63" s="105">
        <v>0.38541666666666669</v>
      </c>
      <c r="K63" s="108">
        <v>0.5</v>
      </c>
      <c r="L63" s="106">
        <f>(TaskTimings[End Time]-TaskTimings[Start Time])*1440</f>
        <v>164.99999999999997</v>
      </c>
      <c r="M63" s="106" t="str">
        <f>TEXT(TaskTimings[End Time]-TaskTimings[Start Time],"HH:mm")</f>
        <v>02:45</v>
      </c>
      <c r="N63" s="106">
        <f>SUMIFS(TaskTimings[Total Minutes],TaskTimings[Date],TaskTimings[Date],TaskTimings[Employee],TaskTimings[Employee])</f>
        <v>314.99999999999989</v>
      </c>
      <c r="O63" s="106" t="str">
        <f>TEXT(TaskTimings[Day Total Minutes]/1440,"HH:mm")</f>
        <v>05:15</v>
      </c>
      <c r="P63" s="102" t="str">
        <f>TaskTimings[PRJ]</f>
        <v>TKT</v>
      </c>
      <c r="Q63" s="102" t="str">
        <f>TaskTimings[TSK]</f>
        <v>Package Creation-Stage1</v>
      </c>
    </row>
    <row r="64" spans="1:17" x14ac:dyDescent="0.25">
      <c r="A64" s="101">
        <f t="shared" si="5"/>
        <v>63</v>
      </c>
      <c r="B64" s="102" t="str">
        <f>VLOOKUP(TaskTimings[Task],ProjectTasks[[TaskProjectCode]:[TSK]],2,0)</f>
        <v>TKT</v>
      </c>
      <c r="C64" s="102" t="str">
        <f>VLOOKUP(TaskTimings[Task],ProjectTasks[[TaskProjectCode]:[TSK]],3,0)</f>
        <v>Package Creation-Stage1</v>
      </c>
      <c r="D64" s="102" t="str">
        <f>TaskTimings[Employee]&amp;"/"&amp;TaskTimings[Date]</f>
        <v>Shareena/43444</v>
      </c>
      <c r="E64" s="102">
        <f>COUNTIF($D$1:TaskTimings[[#This Row],[EmployeeDate]],TaskTimings[[#This Row],[EmployeeDate]])</f>
        <v>2</v>
      </c>
      <c r="F64" s="102" t="str">
        <f>TaskTimings[[#This Row],[EmployeeDate]]&amp;"/"&amp;TaskTimings[[#This Row],[EmployeeDateSeq]]</f>
        <v>Shareena/43444/2</v>
      </c>
      <c r="G64" s="103" t="s">
        <v>97</v>
      </c>
      <c r="H64" s="103" t="s">
        <v>16</v>
      </c>
      <c r="I64" s="104">
        <v>43444</v>
      </c>
      <c r="J64" s="108">
        <v>0.58333333333333337</v>
      </c>
      <c r="K64" s="108">
        <v>0.6875</v>
      </c>
      <c r="L64" s="106">
        <f>(TaskTimings[End Time]-TaskTimings[Start Time])*1440</f>
        <v>149.99999999999994</v>
      </c>
      <c r="M64" s="106" t="str">
        <f>TEXT(TaskTimings[End Time]-TaskTimings[Start Time],"HH:mm")</f>
        <v>02:30</v>
      </c>
      <c r="N64" s="106">
        <f>SUMIFS(TaskTimings[Total Minutes],TaskTimings[Date],TaskTimings[Date],TaskTimings[Employee],TaskTimings[Employee])</f>
        <v>314.99999999999989</v>
      </c>
      <c r="O64" s="106" t="str">
        <f>TEXT(TaskTimings[Day Total Minutes]/1440,"HH:mm")</f>
        <v>05:15</v>
      </c>
      <c r="P64" s="102" t="str">
        <f>TaskTimings[PRJ]</f>
        <v>TKT</v>
      </c>
      <c r="Q64" s="102" t="str">
        <f>TaskTimings[TSK]</f>
        <v>Package Creation-Stage1</v>
      </c>
    </row>
    <row r="65" spans="1:17" x14ac:dyDescent="0.25">
      <c r="A65" s="101">
        <f t="shared" si="5"/>
        <v>64</v>
      </c>
      <c r="B65" s="102" t="str">
        <f>VLOOKUP(TaskTimings[Task],ProjectTasks[[TaskProjectCode]:[TSK]],2,0)</f>
        <v>TKT</v>
      </c>
      <c r="C65" s="102" t="str">
        <f>VLOOKUP(TaskTimings[Task],ProjectTasks[[TaskProjectCode]:[TSK]],3,0)</f>
        <v>Package Creation-Stage2(Resource creation)</v>
      </c>
      <c r="D65" s="102" t="str">
        <f>TaskTimings[Employee]&amp;"/"&amp;TaskTimings[Date]</f>
        <v>Shareena/43445</v>
      </c>
      <c r="E65" s="102">
        <f>COUNTIF($D$1:TaskTimings[[#This Row],[EmployeeDate]],TaskTimings[[#This Row],[EmployeeDate]])</f>
        <v>1</v>
      </c>
      <c r="F65" s="102" t="str">
        <f>TaskTimings[[#This Row],[EmployeeDate]]&amp;"/"&amp;TaskTimings[[#This Row],[EmployeeDateSeq]]</f>
        <v>Shareena/43445/1</v>
      </c>
      <c r="G65" s="103" t="s">
        <v>98</v>
      </c>
      <c r="H65" s="103" t="s">
        <v>16</v>
      </c>
      <c r="I65" s="104">
        <v>43445</v>
      </c>
      <c r="J65" s="105">
        <v>0.39583333333333331</v>
      </c>
      <c r="K65" s="115">
        <v>0.51041666666666663</v>
      </c>
      <c r="L65" s="106">
        <f>(TaskTimings[End Time]-TaskTimings[Start Time])*1440</f>
        <v>164.99999999999997</v>
      </c>
      <c r="M65" s="106" t="str">
        <f>TEXT(TaskTimings[End Time]-TaskTimings[Start Time],"HH:mm")</f>
        <v>02:45</v>
      </c>
      <c r="N65" s="106">
        <f>SUMIFS(TaskTimings[Total Minutes],TaskTimings[Date],TaskTimings[Date],TaskTimings[Employee],TaskTimings[Employee])</f>
        <v>164.99999999999997</v>
      </c>
      <c r="O65" s="106" t="str">
        <f>TEXT(TaskTimings[Day Total Minutes]/1440,"HH:mm")</f>
        <v>02:45</v>
      </c>
      <c r="P65" s="102" t="str">
        <f>TaskTimings[PRJ]</f>
        <v>TKT</v>
      </c>
      <c r="Q65" s="102" t="str">
        <f>TaskTimings[TSK]</f>
        <v>Package Creation-Stage2(Resource creation)</v>
      </c>
    </row>
    <row r="66" spans="1:17" x14ac:dyDescent="0.25">
      <c r="A66" s="101">
        <f t="shared" si="5"/>
        <v>65</v>
      </c>
      <c r="B66" s="110" t="str">
        <f>VLOOKUP(TaskTimings[Task],ProjectTasks[[TaskProjectCode]:[TSK]],2,0)</f>
        <v>APPFRAME</v>
      </c>
      <c r="C66" s="110" t="str">
        <f>VLOOKUP(TaskTimings[Task],ProjectTasks[[TaskProjectCode]:[TSK]],3,0)</f>
        <v>Development</v>
      </c>
      <c r="D66" s="110" t="str">
        <f>TaskTimings[Employee]&amp;"/"&amp;TaskTimings[Date]</f>
        <v>Firose/43444</v>
      </c>
      <c r="E66" s="110">
        <f>COUNTIF($D$1:TaskTimings[[#This Row],[EmployeeDate]],TaskTimings[[#This Row],[EmployeeDate]])</f>
        <v>1</v>
      </c>
      <c r="F66" s="110" t="str">
        <f>TaskTimings[[#This Row],[EmployeeDate]]&amp;"/"&amp;TaskTimings[[#This Row],[EmployeeDateSeq]]</f>
        <v>Firose/43444/1</v>
      </c>
      <c r="G66" s="111" t="s">
        <v>99</v>
      </c>
      <c r="H66" s="111" t="s">
        <v>34</v>
      </c>
      <c r="I66" s="112">
        <v>43444</v>
      </c>
      <c r="J66" s="113">
        <v>0.375</v>
      </c>
      <c r="K66" s="113">
        <v>0.70833333333333337</v>
      </c>
      <c r="L66" s="114">
        <f>(TaskTimings[End Time]-TaskTimings[Start Time])*1440</f>
        <v>480.00000000000006</v>
      </c>
      <c r="M66" s="114" t="str">
        <f>TEXT(TaskTimings[End Time]-TaskTimings[Start Time],"HH:mm")</f>
        <v>08:00</v>
      </c>
      <c r="N66" s="114">
        <f>SUMIFS(TaskTimings[Total Minutes],TaskTimings[Date],TaskTimings[Date],TaskTimings[Employee],TaskTimings[Employee])</f>
        <v>480.00000000000006</v>
      </c>
      <c r="O66" s="114" t="str">
        <f>TEXT(TaskTimings[Day Total Minutes]/1440,"HH:mm")</f>
        <v>08:00</v>
      </c>
      <c r="P66" s="110" t="str">
        <f>TaskTimings[PRJ]</f>
        <v>APPFRAME</v>
      </c>
      <c r="Q66" s="110" t="str">
        <f>TaskTimings[TSK]</f>
        <v>Development</v>
      </c>
    </row>
    <row r="67" spans="1:17" x14ac:dyDescent="0.25">
      <c r="A67" s="116">
        <f t="shared" si="5"/>
        <v>66</v>
      </c>
      <c r="B67" s="117" t="str">
        <f>VLOOKUP(TaskTimings[Task],ProjectTasks[[TaskProjectCode]:[TSK]],2,0)</f>
        <v>SDS</v>
      </c>
      <c r="C67" s="117" t="str">
        <f>VLOOKUP(TaskTimings[Task],ProjectTasks[[TaskProjectCode]:[TSK]],3,0)</f>
        <v>Modification</v>
      </c>
      <c r="D67" s="117" t="str">
        <f>TaskTimings[Employee]&amp;"/"&amp;TaskTimings[Date]</f>
        <v>Aswathy/43445</v>
      </c>
      <c r="E67" s="117">
        <f>COUNTIF($D$1:TaskTimings[[#This Row],[EmployeeDate]],TaskTimings[[#This Row],[EmployeeDate]])</f>
        <v>1</v>
      </c>
      <c r="F67" s="117" t="str">
        <f>TaskTimings[[#This Row],[EmployeeDate]]&amp;"/"&amp;TaskTimings[[#This Row],[EmployeeDateSeq]]</f>
        <v>Aswathy/43445/1</v>
      </c>
      <c r="G67" s="118" t="s">
        <v>94</v>
      </c>
      <c r="H67" s="118" t="s">
        <v>54</v>
      </c>
      <c r="I67" s="119">
        <v>43445</v>
      </c>
      <c r="J67" s="120">
        <v>0.53125</v>
      </c>
      <c r="K67" s="122">
        <v>0.55902777777777779</v>
      </c>
      <c r="L67" s="121">
        <f>(TaskTimings[End Time]-TaskTimings[Start Time])*1440</f>
        <v>40.000000000000014</v>
      </c>
      <c r="M67" s="121" t="str">
        <f>TEXT(TaskTimings[End Time]-TaskTimings[Start Time],"HH:mm")</f>
        <v>00:40</v>
      </c>
      <c r="N67" s="121">
        <f>SUMIFS(TaskTimings[Total Minutes],TaskTimings[Date],TaskTimings[Date],TaskTimings[Employee],TaskTimings[Employee])</f>
        <v>220</v>
      </c>
      <c r="O67" s="121" t="str">
        <f>TEXT(TaskTimings[Day Total Minutes]/1440,"HH:mm")</f>
        <v>03:40</v>
      </c>
      <c r="P67" s="117" t="str">
        <f>TaskTimings[PRJ]</f>
        <v>SDS</v>
      </c>
      <c r="Q67" s="117" t="str">
        <f>TaskTimings[TSK]</f>
        <v>Modification</v>
      </c>
    </row>
    <row r="68" spans="1:17" x14ac:dyDescent="0.25">
      <c r="A68" s="116">
        <f t="shared" si="5"/>
        <v>67</v>
      </c>
      <c r="B68" s="117" t="str">
        <f>VLOOKUP(TaskTimings[Task],ProjectTasks[[TaskProjectCode]:[TSK]],2,0)</f>
        <v>SDS</v>
      </c>
      <c r="C68" s="117" t="str">
        <f>VLOOKUP(TaskTimings[Task],ProjectTasks[[TaskProjectCode]:[TSK]],3,0)</f>
        <v>Modification</v>
      </c>
      <c r="D68" s="117" t="str">
        <f>TaskTimings[Employee]&amp;"/"&amp;TaskTimings[Date]</f>
        <v>Aswathy/43445</v>
      </c>
      <c r="E68" s="117">
        <f>COUNTIF($D$1:TaskTimings[[#This Row],[EmployeeDate]],TaskTimings[[#This Row],[EmployeeDate]])</f>
        <v>2</v>
      </c>
      <c r="F68" s="117" t="str">
        <f>TaskTimings[[#This Row],[EmployeeDate]]&amp;"/"&amp;TaskTimings[[#This Row],[EmployeeDateSeq]]</f>
        <v>Aswathy/43445/2</v>
      </c>
      <c r="G68" s="118" t="s">
        <v>94</v>
      </c>
      <c r="H68" s="118" t="s">
        <v>54</v>
      </c>
      <c r="I68" s="119">
        <v>43445</v>
      </c>
      <c r="J68" s="120">
        <v>0.58333333333333337</v>
      </c>
      <c r="K68" s="122">
        <v>0.70833333333333337</v>
      </c>
      <c r="L68" s="121">
        <f>(TaskTimings[End Time]-TaskTimings[Start Time])*1440</f>
        <v>180</v>
      </c>
      <c r="M68" s="121" t="str">
        <f>TEXT(TaskTimings[End Time]-TaskTimings[Start Time],"HH:mm")</f>
        <v>03:00</v>
      </c>
      <c r="N68" s="121">
        <f>SUMIFS(TaskTimings[Total Minutes],TaskTimings[Date],TaskTimings[Date],TaskTimings[Employee],TaskTimings[Employee])</f>
        <v>220</v>
      </c>
      <c r="O68" s="121" t="str">
        <f>TEXT(TaskTimings[Day Total Minutes]/1440,"HH:mm")</f>
        <v>03:40</v>
      </c>
      <c r="P68" s="117" t="str">
        <f>TaskTimings[PRJ]</f>
        <v>SDS</v>
      </c>
      <c r="Q68" s="117" t="str">
        <f>TaskTimings[TSK]</f>
        <v>Modification</v>
      </c>
    </row>
  </sheetData>
  <dataValidations count="2">
    <dataValidation type="list" allowBlank="1" showInputMessage="1" showErrorMessage="1" sqref="H2:H68">
      <formula1>EmployeeNames</formula1>
    </dataValidation>
    <dataValidation type="list" allowBlank="1" showInputMessage="1" showErrorMessage="1" sqref="G2:G68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7"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144" t="s">
        <v>72</v>
      </c>
      <c r="B1" s="144"/>
      <c r="C1" s="144"/>
      <c r="D1" s="144"/>
      <c r="E1" s="144"/>
    </row>
    <row r="2" spans="1:16" x14ac:dyDescent="0.25">
      <c r="A2" s="144"/>
      <c r="B2" s="144"/>
      <c r="C2" s="144"/>
      <c r="D2" s="144"/>
      <c r="E2" s="144"/>
      <c r="J2" s="129" t="s">
        <v>33</v>
      </c>
      <c r="K2" s="129"/>
      <c r="L2" s="129"/>
    </row>
    <row r="3" spans="1:16" x14ac:dyDescent="0.25">
      <c r="A3" s="144"/>
      <c r="B3" s="144"/>
      <c r="C3" s="144"/>
      <c r="D3" s="144"/>
      <c r="E3" s="144"/>
      <c r="J3" s="129"/>
      <c r="K3" s="129"/>
      <c r="L3" s="129"/>
    </row>
    <row r="4" spans="1:16" ht="15.75" thickBot="1" x14ac:dyDescent="0.3">
      <c r="A4" s="145" t="str">
        <f>VLOOKUP($A$1,Project[[Project]:[Project Code]],2,0)</f>
        <v>MITWEB</v>
      </c>
      <c r="B4" s="145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136" t="s">
        <v>31</v>
      </c>
      <c r="B5" s="146" t="s">
        <v>29</v>
      </c>
      <c r="C5" s="146"/>
      <c r="D5" s="146"/>
      <c r="E5" s="146"/>
      <c r="F5" s="146"/>
      <c r="G5" s="125" t="s">
        <v>32</v>
      </c>
      <c r="H5" s="127"/>
      <c r="J5" s="136" t="str">
        <f>IFERROR(VLOOKUP(J$4,Employees[],2,0),"")</f>
        <v>Aswathy</v>
      </c>
      <c r="K5" s="125" t="str">
        <f>IFERROR(VLOOKUP(K$4,Employees[],2,0),"")</f>
        <v>Vishnu</v>
      </c>
      <c r="L5" s="125" t="str">
        <f>IFERROR(VLOOKUP(L$4,Employees[],2,0),"")</f>
        <v>Shareena</v>
      </c>
      <c r="M5" s="125" t="str">
        <f>IFERROR(VLOOKUP(M$4,Employees[],2,0),"")</f>
        <v>Firose</v>
      </c>
      <c r="N5" s="125" t="str">
        <f>IFERROR(VLOOKUP(N$4,Employees[],2,0),"")</f>
        <v/>
      </c>
      <c r="O5" s="125" t="str">
        <f>IFERROR(VLOOKUP(O$4,Employees[],2,0),"")</f>
        <v/>
      </c>
      <c r="P5" s="127" t="str">
        <f>IFERROR(VLOOKUP(P$4,Employees[],2,0),"")</f>
        <v/>
      </c>
    </row>
    <row r="6" spans="1:16" x14ac:dyDescent="0.25">
      <c r="A6" s="137"/>
      <c r="B6" s="147"/>
      <c r="C6" s="147"/>
      <c r="D6" s="147"/>
      <c r="E6" s="147"/>
      <c r="F6" s="147"/>
      <c r="G6" s="126"/>
      <c r="H6" s="128"/>
      <c r="J6" s="137"/>
      <c r="K6" s="126"/>
      <c r="L6" s="126"/>
      <c r="M6" s="126"/>
      <c r="N6" s="126"/>
      <c r="O6" s="126"/>
      <c r="P6" s="128"/>
    </row>
    <row r="7" spans="1:16" x14ac:dyDescent="0.25">
      <c r="A7" s="12">
        <v>1</v>
      </c>
      <c r="B7" s="140" t="str">
        <f>IFERROR(VLOOKUP($A$4&amp;"-"&amp;$A7,ProjectTasks[[PRJTSKSEQ]:[Task]],2,0),"")</f>
        <v>Modification</v>
      </c>
      <c r="C7" s="140"/>
      <c r="D7" s="140"/>
      <c r="E7" s="140"/>
      <c r="F7" s="140"/>
      <c r="G7" s="138">
        <f>SUMIFS(TaskTimings[Total Minutes],TaskTimings[PRJ],$A$4,TaskTimings[TSK],$B7)</f>
        <v>419.99999999999994</v>
      </c>
      <c r="H7" s="139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419.99999999999994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140" t="str">
        <f>IFERROR(VLOOKUP($A$4&amp;"-"&amp;$A8,ProjectTasks[[PRJTSKSEQ]:[Task]],2,0),"")</f>
        <v/>
      </c>
      <c r="C8" s="140"/>
      <c r="D8" s="140"/>
      <c r="E8" s="140"/>
      <c r="F8" s="140"/>
      <c r="G8" s="138">
        <f>SUMIFS(TaskTimings[Total Minutes],TaskTimings[PRJ],$A$4,TaskTimings[TSK],$B8)</f>
        <v>0</v>
      </c>
      <c r="H8" s="139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140" t="str">
        <f>IFERROR(VLOOKUP($A$4&amp;"-"&amp;$A9,ProjectTasks[[PRJTSKSEQ]:[Task]],2,0),"")</f>
        <v/>
      </c>
      <c r="C9" s="140"/>
      <c r="D9" s="140"/>
      <c r="E9" s="140"/>
      <c r="F9" s="140"/>
      <c r="G9" s="138">
        <f>SUMIFS(TaskTimings[Total Minutes],TaskTimings[PRJ],$A$4,TaskTimings[TSK],$B9)</f>
        <v>0</v>
      </c>
      <c r="H9" s="139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140" t="str">
        <f>IFERROR(VLOOKUP($A$4&amp;"-"&amp;$A10,ProjectTasks[[PRJTSKSEQ]:[Task]],2,0),"")</f>
        <v/>
      </c>
      <c r="C10" s="140"/>
      <c r="D10" s="140"/>
      <c r="E10" s="140"/>
      <c r="F10" s="140"/>
      <c r="G10" s="138">
        <f>SUMIFS(TaskTimings[Total Minutes],TaskTimings[PRJ],$A$4,TaskTimings[TSK],$B10)</f>
        <v>0</v>
      </c>
      <c r="H10" s="139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0</v>
      </c>
      <c r="M10" s="16">
        <f>SUMIFS(TaskTimings[Total Minutes],TaskTimings[PRJ],$A$4,TaskTimings[TSK],$B10,TaskTimings[Employee],M$5)</f>
        <v>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140" t="str">
        <f>IFERROR(VLOOKUP($A$4&amp;"-"&amp;$A11,ProjectTasks[[PRJTSKSEQ]:[Task]],2,0),"")</f>
        <v/>
      </c>
      <c r="C11" s="140"/>
      <c r="D11" s="140"/>
      <c r="E11" s="140"/>
      <c r="F11" s="140"/>
      <c r="G11" s="138">
        <f>SUMIFS(TaskTimings[Total Minutes],TaskTimings[PRJ],$A$4,TaskTimings[TSK],$B11)</f>
        <v>0</v>
      </c>
      <c r="H11" s="139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140" t="str">
        <f>IFERROR(VLOOKUP($A$4&amp;"-"&amp;$A12,ProjectTasks[[PRJTSKSEQ]:[Task]],2,0),"")</f>
        <v/>
      </c>
      <c r="C12" s="140"/>
      <c r="D12" s="140"/>
      <c r="E12" s="140"/>
      <c r="F12" s="140"/>
      <c r="G12" s="138">
        <f>SUMIFS(TaskTimings[Total Minutes],TaskTimings[PRJ],$A$4,TaskTimings[TSK],$B12)</f>
        <v>0</v>
      </c>
      <c r="H12" s="139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140" t="str">
        <f>IFERROR(VLOOKUP($A$4&amp;"-"&amp;$A13,ProjectTasks[[PRJTSKSEQ]:[Task]],2,0),"")</f>
        <v/>
      </c>
      <c r="C13" s="140"/>
      <c r="D13" s="140"/>
      <c r="E13" s="140"/>
      <c r="F13" s="140"/>
      <c r="G13" s="138">
        <f>SUMIFS(TaskTimings[Total Minutes],TaskTimings[PRJ],$A$4,TaskTimings[TSK],$B13)</f>
        <v>0</v>
      </c>
      <c r="H13" s="139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140" t="str">
        <f>IFERROR(VLOOKUP($A$4&amp;"-"&amp;$A14,ProjectTasks[[PRJTSKSEQ]:[Task]],2,0),"")</f>
        <v/>
      </c>
      <c r="C14" s="140"/>
      <c r="D14" s="140"/>
      <c r="E14" s="140"/>
      <c r="F14" s="140"/>
      <c r="G14" s="138">
        <f>SUMIFS(TaskTimings[Total Minutes],TaskTimings[PRJ],$A$4,TaskTimings[TSK],$B14)</f>
        <v>0</v>
      </c>
      <c r="H14" s="139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140" t="str">
        <f>IFERROR(VLOOKUP($A$4&amp;"-"&amp;$A15,ProjectTasks[[PRJTSKSEQ]:[Task]],2,0),"")</f>
        <v/>
      </c>
      <c r="C15" s="140"/>
      <c r="D15" s="140"/>
      <c r="E15" s="140"/>
      <c r="F15" s="140"/>
      <c r="G15" s="138">
        <f>SUMIFS(TaskTimings[Total Minutes],TaskTimings[PRJ],$A$4,TaskTimings[TSK],$B15)</f>
        <v>0</v>
      </c>
      <c r="H15" s="139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140" t="str">
        <f>IFERROR(VLOOKUP($A$4&amp;"-"&amp;$A16,ProjectTasks[[PRJTSKSEQ]:[Task]],2,0),"")</f>
        <v/>
      </c>
      <c r="C16" s="140"/>
      <c r="D16" s="140"/>
      <c r="E16" s="140"/>
      <c r="F16" s="140"/>
      <c r="G16" s="138">
        <f>SUMIFS(TaskTimings[Total Minutes],TaskTimings[PRJ],$A$4,TaskTimings[TSK],$B16)</f>
        <v>0</v>
      </c>
      <c r="H16" s="139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140" t="str">
        <f>IFERROR(VLOOKUP($A$4&amp;"-"&amp;$A17,ProjectTasks[[PRJTSKSEQ]:[Task]],2,0),"")</f>
        <v/>
      </c>
      <c r="C17" s="140"/>
      <c r="D17" s="140"/>
      <c r="E17" s="140"/>
      <c r="F17" s="140"/>
      <c r="G17" s="138">
        <f>SUMIFS(TaskTimings[Total Minutes],TaskTimings[PRJ],$A$4,TaskTimings[TSK],$B17)</f>
        <v>0</v>
      </c>
      <c r="H17" s="139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140" t="str">
        <f>IFERROR(VLOOKUP($A$4&amp;"-"&amp;$A18,ProjectTasks[[PRJTSKSEQ]:[Task]],2,0),"")</f>
        <v/>
      </c>
      <c r="C18" s="140"/>
      <c r="D18" s="140"/>
      <c r="E18" s="140"/>
      <c r="F18" s="140"/>
      <c r="G18" s="138">
        <f>SUMIFS(TaskTimings[Total Minutes],TaskTimings[PRJ],$A$4,TaskTimings[TSK],$B18)</f>
        <v>0</v>
      </c>
      <c r="H18" s="139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140" t="str">
        <f>IFERROR(VLOOKUP($A$4&amp;"-"&amp;$A19,ProjectTasks[[PRJTSKSEQ]:[Task]],2,0),"")</f>
        <v/>
      </c>
      <c r="C19" s="140"/>
      <c r="D19" s="140"/>
      <c r="E19" s="140"/>
      <c r="F19" s="140"/>
      <c r="G19" s="138">
        <f>SUMIFS(TaskTimings[Total Minutes],TaskTimings[PRJ],$A$4,TaskTimings[TSK],$B19)</f>
        <v>0</v>
      </c>
      <c r="H19" s="139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140" t="str">
        <f>IFERROR(VLOOKUP($A$4&amp;"-"&amp;$A20,ProjectTasks[[PRJTSKSEQ]:[Task]],2,0),"")</f>
        <v/>
      </c>
      <c r="C20" s="140"/>
      <c r="D20" s="140"/>
      <c r="E20" s="140"/>
      <c r="F20" s="140"/>
      <c r="G20" s="138">
        <f>SUMIFS(TaskTimings[Total Minutes],TaskTimings[PRJ],$A$4,TaskTimings[TSK],$B20)</f>
        <v>0</v>
      </c>
      <c r="H20" s="139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43" t="str">
        <f>IFERROR(VLOOKUP($A$4&amp;"-"&amp;$A21,ProjectTasks[[PRJTSKSEQ]:[Task]],2,0),"")</f>
        <v/>
      </c>
      <c r="C21" s="143"/>
      <c r="D21" s="143"/>
      <c r="E21" s="143"/>
      <c r="F21" s="143"/>
      <c r="G21" s="141">
        <f>SUMIFS(TaskTimings[Total Minutes],TaskTimings[PRJ],$A$4,TaskTimings[TSK],$B21)</f>
        <v>0</v>
      </c>
      <c r="H21" s="142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30" t="s">
        <v>24</v>
      </c>
      <c r="E23" s="131"/>
      <c r="F23" s="132"/>
      <c r="G23" s="130">
        <f>SUM(G7:H21)</f>
        <v>419.99999999999994</v>
      </c>
      <c r="H23" s="132"/>
      <c r="J23" s="123">
        <f>SUM(J7:J21)</f>
        <v>0</v>
      </c>
      <c r="K23" s="123">
        <f t="shared" ref="K23:P23" si="0">SUM(K7:K21)</f>
        <v>0</v>
      </c>
      <c r="L23" s="123">
        <f t="shared" si="0"/>
        <v>0</v>
      </c>
      <c r="M23" s="123">
        <f t="shared" si="0"/>
        <v>419.99999999999994</v>
      </c>
      <c r="N23" s="123">
        <f t="shared" si="0"/>
        <v>0</v>
      </c>
      <c r="O23" s="123">
        <f t="shared" si="0"/>
        <v>0</v>
      </c>
      <c r="P23" s="123">
        <f t="shared" si="0"/>
        <v>0</v>
      </c>
    </row>
    <row r="24" spans="1:16" ht="15.75" thickBot="1" x14ac:dyDescent="0.3">
      <c r="D24" s="133"/>
      <c r="E24" s="134"/>
      <c r="F24" s="135"/>
      <c r="G24" s="133"/>
      <c r="H24" s="135"/>
      <c r="J24" s="124"/>
      <c r="K24" s="124"/>
      <c r="L24" s="124"/>
      <c r="M24" s="124"/>
      <c r="N24" s="124"/>
      <c r="O24" s="124"/>
      <c r="P24" s="124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sqref="A1:D3"/>
    </sheetView>
  </sheetViews>
  <sheetFormatPr defaultRowHeight="15" x14ac:dyDescent="0.25"/>
  <cols>
    <col min="10" max="10" width="10.5703125" customWidth="1"/>
  </cols>
  <sheetData>
    <row r="1" spans="1:28" x14ac:dyDescent="0.25">
      <c r="A1" s="150" t="s">
        <v>16</v>
      </c>
      <c r="B1" s="150"/>
      <c r="C1" s="150"/>
      <c r="D1" s="150"/>
      <c r="F1" s="152" t="s">
        <v>35</v>
      </c>
      <c r="G1" s="152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50"/>
      <c r="B2" s="150"/>
      <c r="C2" s="150"/>
      <c r="D2" s="150"/>
      <c r="F2" s="151">
        <v>43444</v>
      </c>
      <c r="G2" s="151"/>
      <c r="I2" s="168">
        <f>SUM(I7:I30)</f>
        <v>479.99999999999989</v>
      </c>
      <c r="J2" s="162" t="str">
        <f>INT($I$2/60)&amp;":"&amp;MOD(INT($I$2),60)</f>
        <v>8:0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50"/>
      <c r="B3" s="150"/>
      <c r="C3" s="150"/>
      <c r="D3" s="150"/>
      <c r="F3" s="151"/>
      <c r="G3" s="151"/>
      <c r="I3" s="169"/>
      <c r="J3" s="163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29" t="s">
        <v>44</v>
      </c>
      <c r="L4" s="129"/>
      <c r="M4" s="129"/>
    </row>
    <row r="5" spans="1:28" ht="15.75" thickBot="1" x14ac:dyDescent="0.3">
      <c r="B5" s="129" t="s">
        <v>45</v>
      </c>
      <c r="C5" s="129"/>
      <c r="D5" s="129"/>
      <c r="E5" s="129"/>
      <c r="F5" s="129"/>
      <c r="K5" s="148"/>
      <c r="L5" s="148"/>
      <c r="M5" s="148"/>
    </row>
    <row r="6" spans="1:28" ht="15.75" thickBot="1" x14ac:dyDescent="0.3">
      <c r="A6" s="14">
        <v>1</v>
      </c>
      <c r="B6" s="149"/>
      <c r="C6" s="149"/>
      <c r="D6" s="149"/>
      <c r="E6" s="149"/>
      <c r="F6" s="149"/>
      <c r="J6" s="25"/>
      <c r="K6" s="32" t="s">
        <v>0</v>
      </c>
      <c r="L6" s="159" t="s">
        <v>4</v>
      </c>
      <c r="M6" s="159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53">
        <f>$F$2</f>
        <v>43444</v>
      </c>
      <c r="C7" s="125"/>
      <c r="D7" s="154" t="str">
        <f>IFERROR(VLOOKUP($A$1&amp;"/"&amp;$B$7&amp;"/"&amp;$A6,TaskTimings[[EmployeeDateSeqCode]:[Task]],2,0),"")</f>
        <v>TKT/Package Creation-Stage1</v>
      </c>
      <c r="E7" s="154"/>
      <c r="F7" s="154"/>
      <c r="G7" s="154"/>
      <c r="H7" s="23">
        <f>IFERROR(VLOOKUP($A$1&amp;"/"&amp;$B$7&amp;"/"&amp;$A6,TaskTimings[[EmployeeDateSeqCode]:[Total Minutes]],7,0),0)</f>
        <v>164.99999999999997</v>
      </c>
      <c r="I7" s="161">
        <f>SUM(H7:H10)</f>
        <v>314.99999999999989</v>
      </c>
      <c r="J7" s="25"/>
      <c r="K7" s="70">
        <v>1</v>
      </c>
      <c r="L7" s="164" t="str">
        <f>IFERROR(VLOOKUP($K7,$X$7:$Y$30,2,0),"")</f>
        <v>TKT</v>
      </c>
      <c r="M7" s="164"/>
      <c r="N7" s="72">
        <f>SUMIFS($AB$7:$AB$30,$Y$7:$Y$30,$L7)</f>
        <v>479.99999999999989</v>
      </c>
      <c r="O7" s="25"/>
      <c r="P7" s="25"/>
      <c r="Q7" s="25"/>
      <c r="R7" s="25"/>
      <c r="S7" s="25"/>
      <c r="T7" s="25"/>
      <c r="U7" s="77">
        <f>IF(COUNTIFS($D$6:$D7,D7)=1,1,0)</f>
        <v>1</v>
      </c>
      <c r="V7" s="78" t="str">
        <f>IF($U7=0,"",VLOOKUP($D7,TaskTimings[[Task]:[PRJLST]],10,0))</f>
        <v>TKT</v>
      </c>
      <c r="W7" s="79">
        <f>IF($V7="","",COUNTIF($V7:$V$7,$V7))</f>
        <v>1</v>
      </c>
      <c r="X7" s="79">
        <f>IF($W7=1,MAX($X$6:$X6)+1,"")</f>
        <v>1</v>
      </c>
      <c r="Y7" s="80" t="str">
        <f>IF($W7="","",$V7)</f>
        <v>TKT</v>
      </c>
      <c r="Z7" s="78" t="str">
        <f>IF($Y7="","",$Y7&amp;"/"&amp;COUNTIF($Y$7:$Y7,$Y7))</f>
        <v>TKT/1</v>
      </c>
      <c r="AA7" s="78" t="str">
        <f>IF($Z7="","",VLOOKUP($D7,TaskTimings[[Task]:[TSKLST]],11,0))</f>
        <v>Package Creation-Stage1</v>
      </c>
      <c r="AB7" s="81">
        <f>IF($AA7="",0,SUMIFS($H$7:$H$30,$D$7:$D$30,$Y7&amp;"/"&amp;$AA7))</f>
        <v>314.99999999999989</v>
      </c>
    </row>
    <row r="8" spans="1:28" x14ac:dyDescent="0.25">
      <c r="A8" s="14">
        <v>3</v>
      </c>
      <c r="B8" s="137"/>
      <c r="C8" s="126"/>
      <c r="D8" s="155" t="str">
        <f>IFERROR(VLOOKUP($A$1&amp;"/"&amp;$B$7&amp;"/"&amp;$A7,TaskTimings[[EmployeeDateSeqCode]:[Task]],2,0),"")</f>
        <v>TKT/Package Creation-Stage1</v>
      </c>
      <c r="E8" s="155"/>
      <c r="F8" s="155"/>
      <c r="G8" s="155"/>
      <c r="H8" s="22">
        <f>IFERROR(VLOOKUP($A$1&amp;"/"&amp;$B$7&amp;"/"&amp;$A7,TaskTimings[[EmployeeDateSeqCode]:[Total Minutes]],7,0),0)</f>
        <v>149.99999999999994</v>
      </c>
      <c r="I8" s="162"/>
      <c r="J8" s="25"/>
      <c r="K8" s="70">
        <v>2</v>
      </c>
      <c r="L8" s="164" t="str">
        <f>IFERROR(VLOOKUP($K8,$X$7:$Y$30,2,0),"")</f>
        <v/>
      </c>
      <c r="M8" s="164"/>
      <c r="N8" s="72">
        <f>SUMIFS($AB$7:$AB$30,$Y$7:$Y$30,$L8)</f>
        <v>0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37"/>
      <c r="C9" s="126"/>
      <c r="D9" s="155" t="str">
        <f>IFERROR(VLOOKUP($A$1&amp;"/"&amp;$B$7&amp;"/"&amp;$A8,TaskTimings[[EmployeeDateSeqCode]:[Task]],2,0),"")</f>
        <v/>
      </c>
      <c r="E9" s="155"/>
      <c r="F9" s="155"/>
      <c r="G9" s="155"/>
      <c r="H9" s="22">
        <f>IFERROR(VLOOKUP($A$1&amp;"/"&amp;$B$7&amp;"/"&amp;$A8,TaskTimings[[EmployeeDateSeqCode]:[Total Minutes]],7,0),0)</f>
        <v>0</v>
      </c>
      <c r="I9" s="162"/>
      <c r="J9" s="25"/>
      <c r="K9" s="70">
        <v>3</v>
      </c>
      <c r="L9" s="164" t="str">
        <f>IFERROR(VLOOKUP($K9,$X$7:$Y$30,2,0),"")</f>
        <v/>
      </c>
      <c r="M9" s="164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37"/>
      <c r="C10" s="126"/>
      <c r="D10" s="155" t="str">
        <f>IFERROR(VLOOKUP($A$1&amp;"/"&amp;$B$7&amp;"/"&amp;$A9,TaskTimings[[EmployeeDateSeqCode]:[Task]],2,0),"")</f>
        <v/>
      </c>
      <c r="E10" s="155"/>
      <c r="F10" s="155"/>
      <c r="G10" s="155"/>
      <c r="H10" s="22">
        <f>IFERROR(VLOOKUP($A$1&amp;"/"&amp;$B$7&amp;"/"&amp;$A9,TaskTimings[[EmployeeDateSeqCode]:[Total Minutes]],7,0),0)</f>
        <v>0</v>
      </c>
      <c r="I10" s="162"/>
      <c r="J10" s="25"/>
      <c r="K10" s="70">
        <v>4</v>
      </c>
      <c r="L10" s="164" t="str">
        <f>IFERROR(VLOOKUP($K10,$X$7:$Y$30,2,0),"")</f>
        <v/>
      </c>
      <c r="M10" s="164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156">
        <f>B7+1</f>
        <v>43445</v>
      </c>
      <c r="C11" s="126"/>
      <c r="D11" s="155" t="str">
        <f>IFERROR(VLOOKUP($A$1&amp;"/"&amp;$B$11&amp;"/"&amp;$A10,TaskTimings[[EmployeeDateSeqCode]:[Task]],2,0),"")</f>
        <v>TKT/Package Creation-Stage2(Resource creation)</v>
      </c>
      <c r="E11" s="155"/>
      <c r="F11" s="155"/>
      <c r="G11" s="155"/>
      <c r="H11" s="22">
        <f>IFERROR(VLOOKUP($A$1&amp;"/"&amp;$B$11&amp;"/"&amp;$A10,TaskTimings[[EmployeeDateSeqCode]:[Total Minutes]],7,0),0)</f>
        <v>164.99999999999997</v>
      </c>
      <c r="I11" s="162">
        <f t="shared" ref="I11" si="2">SUM(H11:H14)</f>
        <v>164.99999999999997</v>
      </c>
      <c r="J11" s="25"/>
      <c r="K11" s="71">
        <v>5</v>
      </c>
      <c r="L11" s="167" t="str">
        <f>IFERROR(VLOOKUP($K11,$X$7:$Y$30,2,0),"")</f>
        <v/>
      </c>
      <c r="M11" s="167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1</v>
      </c>
      <c r="V11" s="83" t="str">
        <f>IF($U11=0,"",VLOOKUP($D11,TaskTimings[[Task]:[PRJLST]],10,0))</f>
        <v>TKT</v>
      </c>
      <c r="W11" s="84">
        <f>IF($V11="","",COUNTIF($V$7:$V11,$V11))</f>
        <v>2</v>
      </c>
      <c r="X11" s="84" t="str">
        <f>IF($W11=1,MAX($X$6:$X10)+1,"")</f>
        <v/>
      </c>
      <c r="Y11" s="85" t="str">
        <f t="shared" si="0"/>
        <v>TKT</v>
      </c>
      <c r="Z11" s="83" t="str">
        <f>IF($Y11="","",$Y11&amp;"/"&amp;COUNTIF($Y$7:$Y11,$Y11))</f>
        <v>TKT/2</v>
      </c>
      <c r="AA11" s="83" t="str">
        <f>IF($Z11="","",VLOOKUP($D11,TaskTimings[[Task]:[TSKLST]],11,0))</f>
        <v>Package Creation-Stage2(Resource creation)</v>
      </c>
      <c r="AB11" s="86">
        <f t="shared" si="1"/>
        <v>164.99999999999997</v>
      </c>
    </row>
    <row r="12" spans="1:28" x14ac:dyDescent="0.25">
      <c r="A12" s="14">
        <v>3</v>
      </c>
      <c r="B12" s="137"/>
      <c r="C12" s="126"/>
      <c r="D12" s="155" t="str">
        <f>IFERROR(VLOOKUP($A$1&amp;"/"&amp;$B$11&amp;"/"&amp;$A11,TaskTimings[[EmployeeDateSeqCode]:[Task]],2,0),"")</f>
        <v/>
      </c>
      <c r="E12" s="155"/>
      <c r="F12" s="155"/>
      <c r="G12" s="155"/>
      <c r="H12" s="22">
        <f>IFERROR(VLOOKUP($A$1&amp;"/"&amp;$B$11&amp;"/"&amp;$A11,TaskTimings[[EmployeeDateSeqCode]:[Total Minutes]],7,0),0)</f>
        <v>0</v>
      </c>
      <c r="I12" s="162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37"/>
      <c r="C13" s="126"/>
      <c r="D13" s="155" t="str">
        <f>IFERROR(VLOOKUP($A$1&amp;"/"&amp;$B$11&amp;"/"&amp;$A12,TaskTimings[[EmployeeDateSeqCode]:[Task]],2,0),"")</f>
        <v/>
      </c>
      <c r="E13" s="155"/>
      <c r="F13" s="155"/>
      <c r="G13" s="155"/>
      <c r="H13" s="22">
        <f>IFERROR(VLOOKUP($A$1&amp;"/"&amp;$B$11&amp;"/"&amp;$A12,TaskTimings[[EmployeeDateSeqCode]:[Total Minutes]],7,0),0)</f>
        <v>0</v>
      </c>
      <c r="I13" s="162"/>
      <c r="J13" s="25"/>
      <c r="K13" s="148" t="s">
        <v>46</v>
      </c>
      <c r="L13" s="148"/>
      <c r="M13" s="148"/>
      <c r="N13" s="148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37"/>
      <c r="C14" s="126"/>
      <c r="D14" s="155" t="str">
        <f>IFERROR(VLOOKUP($A$1&amp;"/"&amp;$B$11&amp;"/"&amp;$A13,TaskTimings[[EmployeeDateSeqCode]:[Task]],2,0),"")</f>
        <v/>
      </c>
      <c r="E14" s="155"/>
      <c r="F14" s="155"/>
      <c r="G14" s="155"/>
      <c r="H14" s="22">
        <f>IFERROR(VLOOKUP($A$1&amp;"/"&amp;$B$11&amp;"/"&amp;$A13,TaskTimings[[EmployeeDateSeqCode]:[Total Minutes]],7,0),0)</f>
        <v>0</v>
      </c>
      <c r="I14" s="162"/>
      <c r="J14" s="25"/>
      <c r="K14" s="149"/>
      <c r="L14" s="149"/>
      <c r="M14" s="149"/>
      <c r="N14" s="149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156">
        <f>B11+1</f>
        <v>43446</v>
      </c>
      <c r="C15" s="126"/>
      <c r="D15" s="155" t="str">
        <f>IFERROR(VLOOKUP($A$1&amp;"/"&amp;$B$15&amp;"/"&amp;$A14,TaskTimings[[EmployeeDateSeqCode]:[Task]],2,0),"")</f>
        <v/>
      </c>
      <c r="E15" s="155"/>
      <c r="F15" s="155"/>
      <c r="G15" s="155"/>
      <c r="H15" s="22">
        <f>IFERROR(VLOOKUP($A$1&amp;"/"&amp;$B$15&amp;"/"&amp;$A14,TaskTimings[[EmployeeDateSeqCode]:[Total Minutes]],7,0),0)</f>
        <v>0</v>
      </c>
      <c r="I15" s="162">
        <f t="shared" ref="I15" si="3">SUM(H15:H18)</f>
        <v>0</v>
      </c>
      <c r="J15" s="25"/>
      <c r="K15" s="165" t="s">
        <v>4</v>
      </c>
      <c r="L15" s="166"/>
      <c r="M15" s="166" t="s">
        <v>29</v>
      </c>
      <c r="N15" s="166"/>
      <c r="O15" s="166"/>
      <c r="P15" s="166"/>
      <c r="Q15" s="23" t="s">
        <v>42</v>
      </c>
      <c r="R15" s="27" t="s">
        <v>24</v>
      </c>
      <c r="S15" s="25"/>
      <c r="T15" s="25"/>
      <c r="U15" s="82">
        <f>IF(COUNTIFS($D$6:$D15,D15)=1,1,0)</f>
        <v>0</v>
      </c>
      <c r="V15" s="83" t="str">
        <f>IF($U15=0,"",VLOOKUP($D15,TaskTimings[[Task]:[PRJLST]],10,0))</f>
        <v/>
      </c>
      <c r="W15" s="84" t="str">
        <f>IF($V15="","",COUNTIF($V$7:$V15,$V15))</f>
        <v/>
      </c>
      <c r="X15" s="84" t="str">
        <f>IF($W15=1,MAX($X$6:$X14)+1,"")</f>
        <v/>
      </c>
      <c r="Y15" s="85" t="str">
        <f t="shared" si="0"/>
        <v/>
      </c>
      <c r="Z15" s="83" t="str">
        <f>IF($Y15="","",$Y15&amp;"/"&amp;COUNTIF($Y$7:$Y15,$Y15))</f>
        <v/>
      </c>
      <c r="AA15" s="83" t="str">
        <f>IF($Z15="","",VLOOKUP($D15,TaskTimings[[Task]:[TSKLST]],11,0))</f>
        <v/>
      </c>
      <c r="AB15" s="86">
        <f t="shared" si="1"/>
        <v>0</v>
      </c>
    </row>
    <row r="16" spans="1:28" x14ac:dyDescent="0.25">
      <c r="A16" s="14">
        <v>3</v>
      </c>
      <c r="B16" s="137"/>
      <c r="C16" s="126"/>
      <c r="D16" s="155" t="str">
        <f>IFERROR(VLOOKUP($A$1&amp;"/"&amp;$B$15&amp;"/"&amp;$A15,TaskTimings[[EmployeeDateSeqCode]:[Task]],2,0),"")</f>
        <v/>
      </c>
      <c r="E16" s="155"/>
      <c r="F16" s="155"/>
      <c r="G16" s="155"/>
      <c r="H16" s="22">
        <f>IFERROR(VLOOKUP($A$1&amp;"/"&amp;$B$15&amp;"/"&amp;$A15,TaskTimings[[EmployeeDateSeqCode]:[Total Minutes]],7,0),0)</f>
        <v>0</v>
      </c>
      <c r="I16" s="162"/>
      <c r="J16" s="26">
        <v>1</v>
      </c>
      <c r="K16" s="170" t="str">
        <f>VLOOKUP(1,$K$7:$M$11,2,0)</f>
        <v>TKT</v>
      </c>
      <c r="L16" s="138"/>
      <c r="M16" s="164" t="str">
        <f>IF($K$16="","",IFERROR(VLOOKUP($K$16&amp;"/"&amp;$J16,$Z$7:$AA$30,2,0),""))</f>
        <v>Package Creation-Stage1</v>
      </c>
      <c r="N16" s="164"/>
      <c r="O16" s="164"/>
      <c r="P16" s="164"/>
      <c r="Q16" s="22">
        <f>IF($M16="","",SUMIFS($H$7:$H$30,$D$7:$D$30,$K$16&amp;"/"&amp;$M16))</f>
        <v>314.99999999999989</v>
      </c>
      <c r="R16" s="162">
        <f>SUM(Q16:Q19)</f>
        <v>479.99999999999989</v>
      </c>
      <c r="S16" s="30"/>
      <c r="T16" s="31"/>
      <c r="U16" s="82">
        <f>IF(COUNTIFS($D$6:$D16,D16)=1,1,0)</f>
        <v>0</v>
      </c>
      <c r="V16" s="83" t="str">
        <f>IF($U16=0,"",VLOOKUP($D16,TaskTimings[[Task]:[PRJLST]],10,0))</f>
        <v/>
      </c>
      <c r="W16" s="84" t="str">
        <f>IF($V16="","",COUNTIF($V$7:$V16,$V16))</f>
        <v/>
      </c>
      <c r="X16" s="84" t="str">
        <f>IF($W16=1,MAX($X$6:$X15)+1,"")</f>
        <v/>
      </c>
      <c r="Y16" s="85" t="str">
        <f t="shared" si="0"/>
        <v/>
      </c>
      <c r="Z16" s="83" t="str">
        <f>IF($Y16="","",$Y16&amp;"/"&amp;COUNTIF($Y$7:$Y16,$Y16))</f>
        <v/>
      </c>
      <c r="AA16" s="83" t="str">
        <f>IF($Z16="","",VLOOKUP($D16,TaskTimings[[Task]:[TSKLST]],11,0))</f>
        <v/>
      </c>
      <c r="AB16" s="86">
        <f t="shared" si="1"/>
        <v>0</v>
      </c>
    </row>
    <row r="17" spans="1:28" x14ac:dyDescent="0.25">
      <c r="A17" s="14">
        <v>4</v>
      </c>
      <c r="B17" s="137"/>
      <c r="C17" s="126"/>
      <c r="D17" s="155" t="str">
        <f>IFERROR(VLOOKUP($A$1&amp;"/"&amp;$B$15&amp;"/"&amp;$A16,TaskTimings[[EmployeeDateSeqCode]:[Task]],2,0),"")</f>
        <v/>
      </c>
      <c r="E17" s="155"/>
      <c r="F17" s="155"/>
      <c r="G17" s="155"/>
      <c r="H17" s="22">
        <f>IFERROR(VLOOKUP($A$1&amp;"/"&amp;$B$15&amp;"/"&amp;$A16,TaskTimings[[EmployeeDateSeqCode]:[Total Minutes]],7,0),0)</f>
        <v>0</v>
      </c>
      <c r="I17" s="162"/>
      <c r="J17" s="26">
        <v>2</v>
      </c>
      <c r="K17" s="170"/>
      <c r="L17" s="138"/>
      <c r="M17" s="164" t="str">
        <f>IF($K$16="","",IFERROR(VLOOKUP($K$16&amp;"/"&amp;$J17,$Z$7:$AA$30,2,0),""))</f>
        <v>Package Creation-Stage2(Resource creation)</v>
      </c>
      <c r="N17" s="164"/>
      <c r="O17" s="164"/>
      <c r="P17" s="164"/>
      <c r="Q17" s="22">
        <f>IF($M17="","",SUMIFS($H$7:$H$30,$D$7:$D$30,$K$16&amp;"/"&amp;$M17))</f>
        <v>164.99999999999997</v>
      </c>
      <c r="R17" s="162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37"/>
      <c r="C18" s="126"/>
      <c r="D18" s="155" t="str">
        <f>IFERROR(VLOOKUP($A$1&amp;"/"&amp;$B$15&amp;"/"&amp;$A17,TaskTimings[[EmployeeDateSeqCode]:[Task]],2,0),"")</f>
        <v/>
      </c>
      <c r="E18" s="155"/>
      <c r="F18" s="155"/>
      <c r="G18" s="155"/>
      <c r="H18" s="22">
        <f>IFERROR(VLOOKUP($A$1&amp;"/"&amp;$B$15&amp;"/"&amp;$A17,TaskTimings[[EmployeeDateSeqCode]:[Total Minutes]],7,0),0)</f>
        <v>0</v>
      </c>
      <c r="I18" s="162"/>
      <c r="J18" s="26">
        <v>3</v>
      </c>
      <c r="K18" s="170"/>
      <c r="L18" s="138"/>
      <c r="M18" s="164" t="str">
        <f>IF($K$16="","",IFERROR(VLOOKUP($K$16&amp;"/"&amp;$J18,$Z$7:$AA$30,2,0),""))</f>
        <v/>
      </c>
      <c r="N18" s="164"/>
      <c r="O18" s="164"/>
      <c r="P18" s="164"/>
      <c r="Q18" s="22" t="str">
        <f>IF($M18="","",SUMIFS($H$7:$H$30,$D$7:$D$30,$K$16&amp;"/"&amp;$M18))</f>
        <v/>
      </c>
      <c r="R18" s="162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156">
        <f>B15+1</f>
        <v>43447</v>
      </c>
      <c r="C19" s="126"/>
      <c r="D19" s="155" t="str">
        <f>IFERROR(VLOOKUP($A$1&amp;"/"&amp;$B$19&amp;"/"&amp;$A18,TaskTimings[[EmployeeDateSeqCode]:[Task]],2,0),"")</f>
        <v/>
      </c>
      <c r="E19" s="155"/>
      <c r="F19" s="155"/>
      <c r="G19" s="155"/>
      <c r="H19" s="22">
        <f>IFERROR(VLOOKUP($A$1&amp;"/"&amp;$B$19&amp;"/"&amp;$A18,TaskTimings[[EmployeeDateSeqCode]:[Total Minutes]],7,0),0)</f>
        <v>0</v>
      </c>
      <c r="I19" s="162">
        <f t="shared" ref="I19" si="4">SUM(H19:H22)</f>
        <v>0</v>
      </c>
      <c r="J19" s="26">
        <v>4</v>
      </c>
      <c r="K19" s="170"/>
      <c r="L19" s="138"/>
      <c r="M19" s="164" t="str">
        <f>IF($K$16="","",IFERROR(VLOOKUP($K$16&amp;"/"&amp;$J19,$Z$7:$AA$30,2,0),""))</f>
        <v/>
      </c>
      <c r="N19" s="164"/>
      <c r="O19" s="164"/>
      <c r="P19" s="164"/>
      <c r="Q19" s="22" t="str">
        <f>IF($M19="","",SUMIFS($H$7:$H$30,$D$7:$D$30,$K$16&amp;"/"&amp;$M19))</f>
        <v/>
      </c>
      <c r="R19" s="162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37"/>
      <c r="C20" s="126"/>
      <c r="D20" s="155" t="str">
        <f>IFERROR(VLOOKUP($A$1&amp;"/"&amp;$B$19&amp;"/"&amp;$A19,TaskTimings[[EmployeeDateSeqCode]:[Task]],2,0),"")</f>
        <v/>
      </c>
      <c r="E20" s="155"/>
      <c r="F20" s="155"/>
      <c r="G20" s="155"/>
      <c r="H20" s="22">
        <f>IFERROR(VLOOKUP($A$1&amp;"/"&amp;$B$19&amp;"/"&amp;$A19,TaskTimings[[EmployeeDateSeqCode]:[Total Minutes]],7,0),0)</f>
        <v>0</v>
      </c>
      <c r="I20" s="162"/>
      <c r="J20" s="26">
        <v>1</v>
      </c>
      <c r="K20" s="170" t="str">
        <f>VLOOKUP(2,$K$7:$M$11,2,0)</f>
        <v/>
      </c>
      <c r="L20" s="138"/>
      <c r="M20" s="164" t="str">
        <f>IF($K$20="","",IFERROR(VLOOKUP($K$20&amp;"/"&amp;$J20,$Z$7:$AA$30,2,0),""))</f>
        <v/>
      </c>
      <c r="N20" s="164"/>
      <c r="O20" s="164"/>
      <c r="P20" s="164"/>
      <c r="Q20" s="22" t="str">
        <f>IF($M20="","",SUMIFS($H$7:$H$30,$D$7:$D$30,$K$20&amp;"/"&amp;$M20))</f>
        <v/>
      </c>
      <c r="R20" s="162">
        <f t="shared" ref="R20" si="5">SUM(Q20:Q23)</f>
        <v>0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37"/>
      <c r="C21" s="126"/>
      <c r="D21" s="155" t="str">
        <f>IFERROR(VLOOKUP($A$1&amp;"/"&amp;$B$19&amp;"/"&amp;$A20,TaskTimings[[EmployeeDateSeqCode]:[Task]],2,0),"")</f>
        <v/>
      </c>
      <c r="E21" s="155"/>
      <c r="F21" s="155"/>
      <c r="G21" s="155"/>
      <c r="H21" s="22">
        <f>IFERROR(VLOOKUP($A$1&amp;"/"&amp;$B$19&amp;"/"&amp;$A20,TaskTimings[[EmployeeDateSeqCode]:[Total Minutes]],7,0),0)</f>
        <v>0</v>
      </c>
      <c r="I21" s="162"/>
      <c r="J21" s="26">
        <v>2</v>
      </c>
      <c r="K21" s="170"/>
      <c r="L21" s="138"/>
      <c r="M21" s="164" t="str">
        <f>IF($K$20="","",IFERROR(VLOOKUP($K$20&amp;"/"&amp;$J21,$Z$7:$AA$30,2,0),""))</f>
        <v/>
      </c>
      <c r="N21" s="164"/>
      <c r="O21" s="164"/>
      <c r="P21" s="164"/>
      <c r="Q21" s="22" t="str">
        <f>IF($M21="","",SUMIFS($H$7:$H$30,$D$7:$D$30,$K$20&amp;"/"&amp;$M21))</f>
        <v/>
      </c>
      <c r="R21" s="162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37"/>
      <c r="C22" s="126"/>
      <c r="D22" s="155" t="str">
        <f>IFERROR(VLOOKUP($A$1&amp;"/"&amp;$B$19&amp;"/"&amp;$A21,TaskTimings[[EmployeeDateSeqCode]:[Task]],2,0),"")</f>
        <v/>
      </c>
      <c r="E22" s="155"/>
      <c r="F22" s="155"/>
      <c r="G22" s="155"/>
      <c r="H22" s="22">
        <f>IFERROR(VLOOKUP($A$1&amp;"/"&amp;$B$19&amp;"/"&amp;$A21,TaskTimings[[EmployeeDateSeqCode]:[Total Minutes]],7,0),0)</f>
        <v>0</v>
      </c>
      <c r="I22" s="162"/>
      <c r="J22" s="26">
        <v>3</v>
      </c>
      <c r="K22" s="170"/>
      <c r="L22" s="138"/>
      <c r="M22" s="164" t="str">
        <f>IF($K$20="","",IFERROR(VLOOKUP($K$20&amp;"/"&amp;$J22,$Z$7:$AA$30,2,0),""))</f>
        <v/>
      </c>
      <c r="N22" s="164"/>
      <c r="O22" s="164"/>
      <c r="P22" s="164"/>
      <c r="Q22" s="22" t="str">
        <f>IF($M22="","",SUMIFS($H$7:$H$30,$D$7:$D$30,$K$20&amp;"/"&amp;$M22))</f>
        <v/>
      </c>
      <c r="R22" s="162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156">
        <f>B19+1</f>
        <v>43448</v>
      </c>
      <c r="C23" s="126"/>
      <c r="D23" s="155" t="str">
        <f>IFERROR(VLOOKUP($A$1&amp;"/"&amp;$B$23&amp;"/"&amp;$A22,TaskTimings[[EmployeeDateSeqCode]:[Task]],2,0),"")</f>
        <v/>
      </c>
      <c r="E23" s="155"/>
      <c r="F23" s="155"/>
      <c r="G23" s="155"/>
      <c r="H23" s="22">
        <f>IFERROR(VLOOKUP($A$1&amp;"/"&amp;$B$23&amp;"/"&amp;$A22,TaskTimings[[EmployeeDateSeqCode]:[Total Minutes]],7,0),0)</f>
        <v>0</v>
      </c>
      <c r="I23" s="162">
        <f t="shared" ref="I23" si="6">SUM(H23:H26)</f>
        <v>0</v>
      </c>
      <c r="J23" s="26">
        <v>4</v>
      </c>
      <c r="K23" s="170"/>
      <c r="L23" s="138"/>
      <c r="M23" s="164" t="str">
        <f>IF($K$20="","",IFERROR(VLOOKUP($K$20&amp;"/"&amp;$J23,$Z$7:$AA$30,2,0),""))</f>
        <v/>
      </c>
      <c r="N23" s="164"/>
      <c r="O23" s="164"/>
      <c r="P23" s="164"/>
      <c r="Q23" s="22" t="str">
        <f>IF($M23="","",SUMIFS($H$7:$H$30,$D$7:$D$30,$K$20&amp;"/"&amp;$M23))</f>
        <v/>
      </c>
      <c r="R23" s="162"/>
      <c r="S23" s="25"/>
      <c r="T23" s="25"/>
      <c r="U23" s="82">
        <f>IF(COUNTIFS($D$6:$D23,D23)=1,1,0)</f>
        <v>0</v>
      </c>
      <c r="V23" s="83" t="str">
        <f>IF($U23=0,"",VLOOKUP($D23,TaskTimings[[Task]:[PRJLST]],10,0))</f>
        <v/>
      </c>
      <c r="W23" s="84" t="str">
        <f>IF($V23="","",COUNTIF($V$7:$V23,$V23))</f>
        <v/>
      </c>
      <c r="X23" s="84" t="str">
        <f>IF($W23=1,MAX($X$6:$X22)+1,"")</f>
        <v/>
      </c>
      <c r="Y23" s="85" t="str">
        <f t="shared" si="0"/>
        <v/>
      </c>
      <c r="Z23" s="83" t="str">
        <f>IF($Y23="","",$Y23&amp;"/"&amp;COUNTIF($Y$7:$Y23,$Y23))</f>
        <v/>
      </c>
      <c r="AA23" s="83" t="str">
        <f>IF($Z23="","",VLOOKUP($D23,TaskTimings[[Task]:[TSKLST]],11,0))</f>
        <v/>
      </c>
      <c r="AB23" s="86">
        <f t="shared" si="1"/>
        <v>0</v>
      </c>
    </row>
    <row r="24" spans="1:28" x14ac:dyDescent="0.25">
      <c r="A24" s="14">
        <v>3</v>
      </c>
      <c r="B24" s="137"/>
      <c r="C24" s="126"/>
      <c r="D24" s="155" t="str">
        <f>IFERROR(VLOOKUP($A$1&amp;"/"&amp;$B$23&amp;"/"&amp;$A23,TaskTimings[[EmployeeDateSeqCode]:[Task]],2,0),"")</f>
        <v/>
      </c>
      <c r="E24" s="155"/>
      <c r="F24" s="155"/>
      <c r="G24" s="155"/>
      <c r="H24" s="22">
        <f>IFERROR(VLOOKUP($A$1&amp;"/"&amp;$B$23&amp;"/"&amp;$A23,TaskTimings[[EmployeeDateSeqCode]:[Total Minutes]],7,0),0)</f>
        <v>0</v>
      </c>
      <c r="I24" s="162"/>
      <c r="J24" s="26">
        <v>1</v>
      </c>
      <c r="K24" s="170" t="str">
        <f>VLOOKUP(3,$K$7:$M$11,2,0)</f>
        <v/>
      </c>
      <c r="L24" s="138"/>
      <c r="M24" s="164" t="str">
        <f>IF($K$24="","",IFERROR(VLOOKUP($K$24&amp;"/"&amp;$J24,$Z$7:$AA$30,2,0),""))</f>
        <v/>
      </c>
      <c r="N24" s="164"/>
      <c r="O24" s="164"/>
      <c r="P24" s="164"/>
      <c r="Q24" s="22" t="str">
        <f>IF($M24="","",SUMIFS($H$7:$H$30,$D$7:$D$30,$K$24&amp;"/"&amp;$M24))</f>
        <v/>
      </c>
      <c r="R24" s="162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37"/>
      <c r="C25" s="126"/>
      <c r="D25" s="155" t="str">
        <f>IFERROR(VLOOKUP($A$1&amp;"/"&amp;$B$23&amp;"/"&amp;$A24,TaskTimings[[EmployeeDateSeqCode]:[Task]],2,0),"")</f>
        <v/>
      </c>
      <c r="E25" s="155"/>
      <c r="F25" s="155"/>
      <c r="G25" s="155"/>
      <c r="H25" s="22">
        <f>IFERROR(VLOOKUP($A$1&amp;"/"&amp;$B$23&amp;"/"&amp;$A24,TaskTimings[[EmployeeDateSeqCode]:[Total Minutes]],7,0),0)</f>
        <v>0</v>
      </c>
      <c r="I25" s="162"/>
      <c r="J25" s="26">
        <v>2</v>
      </c>
      <c r="K25" s="170"/>
      <c r="L25" s="138"/>
      <c r="M25" s="164" t="str">
        <f>IF($K$24="","",IFERROR(VLOOKUP($K$24&amp;"/"&amp;$J25,$Z$7:$AA$30,2,0),""))</f>
        <v/>
      </c>
      <c r="N25" s="164"/>
      <c r="O25" s="164"/>
      <c r="P25" s="164"/>
      <c r="Q25" s="22" t="str">
        <f>IF($M25="","",SUMIFS($H$7:$H$30,$D$7:$D$30,$K$24&amp;"/"&amp;$M25))</f>
        <v/>
      </c>
      <c r="R25" s="162"/>
      <c r="S25" s="25"/>
      <c r="T25" s="25"/>
      <c r="U25" s="82">
        <f>IF(COUNTIFS($D$6:$D25,D25)=1,1,0)</f>
        <v>0</v>
      </c>
      <c r="V25" s="83" t="str">
        <f>IF($U25=0,"",VLOOKUP($D25,TaskTimings[[Task]:[PRJLST]],10,0))</f>
        <v/>
      </c>
      <c r="W25" s="84" t="str">
        <f>IF($V25="","",COUNTIF($V$7:$V25,$V25))</f>
        <v/>
      </c>
      <c r="X25" s="84" t="str">
        <f>IF($W25=1,MAX($X$6:$X24)+1,"")</f>
        <v/>
      </c>
      <c r="Y25" s="85" t="str">
        <f t="shared" si="0"/>
        <v/>
      </c>
      <c r="Z25" s="83" t="str">
        <f>IF($Y25="","",$Y25&amp;"/"&amp;COUNTIF($Y$7:$Y25,$Y25))</f>
        <v/>
      </c>
      <c r="AA25" s="83" t="str">
        <f>IF($Z25="","",VLOOKUP($D25,TaskTimings[[Task]:[TSKLST]],11,0))</f>
        <v/>
      </c>
      <c r="AB25" s="86">
        <f t="shared" si="1"/>
        <v>0</v>
      </c>
    </row>
    <row r="26" spans="1:28" x14ac:dyDescent="0.25">
      <c r="A26" s="14">
        <v>1</v>
      </c>
      <c r="B26" s="137"/>
      <c r="C26" s="126"/>
      <c r="D26" s="155" t="str">
        <f>IFERROR(VLOOKUP($A$1&amp;"/"&amp;$B$23&amp;"/"&amp;$A25,TaskTimings[[EmployeeDateSeqCode]:[Task]],2,0),"")</f>
        <v/>
      </c>
      <c r="E26" s="155"/>
      <c r="F26" s="155"/>
      <c r="G26" s="155"/>
      <c r="H26" s="22">
        <f>IFERROR(VLOOKUP($A$1&amp;"/"&amp;$B$23&amp;"/"&amp;$A25,TaskTimings[[EmployeeDateSeqCode]:[Total Minutes]],7,0),0)</f>
        <v>0</v>
      </c>
      <c r="I26" s="162"/>
      <c r="J26" s="26">
        <v>3</v>
      </c>
      <c r="K26" s="170"/>
      <c r="L26" s="138"/>
      <c r="M26" s="164" t="str">
        <f>IF($K$24="","",IFERROR(VLOOKUP($K$24&amp;"/"&amp;$J26,$Z$7:$AA$30,2,0),""))</f>
        <v/>
      </c>
      <c r="N26" s="164"/>
      <c r="O26" s="164"/>
      <c r="P26" s="164"/>
      <c r="Q26" s="22" t="str">
        <f>IF($M26="","",SUMIFS($H$7:$H$30,$D$7:$D$30,$K$24&amp;"/"&amp;$M26))</f>
        <v/>
      </c>
      <c r="R26" s="162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156">
        <f>B23+1</f>
        <v>43449</v>
      </c>
      <c r="C27" s="126"/>
      <c r="D27" s="155" t="str">
        <f>IFERROR(VLOOKUP($A$1&amp;"/"&amp;$B$27&amp;"/"&amp;$A26,TaskTimings[[EmployeeDateSeqCode]:[Task]],2,0),"")</f>
        <v/>
      </c>
      <c r="E27" s="155"/>
      <c r="F27" s="155"/>
      <c r="G27" s="155"/>
      <c r="H27" s="22">
        <f>IFERROR(VLOOKUP($A$1&amp;"/"&amp;$B$27&amp;"/"&amp;$A26,TaskTimings[[EmployeeDateSeqCode]:[Total Minutes]],7,0),0)</f>
        <v>0</v>
      </c>
      <c r="I27" s="162">
        <f t="shared" ref="I27" si="8">SUM(H27:H30)</f>
        <v>0</v>
      </c>
      <c r="J27" s="26">
        <v>4</v>
      </c>
      <c r="K27" s="170"/>
      <c r="L27" s="138"/>
      <c r="M27" s="164" t="str">
        <f>IF($K$24="","",IFERROR(VLOOKUP($K$24&amp;"/"&amp;$J27,$Z$7:$AA$30,2,0),""))</f>
        <v/>
      </c>
      <c r="N27" s="164"/>
      <c r="O27" s="164"/>
      <c r="P27" s="164"/>
      <c r="Q27" s="22" t="str">
        <f>IF($M27="","",SUMIFS($H$7:$H$30,$D$7:$D$30,$K$24&amp;"/"&amp;$M27))</f>
        <v/>
      </c>
      <c r="R27" s="162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37"/>
      <c r="C28" s="126"/>
      <c r="D28" s="155" t="str">
        <f>IFERROR(VLOOKUP($A$1&amp;"/"&amp;$B$27&amp;"/"&amp;$A27,TaskTimings[[EmployeeDateSeqCode]:[Task]],2,0),"")</f>
        <v/>
      </c>
      <c r="E28" s="155"/>
      <c r="F28" s="155"/>
      <c r="G28" s="155"/>
      <c r="H28" s="22">
        <f>IFERROR(VLOOKUP($A$1&amp;"/"&amp;$B$27&amp;"/"&amp;$A27,TaskTimings[[EmployeeDateSeqCode]:[Total Minutes]],7,0),0)</f>
        <v>0</v>
      </c>
      <c r="I28" s="162"/>
      <c r="J28" s="26">
        <v>1</v>
      </c>
      <c r="K28" s="170" t="str">
        <f>VLOOKUP(4,$K$7:$M$11,2,0)</f>
        <v/>
      </c>
      <c r="L28" s="138"/>
      <c r="M28" s="164" t="str">
        <f>IF($K$28="","",IFERROR(VLOOKUP($K$28&amp;"/"&amp;$J28,$Z$7:$AA$30,2,0),""))</f>
        <v/>
      </c>
      <c r="N28" s="164"/>
      <c r="O28" s="164"/>
      <c r="P28" s="164"/>
      <c r="Q28" s="22" t="str">
        <f>IF($M28="","",SUMIFS($H$7:$H$30,$D$7:$D$30,$K$28&amp;"/"&amp;$M28))</f>
        <v/>
      </c>
      <c r="R28" s="162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37"/>
      <c r="C29" s="126"/>
      <c r="D29" s="155" t="str">
        <f>IFERROR(VLOOKUP($A$1&amp;"/"&amp;$B$27&amp;"/"&amp;$A28,TaskTimings[[EmployeeDateSeqCode]:[Task]],2,0),"")</f>
        <v/>
      </c>
      <c r="E29" s="155"/>
      <c r="F29" s="155"/>
      <c r="G29" s="155"/>
      <c r="H29" s="22">
        <f>IFERROR(VLOOKUP($A$1&amp;"/"&amp;$B$27&amp;"/"&amp;$A28,TaskTimings[[EmployeeDateSeqCode]:[Total Minutes]],7,0),0)</f>
        <v>0</v>
      </c>
      <c r="I29" s="162"/>
      <c r="J29" s="26">
        <v>2</v>
      </c>
      <c r="K29" s="170"/>
      <c r="L29" s="138"/>
      <c r="M29" s="164" t="str">
        <f>IF($K$28="","",IFERROR(VLOOKUP($K$28&amp;"/"&amp;$J29,$Z$7:$AA$30,2,0),""))</f>
        <v/>
      </c>
      <c r="N29" s="164"/>
      <c r="O29" s="164"/>
      <c r="P29" s="164"/>
      <c r="Q29" s="22" t="str">
        <f>IF($M29="","",SUMIFS($H$7:$H$30,$D$7:$D$30,$K$28&amp;"/"&amp;$M29))</f>
        <v/>
      </c>
      <c r="R29" s="162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157"/>
      <c r="C30" s="158"/>
      <c r="D30" s="160" t="str">
        <f>IFERROR(VLOOKUP($A$1&amp;"/"&amp;$B$27&amp;"/"&amp;$A29,TaskTimings[[EmployeeDateSeqCode]:[Task]],2,0),"")</f>
        <v/>
      </c>
      <c r="E30" s="160"/>
      <c r="F30" s="160"/>
      <c r="G30" s="160"/>
      <c r="H30" s="24">
        <f>IFERROR(VLOOKUP($A$1&amp;"/"&amp;$B$27&amp;"/"&amp;$A29,TaskTimings[[EmployeeDateSeqCode]:[Total Minutes]],7,0),0)</f>
        <v>0</v>
      </c>
      <c r="I30" s="163"/>
      <c r="J30" s="26">
        <v>3</v>
      </c>
      <c r="K30" s="170"/>
      <c r="L30" s="138"/>
      <c r="M30" s="164" t="str">
        <f>IF($K$28="","",IFERROR(VLOOKUP($K$28&amp;"/"&amp;$J30,$Z$7:$AA$30,2,0),""))</f>
        <v/>
      </c>
      <c r="N30" s="164"/>
      <c r="O30" s="164"/>
      <c r="P30" s="164"/>
      <c r="Q30" s="22" t="str">
        <f>IF($M30="","",SUMIFS($H$7:$H$30,$D$7:$D$30,$K$28&amp;"/"&amp;$M30))</f>
        <v/>
      </c>
      <c r="R30" s="162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170"/>
      <c r="L31" s="138"/>
      <c r="M31" s="164" t="str">
        <f>IF($K$28="","",IFERROR(VLOOKUP($K$28&amp;"/"&amp;$J31,$Z$7:$AA$30,2,0),""))</f>
        <v/>
      </c>
      <c r="N31" s="164"/>
      <c r="O31" s="164"/>
      <c r="P31" s="164"/>
      <c r="Q31" s="22" t="str">
        <f>IF($M31="","",SUMIFS($H$7:$H$30,$D$7:$D$30,$K$28&amp;"/"&amp;$M31))</f>
        <v/>
      </c>
      <c r="R31" s="162"/>
    </row>
    <row r="32" spans="1:28" x14ac:dyDescent="0.25">
      <c r="J32" s="26">
        <v>1</v>
      </c>
      <c r="K32" s="170" t="str">
        <f>VLOOKUP(5,$K$7:$M$11,2,0)</f>
        <v/>
      </c>
      <c r="L32" s="138"/>
      <c r="M32" s="164" t="str">
        <f>IF($K$32="","",IFERROR(VLOOKUP($K$32&amp;"/"&amp;$J32,$Z$7:$AA$30,2,0),""))</f>
        <v/>
      </c>
      <c r="N32" s="164"/>
      <c r="O32" s="164"/>
      <c r="P32" s="164"/>
      <c r="Q32" s="22" t="str">
        <f>IF($M32="","",SUMIFS($H$7:$H$30,$D$7:$D$30,$K$32&amp;"/"&amp;$M32))</f>
        <v/>
      </c>
      <c r="R32" s="162">
        <f t="shared" ref="R32" si="10">SUM(Q32:Q35)</f>
        <v>0</v>
      </c>
    </row>
    <row r="33" spans="10:18" x14ac:dyDescent="0.25">
      <c r="J33" s="26">
        <v>2</v>
      </c>
      <c r="K33" s="170"/>
      <c r="L33" s="138"/>
      <c r="M33" s="164" t="str">
        <f>IF($K$32="","",IFERROR(VLOOKUP($K$32&amp;"/"&amp;$J33,$Z$7:$AA$30,2,0),""))</f>
        <v/>
      </c>
      <c r="N33" s="164"/>
      <c r="O33" s="164"/>
      <c r="P33" s="164"/>
      <c r="Q33" s="22" t="str">
        <f>IF($M33="","",SUMIFS($H$7:$H$30,$D$7:$D$30,$K$32&amp;"/"&amp;$M33))</f>
        <v/>
      </c>
      <c r="R33" s="162"/>
    </row>
    <row r="34" spans="10:18" x14ac:dyDescent="0.25">
      <c r="J34" s="26">
        <v>3</v>
      </c>
      <c r="K34" s="170"/>
      <c r="L34" s="138"/>
      <c r="M34" s="164" t="str">
        <f>IF($K$32="","",IFERROR(VLOOKUP($K$32&amp;"/"&amp;$J34,$Z$7:$AA$30,2,0),""))</f>
        <v/>
      </c>
      <c r="N34" s="164"/>
      <c r="O34" s="164"/>
      <c r="P34" s="164"/>
      <c r="Q34" s="22" t="str">
        <f>IF($M34="","",SUMIFS($H$7:$H$30,$D$7:$D$30,$K$32&amp;"/"&amp;$M34))</f>
        <v/>
      </c>
      <c r="R34" s="162"/>
    </row>
    <row r="35" spans="10:18" ht="15.75" thickBot="1" x14ac:dyDescent="0.3">
      <c r="J35" s="26">
        <v>4</v>
      </c>
      <c r="K35" s="171"/>
      <c r="L35" s="141"/>
      <c r="M35" s="167" t="str">
        <f>IF($K$32="","",IFERROR(VLOOKUP($K$32&amp;"/"&amp;$J35,$Z$7:$AA$30,2,0),""))</f>
        <v/>
      </c>
      <c r="N35" s="167"/>
      <c r="O35" s="167"/>
      <c r="P35" s="167"/>
      <c r="Q35" s="24" t="str">
        <f>IF($M35="","",SUMIFS($H$7:$H$30,$D$7:$D$30,$K$32&amp;"/"&amp;$M35))</f>
        <v/>
      </c>
      <c r="R35" s="163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Aswathy M S</cp:lastModifiedBy>
  <cp:lastPrinted>2018-11-23T17:04:38Z</cp:lastPrinted>
  <dcterms:created xsi:type="dcterms:W3CDTF">2018-11-23T13:42:04Z</dcterms:created>
  <dcterms:modified xsi:type="dcterms:W3CDTF">2018-12-11T11:26:27Z</dcterms:modified>
</cp:coreProperties>
</file>