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5.xml" ContentType="application/vnd.openxmlformats-officedocument.spreadsheetml.table+xml"/>
  <Override PartName="/xl/charts/chart8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0400" windowHeight="7155" activeTab="4"/>
  </bookViews>
  <sheets>
    <sheet name="Project" sheetId="1" r:id="rId1"/>
    <sheet name="Tasks" sheetId="2" r:id="rId2"/>
    <sheet name="Employees" sheetId="3" r:id="rId3"/>
    <sheet name="Task Timings" sheetId="4" r:id="rId4"/>
    <sheet name="Project Report" sheetId="5" r:id="rId5"/>
    <sheet name="Employee Timing Report" sheetId="6" r:id="rId6"/>
  </sheets>
  <definedNames>
    <definedName name="EmployeeNames">Employees[Name]</definedName>
    <definedName name="ProjectCaregoryNames">ProjectCategory[Category]</definedName>
    <definedName name="ProjectCodes">Project[Project Code]</definedName>
    <definedName name="ProjectNames">Project[Project]</definedName>
    <definedName name="TSKPRJCodes">ProjectTasks[TaskProjectCode]</definedName>
  </definedNames>
  <calcPr calcId="124519"/>
</workbook>
</file>

<file path=xl/calcChain.xml><?xml version="1.0" encoding="utf-8"?>
<calcChain xmlns="http://schemas.openxmlformats.org/spreadsheetml/2006/main">
  <c r="B45" i="4"/>
  <c r="P45" s="1"/>
  <c r="C45"/>
  <c r="Q45" s="1"/>
  <c r="D45"/>
  <c r="L45"/>
  <c r="M45"/>
  <c r="N45"/>
  <c r="O45" s="1"/>
  <c r="C25" i="2"/>
  <c r="E25"/>
  <c r="F25"/>
  <c r="G25"/>
  <c r="D44" i="4" l="1"/>
  <c r="L44"/>
  <c r="M44"/>
  <c r="D43" l="1"/>
  <c r="L43"/>
  <c r="M43"/>
  <c r="D42" l="1"/>
  <c r="L42"/>
  <c r="M42"/>
  <c r="D41" l="1"/>
  <c r="L41"/>
  <c r="M41"/>
  <c r="D40"/>
  <c r="L40"/>
  <c r="M40"/>
  <c r="N40"/>
  <c r="O40" s="1"/>
  <c r="D39"/>
  <c r="L39"/>
  <c r="M39"/>
  <c r="N39"/>
  <c r="O39" s="1"/>
  <c r="N43" l="1"/>
  <c r="O43" s="1"/>
  <c r="N44"/>
  <c r="O44" s="1"/>
  <c r="N41"/>
  <c r="O41" s="1"/>
  <c r="N42"/>
  <c r="O42" s="1"/>
  <c r="D38"/>
  <c r="L38"/>
  <c r="M38"/>
  <c r="D37" l="1"/>
  <c r="L37"/>
  <c r="M37"/>
  <c r="C24" i="2"/>
  <c r="E24"/>
  <c r="F24"/>
  <c r="G24"/>
  <c r="D36" i="4" l="1"/>
  <c r="L36"/>
  <c r="M36"/>
  <c r="C23" i="2" l="1"/>
  <c r="E23"/>
  <c r="F23"/>
  <c r="G23"/>
  <c r="D35" i="4"/>
  <c r="L35"/>
  <c r="M35"/>
  <c r="D34" l="1"/>
  <c r="L34"/>
  <c r="N37" s="1"/>
  <c r="O37" s="1"/>
  <c r="M34"/>
  <c r="N34"/>
  <c r="O34" s="1"/>
  <c r="N35" l="1"/>
  <c r="O35" s="1"/>
  <c r="N36"/>
  <c r="O36" s="1"/>
  <c r="D33"/>
  <c r="L33"/>
  <c r="N38" s="1"/>
  <c r="O38" s="1"/>
  <c r="M33"/>
  <c r="D32"/>
  <c r="L32"/>
  <c r="M32"/>
  <c r="D31"/>
  <c r="L31"/>
  <c r="M31"/>
  <c r="D30"/>
  <c r="L30"/>
  <c r="N30" s="1"/>
  <c r="O30" s="1"/>
  <c r="M30"/>
  <c r="C22" i="2"/>
  <c r="E22"/>
  <c r="F22"/>
  <c r="G22"/>
  <c r="D29" i="4"/>
  <c r="L29"/>
  <c r="M29"/>
  <c r="N33" l="1"/>
  <c r="O33" s="1"/>
  <c r="N31"/>
  <c r="O31" s="1"/>
  <c r="N32"/>
  <c r="O32" s="1"/>
  <c r="D28"/>
  <c r="L28"/>
  <c r="M28"/>
  <c r="D27" l="1"/>
  <c r="L27"/>
  <c r="M27"/>
  <c r="D26"/>
  <c r="L26"/>
  <c r="M26"/>
  <c r="D25" l="1"/>
  <c r="L25"/>
  <c r="M25"/>
  <c r="N25"/>
  <c r="O25" s="1"/>
  <c r="N27" l="1"/>
  <c r="O27" s="1"/>
  <c r="N28"/>
  <c r="O28" s="1"/>
  <c r="C21" i="2"/>
  <c r="E21"/>
  <c r="F21"/>
  <c r="G21"/>
  <c r="D24" i="4"/>
  <c r="L24"/>
  <c r="M24"/>
  <c r="N24" l="1"/>
  <c r="O24" s="1"/>
  <c r="N26"/>
  <c r="O26" s="1"/>
  <c r="D23"/>
  <c r="L23"/>
  <c r="M23"/>
  <c r="C20" i="2"/>
  <c r="E20"/>
  <c r="F20"/>
  <c r="G20"/>
  <c r="C19"/>
  <c r="E19"/>
  <c r="F19"/>
  <c r="G19"/>
  <c r="D22" i="4" l="1"/>
  <c r="L22"/>
  <c r="N23" s="1"/>
  <c r="O23" s="1"/>
  <c r="M22"/>
  <c r="N22"/>
  <c r="O22" s="1"/>
  <c r="D21" l="1"/>
  <c r="L21"/>
  <c r="M21"/>
  <c r="C18" i="2"/>
  <c r="E18"/>
  <c r="F18"/>
  <c r="G18"/>
  <c r="D20" i="4"/>
  <c r="L20"/>
  <c r="M20"/>
  <c r="D19"/>
  <c r="L19"/>
  <c r="M19"/>
  <c r="D18"/>
  <c r="L18"/>
  <c r="N18" s="1"/>
  <c r="O18" s="1"/>
  <c r="M18"/>
  <c r="D14"/>
  <c r="L14"/>
  <c r="M14"/>
  <c r="D13"/>
  <c r="L13"/>
  <c r="N13" s="1"/>
  <c r="O13" s="1"/>
  <c r="M13"/>
  <c r="D15"/>
  <c r="L15"/>
  <c r="M15"/>
  <c r="D17"/>
  <c r="L17"/>
  <c r="M17"/>
  <c r="D16"/>
  <c r="L16"/>
  <c r="M16"/>
  <c r="C17" i="2"/>
  <c r="E17"/>
  <c r="F17"/>
  <c r="G17"/>
  <c r="D12" i="4"/>
  <c r="L12"/>
  <c r="N12" s="1"/>
  <c r="O12" s="1"/>
  <c r="M12"/>
  <c r="D11"/>
  <c r="L11"/>
  <c r="M11"/>
  <c r="D10"/>
  <c r="L10"/>
  <c r="M10"/>
  <c r="D9"/>
  <c r="L9"/>
  <c r="M9"/>
  <c r="C16" i="2"/>
  <c r="E16"/>
  <c r="F16"/>
  <c r="G16"/>
  <c r="C15"/>
  <c r="E15"/>
  <c r="F15"/>
  <c r="G15"/>
  <c r="C14"/>
  <c r="E14"/>
  <c r="F14"/>
  <c r="G14"/>
  <c r="C12"/>
  <c r="C11"/>
  <c r="C10"/>
  <c r="C2"/>
  <c r="C3"/>
  <c r="C4"/>
  <c r="C5"/>
  <c r="C6"/>
  <c r="C7"/>
  <c r="C8"/>
  <c r="C9"/>
  <c r="C13"/>
  <c r="N29" i="4" l="1"/>
  <c r="O29" s="1"/>
  <c r="N19"/>
  <c r="O19" s="1"/>
  <c r="N20"/>
  <c r="O20" s="1"/>
  <c r="N21"/>
  <c r="O21" s="1"/>
  <c r="N15"/>
  <c r="O15" s="1"/>
  <c r="N14"/>
  <c r="O14" s="1"/>
  <c r="N16"/>
  <c r="O16" s="1"/>
  <c r="N17"/>
  <c r="O17" s="1"/>
  <c r="N10"/>
  <c r="O10" s="1"/>
  <c r="N9"/>
  <c r="O9" s="1"/>
  <c r="N11"/>
  <c r="O11" s="1"/>
  <c r="D8"/>
  <c r="L8"/>
  <c r="M8"/>
  <c r="D7" l="1"/>
  <c r="L7"/>
  <c r="M7"/>
  <c r="D6" l="1"/>
  <c r="L6"/>
  <c r="M6"/>
  <c r="E13" i="2"/>
  <c r="F13"/>
  <c r="G13"/>
  <c r="D5" i="4" l="1"/>
  <c r="L5"/>
  <c r="M5"/>
  <c r="M2" l="1"/>
  <c r="D4"/>
  <c r="L4"/>
  <c r="M4"/>
  <c r="E12" i="2"/>
  <c r="F12"/>
  <c r="G12"/>
  <c r="D3" i="4" l="1"/>
  <c r="L3"/>
  <c r="M3"/>
  <c r="A2"/>
  <c r="A3" s="1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D2"/>
  <c r="L2"/>
  <c r="N8" s="1"/>
  <c r="O8" s="1"/>
  <c r="E11" i="2"/>
  <c r="F11"/>
  <c r="G11"/>
  <c r="E10"/>
  <c r="F10"/>
  <c r="G10"/>
  <c r="E9"/>
  <c r="F9"/>
  <c r="G9"/>
  <c r="E8"/>
  <c r="F8"/>
  <c r="G8"/>
  <c r="B7" i="6"/>
  <c r="A4" i="5"/>
  <c r="G2" i="2"/>
  <c r="G3"/>
  <c r="G4"/>
  <c r="G5"/>
  <c r="G6"/>
  <c r="G7"/>
  <c r="F2"/>
  <c r="F3"/>
  <c r="F4"/>
  <c r="F5"/>
  <c r="F6"/>
  <c r="F7"/>
  <c r="E2"/>
  <c r="E3"/>
  <c r="E4"/>
  <c r="E5"/>
  <c r="E6"/>
  <c r="E7"/>
  <c r="A2" i="3"/>
  <c r="A3" s="1"/>
  <c r="A4" s="1"/>
  <c r="A5" s="1"/>
  <c r="D2" i="1"/>
  <c r="D3" s="1"/>
  <c r="D4" s="1"/>
  <c r="D5" s="1"/>
  <c r="D6" s="1"/>
  <c r="D7" s="1"/>
  <c r="D8" s="1"/>
  <c r="A2"/>
  <c r="A2" i="2"/>
  <c r="A3" s="1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E44" i="4" l="1"/>
  <c r="F44" s="1"/>
  <c r="E45"/>
  <c r="F45" s="1"/>
  <c r="C44"/>
  <c r="Q44" s="1"/>
  <c r="B44"/>
  <c r="P44" s="1"/>
  <c r="B43"/>
  <c r="P43" s="1"/>
  <c r="C43"/>
  <c r="Q43" s="1"/>
  <c r="C42"/>
  <c r="Q42" s="1"/>
  <c r="B42"/>
  <c r="P42" s="1"/>
  <c r="B41"/>
  <c r="P41" s="1"/>
  <c r="C41"/>
  <c r="Q41" s="1"/>
  <c r="E42"/>
  <c r="F42" s="1"/>
  <c r="E43"/>
  <c r="F43" s="1"/>
  <c r="E40"/>
  <c r="F40" s="1"/>
  <c r="E41"/>
  <c r="F41" s="1"/>
  <c r="B40"/>
  <c r="P40" s="1"/>
  <c r="C40"/>
  <c r="Q40" s="1"/>
  <c r="B39"/>
  <c r="P39" s="1"/>
  <c r="C39"/>
  <c r="Q39" s="1"/>
  <c r="B38"/>
  <c r="P38" s="1"/>
  <c r="C38"/>
  <c r="Q38" s="1"/>
  <c r="B37"/>
  <c r="P37" s="1"/>
  <c r="C37"/>
  <c r="Q37" s="1"/>
  <c r="E38"/>
  <c r="F38" s="1"/>
  <c r="E39"/>
  <c r="F39" s="1"/>
  <c r="E36"/>
  <c r="F36" s="1"/>
  <c r="E37"/>
  <c r="F37" s="1"/>
  <c r="C36"/>
  <c r="Q36" s="1"/>
  <c r="B36"/>
  <c r="P36" s="1"/>
  <c r="B35"/>
  <c r="P35" s="1"/>
  <c r="C35"/>
  <c r="Q35" s="1"/>
  <c r="B34"/>
  <c r="P34" s="1"/>
  <c r="C34"/>
  <c r="Q34" s="1"/>
  <c r="B33"/>
  <c r="P33" s="1"/>
  <c r="C33"/>
  <c r="Q33" s="1"/>
  <c r="E34"/>
  <c r="F34" s="1"/>
  <c r="E35"/>
  <c r="F35" s="1"/>
  <c r="E32"/>
  <c r="F32" s="1"/>
  <c r="E33"/>
  <c r="F33" s="1"/>
  <c r="B32"/>
  <c r="P32" s="1"/>
  <c r="C32"/>
  <c r="Q32" s="1"/>
  <c r="B30"/>
  <c r="P30" s="1"/>
  <c r="C30"/>
  <c r="Q30" s="1"/>
  <c r="B31"/>
  <c r="P31" s="1"/>
  <c r="C31"/>
  <c r="Q31" s="1"/>
  <c r="E30"/>
  <c r="F30" s="1"/>
  <c r="E31"/>
  <c r="F31" s="1"/>
  <c r="C29"/>
  <c r="Q29" s="1"/>
  <c r="B29"/>
  <c r="P29" s="1"/>
  <c r="C28"/>
  <c r="Q28" s="1"/>
  <c r="B28"/>
  <c r="P28" s="1"/>
  <c r="C27"/>
  <c r="Q27" s="1"/>
  <c r="C26"/>
  <c r="Q26" s="1"/>
  <c r="B27"/>
  <c r="P27" s="1"/>
  <c r="B26"/>
  <c r="P26" s="1"/>
  <c r="B25"/>
  <c r="P25" s="1"/>
  <c r="C25"/>
  <c r="Q25" s="1"/>
  <c r="E28"/>
  <c r="F28" s="1"/>
  <c r="E29"/>
  <c r="F29" s="1"/>
  <c r="E26"/>
  <c r="F26" s="1"/>
  <c r="E27"/>
  <c r="F27" s="1"/>
  <c r="E24"/>
  <c r="F24" s="1"/>
  <c r="E25"/>
  <c r="F25" s="1"/>
  <c r="B23"/>
  <c r="P23" s="1"/>
  <c r="C24"/>
  <c r="Q24" s="1"/>
  <c r="C23"/>
  <c r="Q23" s="1"/>
  <c r="B24"/>
  <c r="P24" s="1"/>
  <c r="E22"/>
  <c r="F22" s="1"/>
  <c r="E23"/>
  <c r="F23" s="1"/>
  <c r="B22"/>
  <c r="P22" s="1"/>
  <c r="C22"/>
  <c r="Q22" s="1"/>
  <c r="B21"/>
  <c r="P21" s="1"/>
  <c r="C21"/>
  <c r="Q21" s="1"/>
  <c r="E20"/>
  <c r="F20" s="1"/>
  <c r="E21"/>
  <c r="F21" s="1"/>
  <c r="C19"/>
  <c r="Q19" s="1"/>
  <c r="B13"/>
  <c r="P13" s="1"/>
  <c r="C13"/>
  <c r="Q13" s="1"/>
  <c r="B14"/>
  <c r="P14" s="1"/>
  <c r="B18"/>
  <c r="P18" s="1"/>
  <c r="B19"/>
  <c r="P19" s="1"/>
  <c r="C14"/>
  <c r="Q14" s="1"/>
  <c r="B20"/>
  <c r="P20" s="1"/>
  <c r="B15"/>
  <c r="P15" s="1"/>
  <c r="C20"/>
  <c r="Q20" s="1"/>
  <c r="C18"/>
  <c r="Q18" s="1"/>
  <c r="C15"/>
  <c r="Q15" s="1"/>
  <c r="E18"/>
  <c r="F18" s="1"/>
  <c r="E19"/>
  <c r="F19" s="1"/>
  <c r="E13"/>
  <c r="F13" s="1"/>
  <c r="E14"/>
  <c r="F14" s="1"/>
  <c r="E3"/>
  <c r="F3" s="1"/>
  <c r="E17"/>
  <c r="F17" s="1"/>
  <c r="E15"/>
  <c r="F15" s="1"/>
  <c r="B17"/>
  <c r="P17" s="1"/>
  <c r="C17"/>
  <c r="Q17" s="1"/>
  <c r="B16"/>
  <c r="P16" s="1"/>
  <c r="C16"/>
  <c r="Q16" s="1"/>
  <c r="E16"/>
  <c r="F16" s="1"/>
  <c r="C12"/>
  <c r="Q12" s="1"/>
  <c r="C9"/>
  <c r="Q9" s="1"/>
  <c r="C10"/>
  <c r="Q10" s="1"/>
  <c r="B12"/>
  <c r="P12" s="1"/>
  <c r="B9"/>
  <c r="P9" s="1"/>
  <c r="B11"/>
  <c r="P11" s="1"/>
  <c r="C11"/>
  <c r="Q11" s="1"/>
  <c r="B10"/>
  <c r="P10" s="1"/>
  <c r="E11"/>
  <c r="F11" s="1"/>
  <c r="E12"/>
  <c r="F12" s="1"/>
  <c r="E4"/>
  <c r="F4" s="1"/>
  <c r="E10"/>
  <c r="F10" s="1"/>
  <c r="E9"/>
  <c r="F9" s="1"/>
  <c r="E2"/>
  <c r="F2" s="1"/>
  <c r="E8"/>
  <c r="F8" s="1"/>
  <c r="E7"/>
  <c r="F7" s="1"/>
  <c r="E6"/>
  <c r="F6" s="1"/>
  <c r="E5"/>
  <c r="F5" s="1"/>
  <c r="B8"/>
  <c r="P8" s="1"/>
  <c r="C8"/>
  <c r="Q8" s="1"/>
  <c r="C7"/>
  <c r="Q7" s="1"/>
  <c r="B7"/>
  <c r="P7" s="1"/>
  <c r="C6"/>
  <c r="Q6" s="1"/>
  <c r="B6"/>
  <c r="P6" s="1"/>
  <c r="N5"/>
  <c r="O5" s="1"/>
  <c r="N7"/>
  <c r="O7" s="1"/>
  <c r="N4"/>
  <c r="O4" s="1"/>
  <c r="N6"/>
  <c r="O6" s="1"/>
  <c r="N3"/>
  <c r="O3" s="1"/>
  <c r="B2"/>
  <c r="P2" s="1"/>
  <c r="B5"/>
  <c r="P5" s="1"/>
  <c r="C5"/>
  <c r="Q5" s="1"/>
  <c r="B4"/>
  <c r="P4" s="1"/>
  <c r="C4"/>
  <c r="Q4" s="1"/>
  <c r="N2"/>
  <c r="O2" s="1"/>
  <c r="C3"/>
  <c r="Q3" s="1"/>
  <c r="C2"/>
  <c r="Q2" s="1"/>
  <c r="B3"/>
  <c r="P3" s="1"/>
  <c r="L5" i="5"/>
  <c r="K5"/>
  <c r="J5"/>
  <c r="P5"/>
  <c r="O5"/>
  <c r="N5"/>
  <c r="M5"/>
  <c r="B15"/>
  <c r="B11" i="6"/>
  <c r="B8" i="5"/>
  <c r="B16"/>
  <c r="B7"/>
  <c r="B21"/>
  <c r="B12"/>
  <c r="B17"/>
  <c r="B18"/>
  <c r="B9"/>
  <c r="B19"/>
  <c r="B10"/>
  <c r="B20"/>
  <c r="B11"/>
  <c r="B13"/>
  <c r="B14"/>
  <c r="D8" i="6" l="1"/>
  <c r="D7"/>
  <c r="U7" s="1"/>
  <c r="V7" s="1"/>
  <c r="D10"/>
  <c r="D9"/>
  <c r="H11"/>
  <c r="H12"/>
  <c r="H13"/>
  <c r="H14"/>
  <c r="H7"/>
  <c r="H8"/>
  <c r="H9"/>
  <c r="H10"/>
  <c r="B15"/>
  <c r="H17" s="1"/>
  <c r="D12"/>
  <c r="D11"/>
  <c r="D13"/>
  <c r="D14"/>
  <c r="M8" i="5"/>
  <c r="L11"/>
  <c r="L8"/>
  <c r="L10"/>
  <c r="J18"/>
  <c r="O18"/>
  <c r="M16"/>
  <c r="N18"/>
  <c r="J12"/>
  <c r="O9"/>
  <c r="L16"/>
  <c r="O11"/>
  <c r="L7"/>
  <c r="O13"/>
  <c r="N19"/>
  <c r="M20"/>
  <c r="J8"/>
  <c r="J7"/>
  <c r="G8"/>
  <c r="G16"/>
  <c r="N11"/>
  <c r="P17"/>
  <c r="M12"/>
  <c r="K13"/>
  <c r="G14"/>
  <c r="O16"/>
  <c r="L20"/>
  <c r="G20"/>
  <c r="N9"/>
  <c r="N16"/>
  <c r="P21"/>
  <c r="L15"/>
  <c r="J14"/>
  <c r="G11"/>
  <c r="G18"/>
  <c r="P11"/>
  <c r="P18"/>
  <c r="M19"/>
  <c r="K21"/>
  <c r="J19"/>
  <c r="G15"/>
  <c r="J17"/>
  <c r="G7"/>
  <c r="N17"/>
  <c r="M11"/>
  <c r="L21"/>
  <c r="J16"/>
  <c r="G13"/>
  <c r="G21"/>
  <c r="P9"/>
  <c r="O7"/>
  <c r="J15"/>
  <c r="G12"/>
  <c r="G19"/>
  <c r="N15"/>
  <c r="O21"/>
  <c r="J11"/>
  <c r="P10"/>
  <c r="O8"/>
  <c r="L13"/>
  <c r="G10"/>
  <c r="N8"/>
  <c r="P13"/>
  <c r="P19"/>
  <c r="L12"/>
  <c r="J9"/>
  <c r="G9"/>
  <c r="G17"/>
  <c r="K19"/>
  <c r="K11"/>
  <c r="M15"/>
  <c r="M10"/>
  <c r="N10"/>
  <c r="M7"/>
  <c r="O14"/>
  <c r="O10"/>
  <c r="K20"/>
  <c r="K18"/>
  <c r="P7"/>
  <c r="J13"/>
  <c r="L19"/>
  <c r="M14"/>
  <c r="M17"/>
  <c r="L9"/>
  <c r="O17"/>
  <c r="J10"/>
  <c r="O19"/>
  <c r="N13"/>
  <c r="O15"/>
  <c r="K14"/>
  <c r="P8"/>
  <c r="K12"/>
  <c r="P12"/>
  <c r="K16"/>
  <c r="J21"/>
  <c r="M18"/>
  <c r="K10"/>
  <c r="M9"/>
  <c r="O12"/>
  <c r="P14"/>
  <c r="K17"/>
  <c r="P16"/>
  <c r="P15"/>
  <c r="L14"/>
  <c r="O20"/>
  <c r="K8"/>
  <c r="M21"/>
  <c r="L18"/>
  <c r="N7"/>
  <c r="M13"/>
  <c r="K7"/>
  <c r="N20"/>
  <c r="N21"/>
  <c r="L17"/>
  <c r="P20"/>
  <c r="J20"/>
  <c r="N12"/>
  <c r="K9"/>
  <c r="N14"/>
  <c r="K15"/>
  <c r="H18" i="6" l="1"/>
  <c r="U10"/>
  <c r="V10" s="1"/>
  <c r="U8"/>
  <c r="V8" s="1"/>
  <c r="W8" s="1"/>
  <c r="U9"/>
  <c r="V9" s="1"/>
  <c r="W7"/>
  <c r="X7" s="1"/>
  <c r="U13"/>
  <c r="V13" s="1"/>
  <c r="W13" s="1"/>
  <c r="X13" s="1"/>
  <c r="U14"/>
  <c r="V14" s="1"/>
  <c r="W14" s="1"/>
  <c r="X14" s="1"/>
  <c r="U12"/>
  <c r="V12" s="1"/>
  <c r="U11"/>
  <c r="V11" s="1"/>
  <c r="H15"/>
  <c r="H16"/>
  <c r="I7"/>
  <c r="I11"/>
  <c r="D16"/>
  <c r="D15"/>
  <c r="U15" s="1"/>
  <c r="V15" s="1"/>
  <c r="B19"/>
  <c r="D17"/>
  <c r="D18"/>
  <c r="O23" i="5"/>
  <c r="N23"/>
  <c r="L23"/>
  <c r="P23"/>
  <c r="K23"/>
  <c r="J23"/>
  <c r="M23"/>
  <c r="G23"/>
  <c r="X8" i="6" l="1"/>
  <c r="W10"/>
  <c r="W11"/>
  <c r="W15"/>
  <c r="W12"/>
  <c r="W9"/>
  <c r="Y13"/>
  <c r="Z13" s="1"/>
  <c r="AA13" s="1"/>
  <c r="AB13" s="1"/>
  <c r="Y8"/>
  <c r="Y14"/>
  <c r="Z14" s="1"/>
  <c r="AA14" s="1"/>
  <c r="AB14" s="1"/>
  <c r="Y7"/>
  <c r="Z7" s="1"/>
  <c r="AA7" s="1"/>
  <c r="U16"/>
  <c r="V16" s="1"/>
  <c r="W16" s="1"/>
  <c r="X16" s="1"/>
  <c r="U17"/>
  <c r="V17" s="1"/>
  <c r="U18"/>
  <c r="V18" s="1"/>
  <c r="W18" s="1"/>
  <c r="X18" s="1"/>
  <c r="I15"/>
  <c r="H20"/>
  <c r="H22"/>
  <c r="H19"/>
  <c r="H21"/>
  <c r="D20"/>
  <c r="D22"/>
  <c r="D21"/>
  <c r="B23"/>
  <c r="D19"/>
  <c r="U19" s="1"/>
  <c r="V19" s="1"/>
  <c r="X9" l="1"/>
  <c r="X11" s="1"/>
  <c r="X15" s="1"/>
  <c r="Y10"/>
  <c r="X10"/>
  <c r="Y11"/>
  <c r="Y12"/>
  <c r="X12"/>
  <c r="Y15"/>
  <c r="W17"/>
  <c r="Y9"/>
  <c r="Z8"/>
  <c r="AA8" s="1"/>
  <c r="Y16"/>
  <c r="Y18"/>
  <c r="Z18" s="1"/>
  <c r="AA18" s="1"/>
  <c r="AB18" s="1"/>
  <c r="W19"/>
  <c r="X19" s="1"/>
  <c r="U21"/>
  <c r="V21" s="1"/>
  <c r="W21" s="1"/>
  <c r="X21" s="1"/>
  <c r="U20"/>
  <c r="V20" s="1"/>
  <c r="W20" s="1"/>
  <c r="X20" s="1"/>
  <c r="U22"/>
  <c r="V22" s="1"/>
  <c r="W22" s="1"/>
  <c r="X22" s="1"/>
  <c r="I19"/>
  <c r="H23"/>
  <c r="H25"/>
  <c r="H24"/>
  <c r="H26"/>
  <c r="D25"/>
  <c r="D24"/>
  <c r="B27"/>
  <c r="D23"/>
  <c r="U23" s="1"/>
  <c r="V23" s="1"/>
  <c r="D26"/>
  <c r="Z11" l="1"/>
  <c r="AA11" s="1"/>
  <c r="Y17"/>
  <c r="Z17" s="1"/>
  <c r="AA17" s="1"/>
  <c r="X17"/>
  <c r="Z10"/>
  <c r="AA10" s="1"/>
  <c r="Z9"/>
  <c r="AA9" s="1"/>
  <c r="Z15"/>
  <c r="AA15" s="1"/>
  <c r="Z16"/>
  <c r="AA16" s="1"/>
  <c r="Z12"/>
  <c r="AA12" s="1"/>
  <c r="U24"/>
  <c r="V24" s="1"/>
  <c r="W24" s="1"/>
  <c r="Y21"/>
  <c r="Z21" s="1"/>
  <c r="AA21" s="1"/>
  <c r="AB21" s="1"/>
  <c r="Y19"/>
  <c r="Z19" s="1"/>
  <c r="AA19" s="1"/>
  <c r="Y20"/>
  <c r="Y22"/>
  <c r="Z22" s="1"/>
  <c r="AA22" s="1"/>
  <c r="AB22" s="1"/>
  <c r="W23"/>
  <c r="X23" s="1"/>
  <c r="U25"/>
  <c r="V25" s="1"/>
  <c r="U26"/>
  <c r="V26" s="1"/>
  <c r="W26" s="1"/>
  <c r="X26" s="1"/>
  <c r="I23"/>
  <c r="H28"/>
  <c r="H30"/>
  <c r="H27"/>
  <c r="H29"/>
  <c r="D28"/>
  <c r="D27"/>
  <c r="D29"/>
  <c r="D30"/>
  <c r="Y24" l="1"/>
  <c r="X24"/>
  <c r="W25"/>
  <c r="X25" s="1"/>
  <c r="AB17"/>
  <c r="AB11"/>
  <c r="AB10"/>
  <c r="Z20"/>
  <c r="AA20" s="1"/>
  <c r="AB20" s="1"/>
  <c r="AB15"/>
  <c r="AB16"/>
  <c r="AB12"/>
  <c r="AB9"/>
  <c r="AB8"/>
  <c r="U27"/>
  <c r="V27" s="1"/>
  <c r="W27" s="1"/>
  <c r="X27" s="1"/>
  <c r="AB7"/>
  <c r="AB19"/>
  <c r="Y23"/>
  <c r="Z23" s="1"/>
  <c r="AA23" s="1"/>
  <c r="AB23" s="1"/>
  <c r="Y26"/>
  <c r="Z26" s="1"/>
  <c r="AA26" s="1"/>
  <c r="AB26" s="1"/>
  <c r="U28"/>
  <c r="V28" s="1"/>
  <c r="U29"/>
  <c r="V29" s="1"/>
  <c r="W29" s="1"/>
  <c r="X29" s="1"/>
  <c r="U30"/>
  <c r="V30" s="1"/>
  <c r="I27"/>
  <c r="I2" s="1"/>
  <c r="J2" s="1"/>
  <c r="W28" l="1"/>
  <c r="X28" s="1"/>
  <c r="W30"/>
  <c r="X30" s="1"/>
  <c r="Y25"/>
  <c r="Z25" s="1"/>
  <c r="AA25" s="1"/>
  <c r="AB25" s="1"/>
  <c r="Z24"/>
  <c r="AA24" s="1"/>
  <c r="AB24" s="1"/>
  <c r="Y27"/>
  <c r="Z27" s="1"/>
  <c r="AA27" s="1"/>
  <c r="AB27" s="1"/>
  <c r="Y29"/>
  <c r="Z29" s="1"/>
  <c r="AA29" s="1"/>
  <c r="AB29" s="1"/>
  <c r="Y28" l="1"/>
  <c r="Z28" s="1"/>
  <c r="AA28" s="1"/>
  <c r="AB28" s="1"/>
  <c r="Y30"/>
  <c r="Z30" s="1"/>
  <c r="AA30" s="1"/>
  <c r="AB30" s="1"/>
  <c r="L7"/>
  <c r="L9"/>
  <c r="L11"/>
  <c r="L10"/>
  <c r="L8"/>
  <c r="N7" l="1"/>
  <c r="N9"/>
  <c r="N10"/>
  <c r="N11"/>
  <c r="N8"/>
  <c r="K16"/>
  <c r="K24"/>
  <c r="K20"/>
  <c r="K32"/>
  <c r="K28"/>
  <c r="M30" l="1"/>
  <c r="Q30" s="1"/>
  <c r="M28"/>
  <c r="Q28" s="1"/>
  <c r="M31"/>
  <c r="Q31" s="1"/>
  <c r="M29"/>
  <c r="Q29" s="1"/>
  <c r="M34"/>
  <c r="Q34" s="1"/>
  <c r="M33"/>
  <c r="Q33" s="1"/>
  <c r="M32"/>
  <c r="Q32" s="1"/>
  <c r="M35"/>
  <c r="Q35" s="1"/>
  <c r="M16"/>
  <c r="Q16" s="1"/>
  <c r="M19"/>
  <c r="Q19" s="1"/>
  <c r="M17"/>
  <c r="Q17" s="1"/>
  <c r="M18"/>
  <c r="Q18" s="1"/>
  <c r="M27"/>
  <c r="Q27" s="1"/>
  <c r="M25"/>
  <c r="Q25" s="1"/>
  <c r="M24"/>
  <c r="Q24" s="1"/>
  <c r="M26"/>
  <c r="Q26" s="1"/>
  <c r="M22"/>
  <c r="Q22" s="1"/>
  <c r="M20"/>
  <c r="Q20" s="1"/>
  <c r="M23"/>
  <c r="Q23" s="1"/>
  <c r="M21"/>
  <c r="Q21" s="1"/>
  <c r="R16" l="1"/>
  <c r="R28"/>
  <c r="R20"/>
  <c r="R32"/>
  <c r="R24"/>
</calcChain>
</file>

<file path=xl/sharedStrings.xml><?xml version="1.0" encoding="utf-8"?>
<sst xmlns="http://schemas.openxmlformats.org/spreadsheetml/2006/main" count="215" uniqueCount="94">
  <si>
    <t>No</t>
  </si>
  <si>
    <t>Category</t>
  </si>
  <si>
    <t>Web Development</t>
  </si>
  <si>
    <t>Software Development</t>
  </si>
  <si>
    <t>Project</t>
  </si>
  <si>
    <t>Teeb Product Demonstration</t>
  </si>
  <si>
    <t>Task</t>
  </si>
  <si>
    <t>Theme Designing</t>
  </si>
  <si>
    <t>Database Structure Designing</t>
  </si>
  <si>
    <t>Project Code</t>
  </si>
  <si>
    <t>TEEBPD</t>
  </si>
  <si>
    <t>Appframe configuration</t>
  </si>
  <si>
    <t>Inhouse Testing</t>
  </si>
  <si>
    <t>Client Demonstration</t>
  </si>
  <si>
    <t>Client Suggestion Implementation</t>
  </si>
  <si>
    <t>Name</t>
  </si>
  <si>
    <t>Shareena</t>
  </si>
  <si>
    <t>Vishnu</t>
  </si>
  <si>
    <t>TaskProjectCode</t>
  </si>
  <si>
    <t>Employee</t>
  </si>
  <si>
    <t>Date</t>
  </si>
  <si>
    <t>Start Time</t>
  </si>
  <si>
    <t>End Time</t>
  </si>
  <si>
    <t>Total Minutes</t>
  </si>
  <si>
    <t>Total</t>
  </si>
  <si>
    <t>Day Total</t>
  </si>
  <si>
    <t>Day Total Minutes</t>
  </si>
  <si>
    <t>PRJ</t>
  </si>
  <si>
    <t>TSK</t>
  </si>
  <si>
    <t>Tasks</t>
  </si>
  <si>
    <t>PRJTSKSEQ</t>
  </si>
  <si>
    <t>Seq</t>
  </si>
  <si>
    <t>Total Time</t>
  </si>
  <si>
    <t>Employee Wise Timing</t>
  </si>
  <si>
    <t>Firose</t>
  </si>
  <si>
    <t>Start Date</t>
  </si>
  <si>
    <t>EmployeeDate</t>
  </si>
  <si>
    <t>EmployeeDateSeq</t>
  </si>
  <si>
    <t>EmployeeDateSeqCode</t>
  </si>
  <si>
    <t>PRJLST</t>
  </si>
  <si>
    <t>TSKLST</t>
  </si>
  <si>
    <t>Minutes</t>
  </si>
  <si>
    <t>Task Time</t>
  </si>
  <si>
    <t>Hours</t>
  </si>
  <si>
    <t>Project Wise Timing</t>
  </si>
  <si>
    <t>6 Day Report</t>
  </si>
  <si>
    <t>Project Task Wise Timing</t>
  </si>
  <si>
    <t>Ticketing</t>
  </si>
  <si>
    <t>TKT</t>
  </si>
  <si>
    <t>Database Analysis from Old Project</t>
  </si>
  <si>
    <t>DB Designing</t>
  </si>
  <si>
    <t>Sending Data to the site</t>
  </si>
  <si>
    <t>SDS</t>
  </si>
  <si>
    <t>Discussion for ticketing modification</t>
  </si>
  <si>
    <t>Aswathy</t>
  </si>
  <si>
    <t>TKT/Discussion for ticketing modification</t>
  </si>
  <si>
    <t>Decryption</t>
  </si>
  <si>
    <t>SDS/Decryption</t>
  </si>
  <si>
    <t>TKT/Database Analysis from Old Project</t>
  </si>
  <si>
    <t>Replication Tool Modification</t>
  </si>
  <si>
    <t>RTM</t>
  </si>
  <si>
    <t>Solving the issue of repeating icon in tray</t>
  </si>
  <si>
    <t>Paper Point Online and Inhouse Ordering</t>
  </si>
  <si>
    <t>PPOIO</t>
  </si>
  <si>
    <t>Project Study</t>
  </si>
  <si>
    <t>Business Plan</t>
  </si>
  <si>
    <t>Appframe</t>
  </si>
  <si>
    <t>APPFRAME</t>
  </si>
  <si>
    <t>Development</t>
  </si>
  <si>
    <t>PPOIO/Project Study</t>
  </si>
  <si>
    <t>PPOIO/Business Plan</t>
  </si>
  <si>
    <t>TEEBPD/Client Suggestion Implementation</t>
  </si>
  <si>
    <t>Milestone Website</t>
  </si>
  <si>
    <t>MITWEB</t>
  </si>
  <si>
    <t>Modification</t>
  </si>
  <si>
    <t>MITWEB/Modification</t>
  </si>
  <si>
    <t>Getting branchname into tool</t>
  </si>
  <si>
    <t>RTM/Getting branchname into tool</t>
  </si>
  <si>
    <t>Entering table details into excel sheet</t>
  </si>
  <si>
    <t>TKT/Entering table details into excel sheet</t>
  </si>
  <si>
    <t>Note down table relations</t>
  </si>
  <si>
    <t>TKT/Note down table relations</t>
  </si>
  <si>
    <t>Request and get Response from  web</t>
  </si>
  <si>
    <t>SDS/Request and get Response from  web</t>
  </si>
  <si>
    <t>RTM/Solving the issue of repeating icon in tray</t>
  </si>
  <si>
    <t>TEEBPD/Inhouse Testing</t>
  </si>
  <si>
    <t>Finalizing</t>
  </si>
  <si>
    <t>TEEBPD/Finalizing</t>
  </si>
  <si>
    <t>Testing</t>
  </si>
  <si>
    <t>SDS/Testing</t>
  </si>
  <si>
    <t>Stage 2</t>
  </si>
  <si>
    <t>SDS/Stage 2</t>
  </si>
  <si>
    <t>Synchronization Implementing</t>
  </si>
  <si>
    <t>TEEBPD/Synchronization Implementing</t>
  </si>
</sst>
</file>

<file path=xl/styles.xml><?xml version="1.0" encoding="utf-8"?>
<styleSheet xmlns="http://schemas.openxmlformats.org/spreadsheetml/2006/main">
  <numFmts count="2">
    <numFmt numFmtId="164" formatCode="dd\/mmm\/yy"/>
    <numFmt numFmtId="165" formatCode="dd\/mmm"/>
  </numFmts>
  <fonts count="13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5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12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0" fontId="1" fillId="0" borderId="0" xfId="0" applyNumberFormat="1" applyFont="1" applyAlignment="1">
      <alignment horizontal="center"/>
    </xf>
    <xf numFmtId="0" fontId="1" fillId="0" borderId="0" xfId="0" applyNumberFormat="1" applyFont="1" applyBorder="1" applyAlignment="1">
      <alignment horizontal="center"/>
    </xf>
    <xf numFmtId="0" fontId="1" fillId="0" borderId="0" xfId="0" applyNumberFormat="1" applyFont="1"/>
    <xf numFmtId="164" fontId="1" fillId="0" borderId="0" xfId="0" applyNumberFormat="1" applyFont="1" applyAlignment="1">
      <alignment horizontal="center"/>
    </xf>
    <xf numFmtId="18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left"/>
    </xf>
    <xf numFmtId="0" fontId="1" fillId="0" borderId="0" xfId="0" applyNumberFormat="1" applyFont="1" applyBorder="1" applyAlignment="1">
      <alignment horizontal="left"/>
    </xf>
    <xf numFmtId="0" fontId="5" fillId="0" borderId="5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0" xfId="0" applyFont="1" applyAlignment="1"/>
    <xf numFmtId="0" fontId="5" fillId="0" borderId="1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6" fillId="0" borderId="0" xfId="0" applyFont="1"/>
    <xf numFmtId="0" fontId="1" fillId="0" borderId="0" xfId="0" applyNumberFormat="1" applyFont="1" applyBorder="1"/>
    <xf numFmtId="0" fontId="10" fillId="0" borderId="18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6" fillId="0" borderId="0" xfId="0" applyFont="1" applyAlignment="1">
      <alignment horizontal="left"/>
    </xf>
    <xf numFmtId="0" fontId="5" fillId="0" borderId="2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1" fillId="0" borderId="0" xfId="0" applyFont="1" applyBorder="1"/>
    <xf numFmtId="0" fontId="11" fillId="0" borderId="0" xfId="0" applyFont="1"/>
    <xf numFmtId="0" fontId="11" fillId="0" borderId="0" xfId="0" applyNumberFormat="1" applyFont="1" applyBorder="1" applyAlignment="1">
      <alignment horizontal="center"/>
    </xf>
    <xf numFmtId="0" fontId="11" fillId="0" borderId="0" xfId="0" applyNumberFormat="1" applyFont="1" applyAlignment="1">
      <alignment horizontal="left"/>
    </xf>
    <xf numFmtId="0" fontId="11" fillId="0" borderId="0" xfId="0" applyNumberFormat="1" applyFont="1"/>
    <xf numFmtId="0" fontId="0" fillId="0" borderId="0" xfId="0" applyNumberFormat="1" applyFont="1" applyAlignment="1">
      <alignment horizontal="left"/>
    </xf>
    <xf numFmtId="0" fontId="11" fillId="0" borderId="0" xfId="0" applyNumberFormat="1" applyFont="1" applyAlignment="1">
      <alignment horizontal="center"/>
    </xf>
    <xf numFmtId="164" fontId="11" fillId="0" borderId="0" xfId="0" applyNumberFormat="1" applyFont="1" applyAlignment="1">
      <alignment horizontal="center"/>
    </xf>
    <xf numFmtId="18" fontId="11" fillId="0" borderId="0" xfId="0" applyNumberFormat="1" applyFont="1" applyAlignment="1">
      <alignment horizontal="center"/>
    </xf>
    <xf numFmtId="18" fontId="11" fillId="0" borderId="0" xfId="0" applyNumberFormat="1" applyFont="1" applyAlignment="1">
      <alignment horizontal="center"/>
    </xf>
    <xf numFmtId="0" fontId="11" fillId="0" borderId="0" xfId="0" applyFont="1" applyBorder="1" applyAlignment="1">
      <alignment horizontal="center"/>
    </xf>
    <xf numFmtId="0" fontId="11" fillId="0" borderId="0" xfId="0" applyNumberFormat="1" applyFont="1" applyBorder="1" applyAlignment="1">
      <alignment horizontal="left"/>
    </xf>
    <xf numFmtId="0" fontId="11" fillId="0" borderId="0" xfId="0" applyNumberFormat="1" applyFont="1" applyBorder="1"/>
    <xf numFmtId="164" fontId="11" fillId="0" borderId="0" xfId="0" applyNumberFormat="1" applyFont="1" applyBorder="1" applyAlignment="1">
      <alignment horizontal="center"/>
    </xf>
    <xf numFmtId="18" fontId="11" fillId="0" borderId="0" xfId="0" applyNumberFormat="1" applyFont="1" applyBorder="1" applyAlignment="1">
      <alignment horizontal="center"/>
    </xf>
    <xf numFmtId="18" fontId="11" fillId="0" borderId="0" xfId="0" applyNumberFormat="1" applyFont="1" applyBorder="1" applyAlignment="1">
      <alignment horizontal="center"/>
    </xf>
    <xf numFmtId="18" fontId="11" fillId="0" borderId="0" xfId="0" applyNumberFormat="1" applyFont="1" applyAlignment="1">
      <alignment horizontal="center"/>
    </xf>
    <xf numFmtId="18" fontId="1" fillId="0" borderId="0" xfId="0" applyNumberFormat="1" applyFont="1" applyAlignment="1">
      <alignment horizontal="center"/>
    </xf>
    <xf numFmtId="0" fontId="12" fillId="0" borderId="0" xfId="0" applyNumberFormat="1" applyFont="1" applyAlignment="1">
      <alignment horizontal="center"/>
    </xf>
    <xf numFmtId="0" fontId="12" fillId="0" borderId="0" xfId="0" applyNumberFormat="1" applyFont="1" applyAlignment="1">
      <alignment horizontal="left"/>
    </xf>
    <xf numFmtId="0" fontId="12" fillId="0" borderId="0" xfId="0" applyFont="1"/>
    <xf numFmtId="164" fontId="12" fillId="0" borderId="0" xfId="0" applyNumberFormat="1" applyFont="1" applyAlignment="1">
      <alignment horizontal="center"/>
    </xf>
    <xf numFmtId="18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center"/>
    </xf>
    <xf numFmtId="0" fontId="12" fillId="0" borderId="0" xfId="0" applyNumberFormat="1" applyFont="1"/>
    <xf numFmtId="18" fontId="12" fillId="0" borderId="0" xfId="0" applyNumberFormat="1" applyFont="1" applyAlignment="1">
      <alignment horizontal="center"/>
    </xf>
    <xf numFmtId="0" fontId="12" fillId="0" borderId="0" xfId="0" applyNumberFormat="1" applyFont="1" applyBorder="1" applyAlignment="1">
      <alignment horizontal="center"/>
    </xf>
    <xf numFmtId="0" fontId="12" fillId="0" borderId="0" xfId="0" applyNumberFormat="1" applyFont="1" applyBorder="1" applyAlignment="1">
      <alignment horizontal="left"/>
    </xf>
    <xf numFmtId="0" fontId="12" fillId="0" borderId="0" xfId="0" applyFont="1" applyBorder="1"/>
    <xf numFmtId="164" fontId="12" fillId="0" borderId="0" xfId="0" applyNumberFormat="1" applyFont="1" applyBorder="1" applyAlignment="1">
      <alignment horizontal="center"/>
    </xf>
    <xf numFmtId="18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2" fillId="0" borderId="0" xfId="0" applyNumberFormat="1" applyFont="1" applyBorder="1"/>
    <xf numFmtId="18" fontId="1" fillId="0" borderId="0" xfId="0" applyNumberFormat="1" applyFont="1" applyAlignment="1">
      <alignment horizontal="center"/>
    </xf>
    <xf numFmtId="18" fontId="12" fillId="0" borderId="0" xfId="0" applyNumberFormat="1" applyFont="1" applyAlignment="1">
      <alignment horizontal="center"/>
    </xf>
    <xf numFmtId="0" fontId="5" fillId="0" borderId="5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18" fontId="1" fillId="0" borderId="0" xfId="0" applyNumberFormat="1" applyFont="1" applyBorder="1" applyAlignment="1">
      <alignment horizontal="center"/>
    </xf>
    <xf numFmtId="18" fontId="12" fillId="0" borderId="0" xfId="0" applyNumberFormat="1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left"/>
    </xf>
    <xf numFmtId="0" fontId="3" fillId="0" borderId="0" xfId="0" applyFont="1" applyAlignment="1">
      <alignment horizontal="center"/>
    </xf>
    <xf numFmtId="0" fontId="2" fillId="0" borderId="3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5" fillId="0" borderId="8" xfId="0" applyFont="1" applyBorder="1" applyAlignment="1">
      <alignment horizontal="left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10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5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5" fillId="0" borderId="3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5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left"/>
    </xf>
    <xf numFmtId="165" fontId="2" fillId="0" borderId="5" xfId="0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0" xfId="0" applyFont="1" applyBorder="1" applyAlignment="1">
      <alignment horizontal="left"/>
    </xf>
    <xf numFmtId="0" fontId="2" fillId="0" borderId="15" xfId="0" applyFont="1" applyBorder="1" applyAlignment="1">
      <alignment horizontal="left"/>
    </xf>
    <xf numFmtId="0" fontId="8" fillId="0" borderId="0" xfId="0" applyFont="1" applyAlignment="1">
      <alignment horizontal="center" vertical="center"/>
    </xf>
    <xf numFmtId="165" fontId="9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left"/>
    </xf>
    <xf numFmtId="165" fontId="2" fillId="0" borderId="2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left"/>
    </xf>
  </cellXfs>
  <cellStyles count="1">
    <cellStyle name="Normal" xfId="0" builtinId="0"/>
  </cellStyles>
  <dxfs count="42"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23" formatCode="hh:mm\ AM/PM"/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dd\/mmm\/yy"/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barChart>
        <c:barDir val="bar"/>
        <c:grouping val="clustered"/>
        <c:ser>
          <c:idx val="0"/>
          <c:order val="0"/>
          <c:cat>
            <c:strRef>
              <c:f>'Project Report'!$B$7:$B$21</c:f>
              <c:strCache>
                <c:ptCount val="8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</c:strCache>
            </c:strRef>
          </c:cat>
          <c:val>
            <c:numRef>
              <c:f>'Project Report'!$C$7:$C$21</c:f>
              <c:numCache>
                <c:formatCode>General</c:formatCode>
                <c:ptCount val="15"/>
              </c:numCache>
            </c:numRef>
          </c:val>
        </c:ser>
        <c:ser>
          <c:idx val="1"/>
          <c:order val="1"/>
          <c:cat>
            <c:strRef>
              <c:f>'Project Report'!$B$7:$B$21</c:f>
              <c:strCache>
                <c:ptCount val="8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</c:strCache>
            </c:strRef>
          </c:cat>
          <c:val>
            <c:numRef>
              <c:f>'Project Report'!$D$7:$D$21</c:f>
              <c:numCache>
                <c:formatCode>General</c:formatCode>
                <c:ptCount val="15"/>
              </c:numCache>
            </c:numRef>
          </c:val>
        </c:ser>
        <c:ser>
          <c:idx val="2"/>
          <c:order val="2"/>
          <c:cat>
            <c:strRef>
              <c:f>'Project Report'!$B$7:$B$21</c:f>
              <c:strCache>
                <c:ptCount val="8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</c:strCache>
            </c:strRef>
          </c:cat>
          <c:val>
            <c:numRef>
              <c:f>'Project Report'!$E$7:$E$21</c:f>
              <c:numCache>
                <c:formatCode>General</c:formatCode>
                <c:ptCount val="15"/>
              </c:numCache>
            </c:numRef>
          </c:val>
        </c:ser>
        <c:ser>
          <c:idx val="3"/>
          <c:order val="3"/>
          <c:cat>
            <c:strRef>
              <c:f>'Project Report'!$B$7:$B$21</c:f>
              <c:strCache>
                <c:ptCount val="8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</c:strCache>
            </c:strRef>
          </c:cat>
          <c:val>
            <c:numRef>
              <c:f>'Project Report'!$F$7:$F$21</c:f>
              <c:numCache>
                <c:formatCode>General</c:formatCode>
                <c:ptCount val="15"/>
              </c:numCache>
            </c:numRef>
          </c:val>
        </c:ser>
        <c:ser>
          <c:idx val="4"/>
          <c:order val="4"/>
          <c:spPr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c:spP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'Project Report'!$B$7:$B$21</c:f>
              <c:strCache>
                <c:ptCount val="8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</c:strCache>
            </c:strRef>
          </c:cat>
          <c:val>
            <c:numRef>
              <c:f>'Project Report'!$G$7:$G$21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239.99999999999994</c:v>
                </c:pt>
                <c:pt idx="4">
                  <c:v>0</c:v>
                </c:pt>
                <c:pt idx="5">
                  <c:v>600.00000000000011</c:v>
                </c:pt>
                <c:pt idx="6">
                  <c:v>720</c:v>
                </c:pt>
                <c:pt idx="7">
                  <c:v>480.00000000000006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5"/>
          <c:order val="5"/>
          <c:cat>
            <c:strRef>
              <c:f>'Project Report'!$B$7:$B$21</c:f>
              <c:strCache>
                <c:ptCount val="8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</c:strCache>
            </c:strRef>
          </c:cat>
          <c:val>
            <c:numRef>
              <c:f>'Project Report'!$H$7:$H$21</c:f>
              <c:numCache>
                <c:formatCode>General</c:formatCode>
                <c:ptCount val="15"/>
              </c:numCache>
            </c:numRef>
          </c:val>
        </c:ser>
        <c:dLbls/>
        <c:gapWidth val="0"/>
        <c:overlap val="100"/>
        <c:axId val="69506560"/>
        <c:axId val="69508096"/>
      </c:barChart>
      <c:catAx>
        <c:axId val="69506560"/>
        <c:scaling>
          <c:orientation val="minMax"/>
        </c:scaling>
        <c:axPos val="l"/>
        <c:majorGridlines/>
        <c:numFmt formatCode="General" sourceLinked="0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69508096"/>
        <c:crosses val="autoZero"/>
        <c:auto val="1"/>
        <c:lblAlgn val="ctr"/>
        <c:lblOffset val="100"/>
      </c:catAx>
      <c:valAx>
        <c:axId val="69508096"/>
        <c:scaling>
          <c:orientation val="minMax"/>
        </c:scaling>
        <c:axPos val="b"/>
        <c:majorGridlines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69506560"/>
        <c:crosses val="autoZero"/>
        <c:crossBetween val="between"/>
      </c:valAx>
      <c:spPr>
        <a:scene3d>
          <a:camera prst="orthographicFront"/>
          <a:lightRig rig="threePt" dir="t"/>
        </a:scene3d>
        <a:sp3d>
          <a:bevelB/>
        </a:sp3d>
      </c:spPr>
    </c:plotArea>
    <c:plotVisOnly val="1"/>
    <c:dispBlanksAs val="gap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barChart>
        <c:barDir val="col"/>
        <c:grouping val="stacked"/>
        <c:ser>
          <c:idx val="0"/>
          <c:order val="0"/>
          <c:tx>
            <c:strRef>
              <c:f>'Project Report'!$J$5</c:f>
              <c:strCache>
                <c:ptCount val="1"/>
                <c:pt idx="0">
                  <c:v>Aswathy</c:v>
                </c:pt>
              </c:strCache>
            </c:strRef>
          </c:tx>
          <c:cat>
            <c:strRef>
              <c:f>'Project Report'!$B$7:$F$21</c:f>
              <c:strCache>
                <c:ptCount val="8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</c:strCache>
            </c:strRef>
          </c:cat>
          <c:val>
            <c:numRef>
              <c:f>'Project Report'!$J$7:$J$21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1"/>
          <c:order val="1"/>
          <c:tx>
            <c:strRef>
              <c:f>'Project Report'!$K$5</c:f>
              <c:strCache>
                <c:ptCount val="1"/>
                <c:pt idx="0">
                  <c:v>Vishnu</c:v>
                </c:pt>
              </c:strCache>
            </c:strRef>
          </c:tx>
          <c:cat>
            <c:strRef>
              <c:f>'Project Report'!$B$7:$F$21</c:f>
              <c:strCache>
                <c:ptCount val="8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</c:strCache>
            </c:strRef>
          </c:cat>
          <c:val>
            <c:numRef>
              <c:f>'Project Report'!$K$7:$K$21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2"/>
          <c:order val="2"/>
          <c:tx>
            <c:strRef>
              <c:f>'Project Report'!$L$5</c:f>
              <c:strCache>
                <c:ptCount val="1"/>
                <c:pt idx="0">
                  <c:v>Shareena</c:v>
                </c:pt>
              </c:strCache>
            </c:strRef>
          </c:tx>
          <c:cat>
            <c:strRef>
              <c:f>'Project Report'!$B$7:$F$21</c:f>
              <c:strCache>
                <c:ptCount val="8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</c:strCache>
            </c:strRef>
          </c:cat>
          <c:val>
            <c:numRef>
              <c:f>'Project Report'!$L$7:$L$21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59.999999999999943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3"/>
          <c:order val="3"/>
          <c:tx>
            <c:strRef>
              <c:f>'Project Report'!$M$5</c:f>
              <c:strCache>
                <c:ptCount val="1"/>
                <c:pt idx="0">
                  <c:v>Firose</c:v>
                </c:pt>
              </c:strCache>
            </c:strRef>
          </c:tx>
          <c:cat>
            <c:strRef>
              <c:f>'Project Report'!$B$7:$F$21</c:f>
              <c:strCache>
                <c:ptCount val="8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</c:strCache>
            </c:strRef>
          </c:cat>
          <c:val>
            <c:numRef>
              <c:f>'Project Report'!$M$7:$M$21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180</c:v>
                </c:pt>
                <c:pt idx="4">
                  <c:v>0</c:v>
                </c:pt>
                <c:pt idx="5">
                  <c:v>600.00000000000011</c:v>
                </c:pt>
                <c:pt idx="6">
                  <c:v>720</c:v>
                </c:pt>
                <c:pt idx="7">
                  <c:v>480.00000000000006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4"/>
          <c:order val="4"/>
          <c:tx>
            <c:strRef>
              <c:f>'Project Report'!$N$5</c:f>
              <c:strCache>
                <c:ptCount val="1"/>
              </c:strCache>
            </c:strRef>
          </c:tx>
          <c:cat>
            <c:strRef>
              <c:f>'Project Report'!$B$7:$F$21</c:f>
              <c:strCache>
                <c:ptCount val="8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</c:strCache>
            </c:strRef>
          </c:cat>
          <c:val>
            <c:numRef>
              <c:f>'Project Report'!$N$7:$N$21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5"/>
          <c:order val="5"/>
          <c:tx>
            <c:strRef>
              <c:f>'Project Report'!$O$5</c:f>
              <c:strCache>
                <c:ptCount val="1"/>
              </c:strCache>
            </c:strRef>
          </c:tx>
          <c:cat>
            <c:strRef>
              <c:f>'Project Report'!$B$7:$F$21</c:f>
              <c:strCache>
                <c:ptCount val="8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</c:strCache>
            </c:strRef>
          </c:cat>
          <c:val>
            <c:numRef>
              <c:f>'Project Report'!$O$7:$O$21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6"/>
          <c:order val="6"/>
          <c:tx>
            <c:strRef>
              <c:f>'Project Report'!$P$5</c:f>
              <c:strCache>
                <c:ptCount val="1"/>
              </c:strCache>
            </c:strRef>
          </c:tx>
          <c:cat>
            <c:strRef>
              <c:f>'Project Report'!$B$7:$F$21</c:f>
              <c:strCache>
                <c:ptCount val="8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</c:strCache>
            </c:strRef>
          </c:cat>
          <c:val>
            <c:numRef>
              <c:f>'Project Report'!$P$7:$P$21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dLbls/>
        <c:gapWidth val="20"/>
        <c:overlap val="100"/>
        <c:axId val="69182976"/>
        <c:axId val="69184512"/>
      </c:barChart>
      <c:catAx>
        <c:axId val="69182976"/>
        <c:scaling>
          <c:orientation val="minMax"/>
        </c:scaling>
        <c:axPos val="b"/>
        <c:numFmt formatCode="General" sourceLinked="0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69184512"/>
        <c:crosses val="autoZero"/>
        <c:auto val="1"/>
        <c:lblAlgn val="ctr"/>
        <c:lblOffset val="100"/>
      </c:catAx>
      <c:valAx>
        <c:axId val="69184512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69182976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autoTitleDeleted val="1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dLblPos val="bestFit"/>
            <c:showVal val="1"/>
            <c:showCatName val="1"/>
            <c:showPercent val="1"/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Report'!$B$7:$B$21</c:f>
              <c:strCache>
                <c:ptCount val="8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</c:strCache>
            </c:strRef>
          </c:cat>
          <c:val>
            <c:numRef>
              <c:f>'Project Report'!$G$7:$G$21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239.99999999999994</c:v>
                </c:pt>
                <c:pt idx="4">
                  <c:v>0</c:v>
                </c:pt>
                <c:pt idx="5">
                  <c:v>600.00000000000011</c:v>
                </c:pt>
                <c:pt idx="6">
                  <c:v>720</c:v>
                </c:pt>
                <c:pt idx="7">
                  <c:v>480.00000000000006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1"/>
          <c:order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CatName val="1"/>
            <c:showPercent val="1"/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Report'!$B$7:$B$21</c:f>
              <c:strCache>
                <c:ptCount val="8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</c:strCache>
            </c:strRef>
          </c:cat>
          <c:val>
            <c:numRef>
              <c:f>'Project Report'!$H$7:$H$21</c:f>
              <c:numCache>
                <c:formatCode>General</c:formatCode>
                <c:ptCount val="15"/>
              </c:numCache>
            </c:numRef>
          </c:val>
        </c:ser>
        <c:dLbls>
          <c:showCatName val="1"/>
          <c:showPercent val="1"/>
        </c:dLbls>
        <c:firstSliceAng val="0"/>
      </c:pieChart>
    </c:plotArea>
    <c:plotVisOnly val="1"/>
    <c:dispBlanksAs val="zero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tx>
        <c:rich>
          <a:bodyPr/>
          <a:lstStyle/>
          <a:p>
            <a:pPr>
              <a:defRPr lang="en-US"/>
            </a:pPr>
            <a:r>
              <a:rPr lang="en-IN"/>
              <a:t>Employee Contribution</a:t>
            </a:r>
            <a:r>
              <a:rPr lang="en-IN" baseline="0"/>
              <a:t> - Task Wise</a:t>
            </a:r>
            <a:endParaRPr lang="en-IN"/>
          </a:p>
        </c:rich>
      </c:tx>
      <c:layout/>
    </c:title>
    <c:plotArea>
      <c:layout/>
      <c:areaChart>
        <c:grouping val="stacked"/>
        <c:ser>
          <c:idx val="0"/>
          <c:order val="0"/>
          <c:tx>
            <c:strRef>
              <c:f>'Project Report'!$J$5</c:f>
              <c:strCache>
                <c:ptCount val="1"/>
                <c:pt idx="0">
                  <c:v>Aswathy</c:v>
                </c:pt>
              </c:strCache>
            </c:strRef>
          </c:tx>
          <c:cat>
            <c:strRef>
              <c:f>'Project Report'!$B$7:$F$21</c:f>
              <c:strCache>
                <c:ptCount val="8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</c:strCache>
            </c:strRef>
          </c:cat>
          <c:val>
            <c:numRef>
              <c:f>'Project Report'!$J$6:$J$21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1"/>
          <c:order val="1"/>
          <c:tx>
            <c:strRef>
              <c:f>'Project Report'!$K$5</c:f>
              <c:strCache>
                <c:ptCount val="1"/>
                <c:pt idx="0">
                  <c:v>Vishnu</c:v>
                </c:pt>
              </c:strCache>
            </c:strRef>
          </c:tx>
          <c:cat>
            <c:strRef>
              <c:f>'Project Report'!$B$7:$F$21</c:f>
              <c:strCache>
                <c:ptCount val="8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</c:strCache>
            </c:strRef>
          </c:cat>
          <c:val>
            <c:numRef>
              <c:f>'Project Report'!$K$6:$K$21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2"/>
          <c:order val="2"/>
          <c:tx>
            <c:strRef>
              <c:f>'Project Report'!$L$5</c:f>
              <c:strCache>
                <c:ptCount val="1"/>
                <c:pt idx="0">
                  <c:v>Shareena</c:v>
                </c:pt>
              </c:strCache>
            </c:strRef>
          </c:tx>
          <c:cat>
            <c:strRef>
              <c:f>'Project Report'!$B$7:$F$21</c:f>
              <c:strCache>
                <c:ptCount val="8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</c:strCache>
            </c:strRef>
          </c:cat>
          <c:val>
            <c:numRef>
              <c:f>'Project Report'!$L$6:$L$21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59.999999999999943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3"/>
          <c:order val="3"/>
          <c:tx>
            <c:strRef>
              <c:f>'Project Report'!$M$5</c:f>
              <c:strCache>
                <c:ptCount val="1"/>
                <c:pt idx="0">
                  <c:v>Firose</c:v>
                </c:pt>
              </c:strCache>
            </c:strRef>
          </c:tx>
          <c:cat>
            <c:strRef>
              <c:f>'Project Report'!$B$7:$F$21</c:f>
              <c:strCache>
                <c:ptCount val="8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</c:strCache>
            </c:strRef>
          </c:cat>
          <c:val>
            <c:numRef>
              <c:f>'Project Report'!$M$6:$M$21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180</c:v>
                </c:pt>
                <c:pt idx="5">
                  <c:v>0</c:v>
                </c:pt>
                <c:pt idx="6">
                  <c:v>600.00000000000011</c:v>
                </c:pt>
                <c:pt idx="7">
                  <c:v>720</c:v>
                </c:pt>
                <c:pt idx="8">
                  <c:v>480.00000000000006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4"/>
          <c:order val="4"/>
          <c:tx>
            <c:strRef>
              <c:f>'Project Report'!$N$5</c:f>
              <c:strCache>
                <c:ptCount val="1"/>
              </c:strCache>
            </c:strRef>
          </c:tx>
          <c:cat>
            <c:strRef>
              <c:f>'Project Report'!$B$7:$F$21</c:f>
              <c:strCache>
                <c:ptCount val="8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</c:strCache>
            </c:strRef>
          </c:cat>
          <c:val>
            <c:numRef>
              <c:f>'Project Report'!$N$6:$N$21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5"/>
          <c:order val="5"/>
          <c:tx>
            <c:strRef>
              <c:f>'Project Report'!$O$5</c:f>
              <c:strCache>
                <c:ptCount val="1"/>
              </c:strCache>
            </c:strRef>
          </c:tx>
          <c:cat>
            <c:strRef>
              <c:f>'Project Report'!$B$7:$F$21</c:f>
              <c:strCache>
                <c:ptCount val="8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</c:strCache>
            </c:strRef>
          </c:cat>
          <c:val>
            <c:numRef>
              <c:f>'Project Report'!$O$6:$O$21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6"/>
          <c:order val="6"/>
          <c:tx>
            <c:strRef>
              <c:f>'Project Report'!$P$5</c:f>
              <c:strCache>
                <c:ptCount val="1"/>
              </c:strCache>
            </c:strRef>
          </c:tx>
          <c:spPr>
            <a:ln w="3175" cap="rnd" cmpd="sng"/>
          </c:spPr>
          <c:cat>
            <c:strRef>
              <c:f>'Project Report'!$B$7:$F$21</c:f>
              <c:strCache>
                <c:ptCount val="8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</c:strCache>
            </c:strRef>
          </c:cat>
          <c:val>
            <c:numRef>
              <c:f>'Project Report'!$P$6:$P$21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dLbls/>
        <c:axId val="71876992"/>
        <c:axId val="71878528"/>
      </c:areaChart>
      <c:catAx>
        <c:axId val="71876992"/>
        <c:scaling>
          <c:orientation val="minMax"/>
        </c:scaling>
        <c:axPos val="b"/>
        <c:numFmt formatCode="General" sourceLinked="0"/>
        <c:maj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71878528"/>
        <c:crosses val="autoZero"/>
        <c:auto val="1"/>
        <c:lblAlgn val="ctr"/>
        <c:lblOffset val="100"/>
      </c:catAx>
      <c:valAx>
        <c:axId val="71878528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71876992"/>
        <c:crosses val="autoZero"/>
        <c:crossBetween val="midCat"/>
      </c:valAx>
    </c:plotArea>
    <c:legend>
      <c:legendPos val="b"/>
      <c:layout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zero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tx>
        <c:rich>
          <a:bodyPr/>
          <a:lstStyle/>
          <a:p>
            <a:pPr>
              <a:defRPr lang="en-US"/>
            </a:pPr>
            <a:r>
              <a:rPr lang="en-IN"/>
              <a:t>Employee Contribution</a:t>
            </a:r>
          </a:p>
        </c:rich>
      </c:tx>
      <c:layout/>
      <c:overlay val="1"/>
    </c:title>
    <c:plotArea>
      <c:layout>
        <c:manualLayout>
          <c:layoutTarget val="inner"/>
          <c:xMode val="edge"/>
          <c:yMode val="edge"/>
          <c:x val="2.2123993121549512E-2"/>
          <c:y val="0"/>
          <c:w val="0.70026343258816925"/>
          <c:h val="1"/>
        </c:manualLayout>
      </c:layout>
      <c:doughnutChart>
        <c:varyColors val="1"/>
        <c:ser>
          <c:idx val="0"/>
          <c:order val="0"/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Percent val="1"/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Report'!$J$5:$P$5</c:f>
              <c:strCache>
                <c:ptCount val="4"/>
                <c:pt idx="0">
                  <c:v>Aswathy</c:v>
                </c:pt>
                <c:pt idx="1">
                  <c:v>Vishnu</c:v>
                </c:pt>
                <c:pt idx="2">
                  <c:v>Shareena</c:v>
                </c:pt>
                <c:pt idx="3">
                  <c:v>Firose</c:v>
                </c:pt>
              </c:strCache>
            </c:strRef>
          </c:cat>
          <c:val>
            <c:numRef>
              <c:f>'Project Report'!$J$6:$P$6</c:f>
              <c:numCache>
                <c:formatCode>General</c:formatCode>
                <c:ptCount val="7"/>
              </c:numCache>
            </c:numRef>
          </c:val>
        </c:ser>
        <c:ser>
          <c:idx val="1"/>
          <c:order val="1"/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Percent val="1"/>
            <c:separator>, </c:separator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Report'!$J$5:$P$5</c:f>
              <c:strCache>
                <c:ptCount val="4"/>
                <c:pt idx="0">
                  <c:v>Aswathy</c:v>
                </c:pt>
                <c:pt idx="1">
                  <c:v>Vishnu</c:v>
                </c:pt>
                <c:pt idx="2">
                  <c:v>Shareena</c:v>
                </c:pt>
                <c:pt idx="3">
                  <c:v>Firose</c:v>
                </c:pt>
              </c:strCache>
            </c:strRef>
          </c:cat>
          <c:val>
            <c:numRef>
              <c:f>'Project Report'!$J$23:$P$23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59.999999999999943</c:v>
                </c:pt>
                <c:pt idx="3">
                  <c:v>1980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2"/>
          <c:order val="2"/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Percent val="1"/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Report'!$J$5:$P$5</c:f>
              <c:strCache>
                <c:ptCount val="4"/>
                <c:pt idx="0">
                  <c:v>Aswathy</c:v>
                </c:pt>
                <c:pt idx="1">
                  <c:v>Vishnu</c:v>
                </c:pt>
                <c:pt idx="2">
                  <c:v>Shareena</c:v>
                </c:pt>
                <c:pt idx="3">
                  <c:v>Firose</c:v>
                </c:pt>
              </c:strCache>
            </c:strRef>
          </c:cat>
          <c:val>
            <c:numRef>
              <c:f>'Project Report'!$J$24:$P$24</c:f>
              <c:numCache>
                <c:formatCode>General</c:formatCode>
                <c:ptCount val="7"/>
              </c:numCache>
            </c:numRef>
          </c:val>
        </c:ser>
        <c:dLbls>
          <c:showPercent val="1"/>
        </c:dLbls>
        <c:firstSliceAng val="0"/>
        <c:holeSize val="10"/>
      </c:doughnutChart>
    </c:plotArea>
    <c:legend>
      <c:legendPos val="r"/>
      <c:layout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zero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tx>
        <c:rich>
          <a:bodyPr/>
          <a:lstStyle/>
          <a:p>
            <a:pPr>
              <a:defRPr lang="en-US"/>
            </a:pPr>
            <a:r>
              <a:rPr lang="en-IN"/>
              <a:t>Project Contribution</a:t>
            </a:r>
          </a:p>
        </c:rich>
      </c:tx>
      <c:layout/>
    </c:title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dLblPos val="bestFit"/>
            <c:showVal val="1"/>
            <c:showCatName val="1"/>
            <c:showPercent val="1"/>
            <c:separator>
</c:separator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'Employee Timing Report'!$L$7:$M$11</c:f>
              <c:strCache>
                <c:ptCount val="5"/>
                <c:pt idx="0">
                  <c:v>TKT</c:v>
                </c:pt>
                <c:pt idx="1">
                  <c:v>PPOIO</c:v>
                </c:pt>
                <c:pt idx="4">
                  <c:v>TEEBPD</c:v>
                </c:pt>
              </c:strCache>
            </c:strRef>
          </c:cat>
          <c:val>
            <c:numRef>
              <c:f>'Employee Timing Report'!$N$7:$N$11</c:f>
              <c:numCache>
                <c:formatCode>General</c:formatCode>
                <c:ptCount val="5"/>
                <c:pt idx="0">
                  <c:v>89.999999999999915</c:v>
                </c:pt>
                <c:pt idx="1">
                  <c:v>359.99999999999989</c:v>
                </c:pt>
                <c:pt idx="2">
                  <c:v>0</c:v>
                </c:pt>
                <c:pt idx="3">
                  <c:v>0</c:v>
                </c:pt>
                <c:pt idx="4">
                  <c:v>1500</c:v>
                </c:pt>
              </c:numCache>
            </c:numRef>
          </c:val>
        </c:ser>
        <c:dLbls>
          <c:showPercent val="1"/>
        </c:dLbls>
        <c:firstSliceAng val="0"/>
      </c:pieChart>
    </c:plotArea>
    <c:legend>
      <c:legendPos val="r"/>
      <c:layout/>
      <c:txPr>
        <a:bodyPr/>
        <a:lstStyle/>
        <a:p>
          <a:pPr rtl="0">
            <a:defRPr lang="en-US"/>
          </a:pPr>
          <a:endParaRPr lang="en-US"/>
        </a:p>
      </c:txPr>
    </c:legend>
    <c:plotVisOnly val="1"/>
    <c:dispBlanksAs val="zero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tx>
        <c:rich>
          <a:bodyPr/>
          <a:lstStyle/>
          <a:p>
            <a:pPr>
              <a:defRPr lang="en-US"/>
            </a:pPr>
            <a:r>
              <a:rPr lang="en-IN"/>
              <a:t>Project Task</a:t>
            </a:r>
            <a:r>
              <a:rPr lang="en-IN" baseline="0"/>
              <a:t> Contributions</a:t>
            </a:r>
          </a:p>
        </c:rich>
      </c:tx>
    </c:title>
    <c:plotArea>
      <c:layout/>
      <c:barChart>
        <c:barDir val="col"/>
        <c:grouping val="stacked"/>
        <c:ser>
          <c:idx val="0"/>
          <c:order val="0"/>
          <c:tx>
            <c:v>TASK 1</c:v>
          </c:tx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Val val="1"/>
            <c:showSerName val="1"/>
            <c:separator>
</c:separator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'Employee Timing Report'!$L$7:$M$11</c:f>
              <c:strCache>
                <c:ptCount val="5"/>
                <c:pt idx="0">
                  <c:v>TKT</c:v>
                </c:pt>
                <c:pt idx="1">
                  <c:v>PPOIO</c:v>
                </c:pt>
                <c:pt idx="4">
                  <c:v>TEEBPD</c:v>
                </c:pt>
              </c:strCache>
            </c:strRef>
          </c:cat>
          <c:val>
            <c:numRef>
              <c:f>('Employee Timing Report'!$Q$16,'Employee Timing Report'!$Q$20,'Employee Timing Report'!$Q$24,'Employee Timing Report'!$Q$28,'Employee Timing Report'!$Q$32)</c:f>
              <c:numCache>
                <c:formatCode>General</c:formatCode>
                <c:ptCount val="5"/>
                <c:pt idx="0">
                  <c:v>89.999999999999915</c:v>
                </c:pt>
                <c:pt idx="1">
                  <c:v>119.99999999999997</c:v>
                </c:pt>
                <c:pt idx="2">
                  <c:v>0</c:v>
                </c:pt>
                <c:pt idx="3">
                  <c:v>0</c:v>
                </c:pt>
                <c:pt idx="4">
                  <c:v>600.00000000000011</c:v>
                </c:pt>
              </c:numCache>
            </c:numRef>
          </c:val>
        </c:ser>
        <c:ser>
          <c:idx val="1"/>
          <c:order val="1"/>
          <c:tx>
            <c:v>TASK 2</c:v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Val val="1"/>
            <c:showSerName val="1"/>
            <c:separator>
</c:separator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'Employee Timing Report'!$L$7:$M$11</c:f>
              <c:strCache>
                <c:ptCount val="5"/>
                <c:pt idx="0">
                  <c:v>TKT</c:v>
                </c:pt>
                <c:pt idx="1">
                  <c:v>PPOIO</c:v>
                </c:pt>
                <c:pt idx="4">
                  <c:v>TEEBPD</c:v>
                </c:pt>
              </c:strCache>
            </c:strRef>
          </c:cat>
          <c:val>
            <c:numRef>
              <c:f>('Employee Timing Report'!$Q$17,'Employee Timing Report'!$Q$21,'Employee Timing Report'!$Q$25,'Employee Timing Report'!$Q$29,'Employee Timing Report'!$Q$33)</c:f>
              <c:numCache>
                <c:formatCode>General</c:formatCode>
                <c:ptCount val="5"/>
                <c:pt idx="0">
                  <c:v>0</c:v>
                </c:pt>
                <c:pt idx="1">
                  <c:v>239.99999999999994</c:v>
                </c:pt>
                <c:pt idx="2">
                  <c:v>0</c:v>
                </c:pt>
                <c:pt idx="3">
                  <c:v>0</c:v>
                </c:pt>
                <c:pt idx="4">
                  <c:v>720</c:v>
                </c:pt>
              </c:numCache>
            </c:numRef>
          </c:val>
        </c:ser>
        <c:ser>
          <c:idx val="2"/>
          <c:order val="2"/>
          <c:tx>
            <c:v>TASK 3</c:v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Val val="1"/>
            <c:showSerName val="1"/>
            <c:separator>
</c:separator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'Employee Timing Report'!$L$7:$M$11</c:f>
              <c:strCache>
                <c:ptCount val="5"/>
                <c:pt idx="0">
                  <c:v>TKT</c:v>
                </c:pt>
                <c:pt idx="1">
                  <c:v>PPOIO</c:v>
                </c:pt>
                <c:pt idx="4">
                  <c:v>TEEBPD</c:v>
                </c:pt>
              </c:strCache>
            </c:strRef>
          </c:cat>
          <c:val>
            <c:numRef>
              <c:f>('Employee Timing Report'!$Q$18,'Employee Timing Report'!$Q$22,'Employee Timing Report'!$Q$26,'Employee Timing Report'!$Q$30,'Employee Timing Report'!$Q$34)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180</c:v>
                </c:pt>
              </c:numCache>
            </c:numRef>
          </c:val>
        </c:ser>
        <c:ser>
          <c:idx val="3"/>
          <c:order val="3"/>
          <c:tx>
            <c:v>TASK 4</c:v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'Employee Timing Report'!$L$7:$M$11</c:f>
              <c:strCache>
                <c:ptCount val="5"/>
                <c:pt idx="0">
                  <c:v>TKT</c:v>
                </c:pt>
                <c:pt idx="1">
                  <c:v>PPOIO</c:v>
                </c:pt>
                <c:pt idx="4">
                  <c:v>TEEBPD</c:v>
                </c:pt>
              </c:strCache>
            </c:strRef>
          </c:cat>
          <c:val>
            <c:numRef>
              <c:f>('Employee Timing Report'!$Q$19,'Employee Timing Report'!$Q$23,'Employee Timing Report'!$Q$27,'Employee Timing Report'!$Q$31,'Employee Timing Report'!$Q$35)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Val val="1"/>
        </c:dLbls>
        <c:gapWidth val="75"/>
        <c:overlap val="100"/>
        <c:axId val="67273856"/>
        <c:axId val="67275392"/>
      </c:barChart>
      <c:catAx>
        <c:axId val="67273856"/>
        <c:scaling>
          <c:orientation val="minMax"/>
        </c:scaling>
        <c:axPos val="b"/>
        <c:numFmt formatCode="General" sourceLinked="0"/>
        <c:maj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67275392"/>
        <c:crosses val="autoZero"/>
        <c:auto val="1"/>
        <c:lblAlgn val="ctr"/>
        <c:lblOffset val="100"/>
      </c:catAx>
      <c:valAx>
        <c:axId val="67275392"/>
        <c:scaling>
          <c:orientation val="minMax"/>
        </c:scaling>
        <c:axPos val="l"/>
        <c:numFmt formatCode="General" sourceLinked="1"/>
        <c:maj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67273856"/>
        <c:crosses val="autoZero"/>
        <c:crossBetween val="between"/>
      </c:valAx>
    </c:plotArea>
    <c:plotVisOnly val="1"/>
    <c:dispBlanksAs val="gap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tx>
        <c:rich>
          <a:bodyPr/>
          <a:lstStyle/>
          <a:p>
            <a:pPr>
              <a:defRPr lang="en-US"/>
            </a:pPr>
            <a:r>
              <a:rPr lang="en-IN"/>
              <a:t>Daily</a:t>
            </a:r>
            <a:r>
              <a:rPr lang="en-IN" baseline="0"/>
              <a:t> Contribution</a:t>
            </a:r>
            <a:endParaRPr lang="en-IN"/>
          </a:p>
        </c:rich>
      </c:tx>
    </c:title>
    <c:plotArea>
      <c:layout/>
      <c:barChart>
        <c:barDir val="bar"/>
        <c:grouping val="clustered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dLblPos val="inEnd"/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('Employee Timing Report'!$B$7,'Employee Timing Report'!$B$11,'Employee Timing Report'!$B$15,'Employee Timing Report'!$B$19,'Employee Timing Report'!$B$23,'Employee Timing Report'!$B$27)</c:f>
              <c:numCache>
                <c:formatCode>dd\/mmm</c:formatCode>
                <c:ptCount val="6"/>
                <c:pt idx="0">
                  <c:v>43430</c:v>
                </c:pt>
                <c:pt idx="1">
                  <c:v>43431</c:v>
                </c:pt>
                <c:pt idx="2">
                  <c:v>43432</c:v>
                </c:pt>
                <c:pt idx="3">
                  <c:v>43433</c:v>
                </c:pt>
                <c:pt idx="4">
                  <c:v>43434</c:v>
                </c:pt>
                <c:pt idx="5">
                  <c:v>43435</c:v>
                </c:pt>
              </c:numCache>
            </c:numRef>
          </c:cat>
          <c:val>
            <c:numRef>
              <c:f>('Employee Timing Report'!$I$7,'Employee Timing Report'!$I$11,'Employee Timing Report'!$I$15,'Employee Timing Report'!$I$19,'Employee Timing Report'!$I$23,'Employee Timing Report'!$I$27)</c:f>
              <c:numCache>
                <c:formatCode>General</c:formatCode>
                <c:ptCount val="6"/>
                <c:pt idx="0">
                  <c:v>419.99999999999989</c:v>
                </c:pt>
                <c:pt idx="1">
                  <c:v>480.00000000000006</c:v>
                </c:pt>
                <c:pt idx="2">
                  <c:v>210.00000000000006</c:v>
                </c:pt>
                <c:pt idx="3">
                  <c:v>420</c:v>
                </c:pt>
                <c:pt idx="4">
                  <c:v>360</c:v>
                </c:pt>
                <c:pt idx="5">
                  <c:v>240.00000000000003</c:v>
                </c:pt>
              </c:numCache>
            </c:numRef>
          </c:val>
        </c:ser>
        <c:dLbls/>
        <c:gapWidth val="25"/>
        <c:overlap val="40"/>
        <c:axId val="72178688"/>
        <c:axId val="72180480"/>
      </c:barChart>
      <c:dateAx>
        <c:axId val="72178688"/>
        <c:scaling>
          <c:orientation val="maxMin"/>
        </c:scaling>
        <c:axPos val="l"/>
        <c:numFmt formatCode="dd\/mmm" sourceLinked="1"/>
        <c:maj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72180480"/>
        <c:crosses val="autoZero"/>
        <c:auto val="1"/>
        <c:lblOffset val="100"/>
        <c:baseTimeUnit val="days"/>
      </c:dateAx>
      <c:valAx>
        <c:axId val="72180480"/>
        <c:scaling>
          <c:orientation val="minMax"/>
        </c:scaling>
        <c:axPos val="t"/>
        <c:majorGridlines/>
        <c:numFmt formatCode="General" sourceLinked="1"/>
        <c:maj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72178688"/>
        <c:crosses val="autoZero"/>
        <c:crossBetween val="between"/>
      </c:valAx>
    </c:plotArea>
    <c:plotVisOnly val="1"/>
    <c:dispBlanksAs val="gap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</xdr:colOff>
      <xdr:row>25</xdr:row>
      <xdr:rowOff>95250</xdr:rowOff>
    </xdr:from>
    <xdr:to>
      <xdr:col>9</xdr:col>
      <xdr:colOff>809625</xdr:colOff>
      <xdr:row>42</xdr:row>
      <xdr:rowOff>95250</xdr:rowOff>
    </xdr:to>
    <xdr:graphicFrame macro="">
      <xdr:nvGraphicFramePr>
        <xdr:cNvPr id="5" name="TaskTotal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361950</xdr:colOff>
      <xdr:row>25</xdr:row>
      <xdr:rowOff>95249</xdr:rowOff>
    </xdr:from>
    <xdr:to>
      <xdr:col>15</xdr:col>
      <xdr:colOff>504825</xdr:colOff>
      <xdr:row>42</xdr:row>
      <xdr:rowOff>104774</xdr:rowOff>
    </xdr:to>
    <xdr:graphicFrame macro="">
      <xdr:nvGraphicFramePr>
        <xdr:cNvPr id="7" name="EmployeeWiseTaskTotal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285750</xdr:colOff>
      <xdr:row>42</xdr:row>
      <xdr:rowOff>152400</xdr:rowOff>
    </xdr:from>
    <xdr:to>
      <xdr:col>7</xdr:col>
      <xdr:colOff>590550</xdr:colOff>
      <xdr:row>57</xdr:row>
      <xdr:rowOff>38100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57150</xdr:colOff>
      <xdr:row>42</xdr:row>
      <xdr:rowOff>152400</xdr:rowOff>
    </xdr:from>
    <xdr:to>
      <xdr:col>13</xdr:col>
      <xdr:colOff>476250</xdr:colOff>
      <xdr:row>57</xdr:row>
      <xdr:rowOff>38100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552450</xdr:colOff>
      <xdr:row>42</xdr:row>
      <xdr:rowOff>152400</xdr:rowOff>
    </xdr:from>
    <xdr:to>
      <xdr:col>17</xdr:col>
      <xdr:colOff>285750</xdr:colOff>
      <xdr:row>57</xdr:row>
      <xdr:rowOff>38100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31</xdr:row>
      <xdr:rowOff>1</xdr:rowOff>
    </xdr:from>
    <xdr:to>
      <xdr:col>6</xdr:col>
      <xdr:colOff>581025</xdr:colOff>
      <xdr:row>43</xdr:row>
      <xdr:rowOff>171450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405247</xdr:colOff>
      <xdr:row>38</xdr:row>
      <xdr:rowOff>47625</xdr:rowOff>
    </xdr:from>
    <xdr:to>
      <xdr:col>18</xdr:col>
      <xdr:colOff>257175</xdr:colOff>
      <xdr:row>59</xdr:row>
      <xdr:rowOff>72736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9525</xdr:colOff>
      <xdr:row>44</xdr:row>
      <xdr:rowOff>180975</xdr:rowOff>
    </xdr:from>
    <xdr:to>
      <xdr:col>9</xdr:col>
      <xdr:colOff>9525</xdr:colOff>
      <xdr:row>59</xdr:row>
      <xdr:rowOff>66675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ProjectCategory" displayName="ProjectCategory" ref="A1:B3" totalsRowShown="0" headerRowDxfId="41" dataDxfId="40">
  <autoFilter ref="A1:B3"/>
  <tableColumns count="2">
    <tableColumn id="1" name="No" dataDxfId="39"/>
    <tableColumn id="2" name="Category" dataDxfId="38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Project" displayName="Project" ref="D1:G8" totalsRowShown="0" headerRowDxfId="37" dataDxfId="36">
  <autoFilter ref="D1:G8"/>
  <tableColumns count="4">
    <tableColumn id="1" name="No" dataDxfId="35">
      <calculatedColumnFormula>IFERROR($D1+1,1)</calculatedColumnFormula>
    </tableColumn>
    <tableColumn id="2" name="Project" dataDxfId="34"/>
    <tableColumn id="5" name="Project Code" dataDxfId="33"/>
    <tableColumn id="3" name="Category" dataDxfId="32"/>
  </tableColumns>
  <tableStyleInfo name="TableStyleMedium10" showFirstColumn="0" showLastColumn="0" showRowStripes="1" showColumnStripes="0"/>
</table>
</file>

<file path=xl/tables/table3.xml><?xml version="1.0" encoding="utf-8"?>
<table xmlns="http://schemas.openxmlformats.org/spreadsheetml/2006/main" id="3" name="ProjectTasks" displayName="ProjectTasks" ref="A1:G25" totalsRowShown="0" headerRowDxfId="31" dataDxfId="30">
  <autoFilter ref="A1:G25"/>
  <tableColumns count="7">
    <tableColumn id="1" name="No" dataDxfId="29">
      <calculatedColumnFormula>IFERROR($A1+1,1)</calculatedColumnFormula>
    </tableColumn>
    <tableColumn id="2" name="Project" dataDxfId="28"/>
    <tableColumn id="9" name="PRJTSKSEQ" dataDxfId="27">
      <calculatedColumnFormula>ProjectTasks[[#This Row],[Project]]&amp;"-"&amp;COUNTIF($B$1:ProjectTasks[[#This Row],[Project]],ProjectTasks[[#This Row],[Project]])</calculatedColumnFormula>
    </tableColumn>
    <tableColumn id="3" name="Task" dataDxfId="26"/>
    <tableColumn id="4" name="TaskProjectCode" dataDxfId="25">
      <calculatedColumnFormula>CONCATENATE([Project],"/",[Task])</calculatedColumnFormula>
    </tableColumn>
    <tableColumn id="5" name="PRJ" dataDxfId="24">
      <calculatedColumnFormula>[Project]</calculatedColumnFormula>
    </tableColumn>
    <tableColumn id="6" name="TSK" dataDxfId="23">
      <calculatedColumnFormula>[Task]</calculatedColumnFormula>
    </tableColumn>
  </tableColumns>
  <tableStyleInfo name="TableStyleMedium11" showFirstColumn="0" showLastColumn="0" showRowStripes="1" showColumnStripes="0"/>
</table>
</file>

<file path=xl/tables/table4.xml><?xml version="1.0" encoding="utf-8"?>
<table xmlns="http://schemas.openxmlformats.org/spreadsheetml/2006/main" id="4" name="Employees" displayName="Employees" ref="A1:B5" totalsRowShown="0" headerRowDxfId="22" dataDxfId="21">
  <autoFilter ref="A1:B5"/>
  <tableColumns count="2">
    <tableColumn id="1" name="No" dataDxfId="20">
      <calculatedColumnFormula>IFERROR($A1+1,1)</calculatedColumnFormula>
    </tableColumn>
    <tableColumn id="2" name="Name" dataDxfId="19"/>
  </tableColumns>
  <tableStyleInfo name="TableStyleMedium12" showFirstColumn="0" showLastColumn="0" showRowStripes="1" showColumnStripes="0"/>
</table>
</file>

<file path=xl/tables/table5.xml><?xml version="1.0" encoding="utf-8"?>
<table xmlns="http://schemas.openxmlformats.org/spreadsheetml/2006/main" id="5" name="TaskTimings" displayName="TaskTimings" ref="A1:Q45" totalsRowShown="0" headerRowDxfId="18" dataDxfId="17">
  <autoFilter ref="A1:Q45"/>
  <tableColumns count="17">
    <tableColumn id="1" name="No" dataDxfId="16">
      <calculatedColumnFormula>IFERROR($A1+1,1)</calculatedColumnFormula>
    </tableColumn>
    <tableColumn id="11" name="PRJ" dataDxfId="15">
      <calculatedColumnFormula>VLOOKUP([Task],ProjectTasks[[TaskProjectCode]:[TSK]],2,0)</calculatedColumnFormula>
    </tableColumn>
    <tableColumn id="12" name="TSK" dataDxfId="14">
      <calculatedColumnFormula>VLOOKUP([Task],ProjectTasks[[TaskProjectCode]:[TSK]],3,0)</calculatedColumnFormula>
    </tableColumn>
    <tableColumn id="13" name="EmployeeDate" dataDxfId="13">
      <calculatedColumnFormula>[Employee]&amp;"/"&amp;[Date]</calculatedColumnFormula>
    </tableColumn>
    <tableColumn id="14" name="EmployeeDateSeq" dataDxfId="12">
      <calculatedColumnFormula>COUNTIF($D$1:TaskTimings[[#This Row],[EmployeeDate]],TaskTimings[[#This Row],[EmployeeDate]])</calculatedColumnFormula>
    </tableColumn>
    <tableColumn id="15" name="EmployeeDateSeqCode" dataDxfId="11">
      <calculatedColumnFormula>TaskTimings[[#This Row],[EmployeeDate]]&amp;"/"&amp;TaskTimings[[#This Row],[EmployeeDateSeq]]</calculatedColumnFormula>
    </tableColumn>
    <tableColumn id="2" name="Task" dataDxfId="10"/>
    <tableColumn id="3" name="Employee" dataDxfId="9"/>
    <tableColumn id="4" name="Date" dataDxfId="8"/>
    <tableColumn id="5" name="Start Time" dataDxfId="7"/>
    <tableColumn id="6" name="End Time" dataDxfId="6"/>
    <tableColumn id="7" name="Total Minutes" dataDxfId="5">
      <calculatedColumnFormula>([End Time]-[Start Time])*1440</calculatedColumnFormula>
    </tableColumn>
    <tableColumn id="8" name="Total" dataDxfId="4">
      <calculatedColumnFormula>TEXT([End Time]-[Start Time],"HH:mm")</calculatedColumnFormula>
    </tableColumn>
    <tableColumn id="9" name="Day Total Minutes" dataDxfId="3">
      <calculatedColumnFormula>SUMIFS([Total Minutes],[Date],[Date],[Employee],[Employee])</calculatedColumnFormula>
    </tableColumn>
    <tableColumn id="10" name="Day Total" dataDxfId="2">
      <calculatedColumnFormula>TEXT([Day Total Minutes]/1440,"HH:mm")</calculatedColumnFormula>
    </tableColumn>
    <tableColumn id="16" name="PRJLST" dataDxfId="1">
      <calculatedColumnFormula>[PRJ]</calculatedColumnFormula>
    </tableColumn>
    <tableColumn id="17" name="TSKLST" dataDxfId="0">
      <calculatedColumnFormula>[TSK]</calculatedColumnFormula>
    </tableColumn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8"/>
  <sheetViews>
    <sheetView workbookViewId="0">
      <selection activeCell="E8" sqref="E8"/>
    </sheetView>
  </sheetViews>
  <sheetFormatPr defaultRowHeight="15"/>
  <cols>
    <col min="2" max="2" width="32.42578125" customWidth="1"/>
    <col min="5" max="5" width="33.42578125" customWidth="1"/>
    <col min="6" max="6" width="11.7109375" bestFit="1" customWidth="1"/>
    <col min="7" max="7" width="53" customWidth="1"/>
    <col min="10" max="10" width="36.5703125" customWidth="1"/>
    <col min="11" max="11" width="84.140625" customWidth="1"/>
  </cols>
  <sheetData>
    <row r="1" spans="1:7">
      <c r="A1" s="1" t="s">
        <v>0</v>
      </c>
      <c r="B1" s="1" t="s">
        <v>1</v>
      </c>
      <c r="D1" s="1" t="s">
        <v>0</v>
      </c>
      <c r="E1" s="1" t="s">
        <v>4</v>
      </c>
      <c r="F1" s="1" t="s">
        <v>9</v>
      </c>
      <c r="G1" s="1" t="s">
        <v>1</v>
      </c>
    </row>
    <row r="2" spans="1:7">
      <c r="A2" s="2">
        <f>IFERROR($A1+1,1)</f>
        <v>1</v>
      </c>
      <c r="B2" s="1" t="s">
        <v>2</v>
      </c>
      <c r="D2" s="2">
        <f t="shared" ref="D2:D8" si="0">IFERROR($D1+1,1)</f>
        <v>1</v>
      </c>
      <c r="E2" s="1" t="s">
        <v>5</v>
      </c>
      <c r="F2" s="1" t="s">
        <v>10</v>
      </c>
      <c r="G2" s="1" t="s">
        <v>2</v>
      </c>
    </row>
    <row r="3" spans="1:7">
      <c r="A3" s="2">
        <v>2</v>
      </c>
      <c r="B3" s="1" t="s">
        <v>3</v>
      </c>
      <c r="D3" s="3">
        <f t="shared" si="0"/>
        <v>2</v>
      </c>
      <c r="E3" s="4" t="s">
        <v>47</v>
      </c>
      <c r="F3" s="4" t="s">
        <v>48</v>
      </c>
      <c r="G3" s="4" t="s">
        <v>2</v>
      </c>
    </row>
    <row r="4" spans="1:7">
      <c r="D4" s="36">
        <f t="shared" si="0"/>
        <v>3</v>
      </c>
      <c r="E4" s="37" t="s">
        <v>51</v>
      </c>
      <c r="F4" s="38" t="s">
        <v>52</v>
      </c>
      <c r="G4" s="38" t="s">
        <v>3</v>
      </c>
    </row>
    <row r="5" spans="1:7">
      <c r="D5" s="36">
        <f t="shared" si="0"/>
        <v>4</v>
      </c>
      <c r="E5" s="38" t="s">
        <v>59</v>
      </c>
      <c r="F5" s="38" t="s">
        <v>60</v>
      </c>
      <c r="G5" s="38" t="s">
        <v>3</v>
      </c>
    </row>
    <row r="6" spans="1:7">
      <c r="D6" s="47">
        <f t="shared" si="0"/>
        <v>5</v>
      </c>
      <c r="E6" s="37" t="s">
        <v>62</v>
      </c>
      <c r="F6" s="37" t="s">
        <v>63</v>
      </c>
      <c r="G6" s="37" t="s">
        <v>2</v>
      </c>
    </row>
    <row r="7" spans="1:7">
      <c r="D7" s="47">
        <f t="shared" si="0"/>
        <v>6</v>
      </c>
      <c r="E7" s="37" t="s">
        <v>66</v>
      </c>
      <c r="F7" s="37" t="s">
        <v>67</v>
      </c>
      <c r="G7" s="37" t="s">
        <v>2</v>
      </c>
    </row>
    <row r="8" spans="1:7">
      <c r="D8" s="47">
        <f t="shared" si="0"/>
        <v>7</v>
      </c>
      <c r="E8" s="37" t="s">
        <v>72</v>
      </c>
      <c r="F8" s="37" t="s">
        <v>73</v>
      </c>
      <c r="G8" s="37" t="s">
        <v>2</v>
      </c>
    </row>
  </sheetData>
  <dataValidations count="1">
    <dataValidation type="list" allowBlank="1" showInputMessage="1" showErrorMessage="1" sqref="G2:G8">
      <formula1>ProjectCaregoryNames</formula1>
    </dataValidation>
  </dataValidations>
  <pageMargins left="0.7" right="0.7" top="0.75" bottom="0.75" header="0.3" footer="0.3"/>
  <pageSetup paperSize="9" orientation="portrait" horizontalDpi="1200" verticalDpi="1200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G25"/>
  <sheetViews>
    <sheetView topLeftCell="A7" workbookViewId="0">
      <selection activeCell="D26" sqref="D26"/>
    </sheetView>
  </sheetViews>
  <sheetFormatPr defaultRowHeight="15"/>
  <cols>
    <col min="2" max="2" width="23.28515625" customWidth="1"/>
    <col min="3" max="3" width="8.140625" hidden="1" customWidth="1"/>
    <col min="4" max="4" width="55.28515625" customWidth="1"/>
    <col min="5" max="5" width="9.140625" hidden="1" customWidth="1"/>
    <col min="6" max="6" width="24.28515625" hidden="1" customWidth="1"/>
    <col min="7" max="7" width="88.28515625" hidden="1" customWidth="1"/>
  </cols>
  <sheetData>
    <row r="1" spans="1:7">
      <c r="A1" s="1" t="s">
        <v>0</v>
      </c>
      <c r="B1" s="1" t="s">
        <v>4</v>
      </c>
      <c r="C1" s="1" t="s">
        <v>30</v>
      </c>
      <c r="D1" s="1" t="s">
        <v>6</v>
      </c>
      <c r="E1" s="1" t="s">
        <v>18</v>
      </c>
      <c r="F1" s="1" t="s">
        <v>27</v>
      </c>
      <c r="G1" s="1" t="s">
        <v>28</v>
      </c>
    </row>
    <row r="2" spans="1:7">
      <c r="A2" s="5">
        <f t="shared" ref="A2:A7" si="0">IFERROR($A1+1,1)</f>
        <v>1</v>
      </c>
      <c r="B2" s="1" t="s">
        <v>10</v>
      </c>
      <c r="C2" s="10" t="str">
        <f>ProjectTasks[[#This Row],[Project]]&amp;"-"&amp;COUNTIF($B$1:ProjectTasks[[#This Row],[Project]],ProjectTasks[[#This Row],[Project]])</f>
        <v>TEEBPD-1</v>
      </c>
      <c r="D2" s="1" t="s">
        <v>7</v>
      </c>
      <c r="E2" s="7" t="str">
        <f>CONCATENATE([Project],"/",[Task])</f>
        <v>TEEBPD/Theme Designing</v>
      </c>
      <c r="F2" s="7" t="str">
        <f>[Project]</f>
        <v>TEEBPD</v>
      </c>
      <c r="G2" s="7" t="str">
        <f>[Task]</f>
        <v>Theme Designing</v>
      </c>
    </row>
    <row r="3" spans="1:7">
      <c r="A3" s="6">
        <f t="shared" si="0"/>
        <v>2</v>
      </c>
      <c r="B3" s="1" t="s">
        <v>10</v>
      </c>
      <c r="C3" s="10" t="str">
        <f>ProjectTasks[[#This Row],[Project]]&amp;"-"&amp;COUNTIF($B$1:ProjectTasks[[#This Row],[Project]],ProjectTasks[[#This Row],[Project]])</f>
        <v>TEEBPD-2</v>
      </c>
      <c r="D3" s="4" t="s">
        <v>8</v>
      </c>
      <c r="E3" s="7" t="str">
        <f>CONCATENATE([Project],"/",[Task])</f>
        <v>TEEBPD/Database Structure Designing</v>
      </c>
      <c r="F3" s="7" t="str">
        <f>[Project]</f>
        <v>TEEBPD</v>
      </c>
      <c r="G3" s="7" t="str">
        <f>[Task]</f>
        <v>Database Structure Designing</v>
      </c>
    </row>
    <row r="4" spans="1:7">
      <c r="A4" s="6">
        <f t="shared" si="0"/>
        <v>3</v>
      </c>
      <c r="B4" s="1" t="s">
        <v>10</v>
      </c>
      <c r="C4" s="10" t="str">
        <f>ProjectTasks[[#This Row],[Project]]&amp;"-"&amp;COUNTIF($B$1:ProjectTasks[[#This Row],[Project]],ProjectTasks[[#This Row],[Project]])</f>
        <v>TEEBPD-3</v>
      </c>
      <c r="D4" s="4" t="s">
        <v>11</v>
      </c>
      <c r="E4" s="7" t="str">
        <f>CONCATENATE([Project],"/",[Task])</f>
        <v>TEEBPD/Appframe configuration</v>
      </c>
      <c r="F4" s="7" t="str">
        <f>[Project]</f>
        <v>TEEBPD</v>
      </c>
      <c r="G4" s="7" t="str">
        <f>[Task]</f>
        <v>Appframe configuration</v>
      </c>
    </row>
    <row r="5" spans="1:7">
      <c r="A5" s="6">
        <f t="shared" si="0"/>
        <v>4</v>
      </c>
      <c r="B5" s="1" t="s">
        <v>10</v>
      </c>
      <c r="C5" s="10" t="str">
        <f>ProjectTasks[[#This Row],[Project]]&amp;"-"&amp;COUNTIF($B$1:ProjectTasks[[#This Row],[Project]],ProjectTasks[[#This Row],[Project]])</f>
        <v>TEEBPD-4</v>
      </c>
      <c r="D5" s="4" t="s">
        <v>12</v>
      </c>
      <c r="E5" s="7" t="str">
        <f>CONCATENATE([Project],"/",[Task])</f>
        <v>TEEBPD/Inhouse Testing</v>
      </c>
      <c r="F5" s="7" t="str">
        <f>[Project]</f>
        <v>TEEBPD</v>
      </c>
      <c r="G5" s="7" t="str">
        <f>[Task]</f>
        <v>Inhouse Testing</v>
      </c>
    </row>
    <row r="6" spans="1:7">
      <c r="A6" s="6">
        <f t="shared" si="0"/>
        <v>5</v>
      </c>
      <c r="B6" s="1" t="s">
        <v>10</v>
      </c>
      <c r="C6" s="10" t="str">
        <f>ProjectTasks[[#This Row],[Project]]&amp;"-"&amp;COUNTIF($B$1:ProjectTasks[[#This Row],[Project]],ProjectTasks[[#This Row],[Project]])</f>
        <v>TEEBPD-5</v>
      </c>
      <c r="D6" s="4" t="s">
        <v>13</v>
      </c>
      <c r="E6" s="7" t="str">
        <f>CONCATENATE([Project],"/",[Task])</f>
        <v>TEEBPD/Client Demonstration</v>
      </c>
      <c r="F6" s="7" t="str">
        <f>[Project]</f>
        <v>TEEBPD</v>
      </c>
      <c r="G6" s="7" t="str">
        <f>[Task]</f>
        <v>Client Demonstration</v>
      </c>
    </row>
    <row r="7" spans="1:7">
      <c r="A7" s="6">
        <f t="shared" si="0"/>
        <v>6</v>
      </c>
      <c r="B7" s="1" t="s">
        <v>10</v>
      </c>
      <c r="C7" s="10" t="str">
        <f>ProjectTasks[[#This Row],[Project]]&amp;"-"&amp;COUNTIF($B$1:ProjectTasks[[#This Row],[Project]],ProjectTasks[[#This Row],[Project]])</f>
        <v>TEEBPD-6</v>
      </c>
      <c r="D7" s="4" t="s">
        <v>14</v>
      </c>
      <c r="E7" s="7" t="str">
        <f>CONCATENATE([Project],"/",[Task])</f>
        <v>TEEBPD/Client Suggestion Implementation</v>
      </c>
      <c r="F7" s="7" t="str">
        <f>[Project]</f>
        <v>TEEBPD</v>
      </c>
      <c r="G7" s="7" t="str">
        <f>[Task]</f>
        <v>Client Suggestion Implementation</v>
      </c>
    </row>
    <row r="8" spans="1:7">
      <c r="A8" s="6">
        <f t="shared" ref="A8:A13" si="1">IFERROR($A7+1,1)</f>
        <v>7</v>
      </c>
      <c r="B8" s="4" t="s">
        <v>48</v>
      </c>
      <c r="C8" s="11" t="str">
        <f>ProjectTasks[[#This Row],[Project]]&amp;"-"&amp;COUNTIF($B$1:ProjectTasks[[#This Row],[Project]],ProjectTasks[[#This Row],[Project]])</f>
        <v>TKT-1</v>
      </c>
      <c r="D8" s="4" t="s">
        <v>49</v>
      </c>
      <c r="E8" s="30" t="str">
        <f>CONCATENATE([Project],"/",[Task])</f>
        <v>TKT/Database Analysis from Old Project</v>
      </c>
      <c r="F8" s="30" t="str">
        <f>[Project]</f>
        <v>TKT</v>
      </c>
      <c r="G8" s="30" t="str">
        <f>[Task]</f>
        <v>Database Analysis from Old Project</v>
      </c>
    </row>
    <row r="9" spans="1:7">
      <c r="A9" s="6">
        <f t="shared" si="1"/>
        <v>8</v>
      </c>
      <c r="B9" s="4" t="s">
        <v>48</v>
      </c>
      <c r="C9" s="11" t="str">
        <f>ProjectTasks[[#This Row],[Project]]&amp;"-"&amp;COUNTIF($B$1:ProjectTasks[[#This Row],[Project]],ProjectTasks[[#This Row],[Project]])</f>
        <v>TKT-2</v>
      </c>
      <c r="D9" s="4" t="s">
        <v>50</v>
      </c>
      <c r="E9" s="30" t="str">
        <f>CONCATENATE([Project],"/",[Task])</f>
        <v>TKT/DB Designing</v>
      </c>
      <c r="F9" s="30" t="str">
        <f>[Project]</f>
        <v>TKT</v>
      </c>
      <c r="G9" s="30" t="str">
        <f>[Task]</f>
        <v>DB Designing</v>
      </c>
    </row>
    <row r="10" spans="1:7">
      <c r="A10" s="6">
        <f t="shared" si="1"/>
        <v>9</v>
      </c>
      <c r="B10" s="4" t="s">
        <v>48</v>
      </c>
      <c r="C10" s="11" t="str">
        <f>ProjectTasks[[#This Row],[Project]]&amp;"-"&amp;COUNTIF($B$1:ProjectTasks[[#This Row],[Project]],ProjectTasks[[#This Row],[Project]])</f>
        <v>TKT-3</v>
      </c>
      <c r="D10" s="4" t="s">
        <v>11</v>
      </c>
      <c r="E10" s="30" t="str">
        <f>CONCATENATE([Project],"/",[Task])</f>
        <v>TKT/Appframe configuration</v>
      </c>
      <c r="F10" s="30" t="str">
        <f>[Project]</f>
        <v>TKT</v>
      </c>
      <c r="G10" s="30" t="str">
        <f>[Task]</f>
        <v>Appframe configuration</v>
      </c>
    </row>
    <row r="11" spans="1:7">
      <c r="A11" s="39">
        <f t="shared" si="1"/>
        <v>10</v>
      </c>
      <c r="B11" s="38" t="s">
        <v>48</v>
      </c>
      <c r="C11" s="11" t="str">
        <f>ProjectTasks[[#This Row],[Project]]&amp;"-"&amp;COUNTIF($B$1:ProjectTasks[[#This Row],[Project]],ProjectTasks[[#This Row],[Project]])</f>
        <v>TKT-4</v>
      </c>
      <c r="D11" s="38" t="s">
        <v>53</v>
      </c>
      <c r="E11" s="41" t="str">
        <f>CONCATENATE([Project],"/",[Task])</f>
        <v>TKT/Discussion for ticketing modification</v>
      </c>
      <c r="F11" s="41" t="str">
        <f>[Project]</f>
        <v>TKT</v>
      </c>
      <c r="G11" s="41" t="str">
        <f>[Task]</f>
        <v>Discussion for ticketing modification</v>
      </c>
    </row>
    <row r="12" spans="1:7">
      <c r="A12" s="39">
        <f t="shared" si="1"/>
        <v>11</v>
      </c>
      <c r="B12" s="38" t="s">
        <v>52</v>
      </c>
      <c r="C12" s="11" t="str">
        <f>ProjectTasks[[#This Row],[Project]]&amp;"-"&amp;COUNTIF($B$1:ProjectTasks[[#This Row],[Project]],ProjectTasks[[#This Row],[Project]])</f>
        <v>SDS-1</v>
      </c>
      <c r="D12" s="38" t="s">
        <v>56</v>
      </c>
      <c r="E12" s="41" t="str">
        <f>CONCATENATE([Project],"/",[Task])</f>
        <v>SDS/Decryption</v>
      </c>
      <c r="F12" s="41" t="str">
        <f>[Project]</f>
        <v>SDS</v>
      </c>
      <c r="G12" s="41" t="str">
        <f>[Task]</f>
        <v>Decryption</v>
      </c>
    </row>
    <row r="13" spans="1:7">
      <c r="A13" s="39">
        <f t="shared" si="1"/>
        <v>12</v>
      </c>
      <c r="B13" s="38" t="s">
        <v>60</v>
      </c>
      <c r="C13" s="40" t="str">
        <f>ProjectTasks[[#This Row],[Project]]&amp;"-"&amp;COUNTIF($B$1:ProjectTasks[[#This Row],[Project]],ProjectTasks[[#This Row],[Project]])</f>
        <v>RTM-1</v>
      </c>
      <c r="D13" s="38" t="s">
        <v>61</v>
      </c>
      <c r="E13" s="41" t="str">
        <f>CONCATENATE([Project],"/",[Task])</f>
        <v>RTM/Solving the issue of repeating icon in tray</v>
      </c>
      <c r="F13" s="41" t="str">
        <f>[Project]</f>
        <v>RTM</v>
      </c>
      <c r="G13" s="41" t="str">
        <f>[Task]</f>
        <v>Solving the issue of repeating icon in tray</v>
      </c>
    </row>
    <row r="14" spans="1:7">
      <c r="A14" s="39">
        <f t="shared" ref="A14:A20" si="2">IFERROR($A13+1,1)</f>
        <v>13</v>
      </c>
      <c r="B14" s="37" t="s">
        <v>63</v>
      </c>
      <c r="C14" s="48" t="str">
        <f>ProjectTasks[[#This Row],[Project]]&amp;"-"&amp;COUNTIF($B$1:ProjectTasks[[#This Row],[Project]],ProjectTasks[[#This Row],[Project]])</f>
        <v>PPOIO-1</v>
      </c>
      <c r="D14" s="37" t="s">
        <v>64</v>
      </c>
      <c r="E14" s="49" t="str">
        <f>CONCATENATE([Project],"/",[Task])</f>
        <v>PPOIO/Project Study</v>
      </c>
      <c r="F14" s="49" t="str">
        <f>[Project]</f>
        <v>PPOIO</v>
      </c>
      <c r="G14" s="49" t="str">
        <f>[Task]</f>
        <v>Project Study</v>
      </c>
    </row>
    <row r="15" spans="1:7">
      <c r="A15" s="39">
        <f t="shared" si="2"/>
        <v>14</v>
      </c>
      <c r="B15" s="37" t="s">
        <v>63</v>
      </c>
      <c r="C15" s="48" t="str">
        <f>ProjectTasks[[#This Row],[Project]]&amp;"-"&amp;COUNTIF($B$1:ProjectTasks[[#This Row],[Project]],ProjectTasks[[#This Row],[Project]])</f>
        <v>PPOIO-2</v>
      </c>
      <c r="D15" s="37" t="s">
        <v>65</v>
      </c>
      <c r="E15" s="49" t="str">
        <f>CONCATENATE([Project],"/",[Task])</f>
        <v>PPOIO/Business Plan</v>
      </c>
      <c r="F15" s="49" t="str">
        <f>[Project]</f>
        <v>PPOIO</v>
      </c>
      <c r="G15" s="49" t="str">
        <f>[Task]</f>
        <v>Business Plan</v>
      </c>
    </row>
    <row r="16" spans="1:7">
      <c r="A16" s="39">
        <f t="shared" si="2"/>
        <v>15</v>
      </c>
      <c r="B16" s="37" t="s">
        <v>67</v>
      </c>
      <c r="C16" s="48" t="str">
        <f>ProjectTasks[[#This Row],[Project]]&amp;"-"&amp;COUNTIF($B$1:ProjectTasks[[#This Row],[Project]],ProjectTasks[[#This Row],[Project]])</f>
        <v>APPFRAME-1</v>
      </c>
      <c r="D16" s="37" t="s">
        <v>68</v>
      </c>
      <c r="E16" s="49" t="str">
        <f>CONCATENATE([Project],"/",[Task])</f>
        <v>APPFRAME/Development</v>
      </c>
      <c r="F16" s="49" t="str">
        <f>[Project]</f>
        <v>APPFRAME</v>
      </c>
      <c r="G16" s="49" t="str">
        <f>[Task]</f>
        <v>Development</v>
      </c>
    </row>
    <row r="17" spans="1:7">
      <c r="A17" s="39">
        <f t="shared" si="2"/>
        <v>16</v>
      </c>
      <c r="B17" s="37" t="s">
        <v>73</v>
      </c>
      <c r="C17" s="48" t="str">
        <f>ProjectTasks[[#This Row],[Project]]&amp;"-"&amp;COUNTIF($B$1:ProjectTasks[[#This Row],[Project]],ProjectTasks[[#This Row],[Project]])</f>
        <v>MITWEB-1</v>
      </c>
      <c r="D17" s="37" t="s">
        <v>74</v>
      </c>
      <c r="E17" s="49" t="str">
        <f>CONCATENATE([Project],"/",[Task])</f>
        <v>MITWEB/Modification</v>
      </c>
      <c r="F17" s="49" t="str">
        <f>[Project]</f>
        <v>MITWEB</v>
      </c>
      <c r="G17" s="49" t="str">
        <f>[Task]</f>
        <v>Modification</v>
      </c>
    </row>
    <row r="18" spans="1:7">
      <c r="A18" s="43">
        <f t="shared" si="2"/>
        <v>17</v>
      </c>
      <c r="B18" s="38" t="s">
        <v>60</v>
      </c>
      <c r="C18" s="40" t="str">
        <f>ProjectTasks[[#This Row],[Project]]&amp;"-"&amp;COUNTIF($B$1:ProjectTasks[[#This Row],[Project]],ProjectTasks[[#This Row],[Project]])</f>
        <v>RTM-2</v>
      </c>
      <c r="D18" s="37" t="s">
        <v>76</v>
      </c>
      <c r="E18" s="41" t="str">
        <f>CONCATENATE([Project],"/",[Task])</f>
        <v>RTM/Getting branchname into tool</v>
      </c>
      <c r="F18" s="41" t="str">
        <f>[Project]</f>
        <v>RTM</v>
      </c>
      <c r="G18" s="41" t="str">
        <f>[Task]</f>
        <v>Getting branchname into tool</v>
      </c>
    </row>
    <row r="19" spans="1:7">
      <c r="A19" s="5">
        <f t="shared" si="2"/>
        <v>18</v>
      </c>
      <c r="B19" s="1" t="s">
        <v>48</v>
      </c>
      <c r="C19" s="10" t="str">
        <f>ProjectTasks[[#This Row],[Project]]&amp;"-"&amp;COUNTIF($B$1:ProjectTasks[[#This Row],[Project]],ProjectTasks[[#This Row],[Project]])</f>
        <v>TKT-5</v>
      </c>
      <c r="D19" s="4" t="s">
        <v>80</v>
      </c>
      <c r="E19" s="7" t="str">
        <f>CONCATENATE([Project],"/",[Task])</f>
        <v>TKT/Note down table relations</v>
      </c>
      <c r="F19" s="7" t="str">
        <f>[Project]</f>
        <v>TKT</v>
      </c>
      <c r="G19" s="7" t="str">
        <f>[Task]</f>
        <v>Note down table relations</v>
      </c>
    </row>
    <row r="20" spans="1:7">
      <c r="A20" s="5">
        <f t="shared" si="2"/>
        <v>19</v>
      </c>
      <c r="B20" s="1" t="s">
        <v>48</v>
      </c>
      <c r="C20" s="10" t="str">
        <f>ProjectTasks[[#This Row],[Project]]&amp;"-"&amp;COUNTIF($B$1:ProjectTasks[[#This Row],[Project]],ProjectTasks[[#This Row],[Project]])</f>
        <v>TKT-6</v>
      </c>
      <c r="D20" s="4" t="s">
        <v>78</v>
      </c>
      <c r="E20" s="7" t="str">
        <f>CONCATENATE([Project],"/",[Task])</f>
        <v>TKT/Entering table details into excel sheet</v>
      </c>
      <c r="F20" s="7" t="str">
        <f>[Project]</f>
        <v>TKT</v>
      </c>
      <c r="G20" s="7" t="str">
        <f>[Task]</f>
        <v>Entering table details into excel sheet</v>
      </c>
    </row>
    <row r="21" spans="1:7">
      <c r="A21" s="55">
        <f>IFERROR($A20+1,1)</f>
        <v>20</v>
      </c>
      <c r="B21" s="57" t="s">
        <v>52</v>
      </c>
      <c r="C21" s="56" t="str">
        <f>ProjectTasks[[#This Row],[Project]]&amp;"-"&amp;COUNTIF($B$1:ProjectTasks[[#This Row],[Project]],ProjectTasks[[#This Row],[Project]])</f>
        <v>SDS-2</v>
      </c>
      <c r="D21" s="57" t="s">
        <v>82</v>
      </c>
      <c r="E21" s="61" t="str">
        <f>CONCATENATE([Project],"/",[Task])</f>
        <v>SDS/Request and get Response from  web</v>
      </c>
      <c r="F21" s="61" t="str">
        <f>[Project]</f>
        <v>SDS</v>
      </c>
      <c r="G21" s="61" t="str">
        <f>[Task]</f>
        <v>Request and get Response from  web</v>
      </c>
    </row>
    <row r="22" spans="1:7">
      <c r="A22" s="63">
        <f>IFERROR($A21+1,1)</f>
        <v>21</v>
      </c>
      <c r="B22" s="65" t="s">
        <v>10</v>
      </c>
      <c r="C22" s="64" t="str">
        <f>ProjectTasks[[#This Row],[Project]]&amp;"-"&amp;COUNTIF($B$1:ProjectTasks[[#This Row],[Project]],ProjectTasks[[#This Row],[Project]])</f>
        <v>TEEBPD-7</v>
      </c>
      <c r="D22" s="65" t="s">
        <v>86</v>
      </c>
      <c r="E22" s="69" t="str">
        <f>CONCATENATE([Project],"/",[Task])</f>
        <v>TEEBPD/Finalizing</v>
      </c>
      <c r="F22" s="69" t="str">
        <f>[Project]</f>
        <v>TEEBPD</v>
      </c>
      <c r="G22" s="69" t="str">
        <f>[Task]</f>
        <v>Finalizing</v>
      </c>
    </row>
    <row r="23" spans="1:7">
      <c r="A23" s="63">
        <f>IFERROR($A22+1,1)</f>
        <v>22</v>
      </c>
      <c r="B23" s="57" t="s">
        <v>52</v>
      </c>
      <c r="C23" s="56" t="str">
        <f>ProjectTasks[[#This Row],[Project]]&amp;"-"&amp;COUNTIF($B$1:ProjectTasks[[#This Row],[Project]],ProjectTasks[[#This Row],[Project]])</f>
        <v>SDS-3</v>
      </c>
      <c r="D23" s="57" t="s">
        <v>88</v>
      </c>
      <c r="E23" s="61" t="str">
        <f>CONCATENATE([Project],"/",[Task])</f>
        <v>SDS/Testing</v>
      </c>
      <c r="F23" s="61" t="str">
        <f>[Project]</f>
        <v>SDS</v>
      </c>
      <c r="G23" s="61" t="str">
        <f>[Task]</f>
        <v>Testing</v>
      </c>
    </row>
    <row r="24" spans="1:7">
      <c r="A24" s="55">
        <f>IFERROR($A23+1,1)</f>
        <v>23</v>
      </c>
      <c r="B24" s="57" t="s">
        <v>52</v>
      </c>
      <c r="C24" s="56" t="str">
        <f>ProjectTasks[[#This Row],[Project]]&amp;"-"&amp;COUNTIF($B$1:ProjectTasks[[#This Row],[Project]],ProjectTasks[[#This Row],[Project]])</f>
        <v>SDS-4</v>
      </c>
      <c r="D24" s="57" t="s">
        <v>90</v>
      </c>
      <c r="E24" s="61" t="str">
        <f>CONCATENATE([Project],"/",[Task])</f>
        <v>SDS/Stage 2</v>
      </c>
      <c r="F24" s="61" t="str">
        <f>[Project]</f>
        <v>SDS</v>
      </c>
      <c r="G24" s="61" t="str">
        <f>[Task]</f>
        <v>Stage 2</v>
      </c>
    </row>
    <row r="25" spans="1:7">
      <c r="A25" s="63">
        <f>IFERROR($A24+1,1)</f>
        <v>24</v>
      </c>
      <c r="B25" s="65" t="s">
        <v>10</v>
      </c>
      <c r="C25" s="64" t="str">
        <f>ProjectTasks[[#This Row],[Project]]&amp;"-"&amp;COUNTIF($B$1:ProjectTasks[[#This Row],[Project]],ProjectTasks[[#This Row],[Project]])</f>
        <v>TEEBPD-8</v>
      </c>
      <c r="D25" s="65" t="s">
        <v>92</v>
      </c>
      <c r="E25" s="69" t="str">
        <f>CONCATENATE([Project],"/",[Task])</f>
        <v>TEEBPD/Synchronization Implementing</v>
      </c>
      <c r="F25" s="69" t="str">
        <f>[Project]</f>
        <v>TEEBPD</v>
      </c>
      <c r="G25" s="69" t="str">
        <f>[Task]</f>
        <v>Synchronization Implementing</v>
      </c>
    </row>
  </sheetData>
  <dataValidations count="1">
    <dataValidation type="list" allowBlank="1" showInputMessage="1" showErrorMessage="1" sqref="B2:B25">
      <formula1>ProjectCodes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B5"/>
  <sheetViews>
    <sheetView workbookViewId="0">
      <selection activeCell="C23" sqref="C23"/>
    </sheetView>
  </sheetViews>
  <sheetFormatPr defaultRowHeight="15"/>
  <cols>
    <col min="2" max="2" width="39.28515625" customWidth="1"/>
  </cols>
  <sheetData>
    <row r="1" spans="1:2">
      <c r="A1" s="1" t="s">
        <v>0</v>
      </c>
      <c r="B1" s="1" t="s">
        <v>15</v>
      </c>
    </row>
    <row r="2" spans="1:2">
      <c r="A2" s="5">
        <f t="shared" ref="A2:A5" si="0">IFERROR($A1+1,1)</f>
        <v>1</v>
      </c>
      <c r="B2" s="1" t="s">
        <v>54</v>
      </c>
    </row>
    <row r="3" spans="1:2">
      <c r="A3" s="5">
        <f t="shared" si="0"/>
        <v>2</v>
      </c>
      <c r="B3" s="1" t="s">
        <v>17</v>
      </c>
    </row>
    <row r="4" spans="1:2">
      <c r="A4" s="5">
        <f t="shared" si="0"/>
        <v>3</v>
      </c>
      <c r="B4" s="1" t="s">
        <v>16</v>
      </c>
    </row>
    <row r="5" spans="1:2">
      <c r="A5" s="5">
        <f t="shared" si="0"/>
        <v>4</v>
      </c>
      <c r="B5" s="4" t="s">
        <v>34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Q45"/>
  <sheetViews>
    <sheetView topLeftCell="A25" workbookViewId="0">
      <selection activeCell="J46" sqref="J46"/>
    </sheetView>
  </sheetViews>
  <sheetFormatPr defaultRowHeight="15"/>
  <cols>
    <col min="2" max="4" width="18.42578125" hidden="1" customWidth="1"/>
    <col min="5" max="5" width="9.7109375" hidden="1" customWidth="1"/>
    <col min="6" max="6" width="24.85546875" hidden="1" customWidth="1"/>
    <col min="7" max="7" width="45.140625" customWidth="1"/>
    <col min="8" max="8" width="16.5703125" customWidth="1"/>
    <col min="9" max="10" width="12.28515625" customWidth="1"/>
    <col min="11" max="11" width="11.140625" customWidth="1"/>
    <col min="12" max="12" width="9.140625" hidden="1" customWidth="1"/>
    <col min="14" max="14" width="0" hidden="1" customWidth="1"/>
    <col min="16" max="17" width="9.42578125" hidden="1" customWidth="1"/>
  </cols>
  <sheetData>
    <row r="1" spans="1:17">
      <c r="A1" s="1" t="s">
        <v>0</v>
      </c>
      <c r="B1" s="1" t="s">
        <v>27</v>
      </c>
      <c r="C1" s="1" t="s">
        <v>28</v>
      </c>
      <c r="D1" s="1" t="s">
        <v>36</v>
      </c>
      <c r="E1" s="1" t="s">
        <v>37</v>
      </c>
      <c r="F1" s="1" t="s">
        <v>38</v>
      </c>
      <c r="G1" s="1" t="s">
        <v>6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26</v>
      </c>
      <c r="O1" s="1" t="s">
        <v>25</v>
      </c>
      <c r="P1" s="1" t="s">
        <v>39</v>
      </c>
      <c r="Q1" s="1" t="s">
        <v>40</v>
      </c>
    </row>
    <row r="2" spans="1:17">
      <c r="A2" s="5">
        <f t="shared" ref="A2:A28" si="0">IFERROR($A1+1,1)</f>
        <v>1</v>
      </c>
      <c r="B2" s="10" t="str">
        <f>VLOOKUP([Task],ProjectTasks[[TaskProjectCode]:[TSK]],2,0)</f>
        <v>TKT</v>
      </c>
      <c r="C2" s="10" t="str">
        <f>VLOOKUP([Task],ProjectTasks[[TaskProjectCode]:[TSK]],3,0)</f>
        <v>Discussion for ticketing modification</v>
      </c>
      <c r="D2" s="10" t="str">
        <f>[Employee]&amp;"/"&amp;[Date]</f>
        <v>Aswathy/43430</v>
      </c>
      <c r="E2" s="42">
        <f>COUNTIF($D$1:TaskTimings[[#This Row],[EmployeeDate]],TaskTimings[[#This Row],[EmployeeDate]])</f>
        <v>1</v>
      </c>
      <c r="F2" s="10" t="str">
        <f>TaskTimings[[#This Row],[EmployeeDate]]&amp;"/"&amp;TaskTimings[[#This Row],[EmployeeDateSeq]]</f>
        <v>Aswathy/43430/1</v>
      </c>
      <c r="G2" s="1" t="s">
        <v>55</v>
      </c>
      <c r="H2" s="1" t="s">
        <v>54</v>
      </c>
      <c r="I2" s="8">
        <v>43430</v>
      </c>
      <c r="J2" s="9">
        <v>0.39583333333333331</v>
      </c>
      <c r="K2" s="9">
        <v>0.45833333333333331</v>
      </c>
      <c r="L2" s="2">
        <f>([End Time]-[Start Time])*1440</f>
        <v>90</v>
      </c>
      <c r="M2" s="2" t="str">
        <f>TEXT([End Time]-[Start Time],"HH:mm")</f>
        <v>01:30</v>
      </c>
      <c r="N2" s="2">
        <f>SUMIFS([Total Minutes],[Date],[Date],[Employee],[Employee])</f>
        <v>330</v>
      </c>
      <c r="O2" s="2" t="str">
        <f>TEXT([Day Total Minutes]/1440,"HH:mm")</f>
        <v>05:30</v>
      </c>
      <c r="P2" s="10" t="str">
        <f>[PRJ]</f>
        <v>TKT</v>
      </c>
      <c r="Q2" s="10" t="str">
        <f>[TSK]</f>
        <v>Discussion for ticketing modification</v>
      </c>
    </row>
    <row r="3" spans="1:17">
      <c r="A3" s="5">
        <f t="shared" si="0"/>
        <v>2</v>
      </c>
      <c r="B3" s="40" t="str">
        <f>VLOOKUP([Task],ProjectTasks[[TaskProjectCode]:[TSK]],2,0)</f>
        <v>TKT</v>
      </c>
      <c r="C3" s="40" t="str">
        <f>VLOOKUP([Task],ProjectTasks[[TaskProjectCode]:[TSK]],3,0)</f>
        <v>Discussion for ticketing modification</v>
      </c>
      <c r="D3" s="40" t="str">
        <f>[Employee]&amp;"/"&amp;[Date]</f>
        <v>Shareena/43430</v>
      </c>
      <c r="E3" s="42">
        <f>COUNTIF($D$1:TaskTimings[[#This Row],[EmployeeDate]],TaskTimings[[#This Row],[EmployeeDate]])</f>
        <v>1</v>
      </c>
      <c r="F3" s="40" t="str">
        <f>TaskTimings[[#This Row],[EmployeeDate]]&amp;"/"&amp;TaskTimings[[#This Row],[EmployeeDateSeq]]</f>
        <v>Shareena/43430/1</v>
      </c>
      <c r="G3" s="38" t="s">
        <v>55</v>
      </c>
      <c r="H3" s="38" t="s">
        <v>16</v>
      </c>
      <c r="I3" s="44">
        <v>43430</v>
      </c>
      <c r="J3" s="45">
        <v>0.39583333333333331</v>
      </c>
      <c r="K3" s="46">
        <v>0.45833333333333331</v>
      </c>
      <c r="L3" s="36">
        <f>([End Time]-[Start Time])*1440</f>
        <v>90</v>
      </c>
      <c r="M3" s="36" t="str">
        <f>TEXT([End Time]-[Start Time],"HH:mm")</f>
        <v>01:30</v>
      </c>
      <c r="N3" s="36">
        <f>SUMIFS([Total Minutes],[Date],[Date],[Employee],[Employee])</f>
        <v>330.99999999999994</v>
      </c>
      <c r="O3" s="36" t="str">
        <f>TEXT([Day Total Minutes]/1440,"HH:mm")</f>
        <v>05:31</v>
      </c>
      <c r="P3" s="40" t="str">
        <f>[PRJ]</f>
        <v>TKT</v>
      </c>
      <c r="Q3" s="40" t="str">
        <f>[TSK]</f>
        <v>Discussion for ticketing modification</v>
      </c>
    </row>
    <row r="4" spans="1:17">
      <c r="A4" s="5">
        <f t="shared" si="0"/>
        <v>3</v>
      </c>
      <c r="B4" s="40" t="str">
        <f>VLOOKUP([Task],ProjectTasks[[TaskProjectCode]:[TSK]],2,0)</f>
        <v>SDS</v>
      </c>
      <c r="C4" s="40" t="str">
        <f>VLOOKUP([Task],ProjectTasks[[TaskProjectCode]:[TSK]],3,0)</f>
        <v>Decryption</v>
      </c>
      <c r="D4" s="40" t="str">
        <f>[Employee]&amp;"/"&amp;[Date]</f>
        <v>Aswathy/43430</v>
      </c>
      <c r="E4" s="40">
        <f>COUNTIF($D$1:TaskTimings[[#This Row],[EmployeeDate]],TaskTimings[[#This Row],[EmployeeDate]])</f>
        <v>2</v>
      </c>
      <c r="F4" s="40" t="str">
        <f>TaskTimings[[#This Row],[EmployeeDate]]&amp;"/"&amp;TaskTimings[[#This Row],[EmployeeDateSeq]]</f>
        <v>Aswathy/43430/2</v>
      </c>
      <c r="G4" s="38" t="s">
        <v>57</v>
      </c>
      <c r="H4" s="38" t="s">
        <v>54</v>
      </c>
      <c r="I4" s="44">
        <v>43430</v>
      </c>
      <c r="J4" s="45">
        <v>0.45833333333333331</v>
      </c>
      <c r="K4" s="46">
        <v>0.47916666666666669</v>
      </c>
      <c r="L4" s="36">
        <f>([End Time]-[Start Time])*1440</f>
        <v>30.000000000000053</v>
      </c>
      <c r="M4" s="36" t="str">
        <f>TEXT([End Time]-[Start Time],"HH:mm")</f>
        <v>00:30</v>
      </c>
      <c r="N4" s="36">
        <f>SUMIFS([Total Minutes],[Date],[Date],[Employee],[Employee])</f>
        <v>330</v>
      </c>
      <c r="O4" s="36" t="str">
        <f>TEXT([Day Total Minutes]/1440,"HH:mm")</f>
        <v>05:30</v>
      </c>
      <c r="P4" s="40" t="str">
        <f>[PRJ]</f>
        <v>SDS</v>
      </c>
      <c r="Q4" s="40" t="str">
        <f>[TSK]</f>
        <v>Decryption</v>
      </c>
    </row>
    <row r="5" spans="1:17">
      <c r="A5" s="5">
        <f t="shared" si="0"/>
        <v>4</v>
      </c>
      <c r="B5" s="40" t="str">
        <f>VLOOKUP([Task],ProjectTasks[[TaskProjectCode]:[TSK]],2,0)</f>
        <v>TKT</v>
      </c>
      <c r="C5" s="40" t="str">
        <f>VLOOKUP([Task],ProjectTasks[[TaskProjectCode]:[TSK]],3,0)</f>
        <v>Database Analysis from Old Project</v>
      </c>
      <c r="D5" s="40" t="str">
        <f>[Employee]&amp;"/"&amp;[Date]</f>
        <v>Shareena/43430</v>
      </c>
      <c r="E5" s="40">
        <f>COUNTIF($D$1:TaskTimings[[#This Row],[EmployeeDate]],TaskTimings[[#This Row],[EmployeeDate]])</f>
        <v>2</v>
      </c>
      <c r="F5" s="40" t="str">
        <f>TaskTimings[[#This Row],[EmployeeDate]]&amp;"/"&amp;TaskTimings[[#This Row],[EmployeeDateSeq]]</f>
        <v>Shareena/43430/2</v>
      </c>
      <c r="G5" s="38" t="s">
        <v>58</v>
      </c>
      <c r="H5" s="38" t="s">
        <v>16</v>
      </c>
      <c r="I5" s="44">
        <v>43430</v>
      </c>
      <c r="J5" s="45">
        <v>0.47569444444444442</v>
      </c>
      <c r="K5" s="46">
        <v>0.55972222222222223</v>
      </c>
      <c r="L5" s="36">
        <f>([End Time]-[Start Time])*1440</f>
        <v>121.00000000000006</v>
      </c>
      <c r="M5" s="36" t="str">
        <f>TEXT([End Time]-[Start Time],"HH:mm")</f>
        <v>02:01</v>
      </c>
      <c r="N5" s="36">
        <f>SUMIFS([Total Minutes],[Date],[Date],[Employee],[Employee])</f>
        <v>330.99999999999994</v>
      </c>
      <c r="O5" s="36" t="str">
        <f>TEXT([Day Total Minutes]/1440,"HH:mm")</f>
        <v>05:31</v>
      </c>
      <c r="P5" s="40" t="str">
        <f>[PRJ]</f>
        <v>TKT</v>
      </c>
      <c r="Q5" s="40" t="str">
        <f>[TSK]</f>
        <v>Database Analysis from Old Project</v>
      </c>
    </row>
    <row r="6" spans="1:17">
      <c r="A6" s="5">
        <f t="shared" si="0"/>
        <v>5</v>
      </c>
      <c r="B6" s="40" t="str">
        <f>VLOOKUP([Task],ProjectTasks[[TaskProjectCode]:[TSK]],2,0)</f>
        <v>RTM</v>
      </c>
      <c r="C6" s="40" t="str">
        <f>VLOOKUP([Task],ProjectTasks[[TaskProjectCode]:[TSK]],3,0)</f>
        <v>Solving the issue of repeating icon in tray</v>
      </c>
      <c r="D6" s="40" t="str">
        <f>[Employee]&amp;"/"&amp;[Date]</f>
        <v>Aswathy/43430</v>
      </c>
      <c r="E6" s="40">
        <f>COUNTIF($D$1:TaskTimings[[#This Row],[EmployeeDate]],TaskTimings[[#This Row],[EmployeeDate]])</f>
        <v>3</v>
      </c>
      <c r="F6" s="40" t="str">
        <f>TaskTimings[[#This Row],[EmployeeDate]]&amp;"/"&amp;TaskTimings[[#This Row],[EmployeeDateSeq]]</f>
        <v>Aswathy/43430/3</v>
      </c>
      <c r="G6" s="38" t="s">
        <v>84</v>
      </c>
      <c r="H6" s="38" t="s">
        <v>54</v>
      </c>
      <c r="I6" s="44">
        <v>43430</v>
      </c>
      <c r="J6" s="45">
        <v>0.47916666666666669</v>
      </c>
      <c r="K6" s="46">
        <v>0.54166666666666663</v>
      </c>
      <c r="L6" s="36">
        <f>([End Time]-[Start Time])*1440</f>
        <v>89.999999999999915</v>
      </c>
      <c r="M6" s="36" t="str">
        <f>TEXT([End Time]-[Start Time],"HH:mm")</f>
        <v>01:30</v>
      </c>
      <c r="N6" s="36">
        <f>SUMIFS([Total Minutes],[Date],[Date],[Employee],[Employee])</f>
        <v>330</v>
      </c>
      <c r="O6" s="36" t="str">
        <f>TEXT([Day Total Minutes]/1440,"HH:mm")</f>
        <v>05:30</v>
      </c>
      <c r="P6" s="40" t="str">
        <f>[PRJ]</f>
        <v>RTM</v>
      </c>
      <c r="Q6" s="40" t="str">
        <f>[TSK]</f>
        <v>Solving the issue of repeating icon in tray</v>
      </c>
    </row>
    <row r="7" spans="1:17">
      <c r="A7" s="5">
        <f t="shared" si="0"/>
        <v>6</v>
      </c>
      <c r="B7" s="40" t="str">
        <f>VLOOKUP([Task],ProjectTasks[[TaskProjectCode]:[TSK]],2,0)</f>
        <v>TKT</v>
      </c>
      <c r="C7" s="40" t="str">
        <f>VLOOKUP([Task],ProjectTasks[[TaskProjectCode]:[TSK]],3,0)</f>
        <v>Database Analysis from Old Project</v>
      </c>
      <c r="D7" s="40" t="str">
        <f>[Employee]&amp;"/"&amp;[Date]</f>
        <v>Shareena/43430</v>
      </c>
      <c r="E7" s="40">
        <f>COUNTIF($D$1:TaskTimings[[#This Row],[EmployeeDate]],TaskTimings[[#This Row],[EmployeeDate]])</f>
        <v>3</v>
      </c>
      <c r="F7" s="40" t="str">
        <f>TaskTimings[[#This Row],[EmployeeDate]]&amp;"/"&amp;TaskTimings[[#This Row],[EmployeeDateSeq]]</f>
        <v>Shareena/43430/3</v>
      </c>
      <c r="G7" s="38" t="s">
        <v>58</v>
      </c>
      <c r="H7" s="38" t="s">
        <v>16</v>
      </c>
      <c r="I7" s="44">
        <v>43430</v>
      </c>
      <c r="J7" s="45">
        <v>0.58333333333333337</v>
      </c>
      <c r="K7" s="46">
        <v>0.66666666666666663</v>
      </c>
      <c r="L7" s="36">
        <f>([End Time]-[Start Time])*1440</f>
        <v>119.99999999999989</v>
      </c>
      <c r="M7" s="36" t="str">
        <f>TEXT([End Time]-[Start Time],"HH:mm")</f>
        <v>02:00</v>
      </c>
      <c r="N7" s="36">
        <f>SUMIFS([Total Minutes],[Date],[Date],[Employee],[Employee])</f>
        <v>330.99999999999994</v>
      </c>
      <c r="O7" s="36" t="str">
        <f>TEXT([Day Total Minutes]/1440,"HH:mm")</f>
        <v>05:31</v>
      </c>
      <c r="P7" s="40" t="str">
        <f>[PRJ]</f>
        <v>TKT</v>
      </c>
      <c r="Q7" s="40" t="str">
        <f>[TSK]</f>
        <v>Database Analysis from Old Project</v>
      </c>
    </row>
    <row r="8" spans="1:17">
      <c r="A8" s="5">
        <f t="shared" si="0"/>
        <v>7</v>
      </c>
      <c r="B8" s="40" t="str">
        <f>VLOOKUP([Task],ProjectTasks[[TaskProjectCode]:[TSK]],2,0)</f>
        <v>RTM</v>
      </c>
      <c r="C8" s="40" t="str">
        <f>VLOOKUP([Task],ProjectTasks[[TaskProjectCode]:[TSK]],3,0)</f>
        <v>Solving the issue of repeating icon in tray</v>
      </c>
      <c r="D8" s="40" t="str">
        <f>[Employee]&amp;"/"&amp;[Date]</f>
        <v>Aswathy/43430</v>
      </c>
      <c r="E8" s="40">
        <f>COUNTIF($D$1:TaskTimings[[#This Row],[EmployeeDate]],TaskTimings[[#This Row],[EmployeeDate]])</f>
        <v>4</v>
      </c>
      <c r="F8" s="40" t="str">
        <f>TaskTimings[[#This Row],[EmployeeDate]]&amp;"/"&amp;TaskTimings[[#This Row],[EmployeeDateSeq]]</f>
        <v>Aswathy/43430/4</v>
      </c>
      <c r="G8" s="38" t="s">
        <v>84</v>
      </c>
      <c r="H8" s="38" t="s">
        <v>54</v>
      </c>
      <c r="I8" s="44">
        <v>43430</v>
      </c>
      <c r="J8" s="45">
        <v>0.625</v>
      </c>
      <c r="K8" s="46">
        <v>0.70833333333333337</v>
      </c>
      <c r="L8" s="36">
        <f>([End Time]-[Start Time])*1440</f>
        <v>120.00000000000006</v>
      </c>
      <c r="M8" s="36" t="str">
        <f>TEXT([End Time]-[Start Time],"HH:mm")</f>
        <v>02:00</v>
      </c>
      <c r="N8" s="36">
        <f>SUMIFS([Total Minutes],[Date],[Date],[Employee],[Employee])</f>
        <v>330</v>
      </c>
      <c r="O8" s="36" t="str">
        <f>TEXT([Day Total Minutes]/1440,"HH:mm")</f>
        <v>05:30</v>
      </c>
      <c r="P8" s="40" t="str">
        <f>[PRJ]</f>
        <v>RTM</v>
      </c>
      <c r="Q8" s="40" t="str">
        <f>[TSK]</f>
        <v>Solving the issue of repeating icon in tray</v>
      </c>
    </row>
    <row r="9" spans="1:17">
      <c r="A9" s="5">
        <f t="shared" si="0"/>
        <v>8</v>
      </c>
      <c r="B9" s="48" t="str">
        <f>VLOOKUP([Task],ProjectTasks[[TaskProjectCode]:[TSK]],2,0)</f>
        <v>TKT</v>
      </c>
      <c r="C9" s="48" t="str">
        <f>VLOOKUP([Task],ProjectTasks[[TaskProjectCode]:[TSK]],3,0)</f>
        <v>Discussion for ticketing modification</v>
      </c>
      <c r="D9" s="48" t="str">
        <f>[Employee]&amp;"/"&amp;[Date]</f>
        <v>Firose/43430</v>
      </c>
      <c r="E9" s="48">
        <f>COUNTIF($D$1:TaskTimings[[#This Row],[EmployeeDate]],TaskTimings[[#This Row],[EmployeeDate]])</f>
        <v>1</v>
      </c>
      <c r="F9" s="48" t="str">
        <f>TaskTimings[[#This Row],[EmployeeDate]]&amp;"/"&amp;TaskTimings[[#This Row],[EmployeeDateSeq]]</f>
        <v>Firose/43430/1</v>
      </c>
      <c r="G9" s="37" t="s">
        <v>55</v>
      </c>
      <c r="H9" s="37" t="s">
        <v>34</v>
      </c>
      <c r="I9" s="50">
        <v>43430</v>
      </c>
      <c r="J9" s="51">
        <v>0.41666666666666669</v>
      </c>
      <c r="K9" s="51">
        <v>0.45833333333333331</v>
      </c>
      <c r="L9" s="47">
        <f>([End Time]-[Start Time])*1440</f>
        <v>59.999999999999943</v>
      </c>
      <c r="M9" s="47" t="str">
        <f>TEXT([End Time]-[Start Time],"HH:mm")</f>
        <v>01:00</v>
      </c>
      <c r="N9" s="47">
        <f>SUMIFS([Total Minutes],[Date],[Date],[Employee],[Employee])</f>
        <v>419.99999999999989</v>
      </c>
      <c r="O9" s="47" t="str">
        <f>TEXT([Day Total Minutes]/1440,"HH:mm")</f>
        <v>07:00</v>
      </c>
      <c r="P9" s="48" t="str">
        <f>[PRJ]</f>
        <v>TKT</v>
      </c>
      <c r="Q9" s="48" t="str">
        <f>[TSK]</f>
        <v>Discussion for ticketing modification</v>
      </c>
    </row>
    <row r="10" spans="1:17">
      <c r="A10" s="5">
        <f t="shared" si="0"/>
        <v>9</v>
      </c>
      <c r="B10" s="48" t="str">
        <f>VLOOKUP([Task],ProjectTasks[[TaskProjectCode]:[TSK]],2,0)</f>
        <v>PPOIO</v>
      </c>
      <c r="C10" s="48" t="str">
        <f>VLOOKUP([Task],ProjectTasks[[TaskProjectCode]:[TSK]],3,0)</f>
        <v>Project Study</v>
      </c>
      <c r="D10" s="48" t="str">
        <f>[Employee]&amp;"/"&amp;[Date]</f>
        <v>Firose/43430</v>
      </c>
      <c r="E10" s="48">
        <f>COUNTIF($D$1:TaskTimings[[#This Row],[EmployeeDate]],TaskTimings[[#This Row],[EmployeeDate]])</f>
        <v>2</v>
      </c>
      <c r="F10" s="48" t="str">
        <f>TaskTimings[[#This Row],[EmployeeDate]]&amp;"/"&amp;TaskTimings[[#This Row],[EmployeeDateSeq]]</f>
        <v>Firose/43430/2</v>
      </c>
      <c r="G10" s="37" t="s">
        <v>69</v>
      </c>
      <c r="H10" s="37" t="s">
        <v>34</v>
      </c>
      <c r="I10" s="50">
        <v>43430</v>
      </c>
      <c r="J10" s="51">
        <v>0.45833333333333331</v>
      </c>
      <c r="K10" s="51">
        <v>0.54166666666666663</v>
      </c>
      <c r="L10" s="47">
        <f>([End Time]-[Start Time])*1440</f>
        <v>119.99999999999997</v>
      </c>
      <c r="M10" s="47" t="str">
        <f>TEXT([End Time]-[Start Time],"HH:mm")</f>
        <v>02:00</v>
      </c>
      <c r="N10" s="47">
        <f>SUMIFS([Total Minutes],[Date],[Date],[Employee],[Employee])</f>
        <v>419.99999999999989</v>
      </c>
      <c r="O10" s="47" t="str">
        <f>TEXT([Day Total Minutes]/1440,"HH:mm")</f>
        <v>07:00</v>
      </c>
      <c r="P10" s="48" t="str">
        <f>[PRJ]</f>
        <v>PPOIO</v>
      </c>
      <c r="Q10" s="48" t="str">
        <f>[TSK]</f>
        <v>Project Study</v>
      </c>
    </row>
    <row r="11" spans="1:17">
      <c r="A11" s="5">
        <f t="shared" si="0"/>
        <v>10</v>
      </c>
      <c r="B11" s="48" t="str">
        <f>VLOOKUP([Task],ProjectTasks[[TaskProjectCode]:[TSK]],2,0)</f>
        <v>PPOIO</v>
      </c>
      <c r="C11" s="48" t="str">
        <f>VLOOKUP([Task],ProjectTasks[[TaskProjectCode]:[TSK]],3,0)</f>
        <v>Business Plan</v>
      </c>
      <c r="D11" s="48" t="str">
        <f>[Employee]&amp;"/"&amp;[Date]</f>
        <v>Firose/43430</v>
      </c>
      <c r="E11" s="48">
        <f>COUNTIF($D$1:TaskTimings[[#This Row],[EmployeeDate]],TaskTimings[[#This Row],[EmployeeDate]])</f>
        <v>3</v>
      </c>
      <c r="F11" s="48" t="str">
        <f>TaskTimings[[#This Row],[EmployeeDate]]&amp;"/"&amp;TaskTimings[[#This Row],[EmployeeDateSeq]]</f>
        <v>Firose/43430/3</v>
      </c>
      <c r="G11" s="37" t="s">
        <v>70</v>
      </c>
      <c r="H11" s="37" t="s">
        <v>34</v>
      </c>
      <c r="I11" s="50">
        <v>43430</v>
      </c>
      <c r="J11" s="51">
        <v>0.58333333333333337</v>
      </c>
      <c r="K11" s="51">
        <v>0.75</v>
      </c>
      <c r="L11" s="47">
        <f>([End Time]-[Start Time])*1440</f>
        <v>239.99999999999994</v>
      </c>
      <c r="M11" s="47" t="str">
        <f>TEXT([End Time]-[Start Time],"HH:mm")</f>
        <v>04:00</v>
      </c>
      <c r="N11" s="47">
        <f>SUMIFS([Total Minutes],[Date],[Date],[Employee],[Employee])</f>
        <v>419.99999999999989</v>
      </c>
      <c r="O11" s="47" t="str">
        <f>TEXT([Day Total Minutes]/1440,"HH:mm")</f>
        <v>07:00</v>
      </c>
      <c r="P11" s="48" t="str">
        <f>[PRJ]</f>
        <v>PPOIO</v>
      </c>
      <c r="Q11" s="48" t="str">
        <f>[TSK]</f>
        <v>Business Plan</v>
      </c>
    </row>
    <row r="12" spans="1:17">
      <c r="A12" s="5">
        <f t="shared" si="0"/>
        <v>11</v>
      </c>
      <c r="B12" s="48" t="str">
        <f>VLOOKUP([Task],ProjectTasks[[TaskProjectCode]:[TSK]],2,0)</f>
        <v>TEEBPD</v>
      </c>
      <c r="C12" s="48" t="str">
        <f>VLOOKUP([Task],ProjectTasks[[TaskProjectCode]:[TSK]],3,0)</f>
        <v>Client Suggestion Implementation</v>
      </c>
      <c r="D12" s="48" t="str">
        <f>[Employee]&amp;"/"&amp;[Date]</f>
        <v>Firose/43431</v>
      </c>
      <c r="E12" s="48">
        <f>COUNTIF($D$1:TaskTimings[[#This Row],[EmployeeDate]],TaskTimings[[#This Row],[EmployeeDate]])</f>
        <v>1</v>
      </c>
      <c r="F12" s="48" t="str">
        <f>TaskTimings[[#This Row],[EmployeeDate]]&amp;"/"&amp;TaskTimings[[#This Row],[EmployeeDateSeq]]</f>
        <v>Firose/43431/1</v>
      </c>
      <c r="G12" s="37" t="s">
        <v>71</v>
      </c>
      <c r="H12" s="37" t="s">
        <v>34</v>
      </c>
      <c r="I12" s="50">
        <v>43431</v>
      </c>
      <c r="J12" s="51">
        <v>0.375</v>
      </c>
      <c r="K12" s="51">
        <v>0.70833333333333337</v>
      </c>
      <c r="L12" s="47">
        <f>([End Time]-[Start Time])*1440</f>
        <v>480.00000000000006</v>
      </c>
      <c r="M12" s="47" t="str">
        <f>TEXT([End Time]-[Start Time],"HH:mm")</f>
        <v>08:00</v>
      </c>
      <c r="N12" s="47">
        <f>SUMIFS([Total Minutes],[Date],[Date],[Employee],[Employee])</f>
        <v>480.00000000000006</v>
      </c>
      <c r="O12" s="47" t="str">
        <f>TEXT([Day Total Minutes]/1440,"HH:mm")</f>
        <v>08:00</v>
      </c>
      <c r="P12" s="48" t="str">
        <f>[PRJ]</f>
        <v>TEEBPD</v>
      </c>
      <c r="Q12" s="48" t="str">
        <f>[TSK]</f>
        <v>Client Suggestion Implementation</v>
      </c>
    </row>
    <row r="13" spans="1:17">
      <c r="A13" s="5">
        <f t="shared" si="0"/>
        <v>12</v>
      </c>
      <c r="B13" s="48" t="str">
        <f>VLOOKUP([Task],ProjectTasks[[TaskProjectCode]:[TSK]],2,0)</f>
        <v>TKT</v>
      </c>
      <c r="C13" s="48" t="str">
        <f>VLOOKUP([Task],ProjectTasks[[TaskProjectCode]:[TSK]],3,0)</f>
        <v>Database Analysis from Old Project</v>
      </c>
      <c r="D13" s="48" t="str">
        <f>[Employee]&amp;"/"&amp;[Date]</f>
        <v>Shareena/43431</v>
      </c>
      <c r="E13" s="48">
        <f>COUNTIF($D$1:TaskTimings[[#This Row],[EmployeeDate]],TaskTimings[[#This Row],[EmployeeDate]])</f>
        <v>1</v>
      </c>
      <c r="F13" s="48" t="str">
        <f>TaskTimings[[#This Row],[EmployeeDate]]&amp;"/"&amp;TaskTimings[[#This Row],[EmployeeDateSeq]]</f>
        <v>Shareena/43431/1</v>
      </c>
      <c r="G13" s="37" t="s">
        <v>58</v>
      </c>
      <c r="H13" s="37" t="s">
        <v>16</v>
      </c>
      <c r="I13" s="50">
        <v>43431</v>
      </c>
      <c r="J13" s="52">
        <v>0.38541666666666669</v>
      </c>
      <c r="K13" s="51">
        <v>0.47916666666666669</v>
      </c>
      <c r="L13" s="47">
        <f>([End Time]-[Start Time])*1440</f>
        <v>135</v>
      </c>
      <c r="M13" s="47" t="str">
        <f>TEXT([End Time]-[Start Time],"HH:mm")</f>
        <v>02:15</v>
      </c>
      <c r="N13" s="47">
        <f>SUMIFS([Total Minutes],[Date],[Date],[Employee],[Employee])</f>
        <v>135</v>
      </c>
      <c r="O13" s="47" t="str">
        <f>TEXT([Day Total Minutes]/1440,"HH:mm")</f>
        <v>02:15</v>
      </c>
      <c r="P13" s="48" t="str">
        <f>[PRJ]</f>
        <v>TKT</v>
      </c>
      <c r="Q13" s="48" t="str">
        <f>[TSK]</f>
        <v>Database Analysis from Old Project</v>
      </c>
    </row>
    <row r="14" spans="1:17">
      <c r="A14" s="5">
        <f t="shared" si="0"/>
        <v>13</v>
      </c>
      <c r="B14" s="48" t="str">
        <f>VLOOKUP([Task],ProjectTasks[[TaskProjectCode]:[TSK]],2,0)</f>
        <v>RTM</v>
      </c>
      <c r="C14" s="48" t="str">
        <f>VLOOKUP([Task],ProjectTasks[[TaskProjectCode]:[TSK]],3,0)</f>
        <v>Solving the issue of repeating icon in tray</v>
      </c>
      <c r="D14" s="48" t="str">
        <f>[Employee]&amp;"/"&amp;[Date]</f>
        <v>Aswathy/43431</v>
      </c>
      <c r="E14" s="48">
        <f>COUNTIF($D$1:TaskTimings[[#This Row],[EmployeeDate]],TaskTimings[[#This Row],[EmployeeDate]])</f>
        <v>1</v>
      </c>
      <c r="F14" s="48" t="str">
        <f>TaskTimings[[#This Row],[EmployeeDate]]&amp;"/"&amp;TaskTimings[[#This Row],[EmployeeDateSeq]]</f>
        <v>Aswathy/43431/1</v>
      </c>
      <c r="G14" s="37" t="s">
        <v>84</v>
      </c>
      <c r="H14" s="37" t="s">
        <v>54</v>
      </c>
      <c r="I14" s="50">
        <v>43431</v>
      </c>
      <c r="J14" s="52">
        <v>0.38541666666666669</v>
      </c>
      <c r="K14" s="51">
        <v>0.41666666666666669</v>
      </c>
      <c r="L14" s="47">
        <f>([End Time]-[Start Time])*1440</f>
        <v>45</v>
      </c>
      <c r="M14" s="47" t="str">
        <f>TEXT([End Time]-[Start Time],"HH:mm")</f>
        <v>00:45</v>
      </c>
      <c r="N14" s="47">
        <f>SUMIFS([Total Minutes],[Date],[Date],[Employee],[Employee])</f>
        <v>144.99999999999989</v>
      </c>
      <c r="O14" s="47" t="str">
        <f>TEXT([Day Total Minutes]/1440,"HH:mm")</f>
        <v>02:25</v>
      </c>
      <c r="P14" s="48" t="str">
        <f>[PRJ]</f>
        <v>RTM</v>
      </c>
      <c r="Q14" s="48" t="str">
        <f>[TSK]</f>
        <v>Solving the issue of repeating icon in tray</v>
      </c>
    </row>
    <row r="15" spans="1:17">
      <c r="A15" s="5">
        <f t="shared" si="0"/>
        <v>14</v>
      </c>
      <c r="B15" s="48" t="str">
        <f>VLOOKUP([Task],ProjectTasks[[TaskProjectCode]:[TSK]],2,0)</f>
        <v>RTM</v>
      </c>
      <c r="C15" s="48" t="str">
        <f>VLOOKUP([Task],ProjectTasks[[TaskProjectCode]:[TSK]],3,0)</f>
        <v>Solving the issue of repeating icon in tray</v>
      </c>
      <c r="D15" s="48" t="str">
        <f>[Employee]&amp;"/"&amp;[Date]</f>
        <v>Aswathy/43431</v>
      </c>
      <c r="E15" s="48">
        <f>COUNTIF($D$1:TaskTimings[[#This Row],[EmployeeDate]],TaskTimings[[#This Row],[EmployeeDate]])</f>
        <v>2</v>
      </c>
      <c r="F15" s="48" t="str">
        <f>TaskTimings[[#This Row],[EmployeeDate]]&amp;"/"&amp;TaskTimings[[#This Row],[EmployeeDateSeq]]</f>
        <v>Aswathy/43431/2</v>
      </c>
      <c r="G15" s="37" t="s">
        <v>84</v>
      </c>
      <c r="H15" s="37" t="s">
        <v>54</v>
      </c>
      <c r="I15" s="50">
        <v>43431</v>
      </c>
      <c r="J15" s="52">
        <v>0.47222222222222227</v>
      </c>
      <c r="K15" s="51">
        <v>0.54166666666666663</v>
      </c>
      <c r="L15" s="47">
        <f>([End Time]-[Start Time])*1440</f>
        <v>99.999999999999886</v>
      </c>
      <c r="M15" s="47" t="str">
        <f>TEXT([End Time]-[Start Time],"HH:mm")</f>
        <v>01:40</v>
      </c>
      <c r="N15" s="47">
        <f>SUMIFS([Total Minutes],[Date],[Date],[Employee],[Employee])</f>
        <v>144.99999999999989</v>
      </c>
      <c r="O15" s="47" t="str">
        <f>TEXT([Day Total Minutes]/1440,"HH:mm")</f>
        <v>02:25</v>
      </c>
      <c r="P15" s="48" t="str">
        <f>[PRJ]</f>
        <v>RTM</v>
      </c>
      <c r="Q15" s="48" t="str">
        <f>[TSK]</f>
        <v>Solving the issue of repeating icon in tray</v>
      </c>
    </row>
    <row r="16" spans="1:17">
      <c r="A16" s="5">
        <f t="shared" si="0"/>
        <v>15</v>
      </c>
      <c r="B16" s="48" t="str">
        <f>VLOOKUP([Task],ProjectTasks[[TaskProjectCode]:[TSK]],2,0)</f>
        <v>MITWEB</v>
      </c>
      <c r="C16" s="48" t="str">
        <f>VLOOKUP([Task],ProjectTasks[[TaskProjectCode]:[TSK]],3,0)</f>
        <v>Modification</v>
      </c>
      <c r="D16" s="48" t="str">
        <f>[Employee]&amp;"/"&amp;[Date]</f>
        <v>Firose/43432</v>
      </c>
      <c r="E16" s="48">
        <f>COUNTIF($D$1:TaskTimings[[#This Row],[EmployeeDate]],TaskTimings[[#This Row],[EmployeeDate]])</f>
        <v>1</v>
      </c>
      <c r="F16" s="48" t="str">
        <f>TaskTimings[[#This Row],[EmployeeDate]]&amp;"/"&amp;TaskTimings[[#This Row],[EmployeeDateSeq]]</f>
        <v>Firose/43432/1</v>
      </c>
      <c r="G16" s="37" t="s">
        <v>75</v>
      </c>
      <c r="H16" s="37" t="s">
        <v>34</v>
      </c>
      <c r="I16" s="50">
        <v>43432</v>
      </c>
      <c r="J16" s="51">
        <v>0.375</v>
      </c>
      <c r="K16" s="51">
        <v>0.41666666666666669</v>
      </c>
      <c r="L16" s="47">
        <f>([End Time]-[Start Time])*1440</f>
        <v>60.000000000000028</v>
      </c>
      <c r="M16" s="47" t="str">
        <f>TEXT([End Time]-[Start Time],"HH:mm")</f>
        <v>01:00</v>
      </c>
      <c r="N16" s="47">
        <f>SUMIFS([Total Minutes],[Date],[Date],[Employee],[Employee])</f>
        <v>210.00000000000006</v>
      </c>
      <c r="O16" s="47" t="str">
        <f>TEXT([Day Total Minutes]/1440,"HH:mm")</f>
        <v>03:30</v>
      </c>
      <c r="P16" s="48" t="str">
        <f>[PRJ]</f>
        <v>MITWEB</v>
      </c>
      <c r="Q16" s="48" t="str">
        <f>[TSK]</f>
        <v>Modification</v>
      </c>
    </row>
    <row r="17" spans="1:17">
      <c r="A17" s="5">
        <f t="shared" si="0"/>
        <v>16</v>
      </c>
      <c r="B17" s="48" t="str">
        <f>VLOOKUP([Task],ProjectTasks[[TaskProjectCode]:[TSK]],2,0)</f>
        <v>TKT</v>
      </c>
      <c r="C17" s="48" t="str">
        <f>VLOOKUP([Task],ProjectTasks[[TaskProjectCode]:[TSK]],3,0)</f>
        <v>Discussion for ticketing modification</v>
      </c>
      <c r="D17" s="48" t="str">
        <f>[Employee]&amp;"/"&amp;[Date]</f>
        <v>Firose/43432</v>
      </c>
      <c r="E17" s="48">
        <f>COUNTIF($D$1:TaskTimings[[#This Row],[EmployeeDate]],TaskTimings[[#This Row],[EmployeeDate]])</f>
        <v>2</v>
      </c>
      <c r="F17" s="48" t="str">
        <f>TaskTimings[[#This Row],[EmployeeDate]]&amp;"/"&amp;TaskTimings[[#This Row],[EmployeeDateSeq]]</f>
        <v>Firose/43432/2</v>
      </c>
      <c r="G17" s="37" t="s">
        <v>55</v>
      </c>
      <c r="H17" s="37" t="s">
        <v>34</v>
      </c>
      <c r="I17" s="50">
        <v>43432</v>
      </c>
      <c r="J17" s="51">
        <v>0.41666666666666669</v>
      </c>
      <c r="K17" s="51">
        <v>0.4375</v>
      </c>
      <c r="L17" s="47">
        <f>([End Time]-[Start Time])*1440</f>
        <v>29.999999999999972</v>
      </c>
      <c r="M17" s="47" t="str">
        <f>TEXT([End Time]-[Start Time],"HH:mm")</f>
        <v>00:30</v>
      </c>
      <c r="N17" s="47">
        <f>SUMIFS([Total Minutes],[Date],[Date],[Employee],[Employee])</f>
        <v>210.00000000000006</v>
      </c>
      <c r="O17" s="47" t="str">
        <f>TEXT([Day Total Minutes]/1440,"HH:mm")</f>
        <v>03:30</v>
      </c>
      <c r="P17" s="48" t="str">
        <f>[PRJ]</f>
        <v>TKT</v>
      </c>
      <c r="Q17" s="48" t="str">
        <f>[TSK]</f>
        <v>Discussion for ticketing modification</v>
      </c>
    </row>
    <row r="18" spans="1:17">
      <c r="A18" s="5">
        <f t="shared" si="0"/>
        <v>17</v>
      </c>
      <c r="B18" s="40" t="str">
        <f>VLOOKUP([Task],ProjectTasks[[TaskProjectCode]:[TSK]],2,0)</f>
        <v>TKT</v>
      </c>
      <c r="C18" s="40" t="str">
        <f>VLOOKUP([Task],ProjectTasks[[TaskProjectCode]:[TSK]],3,0)</f>
        <v>Note down table relations</v>
      </c>
      <c r="D18" s="40" t="str">
        <f>[Employee]&amp;"/"&amp;[Date]</f>
        <v>Shareena/43432</v>
      </c>
      <c r="E18" s="40">
        <f>COUNTIF($D$1:TaskTimings[[#This Row],[EmployeeDate]],TaskTimings[[#This Row],[EmployeeDate]])</f>
        <v>1</v>
      </c>
      <c r="F18" s="40" t="str">
        <f>TaskTimings[[#This Row],[EmployeeDate]]&amp;"/"&amp;TaskTimings[[#This Row],[EmployeeDateSeq]]</f>
        <v>Shareena/43432/1</v>
      </c>
      <c r="G18" s="37" t="s">
        <v>81</v>
      </c>
      <c r="H18" s="38" t="s">
        <v>16</v>
      </c>
      <c r="I18" s="50">
        <v>43432</v>
      </c>
      <c r="J18" s="53">
        <v>0.43888888888888888</v>
      </c>
      <c r="K18" s="46">
        <v>0.70277777777777783</v>
      </c>
      <c r="L18" s="36">
        <f>([End Time]-[Start Time])*1440</f>
        <v>380.00000000000011</v>
      </c>
      <c r="M18" s="36" t="str">
        <f>TEXT([End Time]-[Start Time],"HH:mm")</f>
        <v>06:20</v>
      </c>
      <c r="N18" s="36">
        <f>SUMIFS([Total Minutes],[Date],[Date],[Employee],[Employee])</f>
        <v>380.00000000000011</v>
      </c>
      <c r="O18" s="36" t="str">
        <f>TEXT([Day Total Minutes]/1440,"HH:mm")</f>
        <v>06:20</v>
      </c>
      <c r="P18" s="40" t="str">
        <f>[PRJ]</f>
        <v>TKT</v>
      </c>
      <c r="Q18" s="40" t="str">
        <f>[TSK]</f>
        <v>Note down table relations</v>
      </c>
    </row>
    <row r="19" spans="1:17">
      <c r="A19" s="5">
        <f t="shared" si="0"/>
        <v>18</v>
      </c>
      <c r="B19" s="40" t="str">
        <f>VLOOKUP([Task],ProjectTasks[[TaskProjectCode]:[TSK]],2,0)</f>
        <v>SDS</v>
      </c>
      <c r="C19" s="40" t="str">
        <f>VLOOKUP([Task],ProjectTasks[[TaskProjectCode]:[TSK]],3,0)</f>
        <v>Decryption</v>
      </c>
      <c r="D19" s="40" t="str">
        <f>[Employee]&amp;"/"&amp;[Date]</f>
        <v>Aswathy/43432</v>
      </c>
      <c r="E19" s="40">
        <f>COUNTIF($D$1:TaskTimings[[#This Row],[EmployeeDate]],TaskTimings[[#This Row],[EmployeeDate]])</f>
        <v>1</v>
      </c>
      <c r="F19" s="40" t="str">
        <f>TaskTimings[[#This Row],[EmployeeDate]]&amp;"/"&amp;TaskTimings[[#This Row],[EmployeeDateSeq]]</f>
        <v>Aswathy/43432/1</v>
      </c>
      <c r="G19" s="37" t="s">
        <v>57</v>
      </c>
      <c r="H19" s="38" t="s">
        <v>54</v>
      </c>
      <c r="I19" s="50">
        <v>43432</v>
      </c>
      <c r="J19" s="53">
        <v>0.44097222222222227</v>
      </c>
      <c r="K19" s="46">
        <v>0.48958333333333331</v>
      </c>
      <c r="L19" s="36">
        <f>([End Time]-[Start Time])*1440</f>
        <v>69.999999999999915</v>
      </c>
      <c r="M19" s="36" t="str">
        <f>TEXT([End Time]-[Start Time],"HH:mm")</f>
        <v>01:10</v>
      </c>
      <c r="N19" s="36">
        <f>SUMIFS([Total Minutes],[Date],[Date],[Employee],[Employee])</f>
        <v>320</v>
      </c>
      <c r="O19" s="36" t="str">
        <f>TEXT([Day Total Minutes]/1440,"HH:mm")</f>
        <v>05:20</v>
      </c>
      <c r="P19" s="40" t="str">
        <f>[PRJ]</f>
        <v>SDS</v>
      </c>
      <c r="Q19" s="40" t="str">
        <f>[TSK]</f>
        <v>Decryption</v>
      </c>
    </row>
    <row r="20" spans="1:17">
      <c r="A20" s="5">
        <f t="shared" si="0"/>
        <v>19</v>
      </c>
      <c r="B20" s="40" t="str">
        <f>VLOOKUP([Task],ProjectTasks[[TaskProjectCode]:[TSK]],2,0)</f>
        <v>RTM</v>
      </c>
      <c r="C20" s="40" t="str">
        <f>VLOOKUP([Task],ProjectTasks[[TaskProjectCode]:[TSK]],3,0)</f>
        <v>Getting branchname into tool</v>
      </c>
      <c r="D20" s="40" t="str">
        <f>[Employee]&amp;"/"&amp;[Date]</f>
        <v>Aswathy/43432</v>
      </c>
      <c r="E20" s="40">
        <f>COUNTIF($D$1:TaskTimings[[#This Row],[EmployeeDate]],TaskTimings[[#This Row],[EmployeeDate]])</f>
        <v>2</v>
      </c>
      <c r="F20" s="40" t="str">
        <f>TaskTimings[[#This Row],[EmployeeDate]]&amp;"/"&amp;TaskTimings[[#This Row],[EmployeeDateSeq]]</f>
        <v>Aswathy/43432/2</v>
      </c>
      <c r="G20" s="37" t="s">
        <v>77</v>
      </c>
      <c r="H20" s="38" t="s">
        <v>54</v>
      </c>
      <c r="I20" s="50">
        <v>43432</v>
      </c>
      <c r="J20" s="53">
        <v>0.51041666666666663</v>
      </c>
      <c r="K20" s="46">
        <v>0.53125</v>
      </c>
      <c r="L20" s="36">
        <f>([End Time]-[Start Time])*1440</f>
        <v>30.000000000000053</v>
      </c>
      <c r="M20" s="36" t="str">
        <f>TEXT([End Time]-[Start Time],"HH:mm")</f>
        <v>00:30</v>
      </c>
      <c r="N20" s="36">
        <f>SUMIFS([Total Minutes],[Date],[Date],[Employee],[Employee])</f>
        <v>320</v>
      </c>
      <c r="O20" s="36" t="str">
        <f>TEXT([Day Total Minutes]/1440,"HH:mm")</f>
        <v>05:20</v>
      </c>
      <c r="P20" s="40" t="str">
        <f>[PRJ]</f>
        <v>RTM</v>
      </c>
      <c r="Q20" s="40" t="str">
        <f>[TSK]</f>
        <v>Getting branchname into tool</v>
      </c>
    </row>
    <row r="21" spans="1:17">
      <c r="A21" s="5">
        <f t="shared" si="0"/>
        <v>20</v>
      </c>
      <c r="B21" s="40" t="str">
        <f>VLOOKUP([Task],ProjectTasks[[TaskProjectCode]:[TSK]],2,0)</f>
        <v>SDS</v>
      </c>
      <c r="C21" s="40" t="str">
        <f>VLOOKUP([Task],ProjectTasks[[TaskProjectCode]:[TSK]],3,0)</f>
        <v>Decryption</v>
      </c>
      <c r="D21" s="40" t="str">
        <f>[Employee]&amp;"/"&amp;[Date]</f>
        <v>Aswathy/43432</v>
      </c>
      <c r="E21" s="40">
        <f>COUNTIF($D$1:TaskTimings[[#This Row],[EmployeeDate]],TaskTimings[[#This Row],[EmployeeDate]])</f>
        <v>3</v>
      </c>
      <c r="F21" s="40" t="str">
        <f>TaskTimings[[#This Row],[EmployeeDate]]&amp;"/"&amp;TaskTimings[[#This Row],[EmployeeDateSeq]]</f>
        <v>Aswathy/43432/3</v>
      </c>
      <c r="G21" s="37" t="s">
        <v>57</v>
      </c>
      <c r="H21" s="38" t="s">
        <v>54</v>
      </c>
      <c r="I21" s="50">
        <v>43432</v>
      </c>
      <c r="J21" s="53">
        <v>0.53125</v>
      </c>
      <c r="K21" s="46">
        <v>0.68402777777777779</v>
      </c>
      <c r="L21" s="36">
        <f>([End Time]-[Start Time])*1440</f>
        <v>220.00000000000003</v>
      </c>
      <c r="M21" s="36" t="str">
        <f>TEXT([End Time]-[Start Time],"HH:mm")</f>
        <v>03:40</v>
      </c>
      <c r="N21" s="36">
        <f>SUMIFS([Total Minutes],[Date],[Date],[Employee],[Employee])</f>
        <v>320</v>
      </c>
      <c r="O21" s="36" t="str">
        <f>TEXT([Day Total Minutes]/1440,"HH:mm")</f>
        <v>05:20</v>
      </c>
      <c r="P21" s="40" t="str">
        <f>[PRJ]</f>
        <v>SDS</v>
      </c>
      <c r="Q21" s="40" t="str">
        <f>[TSK]</f>
        <v>Decryption</v>
      </c>
    </row>
    <row r="22" spans="1:17">
      <c r="A22" s="5">
        <f t="shared" si="0"/>
        <v>21</v>
      </c>
      <c r="B22" s="40" t="str">
        <f>VLOOKUP([Task],ProjectTasks[[TaskProjectCode]:[TSK]],2,0)</f>
        <v>TKT</v>
      </c>
      <c r="C22" s="40" t="str">
        <f>VLOOKUP([Task],ProjectTasks[[TaskProjectCode]:[TSK]],3,0)</f>
        <v>Note down table relations</v>
      </c>
      <c r="D22" s="40" t="str">
        <f>[Employee]&amp;"/"&amp;[Date]</f>
        <v>Shareena/43433</v>
      </c>
      <c r="E22" s="40">
        <f>COUNTIF($D$1:TaskTimings[[#This Row],[EmployeeDate]],TaskTimings[[#This Row],[EmployeeDate]])</f>
        <v>1</v>
      </c>
      <c r="F22" s="40" t="str">
        <f>TaskTimings[[#This Row],[EmployeeDate]]&amp;"/"&amp;TaskTimings[[#This Row],[EmployeeDateSeq]]</f>
        <v>Shareena/43433/1</v>
      </c>
      <c r="G22" s="37" t="s">
        <v>81</v>
      </c>
      <c r="H22" s="38" t="s">
        <v>16</v>
      </c>
      <c r="I22" s="44">
        <v>43433</v>
      </c>
      <c r="J22" s="53">
        <v>0.46180555555555558</v>
      </c>
      <c r="K22" s="46">
        <v>0.55208333333333337</v>
      </c>
      <c r="L22" s="36">
        <f>([End Time]-[Start Time])*1440</f>
        <v>130.00000000000003</v>
      </c>
      <c r="M22" s="36" t="str">
        <f>TEXT([End Time]-[Start Time],"HH:mm")</f>
        <v>02:10</v>
      </c>
      <c r="N22" s="36">
        <f>SUMIFS([Total Minutes],[Date],[Date],[Employee],[Employee])</f>
        <v>250.00000000000009</v>
      </c>
      <c r="O22" s="36" t="str">
        <f>TEXT([Day Total Minutes]/1440,"HH:mm")</f>
        <v>04:10</v>
      </c>
      <c r="P22" s="40" t="str">
        <f>[PRJ]</f>
        <v>TKT</v>
      </c>
      <c r="Q22" s="40" t="str">
        <f>[TSK]</f>
        <v>Note down table relations</v>
      </c>
    </row>
    <row r="23" spans="1:17">
      <c r="A23" s="5">
        <f t="shared" si="0"/>
        <v>22</v>
      </c>
      <c r="B23" s="10" t="str">
        <f>VLOOKUP([Task],ProjectTasks[[TaskProjectCode]:[TSK]],2,0)</f>
        <v>TKT</v>
      </c>
      <c r="C23" s="10" t="str">
        <f>VLOOKUP([Task],ProjectTasks[[TaskProjectCode]:[TSK]],3,0)</f>
        <v>Entering table details into excel sheet</v>
      </c>
      <c r="D23" s="10" t="str">
        <f>[Employee]&amp;"/"&amp;[Date]</f>
        <v>Shareena/43433</v>
      </c>
      <c r="E23" s="10">
        <f>COUNTIF($D$1:TaskTimings[[#This Row],[EmployeeDate]],TaskTimings[[#This Row],[EmployeeDate]])</f>
        <v>2</v>
      </c>
      <c r="F23" s="10" t="str">
        <f>TaskTimings[[#This Row],[EmployeeDate]]&amp;"/"&amp;TaskTimings[[#This Row],[EmployeeDateSeq]]</f>
        <v>Shareena/43433/2</v>
      </c>
      <c r="G23" s="4" t="s">
        <v>79</v>
      </c>
      <c r="H23" s="1" t="s">
        <v>16</v>
      </c>
      <c r="I23" s="8">
        <v>43433</v>
      </c>
      <c r="J23" s="54">
        <v>0.57291666666666663</v>
      </c>
      <c r="K23" s="9">
        <v>0.65625</v>
      </c>
      <c r="L23" s="2">
        <f>([End Time]-[Start Time])*1440</f>
        <v>120.00000000000006</v>
      </c>
      <c r="M23" s="2" t="str">
        <f>TEXT([End Time]-[Start Time],"HH:mm")</f>
        <v>02:00</v>
      </c>
      <c r="N23" s="2">
        <f>SUMIFS([Total Minutes],[Date],[Date],[Employee],[Employee])</f>
        <v>250.00000000000009</v>
      </c>
      <c r="O23" s="2" t="str">
        <f>TEXT([Day Total Minutes]/1440,"HH:mm")</f>
        <v>04:10</v>
      </c>
      <c r="P23" s="10" t="str">
        <f>[PRJ]</f>
        <v>TKT</v>
      </c>
      <c r="Q23" s="10" t="str">
        <f>[TSK]</f>
        <v>Entering table details into excel sheet</v>
      </c>
    </row>
    <row r="24" spans="1:17">
      <c r="A24" s="5">
        <f t="shared" si="0"/>
        <v>23</v>
      </c>
      <c r="B24" s="56" t="str">
        <f>VLOOKUP([Task],ProjectTasks[[TaskProjectCode]:[TSK]],2,0)</f>
        <v>SDS</v>
      </c>
      <c r="C24" s="56" t="str">
        <f>VLOOKUP([Task],ProjectTasks[[TaskProjectCode]:[TSK]],3,0)</f>
        <v>Request and get Response from  web</v>
      </c>
      <c r="D24" s="56" t="str">
        <f>[Employee]&amp;"/"&amp;[Date]</f>
        <v>Aswathy/43434</v>
      </c>
      <c r="E24" s="56">
        <f>COUNTIF($D$1:TaskTimings[[#This Row],[EmployeeDate]],TaskTimings[[#This Row],[EmployeeDate]])</f>
        <v>1</v>
      </c>
      <c r="F24" s="56" t="str">
        <f>TaskTimings[[#This Row],[EmployeeDate]]&amp;"/"&amp;TaskTimings[[#This Row],[EmployeeDateSeq]]</f>
        <v>Aswathy/43434/1</v>
      </c>
      <c r="G24" s="57" t="s">
        <v>83</v>
      </c>
      <c r="H24" s="57" t="s">
        <v>54</v>
      </c>
      <c r="I24" s="58">
        <v>43434</v>
      </c>
      <c r="J24" s="59">
        <v>0.3888888888888889</v>
      </c>
      <c r="K24" s="62">
        <v>0.54722222222222217</v>
      </c>
      <c r="L24" s="60">
        <f>([End Time]-[Start Time])*1440</f>
        <v>227.99999999999991</v>
      </c>
      <c r="M24" s="60" t="str">
        <f>TEXT([End Time]-[Start Time],"HH:mm")</f>
        <v>03:48</v>
      </c>
      <c r="N24" s="60">
        <f>SUMIFS([Total Minutes],[Date],[Date],[Employee],[Employee])</f>
        <v>423</v>
      </c>
      <c r="O24" s="60" t="str">
        <f>TEXT([Day Total Minutes]/1440,"HH:mm")</f>
        <v>07:03</v>
      </c>
      <c r="P24" s="56" t="str">
        <f>[PRJ]</f>
        <v>SDS</v>
      </c>
      <c r="Q24" s="56" t="str">
        <f>[TSK]</f>
        <v>Request and get Response from  web</v>
      </c>
    </row>
    <row r="25" spans="1:17">
      <c r="A25" s="5">
        <f t="shared" si="0"/>
        <v>24</v>
      </c>
      <c r="B25" s="56" t="str">
        <f>VLOOKUP([Task],ProjectTasks[[TaskProjectCode]:[TSK]],2,0)</f>
        <v>TKT</v>
      </c>
      <c r="C25" s="56" t="str">
        <f>VLOOKUP([Task],ProjectTasks[[TaskProjectCode]:[TSK]],3,0)</f>
        <v>Entering table details into excel sheet</v>
      </c>
      <c r="D25" s="56" t="str">
        <f>[Employee]&amp;"/"&amp;[Date]</f>
        <v>Shareena/43434</v>
      </c>
      <c r="E25" s="56">
        <f>COUNTIF($D$1:TaskTimings[[#This Row],[EmployeeDate]],TaskTimings[[#This Row],[EmployeeDate]])</f>
        <v>1</v>
      </c>
      <c r="F25" s="56" t="str">
        <f>TaskTimings[[#This Row],[EmployeeDate]]&amp;"/"&amp;TaskTimings[[#This Row],[EmployeeDateSeq]]</f>
        <v>Shareena/43434/1</v>
      </c>
      <c r="G25" s="57" t="s">
        <v>79</v>
      </c>
      <c r="H25" s="57" t="s">
        <v>16</v>
      </c>
      <c r="I25" s="58">
        <v>43434</v>
      </c>
      <c r="J25" s="59">
        <v>0.40625</v>
      </c>
      <c r="K25" s="62">
        <v>0.54861111111111105</v>
      </c>
      <c r="L25" s="60">
        <f>([End Time]-[Start Time])*1440</f>
        <v>204.99999999999991</v>
      </c>
      <c r="M25" s="60" t="str">
        <f>TEXT([End Time]-[Start Time],"HH:mm")</f>
        <v>03:25</v>
      </c>
      <c r="N25" s="60">
        <f>SUMIFS([Total Minutes],[Date],[Date],[Employee],[Employee])</f>
        <v>389.99999999999989</v>
      </c>
      <c r="O25" s="60" t="str">
        <f>TEXT([Day Total Minutes]/1440,"HH:mm")</f>
        <v>06:30</v>
      </c>
      <c r="P25" s="56" t="str">
        <f>[PRJ]</f>
        <v>TKT</v>
      </c>
      <c r="Q25" s="56" t="str">
        <f>[TSK]</f>
        <v>Entering table details into excel sheet</v>
      </c>
    </row>
    <row r="26" spans="1:17">
      <c r="A26" s="5">
        <f t="shared" si="0"/>
        <v>25</v>
      </c>
      <c r="B26" s="56" t="str">
        <f>VLOOKUP([Task],ProjectTasks[[TaskProjectCode]:[TSK]],2,0)</f>
        <v>SDS</v>
      </c>
      <c r="C26" s="56" t="str">
        <f>VLOOKUP([Task],ProjectTasks[[TaskProjectCode]:[TSK]],3,0)</f>
        <v>Request and get Response from  web</v>
      </c>
      <c r="D26" s="56" t="str">
        <f>[Employee]&amp;"/"&amp;[Date]</f>
        <v>Aswathy/43434</v>
      </c>
      <c r="E26" s="56">
        <f>COUNTIF($D$1:TaskTimings[[#This Row],[EmployeeDate]],TaskTimings[[#This Row],[EmployeeDate]])</f>
        <v>2</v>
      </c>
      <c r="F26" s="56" t="str">
        <f>TaskTimings[[#This Row],[EmployeeDate]]&amp;"/"&amp;TaskTimings[[#This Row],[EmployeeDateSeq]]</f>
        <v>Aswathy/43434/2</v>
      </c>
      <c r="G26" s="57" t="s">
        <v>83</v>
      </c>
      <c r="H26" s="57" t="s">
        <v>54</v>
      </c>
      <c r="I26" s="58">
        <v>43434</v>
      </c>
      <c r="J26" s="59">
        <v>0.57291666666666663</v>
      </c>
      <c r="K26" s="62">
        <v>0.70833333333333337</v>
      </c>
      <c r="L26" s="60">
        <f>([End Time]-[Start Time])*1440</f>
        <v>195.00000000000011</v>
      </c>
      <c r="M26" s="60" t="str">
        <f>TEXT([End Time]-[Start Time],"HH:mm")</f>
        <v>03:15</v>
      </c>
      <c r="N26" s="60">
        <f>SUMIFS([Total Minutes],[Date],[Date],[Employee],[Employee])</f>
        <v>423</v>
      </c>
      <c r="O26" s="60" t="str">
        <f>TEXT([Day Total Minutes]/1440,"HH:mm")</f>
        <v>07:03</v>
      </c>
      <c r="P26" s="56" t="str">
        <f>[PRJ]</f>
        <v>SDS</v>
      </c>
      <c r="Q26" s="56" t="str">
        <f>[TSK]</f>
        <v>Request and get Response from  web</v>
      </c>
    </row>
    <row r="27" spans="1:17">
      <c r="A27" s="5">
        <f t="shared" si="0"/>
        <v>26</v>
      </c>
      <c r="B27" s="56" t="str">
        <f>VLOOKUP([Task],ProjectTasks[[TaskProjectCode]:[TSK]],2,0)</f>
        <v>TKT</v>
      </c>
      <c r="C27" s="56" t="str">
        <f>VLOOKUP([Task],ProjectTasks[[TaskProjectCode]:[TSK]],3,0)</f>
        <v>Entering table details into excel sheet</v>
      </c>
      <c r="D27" s="56" t="str">
        <f>[Employee]&amp;"/"&amp;[Date]</f>
        <v>Shareena/43434</v>
      </c>
      <c r="E27" s="56">
        <f>COUNTIF($D$1:TaskTimings[[#This Row],[EmployeeDate]],TaskTimings[[#This Row],[EmployeeDate]])</f>
        <v>2</v>
      </c>
      <c r="F27" s="56" t="str">
        <f>TaskTimings[[#This Row],[EmployeeDate]]&amp;"/"&amp;TaskTimings[[#This Row],[EmployeeDateSeq]]</f>
        <v>Shareena/43434/2</v>
      </c>
      <c r="G27" s="57" t="s">
        <v>79</v>
      </c>
      <c r="H27" s="57" t="s">
        <v>16</v>
      </c>
      <c r="I27" s="58">
        <v>43434</v>
      </c>
      <c r="J27" s="59">
        <v>0.57291666666666663</v>
      </c>
      <c r="K27" s="62">
        <v>0.65972222222222221</v>
      </c>
      <c r="L27" s="60">
        <f>([End Time]-[Start Time])*1440</f>
        <v>125.00000000000003</v>
      </c>
      <c r="M27" s="60" t="str">
        <f>TEXT([End Time]-[Start Time],"HH:mm")</f>
        <v>02:05</v>
      </c>
      <c r="N27" s="60">
        <f>SUMIFS([Total Minutes],[Date],[Date],[Employee],[Employee])</f>
        <v>389.99999999999989</v>
      </c>
      <c r="O27" s="60" t="str">
        <f>TEXT([Day Total Minutes]/1440,"HH:mm")</f>
        <v>06:30</v>
      </c>
      <c r="P27" s="56" t="str">
        <f>[PRJ]</f>
        <v>TKT</v>
      </c>
      <c r="Q27" s="56" t="str">
        <f>[TSK]</f>
        <v>Entering table details into excel sheet</v>
      </c>
    </row>
    <row r="28" spans="1:17">
      <c r="A28" s="5">
        <f t="shared" si="0"/>
        <v>27</v>
      </c>
      <c r="B28" s="56" t="str">
        <f>VLOOKUP([Task],ProjectTasks[[TaskProjectCode]:[TSK]],2,0)</f>
        <v>TEEBPD</v>
      </c>
      <c r="C28" s="56" t="str">
        <f>VLOOKUP([Task],ProjectTasks[[TaskProjectCode]:[TSK]],3,0)</f>
        <v>Inhouse Testing</v>
      </c>
      <c r="D28" s="56" t="str">
        <f>[Employee]&amp;"/"&amp;[Date]</f>
        <v>Shareena/43434</v>
      </c>
      <c r="E28" s="56">
        <f>COUNTIF($D$1:TaskTimings[[#This Row],[EmployeeDate]],TaskTimings[[#This Row],[EmployeeDate]])</f>
        <v>3</v>
      </c>
      <c r="F28" s="56" t="str">
        <f>TaskTimings[[#This Row],[EmployeeDate]]&amp;"/"&amp;TaskTimings[[#This Row],[EmployeeDateSeq]]</f>
        <v>Shareena/43434/3</v>
      </c>
      <c r="G28" s="57" t="s">
        <v>85</v>
      </c>
      <c r="H28" s="57" t="s">
        <v>16</v>
      </c>
      <c r="I28" s="58">
        <v>43434</v>
      </c>
      <c r="J28" s="59">
        <v>0.66180555555555554</v>
      </c>
      <c r="K28" s="62">
        <v>0.70347222222222217</v>
      </c>
      <c r="L28" s="60">
        <f>([End Time]-[Start Time])*1440</f>
        <v>59.999999999999943</v>
      </c>
      <c r="M28" s="60" t="str">
        <f>TEXT([End Time]-[Start Time],"HH:mm")</f>
        <v>01:00</v>
      </c>
      <c r="N28" s="60">
        <f>SUMIFS([Total Minutes],[Date],[Date],[Employee],[Employee])</f>
        <v>389.99999999999989</v>
      </c>
      <c r="O28" s="60" t="str">
        <f>TEXT([Day Total Minutes]/1440,"HH:mm")</f>
        <v>06:30</v>
      </c>
      <c r="P28" s="56" t="str">
        <f>[PRJ]</f>
        <v>TEEBPD</v>
      </c>
      <c r="Q28" s="56" t="str">
        <f>[TSK]</f>
        <v>Inhouse Testing</v>
      </c>
    </row>
    <row r="29" spans="1:17">
      <c r="A29" s="63">
        <f t="shared" ref="A29:A37" si="1">IFERROR($A28+1,1)</f>
        <v>28</v>
      </c>
      <c r="B29" s="64" t="str">
        <f>VLOOKUP([Task],ProjectTasks[[TaskProjectCode]:[TSK]],2,0)</f>
        <v>TEEBPD</v>
      </c>
      <c r="C29" s="64" t="str">
        <f>VLOOKUP([Task],ProjectTasks[[TaskProjectCode]:[TSK]],3,0)</f>
        <v>Finalizing</v>
      </c>
      <c r="D29" s="64" t="str">
        <f>[Employee]&amp;"/"&amp;[Date]</f>
        <v>Firose/43432</v>
      </c>
      <c r="E29" s="64">
        <f>COUNTIF($D$1:TaskTimings[[#This Row],[EmployeeDate]],TaskTimings[[#This Row],[EmployeeDate]])</f>
        <v>3</v>
      </c>
      <c r="F29" s="64" t="str">
        <f>TaskTimings[[#This Row],[EmployeeDate]]&amp;"/"&amp;TaskTimings[[#This Row],[EmployeeDateSeq]]</f>
        <v>Firose/43432/3</v>
      </c>
      <c r="G29" s="65" t="s">
        <v>87</v>
      </c>
      <c r="H29" s="65" t="s">
        <v>34</v>
      </c>
      <c r="I29" s="66">
        <v>43432</v>
      </c>
      <c r="J29" s="67">
        <v>0.625</v>
      </c>
      <c r="K29" s="67">
        <v>0.70833333333333337</v>
      </c>
      <c r="L29" s="68">
        <f>([End Time]-[Start Time])*1440</f>
        <v>120.00000000000006</v>
      </c>
      <c r="M29" s="68" t="str">
        <f>TEXT([End Time]-[Start Time],"HH:mm")</f>
        <v>02:00</v>
      </c>
      <c r="N29" s="68">
        <f>SUMIFS([Total Minutes],[Date],[Date],[Employee],[Employee])</f>
        <v>210.00000000000006</v>
      </c>
      <c r="O29" s="68" t="str">
        <f>TEXT([Day Total Minutes]/1440,"HH:mm")</f>
        <v>03:30</v>
      </c>
      <c r="P29" s="64" t="str">
        <f>[PRJ]</f>
        <v>TEEBPD</v>
      </c>
      <c r="Q29" s="64" t="str">
        <f>[TSK]</f>
        <v>Finalizing</v>
      </c>
    </row>
    <row r="30" spans="1:17">
      <c r="A30" s="63">
        <f t="shared" si="1"/>
        <v>29</v>
      </c>
      <c r="B30" s="64" t="str">
        <f>VLOOKUP([Task],ProjectTasks[[TaskProjectCode]:[TSK]],2,0)</f>
        <v>TEEBPD</v>
      </c>
      <c r="C30" s="64" t="str">
        <f>VLOOKUP([Task],ProjectTasks[[TaskProjectCode]:[TSK]],3,0)</f>
        <v>Finalizing</v>
      </c>
      <c r="D30" s="64" t="str">
        <f>[Employee]&amp;"/"&amp;[Date]</f>
        <v>Firose/43433</v>
      </c>
      <c r="E30" s="64">
        <f>COUNTIF($D$1:TaskTimings[[#This Row],[EmployeeDate]],TaskTimings[[#This Row],[EmployeeDate]])</f>
        <v>1</v>
      </c>
      <c r="F30" s="64" t="str">
        <f>TaskTimings[[#This Row],[EmployeeDate]]&amp;"/"&amp;TaskTimings[[#This Row],[EmployeeDateSeq]]</f>
        <v>Firose/43433/1</v>
      </c>
      <c r="G30" s="65" t="s">
        <v>87</v>
      </c>
      <c r="H30" s="65" t="s">
        <v>34</v>
      </c>
      <c r="I30" s="66">
        <v>43433</v>
      </c>
      <c r="J30" s="67">
        <v>0.41666666666666669</v>
      </c>
      <c r="K30" s="67">
        <v>0.70833333333333337</v>
      </c>
      <c r="L30" s="68">
        <f>([End Time]-[Start Time])*1440</f>
        <v>420</v>
      </c>
      <c r="M30" s="68" t="str">
        <f>TEXT([End Time]-[Start Time],"HH:mm")</f>
        <v>07:00</v>
      </c>
      <c r="N30" s="68">
        <f>SUMIFS([Total Minutes],[Date],[Date],[Employee],[Employee])</f>
        <v>420</v>
      </c>
      <c r="O30" s="68" t="str">
        <f>TEXT([Day Total Minutes]/1440,"HH:mm")</f>
        <v>07:00</v>
      </c>
      <c r="P30" s="64" t="str">
        <f>[PRJ]</f>
        <v>TEEBPD</v>
      </c>
      <c r="Q30" s="64" t="str">
        <f>[TSK]</f>
        <v>Finalizing</v>
      </c>
    </row>
    <row r="31" spans="1:17">
      <c r="A31" s="63">
        <f t="shared" si="1"/>
        <v>30</v>
      </c>
      <c r="B31" s="64" t="str">
        <f>VLOOKUP([Task],ProjectTasks[[TaskProjectCode]:[TSK]],2,0)</f>
        <v>TEEBPD</v>
      </c>
      <c r="C31" s="64" t="str">
        <f>VLOOKUP([Task],ProjectTasks[[TaskProjectCode]:[TSK]],3,0)</f>
        <v>Finalizing</v>
      </c>
      <c r="D31" s="64" t="str">
        <f>[Employee]&amp;"/"&amp;[Date]</f>
        <v>Firose/43434</v>
      </c>
      <c r="E31" s="64">
        <f>COUNTIF($D$1:TaskTimings[[#This Row],[EmployeeDate]],TaskTimings[[#This Row],[EmployeeDate]])</f>
        <v>1</v>
      </c>
      <c r="F31" s="64" t="str">
        <f>TaskTimings[[#This Row],[EmployeeDate]]&amp;"/"&amp;TaskTimings[[#This Row],[EmployeeDateSeq]]</f>
        <v>Firose/43434/1</v>
      </c>
      <c r="G31" s="65" t="s">
        <v>87</v>
      </c>
      <c r="H31" s="65" t="s">
        <v>34</v>
      </c>
      <c r="I31" s="66">
        <v>43434</v>
      </c>
      <c r="J31" s="67">
        <v>0.375</v>
      </c>
      <c r="K31" s="67">
        <v>0.5</v>
      </c>
      <c r="L31" s="68">
        <f>([End Time]-[Start Time])*1440</f>
        <v>180</v>
      </c>
      <c r="M31" s="68" t="str">
        <f>TEXT([End Time]-[Start Time],"HH:mm")</f>
        <v>03:00</v>
      </c>
      <c r="N31" s="68">
        <f>SUMIFS([Total Minutes],[Date],[Date],[Employee],[Employee])</f>
        <v>360</v>
      </c>
      <c r="O31" s="68" t="str">
        <f>TEXT([Day Total Minutes]/1440,"HH:mm")</f>
        <v>06:00</v>
      </c>
      <c r="P31" s="64" t="str">
        <f>[PRJ]</f>
        <v>TEEBPD</v>
      </c>
      <c r="Q31" s="64" t="str">
        <f>[TSK]</f>
        <v>Finalizing</v>
      </c>
    </row>
    <row r="32" spans="1:17">
      <c r="A32" s="63">
        <f t="shared" si="1"/>
        <v>31</v>
      </c>
      <c r="B32" s="64" t="str">
        <f>VLOOKUP([Task],ProjectTasks[[TaskProjectCode]:[TSK]],2,0)</f>
        <v>TEEBPD</v>
      </c>
      <c r="C32" s="64" t="str">
        <f>VLOOKUP([Task],ProjectTasks[[TaskProjectCode]:[TSK]],3,0)</f>
        <v>Inhouse Testing</v>
      </c>
      <c r="D32" s="64" t="str">
        <f>[Employee]&amp;"/"&amp;[Date]</f>
        <v>Firose/43434</v>
      </c>
      <c r="E32" s="64">
        <f>COUNTIF($D$1:TaskTimings[[#This Row],[EmployeeDate]],TaskTimings[[#This Row],[EmployeeDate]])</f>
        <v>2</v>
      </c>
      <c r="F32" s="64" t="str">
        <f>TaskTimings[[#This Row],[EmployeeDate]]&amp;"/"&amp;TaskTimings[[#This Row],[EmployeeDateSeq]]</f>
        <v>Firose/43434/2</v>
      </c>
      <c r="G32" s="65" t="s">
        <v>85</v>
      </c>
      <c r="H32" s="65" t="s">
        <v>34</v>
      </c>
      <c r="I32" s="66">
        <v>43434</v>
      </c>
      <c r="J32" s="67">
        <v>0.58333333333333337</v>
      </c>
      <c r="K32" s="67">
        <v>0.70833333333333337</v>
      </c>
      <c r="L32" s="68">
        <f>([End Time]-[Start Time])*1440</f>
        <v>180</v>
      </c>
      <c r="M32" s="68" t="str">
        <f>TEXT([End Time]-[Start Time],"HH:mm")</f>
        <v>03:00</v>
      </c>
      <c r="N32" s="68">
        <f>SUMIFS([Total Minutes],[Date],[Date],[Employee],[Employee])</f>
        <v>360</v>
      </c>
      <c r="O32" s="68" t="str">
        <f>TEXT([Day Total Minutes]/1440,"HH:mm")</f>
        <v>06:00</v>
      </c>
      <c r="P32" s="64" t="str">
        <f>[PRJ]</f>
        <v>TEEBPD</v>
      </c>
      <c r="Q32" s="64" t="str">
        <f>[TSK]</f>
        <v>Inhouse Testing</v>
      </c>
    </row>
    <row r="33" spans="1:17">
      <c r="A33" s="5">
        <f t="shared" si="1"/>
        <v>32</v>
      </c>
      <c r="B33" s="10" t="str">
        <f>VLOOKUP([Task],ProjectTasks[[TaskProjectCode]:[TSK]],2,0)</f>
        <v>TKT</v>
      </c>
      <c r="C33" s="10" t="str">
        <f>VLOOKUP([Task],ProjectTasks[[TaskProjectCode]:[TSK]],3,0)</f>
        <v>Entering table details into excel sheet</v>
      </c>
      <c r="D33" s="10" t="str">
        <f>[Employee]&amp;"/"&amp;[Date]</f>
        <v>Shareena/43435</v>
      </c>
      <c r="E33" s="10">
        <f>COUNTIF($D$1:TaskTimings[[#This Row],[EmployeeDate]],TaskTimings[[#This Row],[EmployeeDate]])</f>
        <v>1</v>
      </c>
      <c r="F33" s="10" t="str">
        <f>TaskTimings[[#This Row],[EmployeeDate]]&amp;"/"&amp;TaskTimings[[#This Row],[EmployeeDateSeq]]</f>
        <v>Shareena/43435/1</v>
      </c>
      <c r="G33" s="4" t="s">
        <v>79</v>
      </c>
      <c r="H33" s="1" t="s">
        <v>16</v>
      </c>
      <c r="I33" s="8">
        <v>43435</v>
      </c>
      <c r="J33" s="70">
        <v>0.45833333333333331</v>
      </c>
      <c r="K33" s="54">
        <v>0.52083333333333337</v>
      </c>
      <c r="L33" s="2">
        <f>([End Time]-[Start Time])*1440</f>
        <v>90.000000000000085</v>
      </c>
      <c r="M33" s="2" t="str">
        <f>TEXT([End Time]-[Start Time],"HH:mm")</f>
        <v>01:30</v>
      </c>
      <c r="N33" s="2">
        <f>SUMIFS([Total Minutes],[Date],[Date],[Employee],[Employee])</f>
        <v>210.00000000000014</v>
      </c>
      <c r="O33" s="2" t="str">
        <f>TEXT([Day Total Minutes]/1440,"HH:mm")</f>
        <v>03:30</v>
      </c>
      <c r="P33" s="10" t="str">
        <f>[PRJ]</f>
        <v>TKT</v>
      </c>
      <c r="Q33" s="10" t="str">
        <f>[TSK]</f>
        <v>Entering table details into excel sheet</v>
      </c>
    </row>
    <row r="34" spans="1:17">
      <c r="A34" s="55">
        <f t="shared" si="1"/>
        <v>33</v>
      </c>
      <c r="B34" s="56" t="str">
        <f>VLOOKUP([Task],ProjectTasks[[TaskProjectCode]:[TSK]],2,0)</f>
        <v>SDS</v>
      </c>
      <c r="C34" s="56" t="str">
        <f>VLOOKUP([Task],ProjectTasks[[TaskProjectCode]:[TSK]],3,0)</f>
        <v>Request and get Response from  web</v>
      </c>
      <c r="D34" s="56" t="str">
        <f>[Employee]&amp;"/"&amp;[Date]</f>
        <v>Aswathy/43435</v>
      </c>
      <c r="E34" s="56">
        <f>COUNTIF($D$1:TaskTimings[[#This Row],[EmployeeDate]],TaskTimings[[#This Row],[EmployeeDate]])</f>
        <v>1</v>
      </c>
      <c r="F34" s="56" t="str">
        <f>TaskTimings[[#This Row],[EmployeeDate]]&amp;"/"&amp;TaskTimings[[#This Row],[EmployeeDateSeq]]</f>
        <v>Aswathy/43435/1</v>
      </c>
      <c r="G34" s="65" t="s">
        <v>83</v>
      </c>
      <c r="H34" s="57" t="s">
        <v>54</v>
      </c>
      <c r="I34" s="58">
        <v>43435</v>
      </c>
      <c r="J34" s="71">
        <v>0.40625</v>
      </c>
      <c r="K34" s="62">
        <v>0.55208333333333337</v>
      </c>
      <c r="L34" s="60">
        <f>([End Time]-[Start Time])*1440</f>
        <v>210.00000000000006</v>
      </c>
      <c r="M34" s="60" t="str">
        <f>TEXT([End Time]-[Start Time],"HH:mm")</f>
        <v>03:30</v>
      </c>
      <c r="N34" s="60">
        <f>SUMIFS([Total Minutes],[Date],[Date],[Employee],[Employee])</f>
        <v>375.00000000000011</v>
      </c>
      <c r="O34" s="60" t="str">
        <f>TEXT([Day Total Minutes]/1440,"HH:mm")</f>
        <v>06:15</v>
      </c>
      <c r="P34" s="56" t="str">
        <f>[PRJ]</f>
        <v>SDS</v>
      </c>
      <c r="Q34" s="56" t="str">
        <f>[TSK]</f>
        <v>Request and get Response from  web</v>
      </c>
    </row>
    <row r="35" spans="1:17">
      <c r="A35" s="55">
        <f t="shared" si="1"/>
        <v>34</v>
      </c>
      <c r="B35" s="56" t="str">
        <f>VLOOKUP([Task],ProjectTasks[[TaskProjectCode]:[TSK]],2,0)</f>
        <v>SDS</v>
      </c>
      <c r="C35" s="56" t="str">
        <f>VLOOKUP([Task],ProjectTasks[[TaskProjectCode]:[TSK]],3,0)</f>
        <v>Testing</v>
      </c>
      <c r="D35" s="56" t="str">
        <f>[Employee]&amp;"/"&amp;[Date]</f>
        <v>Aswathy/43435</v>
      </c>
      <c r="E35" s="56">
        <f>COUNTIF($D$1:TaskTimings[[#This Row],[EmployeeDate]],TaskTimings[[#This Row],[EmployeeDate]])</f>
        <v>2</v>
      </c>
      <c r="F35" s="56" t="str">
        <f>TaskTimings[[#This Row],[EmployeeDate]]&amp;"/"&amp;TaskTimings[[#This Row],[EmployeeDateSeq]]</f>
        <v>Aswathy/43435/2</v>
      </c>
      <c r="G35" s="57" t="s">
        <v>89</v>
      </c>
      <c r="H35" s="57" t="s">
        <v>54</v>
      </c>
      <c r="I35" s="58">
        <v>43435</v>
      </c>
      <c r="J35" s="71">
        <v>0.56944444444444442</v>
      </c>
      <c r="K35" s="62">
        <v>0.58333333333333337</v>
      </c>
      <c r="L35" s="60">
        <f>([End Time]-[Start Time])*1440</f>
        <v>20.000000000000089</v>
      </c>
      <c r="M35" s="60" t="str">
        <f>TEXT([End Time]-[Start Time],"HH:mm")</f>
        <v>00:20</v>
      </c>
      <c r="N35" s="60">
        <f>SUMIFS([Total Minutes],[Date],[Date],[Employee],[Employee])</f>
        <v>375.00000000000011</v>
      </c>
      <c r="O35" s="60" t="str">
        <f>TEXT([Day Total Minutes]/1440,"HH:mm")</f>
        <v>06:15</v>
      </c>
      <c r="P35" s="56" t="str">
        <f>[PRJ]</f>
        <v>SDS</v>
      </c>
      <c r="Q35" s="56" t="str">
        <f>[TSK]</f>
        <v>Testing</v>
      </c>
    </row>
    <row r="36" spans="1:17">
      <c r="A36" s="55">
        <f t="shared" si="1"/>
        <v>35</v>
      </c>
      <c r="B36" s="56" t="str">
        <f>VLOOKUP([Task],ProjectTasks[[TaskProjectCode]:[TSK]],2,0)</f>
        <v>SDS</v>
      </c>
      <c r="C36" s="56" t="str">
        <f>VLOOKUP([Task],ProjectTasks[[TaskProjectCode]:[TSK]],3,0)</f>
        <v>Testing</v>
      </c>
      <c r="D36" s="56" t="str">
        <f>[Employee]&amp;"/"&amp;[Date]</f>
        <v>Aswathy/43435</v>
      </c>
      <c r="E36" s="56">
        <f>COUNTIF($D$1:TaskTimings[[#This Row],[EmployeeDate]],TaskTimings[[#This Row],[EmployeeDate]])</f>
        <v>3</v>
      </c>
      <c r="F36" s="56" t="str">
        <f>TaskTimings[[#This Row],[EmployeeDate]]&amp;"/"&amp;TaskTimings[[#This Row],[EmployeeDateSeq]]</f>
        <v>Aswathy/43435/3</v>
      </c>
      <c r="G36" s="57" t="s">
        <v>89</v>
      </c>
      <c r="H36" s="57" t="s">
        <v>54</v>
      </c>
      <c r="I36" s="58">
        <v>43435</v>
      </c>
      <c r="J36" s="71">
        <v>0.60763888888888895</v>
      </c>
      <c r="K36" s="62">
        <v>0.65277777777777779</v>
      </c>
      <c r="L36" s="60">
        <f>([End Time]-[Start Time])*1440</f>
        <v>64.999999999999929</v>
      </c>
      <c r="M36" s="60" t="str">
        <f>TEXT([End Time]-[Start Time],"HH:mm")</f>
        <v>01:05</v>
      </c>
      <c r="N36" s="60">
        <f>SUMIFS([Total Minutes],[Date],[Date],[Employee],[Employee])</f>
        <v>375.00000000000011</v>
      </c>
      <c r="O36" s="60" t="str">
        <f>TEXT([Day Total Minutes]/1440,"HH:mm")</f>
        <v>06:15</v>
      </c>
      <c r="P36" s="56" t="str">
        <f>[PRJ]</f>
        <v>SDS</v>
      </c>
      <c r="Q36" s="56" t="str">
        <f>[TSK]</f>
        <v>Testing</v>
      </c>
    </row>
    <row r="37" spans="1:17">
      <c r="A37" s="55">
        <f t="shared" si="1"/>
        <v>36</v>
      </c>
      <c r="B37" s="56" t="str">
        <f>VLOOKUP([Task],ProjectTasks[[TaskProjectCode]:[TSK]],2,0)</f>
        <v>SDS</v>
      </c>
      <c r="C37" s="56" t="str">
        <f>VLOOKUP([Task],ProjectTasks[[TaskProjectCode]:[TSK]],3,0)</f>
        <v>Stage 2</v>
      </c>
      <c r="D37" s="56" t="str">
        <f>[Employee]&amp;"/"&amp;[Date]</f>
        <v>Aswathy/43435</v>
      </c>
      <c r="E37" s="56">
        <f>COUNTIF($D$1:TaskTimings[[#This Row],[EmployeeDate]],TaskTimings[[#This Row],[EmployeeDate]])</f>
        <v>4</v>
      </c>
      <c r="F37" s="56" t="str">
        <f>TaskTimings[[#This Row],[EmployeeDate]]&amp;"/"&amp;TaskTimings[[#This Row],[EmployeeDateSeq]]</f>
        <v>Aswathy/43435/4</v>
      </c>
      <c r="G37" s="57" t="s">
        <v>91</v>
      </c>
      <c r="H37" s="57" t="s">
        <v>54</v>
      </c>
      <c r="I37" s="58">
        <v>43435</v>
      </c>
      <c r="J37" s="71">
        <v>0.65277777777777779</v>
      </c>
      <c r="K37" s="71">
        <v>0.70833333333333337</v>
      </c>
      <c r="L37" s="60">
        <f>([End Time]-[Start Time])*1440</f>
        <v>80.000000000000028</v>
      </c>
      <c r="M37" s="60" t="str">
        <f>TEXT([End Time]-[Start Time],"HH:mm")</f>
        <v>01:20</v>
      </c>
      <c r="N37" s="60">
        <f>SUMIFS([Total Minutes],[Date],[Date],[Employee],[Employee])</f>
        <v>375.00000000000011</v>
      </c>
      <c r="O37" s="60" t="str">
        <f>TEXT([Day Total Minutes]/1440,"HH:mm")</f>
        <v>06:15</v>
      </c>
      <c r="P37" s="56" t="str">
        <f>[PRJ]</f>
        <v>SDS</v>
      </c>
      <c r="Q37" s="56" t="str">
        <f>[TSK]</f>
        <v>Stage 2</v>
      </c>
    </row>
    <row r="38" spans="1:17">
      <c r="A38" s="55">
        <f t="shared" ref="A38:A44" si="2">IFERROR($A37+1,1)</f>
        <v>37</v>
      </c>
      <c r="B38" s="56" t="str">
        <f>VLOOKUP([Task],ProjectTasks[[TaskProjectCode]:[TSK]],2,0)</f>
        <v>TKT</v>
      </c>
      <c r="C38" s="56" t="str">
        <f>VLOOKUP([Task],ProjectTasks[[TaskProjectCode]:[TSK]],3,0)</f>
        <v>Entering table details into excel sheet</v>
      </c>
      <c r="D38" s="56" t="str">
        <f>[Employee]&amp;"/"&amp;[Date]</f>
        <v>Shareena/43435</v>
      </c>
      <c r="E38" s="56">
        <f>COUNTIF($D$1:TaskTimings[[#This Row],[EmployeeDate]],TaskTimings[[#This Row],[EmployeeDate]])</f>
        <v>2</v>
      </c>
      <c r="F38" s="56" t="str">
        <f>TaskTimings[[#This Row],[EmployeeDate]]&amp;"/"&amp;TaskTimings[[#This Row],[EmployeeDateSeq]]</f>
        <v>Shareena/43435/2</v>
      </c>
      <c r="G38" s="57" t="s">
        <v>79</v>
      </c>
      <c r="H38" s="57" t="s">
        <v>16</v>
      </c>
      <c r="I38" s="58">
        <v>43435</v>
      </c>
      <c r="J38" s="71">
        <v>0.625</v>
      </c>
      <c r="K38" s="62">
        <v>0.70833333333333337</v>
      </c>
      <c r="L38" s="60">
        <f>([End Time]-[Start Time])*1440</f>
        <v>120.00000000000006</v>
      </c>
      <c r="M38" s="60" t="str">
        <f>TEXT([End Time]-[Start Time],"HH:mm")</f>
        <v>02:00</v>
      </c>
      <c r="N38" s="60">
        <f>SUMIFS([Total Minutes],[Date],[Date],[Employee],[Employee])</f>
        <v>210.00000000000014</v>
      </c>
      <c r="O38" s="60" t="str">
        <f>TEXT([Day Total Minutes]/1440,"HH:mm")</f>
        <v>03:30</v>
      </c>
      <c r="P38" s="56" t="str">
        <f>[PRJ]</f>
        <v>TKT</v>
      </c>
      <c r="Q38" s="56" t="str">
        <f>[TSK]</f>
        <v>Entering table details into excel sheet</v>
      </c>
    </row>
    <row r="39" spans="1:17">
      <c r="A39" s="6">
        <f t="shared" si="2"/>
        <v>38</v>
      </c>
      <c r="B39" s="11" t="str">
        <f>VLOOKUP([Task],ProjectTasks[[TaskProjectCode]:[TSK]],2,0)</f>
        <v>MITWEB</v>
      </c>
      <c r="C39" s="11" t="str">
        <f>VLOOKUP([Task],ProjectTasks[[TaskProjectCode]:[TSK]],3,0)</f>
        <v>Modification</v>
      </c>
      <c r="D39" s="11" t="str">
        <f>[Employee]&amp;"/"&amp;[Date]</f>
        <v>Firose/43435</v>
      </c>
      <c r="E39" s="11">
        <f>COUNTIF($D$1:TaskTimings[[#This Row],[EmployeeDate]],TaskTimings[[#This Row],[EmployeeDate]])</f>
        <v>1</v>
      </c>
      <c r="F39" s="11" t="str">
        <f>TaskTimings[[#This Row],[EmployeeDate]]&amp;"/"&amp;TaskTimings[[#This Row],[EmployeeDateSeq]]</f>
        <v>Firose/43435/1</v>
      </c>
      <c r="G39" s="4" t="s">
        <v>75</v>
      </c>
      <c r="H39" s="65" t="s">
        <v>34</v>
      </c>
      <c r="I39" s="58">
        <v>43435</v>
      </c>
      <c r="J39" s="76">
        <v>0.45833333333333331</v>
      </c>
      <c r="K39" s="76">
        <v>0.54166666666666663</v>
      </c>
      <c r="L39" s="3">
        <f>([End Time]-[Start Time])*1440</f>
        <v>119.99999999999997</v>
      </c>
      <c r="M39" s="3" t="str">
        <f>TEXT([End Time]-[Start Time],"HH:mm")</f>
        <v>02:00</v>
      </c>
      <c r="N39" s="3">
        <f>SUMIFS([Total Minutes],[Date],[Date],[Employee],[Employee])</f>
        <v>240.00000000000003</v>
      </c>
      <c r="O39" s="3" t="str">
        <f>TEXT([Day Total Minutes]/1440,"HH:mm")</f>
        <v>04:00</v>
      </c>
      <c r="P39" s="11" t="str">
        <f>[PRJ]</f>
        <v>MITWEB</v>
      </c>
      <c r="Q39" s="11" t="str">
        <f>[TSK]</f>
        <v>Modification</v>
      </c>
    </row>
    <row r="40" spans="1:17">
      <c r="A40" s="6">
        <f t="shared" si="2"/>
        <v>39</v>
      </c>
      <c r="B40" s="11" t="str">
        <f>VLOOKUP([Task],ProjectTasks[[TaskProjectCode]:[TSK]],2,0)</f>
        <v>TEEBPD</v>
      </c>
      <c r="C40" s="11" t="str">
        <f>VLOOKUP([Task],ProjectTasks[[TaskProjectCode]:[TSK]],3,0)</f>
        <v>Client Suggestion Implementation</v>
      </c>
      <c r="D40" s="11" t="str">
        <f>[Employee]&amp;"/"&amp;[Date]</f>
        <v>Firose/43435</v>
      </c>
      <c r="E40" s="11">
        <f>COUNTIF($D$1:TaskTimings[[#This Row],[EmployeeDate]],TaskTimings[[#This Row],[EmployeeDate]])</f>
        <v>2</v>
      </c>
      <c r="F40" s="11" t="str">
        <f>TaskTimings[[#This Row],[EmployeeDate]]&amp;"/"&amp;TaskTimings[[#This Row],[EmployeeDateSeq]]</f>
        <v>Firose/43435/2</v>
      </c>
      <c r="G40" s="4" t="s">
        <v>71</v>
      </c>
      <c r="H40" s="65" t="s">
        <v>34</v>
      </c>
      <c r="I40" s="58">
        <v>43435</v>
      </c>
      <c r="J40" s="76">
        <v>0.625</v>
      </c>
      <c r="K40" s="76">
        <v>0.70833333333333337</v>
      </c>
      <c r="L40" s="3">
        <f>([End Time]-[Start Time])*1440</f>
        <v>120.00000000000006</v>
      </c>
      <c r="M40" s="3" t="str">
        <f>TEXT([End Time]-[Start Time],"HH:mm")</f>
        <v>02:00</v>
      </c>
      <c r="N40" s="3">
        <f>SUMIFS([Total Minutes],[Date],[Date],[Employee],[Employee])</f>
        <v>240.00000000000003</v>
      </c>
      <c r="O40" s="3" t="str">
        <f>TEXT([Day Total Minutes]/1440,"HH:mm")</f>
        <v>04:00</v>
      </c>
      <c r="P40" s="11" t="str">
        <f>[PRJ]</f>
        <v>TEEBPD</v>
      </c>
      <c r="Q40" s="11" t="str">
        <f>[TSK]</f>
        <v>Client Suggestion Implementation</v>
      </c>
    </row>
    <row r="41" spans="1:17">
      <c r="A41" s="63">
        <f t="shared" si="2"/>
        <v>40</v>
      </c>
      <c r="B41" s="56" t="str">
        <f>VLOOKUP([Task],ProjectTasks[[TaskProjectCode]:[TSK]],2,0)</f>
        <v>SDS</v>
      </c>
      <c r="C41" s="56" t="str">
        <f>VLOOKUP([Task],ProjectTasks[[TaskProjectCode]:[TSK]],3,0)</f>
        <v>Stage 2</v>
      </c>
      <c r="D41" s="56" t="str">
        <f>[Employee]&amp;"/"&amp;[Date]</f>
        <v>Aswathy/43437</v>
      </c>
      <c r="E41" s="56">
        <f>COUNTIF($D$1:TaskTimings[[#This Row],[EmployeeDate]],TaskTimings[[#This Row],[EmployeeDate]])</f>
        <v>1</v>
      </c>
      <c r="F41" s="56" t="str">
        <f>TaskTimings[[#This Row],[EmployeeDate]]&amp;"/"&amp;TaskTimings[[#This Row],[EmployeeDateSeq]]</f>
        <v>Aswathy/43437/1</v>
      </c>
      <c r="G41" s="57" t="s">
        <v>91</v>
      </c>
      <c r="H41" s="57" t="s">
        <v>54</v>
      </c>
      <c r="I41" s="58">
        <v>43437</v>
      </c>
      <c r="J41" s="77">
        <v>0.40625</v>
      </c>
      <c r="K41" s="71">
        <v>0.48958333333333331</v>
      </c>
      <c r="L41" s="60">
        <f>([End Time]-[Start Time])*1440</f>
        <v>119.99999999999997</v>
      </c>
      <c r="M41" s="60" t="str">
        <f>TEXT([End Time]-[Start Time],"HH:mm")</f>
        <v>02:00</v>
      </c>
      <c r="N41" s="60">
        <f>SUMIFS([Total Minutes],[Date],[Date],[Employee],[Employee])</f>
        <v>-667</v>
      </c>
      <c r="O41" s="60" t="e">
        <f>TEXT([Day Total Minutes]/1440,"HH:mm")</f>
        <v>#VALUE!</v>
      </c>
      <c r="P41" s="56" t="str">
        <f>[PRJ]</f>
        <v>SDS</v>
      </c>
      <c r="Q41" s="56" t="str">
        <f>[TSK]</f>
        <v>Stage 2</v>
      </c>
    </row>
    <row r="42" spans="1:17">
      <c r="A42" s="63">
        <f t="shared" si="2"/>
        <v>41</v>
      </c>
      <c r="B42" s="56" t="str">
        <f>VLOOKUP([Task],ProjectTasks[[TaskProjectCode]:[TSK]],2,0)</f>
        <v>SDS</v>
      </c>
      <c r="C42" s="56" t="str">
        <f>VLOOKUP([Task],ProjectTasks[[TaskProjectCode]:[TSK]],3,0)</f>
        <v>Stage 2</v>
      </c>
      <c r="D42" s="56" t="str">
        <f>[Employee]&amp;"/"&amp;[Date]</f>
        <v>Aswathy/43437</v>
      </c>
      <c r="E42" s="56">
        <f>COUNTIF($D$1:TaskTimings[[#This Row],[EmployeeDate]],TaskTimings[[#This Row],[EmployeeDate]])</f>
        <v>2</v>
      </c>
      <c r="F42" s="56" t="str">
        <f>TaskTimings[[#This Row],[EmployeeDate]]&amp;"/"&amp;TaskTimings[[#This Row],[EmployeeDateSeq]]</f>
        <v>Aswathy/43437/2</v>
      </c>
      <c r="G42" s="57" t="s">
        <v>91</v>
      </c>
      <c r="H42" s="57" t="s">
        <v>54</v>
      </c>
      <c r="I42" s="58">
        <v>43437</v>
      </c>
      <c r="J42" s="77">
        <v>0.50694444444444442</v>
      </c>
      <c r="K42" s="71">
        <v>0.54861111111111105</v>
      </c>
      <c r="L42" s="60">
        <f>([End Time]-[Start Time])*1440</f>
        <v>59.999999999999943</v>
      </c>
      <c r="M42" s="60" t="str">
        <f>TEXT([End Time]-[Start Time],"HH:mm")</f>
        <v>01:00</v>
      </c>
      <c r="N42" s="60">
        <f>SUMIFS([Total Minutes],[Date],[Date],[Employee],[Employee])</f>
        <v>-667</v>
      </c>
      <c r="O42" s="60" t="e">
        <f>TEXT([Day Total Minutes]/1440,"HH:mm")</f>
        <v>#VALUE!</v>
      </c>
      <c r="P42" s="56" t="str">
        <f>[PRJ]</f>
        <v>SDS</v>
      </c>
      <c r="Q42" s="56" t="str">
        <f>[TSK]</f>
        <v>Stage 2</v>
      </c>
    </row>
    <row r="43" spans="1:17">
      <c r="A43" s="55">
        <f t="shared" si="2"/>
        <v>42</v>
      </c>
      <c r="B43" s="56" t="str">
        <f>VLOOKUP([Task],ProjectTasks[[TaskProjectCode]:[TSK]],2,0)</f>
        <v>SDS</v>
      </c>
      <c r="C43" s="56" t="str">
        <f>VLOOKUP([Task],ProjectTasks[[TaskProjectCode]:[TSK]],3,0)</f>
        <v>Stage 2</v>
      </c>
      <c r="D43" s="56" t="str">
        <f>[Employee]&amp;"/"&amp;[Date]</f>
        <v>Aswathy/43437</v>
      </c>
      <c r="E43" s="56">
        <f>COUNTIF($D$1:TaskTimings[[#This Row],[EmployeeDate]],TaskTimings[[#This Row],[EmployeeDate]])</f>
        <v>3</v>
      </c>
      <c r="F43" s="56" t="str">
        <f>TaskTimings[[#This Row],[EmployeeDate]]&amp;"/"&amp;TaskTimings[[#This Row],[EmployeeDateSeq]]</f>
        <v>Aswathy/43437/3</v>
      </c>
      <c r="G43" s="57" t="s">
        <v>91</v>
      </c>
      <c r="H43" s="57" t="s">
        <v>54</v>
      </c>
      <c r="I43" s="58">
        <v>43437</v>
      </c>
      <c r="J43" s="77">
        <v>0.56597222222222221</v>
      </c>
      <c r="K43" s="71">
        <v>0.62361111111111112</v>
      </c>
      <c r="L43" s="60">
        <f>([End Time]-[Start Time])*1440</f>
        <v>83.000000000000028</v>
      </c>
      <c r="M43" s="60" t="str">
        <f>TEXT([End Time]-[Start Time],"HH:mm")</f>
        <v>01:23</v>
      </c>
      <c r="N43" s="60">
        <f>SUMIFS([Total Minutes],[Date],[Date],[Employee],[Employee])</f>
        <v>-667</v>
      </c>
      <c r="O43" s="60" t="e">
        <f>TEXT([Day Total Minutes]/1440,"HH:mm")</f>
        <v>#VALUE!</v>
      </c>
      <c r="P43" s="56" t="str">
        <f>[PRJ]</f>
        <v>SDS</v>
      </c>
      <c r="Q43" s="56" t="str">
        <f>[TSK]</f>
        <v>Stage 2</v>
      </c>
    </row>
    <row r="44" spans="1:17">
      <c r="A44" s="55">
        <f t="shared" si="2"/>
        <v>43</v>
      </c>
      <c r="B44" s="56" t="str">
        <f>VLOOKUP([Task],ProjectTasks[[TaskProjectCode]:[TSK]],2,0)</f>
        <v>SDS</v>
      </c>
      <c r="C44" s="56" t="str">
        <f>VLOOKUP([Task],ProjectTasks[[TaskProjectCode]:[TSK]],3,0)</f>
        <v>Stage 2</v>
      </c>
      <c r="D44" s="56" t="str">
        <f>[Employee]&amp;"/"&amp;[Date]</f>
        <v>Aswathy/43437</v>
      </c>
      <c r="E44" s="56">
        <f>COUNTIF($D$1:TaskTimings[[#This Row],[EmployeeDate]],TaskTimings[[#This Row],[EmployeeDate]])</f>
        <v>4</v>
      </c>
      <c r="F44" s="56" t="str">
        <f>TaskTimings[[#This Row],[EmployeeDate]]&amp;"/"&amp;TaskTimings[[#This Row],[EmployeeDateSeq]]</f>
        <v>Aswathy/43437/4</v>
      </c>
      <c r="G44" s="57" t="s">
        <v>91</v>
      </c>
      <c r="H44" s="57" t="s">
        <v>54</v>
      </c>
      <c r="I44" s="58">
        <v>43437</v>
      </c>
      <c r="J44" s="77">
        <v>0.64583333333333337</v>
      </c>
      <c r="K44" s="60"/>
      <c r="L44" s="60">
        <f>([End Time]-[Start Time])*1440</f>
        <v>-930</v>
      </c>
      <c r="M44" s="60" t="e">
        <f>TEXT([End Time]-[Start Time],"HH:mm")</f>
        <v>#VALUE!</v>
      </c>
      <c r="N44" s="60">
        <f>SUMIFS([Total Minutes],[Date],[Date],[Employee],[Employee])</f>
        <v>-667</v>
      </c>
      <c r="O44" s="60" t="e">
        <f>TEXT([Day Total Minutes]/1440,"HH:mm")</f>
        <v>#VALUE!</v>
      </c>
      <c r="P44" s="56" t="str">
        <f>[PRJ]</f>
        <v>SDS</v>
      </c>
      <c r="Q44" s="56" t="str">
        <f>[TSK]</f>
        <v>Stage 2</v>
      </c>
    </row>
    <row r="45" spans="1:17">
      <c r="A45" s="63">
        <f>IFERROR($A44+1,1)</f>
        <v>44</v>
      </c>
      <c r="B45" s="64" t="str">
        <f>VLOOKUP([Task],ProjectTasks[[TaskProjectCode]:[TSK]],2,0)</f>
        <v>TEEBPD</v>
      </c>
      <c r="C45" s="64" t="str">
        <f>VLOOKUP([Task],ProjectTasks[[TaskProjectCode]:[TSK]],3,0)</f>
        <v>Synchronization Implementing</v>
      </c>
      <c r="D45" s="64" t="str">
        <f>[Employee]&amp;"/"&amp;[Date]</f>
        <v>Firose/43437</v>
      </c>
      <c r="E45" s="64">
        <f>COUNTIF($D$1:TaskTimings[[#This Row],[EmployeeDate]],TaskTimings[[#This Row],[EmployeeDate]])</f>
        <v>1</v>
      </c>
      <c r="F45" s="64" t="str">
        <f>TaskTimings[[#This Row],[EmployeeDate]]&amp;"/"&amp;TaskTimings[[#This Row],[EmployeeDateSeq]]</f>
        <v>Firose/43437/1</v>
      </c>
      <c r="G45" s="65" t="s">
        <v>93</v>
      </c>
      <c r="H45" s="65" t="s">
        <v>34</v>
      </c>
      <c r="I45" s="66">
        <v>43437</v>
      </c>
      <c r="J45" s="67">
        <v>0.375</v>
      </c>
      <c r="K45" s="67">
        <v>0.70833333333333337</v>
      </c>
      <c r="L45" s="68">
        <f>([End Time]-[Start Time])*1440</f>
        <v>480.00000000000006</v>
      </c>
      <c r="M45" s="68" t="str">
        <f>TEXT([End Time]-[Start Time],"HH:mm")</f>
        <v>08:00</v>
      </c>
      <c r="N45" s="68">
        <f>SUMIFS([Total Minutes],[Date],[Date],[Employee],[Employee])</f>
        <v>480.00000000000006</v>
      </c>
      <c r="O45" s="68" t="str">
        <f>TEXT([Day Total Minutes]/1440,"HH:mm")</f>
        <v>08:00</v>
      </c>
      <c r="P45" s="64" t="str">
        <f>[PRJ]</f>
        <v>TEEBPD</v>
      </c>
      <c r="Q45" s="64" t="str">
        <f>[TSK]</f>
        <v>Synchronization Implementing</v>
      </c>
    </row>
  </sheetData>
  <dataValidations count="2">
    <dataValidation type="list" allowBlank="1" showInputMessage="1" showErrorMessage="1" sqref="H2:H45">
      <formula1>EmployeeNames</formula1>
    </dataValidation>
    <dataValidation type="list" allowBlank="1" showInputMessage="1" showErrorMessage="1" sqref="G2:G45">
      <formula1>TSKPRJCodes</formula1>
    </dataValidation>
  </dataValidations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P24"/>
  <sheetViews>
    <sheetView tabSelected="1" topLeftCell="A7" workbookViewId="0">
      <selection activeCell="G14" sqref="G14:H14"/>
    </sheetView>
  </sheetViews>
  <sheetFormatPr defaultRowHeight="15"/>
  <cols>
    <col min="10" max="16" width="13.28515625" customWidth="1"/>
  </cols>
  <sheetData>
    <row r="1" spans="1:16">
      <c r="A1" s="78" t="s">
        <v>5</v>
      </c>
      <c r="B1" s="78"/>
      <c r="C1" s="78"/>
      <c r="D1" s="78"/>
      <c r="E1" s="78"/>
    </row>
    <row r="2" spans="1:16">
      <c r="A2" s="78"/>
      <c r="B2" s="78"/>
      <c r="C2" s="78"/>
      <c r="D2" s="78"/>
      <c r="E2" s="78"/>
      <c r="J2" s="96" t="s">
        <v>33</v>
      </c>
      <c r="K2" s="96"/>
      <c r="L2" s="96"/>
    </row>
    <row r="3" spans="1:16">
      <c r="A3" s="78"/>
      <c r="B3" s="78"/>
      <c r="C3" s="78"/>
      <c r="D3" s="78"/>
      <c r="E3" s="78"/>
      <c r="J3" s="96"/>
      <c r="K3" s="96"/>
      <c r="L3" s="96"/>
    </row>
    <row r="4" spans="1:16" ht="15.75" thickBot="1">
      <c r="A4" s="80" t="str">
        <f>VLOOKUP($A$1,Project[[Project]:[Project Code]],2,0)</f>
        <v>TEEBPD</v>
      </c>
      <c r="B4" s="80"/>
      <c r="J4" s="14">
        <v>1</v>
      </c>
      <c r="K4" s="14">
        <v>2</v>
      </c>
      <c r="L4" s="14">
        <v>3</v>
      </c>
      <c r="M4" s="14">
        <v>4</v>
      </c>
      <c r="N4" s="14">
        <v>5</v>
      </c>
      <c r="O4" s="14">
        <v>6</v>
      </c>
      <c r="P4" s="14">
        <v>7</v>
      </c>
    </row>
    <row r="5" spans="1:16">
      <c r="A5" s="83" t="s">
        <v>31</v>
      </c>
      <c r="B5" s="81" t="s">
        <v>29</v>
      </c>
      <c r="C5" s="81"/>
      <c r="D5" s="81"/>
      <c r="E5" s="81"/>
      <c r="F5" s="81"/>
      <c r="G5" s="86" t="s">
        <v>32</v>
      </c>
      <c r="H5" s="90"/>
      <c r="J5" s="83" t="str">
        <f>IFERROR(VLOOKUP(J$4,Employees[],2,0),"")</f>
        <v>Aswathy</v>
      </c>
      <c r="K5" s="86" t="str">
        <f>IFERROR(VLOOKUP(K$4,Employees[],2,0),"")</f>
        <v>Vishnu</v>
      </c>
      <c r="L5" s="86" t="str">
        <f>IFERROR(VLOOKUP(L$4,Employees[],2,0),"")</f>
        <v>Shareena</v>
      </c>
      <c r="M5" s="86" t="str">
        <f>IFERROR(VLOOKUP(M$4,Employees[],2,0),"")</f>
        <v>Firose</v>
      </c>
      <c r="N5" s="86" t="str">
        <f>IFERROR(VLOOKUP(N$4,Employees[],2,0),"")</f>
        <v/>
      </c>
      <c r="O5" s="86" t="str">
        <f>IFERROR(VLOOKUP(O$4,Employees[],2,0),"")</f>
        <v/>
      </c>
      <c r="P5" s="90" t="str">
        <f>IFERROR(VLOOKUP(P$4,Employees[],2,0),"")</f>
        <v/>
      </c>
    </row>
    <row r="6" spans="1:16">
      <c r="A6" s="84"/>
      <c r="B6" s="82"/>
      <c r="C6" s="82"/>
      <c r="D6" s="82"/>
      <c r="E6" s="82"/>
      <c r="F6" s="82"/>
      <c r="G6" s="87"/>
      <c r="H6" s="91"/>
      <c r="J6" s="84"/>
      <c r="K6" s="87"/>
      <c r="L6" s="87"/>
      <c r="M6" s="87"/>
      <c r="N6" s="87"/>
      <c r="O6" s="87"/>
      <c r="P6" s="91"/>
    </row>
    <row r="7" spans="1:16">
      <c r="A7" s="12">
        <v>1</v>
      </c>
      <c r="B7" s="79" t="str">
        <f>IFERROR(VLOOKUP($A$4&amp;"-"&amp;$A7,ProjectTasks[[PRJTSKSEQ]:[Task]],2,0),"")</f>
        <v>Theme Designing</v>
      </c>
      <c r="C7" s="79"/>
      <c r="D7" s="79"/>
      <c r="E7" s="79"/>
      <c r="F7" s="79"/>
      <c r="G7" s="88">
        <f>SUMIFS(TaskTimings[Total Minutes],TaskTimings[PRJ],$A$4,TaskTimings[TSK],$B7)</f>
        <v>0</v>
      </c>
      <c r="H7" s="89"/>
      <c r="J7" s="15">
        <f>SUMIFS(TaskTimings[Total Minutes],TaskTimings[PRJ],$A$4,TaskTimings[TSK],$B7,TaskTimings[Employee],J$5)</f>
        <v>0</v>
      </c>
      <c r="K7" s="16">
        <f>SUMIFS(TaskTimings[Total Minutes],TaskTimings[PRJ],$A$4,TaskTimings[TSK],$B7,TaskTimings[Employee],K$5)</f>
        <v>0</v>
      </c>
      <c r="L7" s="16">
        <f>SUMIFS(TaskTimings[Total Minutes],TaskTimings[PRJ],$A$4,TaskTimings[TSK],$B7,TaskTimings[Employee],L$5)</f>
        <v>0</v>
      </c>
      <c r="M7" s="16">
        <f>SUMIFS(TaskTimings[Total Minutes],TaskTimings[PRJ],$A$4,TaskTimings[TSK],$B7,TaskTimings[Employee],M$5)</f>
        <v>0</v>
      </c>
      <c r="N7" s="16">
        <f>SUMIFS(TaskTimings[Total Minutes],TaskTimings[PRJ],$A$4,TaskTimings[TSK],$B7,TaskTimings[Employee],N$5)</f>
        <v>0</v>
      </c>
      <c r="O7" s="16">
        <f>SUMIFS(TaskTimings[Total Minutes],TaskTimings[PRJ],$A$4,TaskTimings[TSK],$B7,TaskTimings[Employee],O$5)</f>
        <v>0</v>
      </c>
      <c r="P7" s="17">
        <f>SUMIFS(TaskTimings[Total Minutes],TaskTimings[PRJ],$A$4,TaskTimings[TSK],$B7,TaskTimings[Employee],P$5)</f>
        <v>0</v>
      </c>
    </row>
    <row r="8" spans="1:16">
      <c r="A8" s="12">
        <v>2</v>
      </c>
      <c r="B8" s="79" t="str">
        <f>IFERROR(VLOOKUP($A$4&amp;"-"&amp;$A8,ProjectTasks[[PRJTSKSEQ]:[Task]],2,0),"")</f>
        <v>Database Structure Designing</v>
      </c>
      <c r="C8" s="79"/>
      <c r="D8" s="79"/>
      <c r="E8" s="79"/>
      <c r="F8" s="79"/>
      <c r="G8" s="88">
        <f>SUMIFS(TaskTimings[Total Minutes],TaskTimings[PRJ],$A$4,TaskTimings[TSK],$B8)</f>
        <v>0</v>
      </c>
      <c r="H8" s="89"/>
      <c r="J8" s="15">
        <f>SUMIFS(TaskTimings[Total Minutes],TaskTimings[PRJ],$A$4,TaskTimings[TSK],$B8,TaskTimings[Employee],J$5)</f>
        <v>0</v>
      </c>
      <c r="K8" s="16">
        <f>SUMIFS(TaskTimings[Total Minutes],TaskTimings[PRJ],$A$4,TaskTimings[TSK],$B8,TaskTimings[Employee],K$5)</f>
        <v>0</v>
      </c>
      <c r="L8" s="16">
        <f>SUMIFS(TaskTimings[Total Minutes],TaskTimings[PRJ],$A$4,TaskTimings[TSK],$B8,TaskTimings[Employee],L$5)</f>
        <v>0</v>
      </c>
      <c r="M8" s="16">
        <f>SUMIFS(TaskTimings[Total Minutes],TaskTimings[PRJ],$A$4,TaskTimings[TSK],$B8,TaskTimings[Employee],M$5)</f>
        <v>0</v>
      </c>
      <c r="N8" s="16">
        <f>SUMIFS(TaskTimings[Total Minutes],TaskTimings[PRJ],$A$4,TaskTimings[TSK],$B8,TaskTimings[Employee],N$5)</f>
        <v>0</v>
      </c>
      <c r="O8" s="16">
        <f>SUMIFS(TaskTimings[Total Minutes],TaskTimings[PRJ],$A$4,TaskTimings[TSK],$B8,TaskTimings[Employee],O$5)</f>
        <v>0</v>
      </c>
      <c r="P8" s="17">
        <f>SUMIFS(TaskTimings[Total Minutes],TaskTimings[PRJ],$A$4,TaskTimings[TSK],$B8,TaskTimings[Employee],P$5)</f>
        <v>0</v>
      </c>
    </row>
    <row r="9" spans="1:16">
      <c r="A9" s="12">
        <v>3</v>
      </c>
      <c r="B9" s="79" t="str">
        <f>IFERROR(VLOOKUP($A$4&amp;"-"&amp;$A9,ProjectTasks[[PRJTSKSEQ]:[Task]],2,0),"")</f>
        <v>Appframe configuration</v>
      </c>
      <c r="C9" s="79"/>
      <c r="D9" s="79"/>
      <c r="E9" s="79"/>
      <c r="F9" s="79"/>
      <c r="G9" s="88">
        <f>SUMIFS(TaskTimings[Total Minutes],TaskTimings[PRJ],$A$4,TaskTimings[TSK],$B9)</f>
        <v>0</v>
      </c>
      <c r="H9" s="89"/>
      <c r="J9" s="15">
        <f>SUMIFS(TaskTimings[Total Minutes],TaskTimings[PRJ],$A$4,TaskTimings[TSK],$B9,TaskTimings[Employee],J$5)</f>
        <v>0</v>
      </c>
      <c r="K9" s="16">
        <f>SUMIFS(TaskTimings[Total Minutes],TaskTimings[PRJ],$A$4,TaskTimings[TSK],$B9,TaskTimings[Employee],K$5)</f>
        <v>0</v>
      </c>
      <c r="L9" s="16">
        <f>SUMIFS(TaskTimings[Total Minutes],TaskTimings[PRJ],$A$4,TaskTimings[TSK],$B9,TaskTimings[Employee],L$5)</f>
        <v>0</v>
      </c>
      <c r="M9" s="16">
        <f>SUMIFS(TaskTimings[Total Minutes],TaskTimings[PRJ],$A$4,TaskTimings[TSK],$B9,TaskTimings[Employee],M$5)</f>
        <v>0</v>
      </c>
      <c r="N9" s="16">
        <f>SUMIFS(TaskTimings[Total Minutes],TaskTimings[PRJ],$A$4,TaskTimings[TSK],$B9,TaskTimings[Employee],N$5)</f>
        <v>0</v>
      </c>
      <c r="O9" s="16">
        <f>SUMIFS(TaskTimings[Total Minutes],TaskTimings[PRJ],$A$4,TaskTimings[TSK],$B9,TaskTimings[Employee],O$5)</f>
        <v>0</v>
      </c>
      <c r="P9" s="17">
        <f>SUMIFS(TaskTimings[Total Minutes],TaskTimings[PRJ],$A$4,TaskTimings[TSK],$B9,TaskTimings[Employee],P$5)</f>
        <v>0</v>
      </c>
    </row>
    <row r="10" spans="1:16">
      <c r="A10" s="12">
        <v>4</v>
      </c>
      <c r="B10" s="79" t="str">
        <f>IFERROR(VLOOKUP($A$4&amp;"-"&amp;$A10,ProjectTasks[[PRJTSKSEQ]:[Task]],2,0),"")</f>
        <v>Inhouse Testing</v>
      </c>
      <c r="C10" s="79"/>
      <c r="D10" s="79"/>
      <c r="E10" s="79"/>
      <c r="F10" s="79"/>
      <c r="G10" s="88">
        <f>SUMIFS(TaskTimings[Total Minutes],TaskTimings[PRJ],$A$4,TaskTimings[TSK],$B10)</f>
        <v>239.99999999999994</v>
      </c>
      <c r="H10" s="89"/>
      <c r="J10" s="15">
        <f>SUMIFS(TaskTimings[Total Minutes],TaskTimings[PRJ],$A$4,TaskTimings[TSK],$B10,TaskTimings[Employee],J$5)</f>
        <v>0</v>
      </c>
      <c r="K10" s="16">
        <f>SUMIFS(TaskTimings[Total Minutes],TaskTimings[PRJ],$A$4,TaskTimings[TSK],$B10,TaskTimings[Employee],K$5)</f>
        <v>0</v>
      </c>
      <c r="L10" s="16">
        <f>SUMIFS(TaskTimings[Total Minutes],TaskTimings[PRJ],$A$4,TaskTimings[TSK],$B10,TaskTimings[Employee],L$5)</f>
        <v>59.999999999999943</v>
      </c>
      <c r="M10" s="16">
        <f>SUMIFS(TaskTimings[Total Minutes],TaskTimings[PRJ],$A$4,TaskTimings[TSK],$B10,TaskTimings[Employee],M$5)</f>
        <v>180</v>
      </c>
      <c r="N10" s="16">
        <f>SUMIFS(TaskTimings[Total Minutes],TaskTimings[PRJ],$A$4,TaskTimings[TSK],$B10,TaskTimings[Employee],N$5)</f>
        <v>0</v>
      </c>
      <c r="O10" s="16">
        <f>SUMIFS(TaskTimings[Total Minutes],TaskTimings[PRJ],$A$4,TaskTimings[TSK],$B10,TaskTimings[Employee],O$5)</f>
        <v>0</v>
      </c>
      <c r="P10" s="17">
        <f>SUMIFS(TaskTimings[Total Minutes],TaskTimings[PRJ],$A$4,TaskTimings[TSK],$B10,TaskTimings[Employee],P$5)</f>
        <v>0</v>
      </c>
    </row>
    <row r="11" spans="1:16">
      <c r="A11" s="12">
        <v>5</v>
      </c>
      <c r="B11" s="79" t="str">
        <f>IFERROR(VLOOKUP($A$4&amp;"-"&amp;$A11,ProjectTasks[[PRJTSKSEQ]:[Task]],2,0),"")</f>
        <v>Client Demonstration</v>
      </c>
      <c r="C11" s="79"/>
      <c r="D11" s="79"/>
      <c r="E11" s="79"/>
      <c r="F11" s="79"/>
      <c r="G11" s="88">
        <f>SUMIFS(TaskTimings[Total Minutes],TaskTimings[PRJ],$A$4,TaskTimings[TSK],$B11)</f>
        <v>0</v>
      </c>
      <c r="H11" s="89"/>
      <c r="J11" s="15">
        <f>SUMIFS(TaskTimings[Total Minutes],TaskTimings[PRJ],$A$4,TaskTimings[TSK],$B11,TaskTimings[Employee],J$5)</f>
        <v>0</v>
      </c>
      <c r="K11" s="16">
        <f>SUMIFS(TaskTimings[Total Minutes],TaskTimings[PRJ],$A$4,TaskTimings[TSK],$B11,TaskTimings[Employee],K$5)</f>
        <v>0</v>
      </c>
      <c r="L11" s="16">
        <f>SUMIFS(TaskTimings[Total Minutes],TaskTimings[PRJ],$A$4,TaskTimings[TSK],$B11,TaskTimings[Employee],L$5)</f>
        <v>0</v>
      </c>
      <c r="M11" s="16">
        <f>SUMIFS(TaskTimings[Total Minutes],TaskTimings[PRJ],$A$4,TaskTimings[TSK],$B11,TaskTimings[Employee],M$5)</f>
        <v>0</v>
      </c>
      <c r="N11" s="16">
        <f>SUMIFS(TaskTimings[Total Minutes],TaskTimings[PRJ],$A$4,TaskTimings[TSK],$B11,TaskTimings[Employee],N$5)</f>
        <v>0</v>
      </c>
      <c r="O11" s="16">
        <f>SUMIFS(TaskTimings[Total Minutes],TaskTimings[PRJ],$A$4,TaskTimings[TSK],$B11,TaskTimings[Employee],O$5)</f>
        <v>0</v>
      </c>
      <c r="P11" s="17">
        <f>SUMIFS(TaskTimings[Total Minutes],TaskTimings[PRJ],$A$4,TaskTimings[TSK],$B11,TaskTimings[Employee],P$5)</f>
        <v>0</v>
      </c>
    </row>
    <row r="12" spans="1:16">
      <c r="A12" s="12">
        <v>6</v>
      </c>
      <c r="B12" s="79" t="str">
        <f>IFERROR(VLOOKUP($A$4&amp;"-"&amp;$A12,ProjectTasks[[PRJTSKSEQ]:[Task]],2,0),"")</f>
        <v>Client Suggestion Implementation</v>
      </c>
      <c r="C12" s="79"/>
      <c r="D12" s="79"/>
      <c r="E12" s="79"/>
      <c r="F12" s="79"/>
      <c r="G12" s="88">
        <f>SUMIFS(TaskTimings[Total Minutes],TaskTimings[PRJ],$A$4,TaskTimings[TSK],$B12)</f>
        <v>600.00000000000011</v>
      </c>
      <c r="H12" s="89"/>
      <c r="J12" s="15">
        <f>SUMIFS(TaskTimings[Total Minutes],TaskTimings[PRJ],$A$4,TaskTimings[TSK],$B12,TaskTimings[Employee],J$5)</f>
        <v>0</v>
      </c>
      <c r="K12" s="16">
        <f>SUMIFS(TaskTimings[Total Minutes],TaskTimings[PRJ],$A$4,TaskTimings[TSK],$B12,TaskTimings[Employee],K$5)</f>
        <v>0</v>
      </c>
      <c r="L12" s="16">
        <f>SUMIFS(TaskTimings[Total Minutes],TaskTimings[PRJ],$A$4,TaskTimings[TSK],$B12,TaskTimings[Employee],L$5)</f>
        <v>0</v>
      </c>
      <c r="M12" s="16">
        <f>SUMIFS(TaskTimings[Total Minutes],TaskTimings[PRJ],$A$4,TaskTimings[TSK],$B12,TaskTimings[Employee],M$5)</f>
        <v>600.00000000000011</v>
      </c>
      <c r="N12" s="16">
        <f>SUMIFS(TaskTimings[Total Minutes],TaskTimings[PRJ],$A$4,TaskTimings[TSK],$B12,TaskTimings[Employee],N$5)</f>
        <v>0</v>
      </c>
      <c r="O12" s="16">
        <f>SUMIFS(TaskTimings[Total Minutes],TaskTimings[PRJ],$A$4,TaskTimings[TSK],$B12,TaskTimings[Employee],O$5)</f>
        <v>0</v>
      </c>
      <c r="P12" s="17">
        <f>SUMIFS(TaskTimings[Total Minutes],TaskTimings[PRJ],$A$4,TaskTimings[TSK],$B12,TaskTimings[Employee],P$5)</f>
        <v>0</v>
      </c>
    </row>
    <row r="13" spans="1:16">
      <c r="A13" s="12">
        <v>7</v>
      </c>
      <c r="B13" s="79" t="str">
        <f>IFERROR(VLOOKUP($A$4&amp;"-"&amp;$A13,ProjectTasks[[PRJTSKSEQ]:[Task]],2,0),"")</f>
        <v>Finalizing</v>
      </c>
      <c r="C13" s="79"/>
      <c r="D13" s="79"/>
      <c r="E13" s="79"/>
      <c r="F13" s="79"/>
      <c r="G13" s="88">
        <f>SUMIFS(TaskTimings[Total Minutes],TaskTimings[PRJ],$A$4,TaskTimings[TSK],$B13)</f>
        <v>720</v>
      </c>
      <c r="H13" s="89"/>
      <c r="J13" s="15">
        <f>SUMIFS(TaskTimings[Total Minutes],TaskTimings[PRJ],$A$4,TaskTimings[TSK],$B13,TaskTimings[Employee],J$5)</f>
        <v>0</v>
      </c>
      <c r="K13" s="16">
        <f>SUMIFS(TaskTimings[Total Minutes],TaskTimings[PRJ],$A$4,TaskTimings[TSK],$B13,TaskTimings[Employee],K$5)</f>
        <v>0</v>
      </c>
      <c r="L13" s="16">
        <f>SUMIFS(TaskTimings[Total Minutes],TaskTimings[PRJ],$A$4,TaskTimings[TSK],$B13,TaskTimings[Employee],L$5)</f>
        <v>0</v>
      </c>
      <c r="M13" s="16">
        <f>SUMIFS(TaskTimings[Total Minutes],TaskTimings[PRJ],$A$4,TaskTimings[TSK],$B13,TaskTimings[Employee],M$5)</f>
        <v>720</v>
      </c>
      <c r="N13" s="16">
        <f>SUMIFS(TaskTimings[Total Minutes],TaskTimings[PRJ],$A$4,TaskTimings[TSK],$B13,TaskTimings[Employee],N$5)</f>
        <v>0</v>
      </c>
      <c r="O13" s="16">
        <f>SUMIFS(TaskTimings[Total Minutes],TaskTimings[PRJ],$A$4,TaskTimings[TSK],$B13,TaskTimings[Employee],O$5)</f>
        <v>0</v>
      </c>
      <c r="P13" s="17">
        <f>SUMIFS(TaskTimings[Total Minutes],TaskTimings[PRJ],$A$4,TaskTimings[TSK],$B13,TaskTimings[Employee],P$5)</f>
        <v>0</v>
      </c>
    </row>
    <row r="14" spans="1:16">
      <c r="A14" s="12">
        <v>8</v>
      </c>
      <c r="B14" s="79" t="str">
        <f>IFERROR(VLOOKUP($A$4&amp;"-"&amp;$A14,ProjectTasks[[PRJTSKSEQ]:[Task]],2,0),"")</f>
        <v>Synchronization Implementing</v>
      </c>
      <c r="C14" s="79"/>
      <c r="D14" s="79"/>
      <c r="E14" s="79"/>
      <c r="F14" s="79"/>
      <c r="G14" s="88">
        <f>SUMIFS(TaskTimings[Total Minutes],TaskTimings[PRJ],$A$4,TaskTimings[TSK],$B14)</f>
        <v>480.00000000000006</v>
      </c>
      <c r="H14" s="89"/>
      <c r="J14" s="15">
        <f>SUMIFS(TaskTimings[Total Minutes],TaskTimings[PRJ],$A$4,TaskTimings[TSK],$B14,TaskTimings[Employee],J$5)</f>
        <v>0</v>
      </c>
      <c r="K14" s="16">
        <f>SUMIFS(TaskTimings[Total Minutes],TaskTimings[PRJ],$A$4,TaskTimings[TSK],$B14,TaskTimings[Employee],K$5)</f>
        <v>0</v>
      </c>
      <c r="L14" s="16">
        <f>SUMIFS(TaskTimings[Total Minutes],TaskTimings[PRJ],$A$4,TaskTimings[TSK],$B14,TaskTimings[Employee],L$5)</f>
        <v>0</v>
      </c>
      <c r="M14" s="16">
        <f>SUMIFS(TaskTimings[Total Minutes],TaskTimings[PRJ],$A$4,TaskTimings[TSK],$B14,TaskTimings[Employee],M$5)</f>
        <v>480.00000000000006</v>
      </c>
      <c r="N14" s="16">
        <f>SUMIFS(TaskTimings[Total Minutes],TaskTimings[PRJ],$A$4,TaskTimings[TSK],$B14,TaskTimings[Employee],N$5)</f>
        <v>0</v>
      </c>
      <c r="O14" s="16">
        <f>SUMIFS(TaskTimings[Total Minutes],TaskTimings[PRJ],$A$4,TaskTimings[TSK],$B14,TaskTimings[Employee],O$5)</f>
        <v>0</v>
      </c>
      <c r="P14" s="17">
        <f>SUMIFS(TaskTimings[Total Minutes],TaskTimings[PRJ],$A$4,TaskTimings[TSK],$B14,TaskTimings[Employee],P$5)</f>
        <v>0</v>
      </c>
    </row>
    <row r="15" spans="1:16">
      <c r="A15" s="12">
        <v>9</v>
      </c>
      <c r="B15" s="79" t="str">
        <f>IFERROR(VLOOKUP($A$4&amp;"-"&amp;$A15,ProjectTasks[[PRJTSKSEQ]:[Task]],2,0),"")</f>
        <v/>
      </c>
      <c r="C15" s="79"/>
      <c r="D15" s="79"/>
      <c r="E15" s="79"/>
      <c r="F15" s="79"/>
      <c r="G15" s="88">
        <f>SUMIFS(TaskTimings[Total Minutes],TaskTimings[PRJ],$A$4,TaskTimings[TSK],$B15)</f>
        <v>0</v>
      </c>
      <c r="H15" s="89"/>
      <c r="J15" s="15">
        <f>SUMIFS(TaskTimings[Total Minutes],TaskTimings[PRJ],$A$4,TaskTimings[TSK],$B15,TaskTimings[Employee],J$5)</f>
        <v>0</v>
      </c>
      <c r="K15" s="16">
        <f>SUMIFS(TaskTimings[Total Minutes],TaskTimings[PRJ],$A$4,TaskTimings[TSK],$B15,TaskTimings[Employee],K$5)</f>
        <v>0</v>
      </c>
      <c r="L15" s="16">
        <f>SUMIFS(TaskTimings[Total Minutes],TaskTimings[PRJ],$A$4,TaskTimings[TSK],$B15,TaskTimings[Employee],L$5)</f>
        <v>0</v>
      </c>
      <c r="M15" s="16">
        <f>SUMIFS(TaskTimings[Total Minutes],TaskTimings[PRJ],$A$4,TaskTimings[TSK],$B15,TaskTimings[Employee],M$5)</f>
        <v>0</v>
      </c>
      <c r="N15" s="16">
        <f>SUMIFS(TaskTimings[Total Minutes],TaskTimings[PRJ],$A$4,TaskTimings[TSK],$B15,TaskTimings[Employee],N$5)</f>
        <v>0</v>
      </c>
      <c r="O15" s="16">
        <f>SUMIFS(TaskTimings[Total Minutes],TaskTimings[PRJ],$A$4,TaskTimings[TSK],$B15,TaskTimings[Employee],O$5)</f>
        <v>0</v>
      </c>
      <c r="P15" s="17">
        <f>SUMIFS(TaskTimings[Total Minutes],TaskTimings[PRJ],$A$4,TaskTimings[TSK],$B15,TaskTimings[Employee],P$5)</f>
        <v>0</v>
      </c>
    </row>
    <row r="16" spans="1:16">
      <c r="A16" s="12">
        <v>10</v>
      </c>
      <c r="B16" s="79" t="str">
        <f>IFERROR(VLOOKUP($A$4&amp;"-"&amp;$A16,ProjectTasks[[PRJTSKSEQ]:[Task]],2,0),"")</f>
        <v/>
      </c>
      <c r="C16" s="79"/>
      <c r="D16" s="79"/>
      <c r="E16" s="79"/>
      <c r="F16" s="79"/>
      <c r="G16" s="88">
        <f>SUMIFS(TaskTimings[Total Minutes],TaskTimings[PRJ],$A$4,TaskTimings[TSK],$B16)</f>
        <v>0</v>
      </c>
      <c r="H16" s="89"/>
      <c r="J16" s="15">
        <f>SUMIFS(TaskTimings[Total Minutes],TaskTimings[PRJ],$A$4,TaskTimings[TSK],$B16,TaskTimings[Employee],J$5)</f>
        <v>0</v>
      </c>
      <c r="K16" s="16">
        <f>SUMIFS(TaskTimings[Total Minutes],TaskTimings[PRJ],$A$4,TaskTimings[TSK],$B16,TaskTimings[Employee],K$5)</f>
        <v>0</v>
      </c>
      <c r="L16" s="16">
        <f>SUMIFS(TaskTimings[Total Minutes],TaskTimings[PRJ],$A$4,TaskTimings[TSK],$B16,TaskTimings[Employee],L$5)</f>
        <v>0</v>
      </c>
      <c r="M16" s="16">
        <f>SUMIFS(TaskTimings[Total Minutes],TaskTimings[PRJ],$A$4,TaskTimings[TSK],$B16,TaskTimings[Employee],M$5)</f>
        <v>0</v>
      </c>
      <c r="N16" s="16">
        <f>SUMIFS(TaskTimings[Total Minutes],TaskTimings[PRJ],$A$4,TaskTimings[TSK],$B16,TaskTimings[Employee],N$5)</f>
        <v>0</v>
      </c>
      <c r="O16" s="16">
        <f>SUMIFS(TaskTimings[Total Minutes],TaskTimings[PRJ],$A$4,TaskTimings[TSK],$B16,TaskTimings[Employee],O$5)</f>
        <v>0</v>
      </c>
      <c r="P16" s="17">
        <f>SUMIFS(TaskTimings[Total Minutes],TaskTimings[PRJ],$A$4,TaskTimings[TSK],$B16,TaskTimings[Employee],P$5)</f>
        <v>0</v>
      </c>
    </row>
    <row r="17" spans="1:16">
      <c r="A17" s="12">
        <v>11</v>
      </c>
      <c r="B17" s="79" t="str">
        <f>IFERROR(VLOOKUP($A$4&amp;"-"&amp;$A17,ProjectTasks[[PRJTSKSEQ]:[Task]],2,0),"")</f>
        <v/>
      </c>
      <c r="C17" s="79"/>
      <c r="D17" s="79"/>
      <c r="E17" s="79"/>
      <c r="F17" s="79"/>
      <c r="G17" s="88">
        <f>SUMIFS(TaskTimings[Total Minutes],TaskTimings[PRJ],$A$4,TaskTimings[TSK],$B17)</f>
        <v>0</v>
      </c>
      <c r="H17" s="89"/>
      <c r="J17" s="15">
        <f>SUMIFS(TaskTimings[Total Minutes],TaskTimings[PRJ],$A$4,TaskTimings[TSK],$B17,TaskTimings[Employee],J$5)</f>
        <v>0</v>
      </c>
      <c r="K17" s="16">
        <f>SUMIFS(TaskTimings[Total Minutes],TaskTimings[PRJ],$A$4,TaskTimings[TSK],$B17,TaskTimings[Employee],K$5)</f>
        <v>0</v>
      </c>
      <c r="L17" s="16">
        <f>SUMIFS(TaskTimings[Total Minutes],TaskTimings[PRJ],$A$4,TaskTimings[TSK],$B17,TaskTimings[Employee],L$5)</f>
        <v>0</v>
      </c>
      <c r="M17" s="16">
        <f>SUMIFS(TaskTimings[Total Minutes],TaskTimings[PRJ],$A$4,TaskTimings[TSK],$B17,TaskTimings[Employee],M$5)</f>
        <v>0</v>
      </c>
      <c r="N17" s="16">
        <f>SUMIFS(TaskTimings[Total Minutes],TaskTimings[PRJ],$A$4,TaskTimings[TSK],$B17,TaskTimings[Employee],N$5)</f>
        <v>0</v>
      </c>
      <c r="O17" s="16">
        <f>SUMIFS(TaskTimings[Total Minutes],TaskTimings[PRJ],$A$4,TaskTimings[TSK],$B17,TaskTimings[Employee],O$5)</f>
        <v>0</v>
      </c>
      <c r="P17" s="17">
        <f>SUMIFS(TaskTimings[Total Minutes],TaskTimings[PRJ],$A$4,TaskTimings[TSK],$B17,TaskTimings[Employee],P$5)</f>
        <v>0</v>
      </c>
    </row>
    <row r="18" spans="1:16">
      <c r="A18" s="12">
        <v>12</v>
      </c>
      <c r="B18" s="79" t="str">
        <f>IFERROR(VLOOKUP($A$4&amp;"-"&amp;$A18,ProjectTasks[[PRJTSKSEQ]:[Task]],2,0),"")</f>
        <v/>
      </c>
      <c r="C18" s="79"/>
      <c r="D18" s="79"/>
      <c r="E18" s="79"/>
      <c r="F18" s="79"/>
      <c r="G18" s="88">
        <f>SUMIFS(TaskTimings[Total Minutes],TaskTimings[PRJ],$A$4,TaskTimings[TSK],$B18)</f>
        <v>0</v>
      </c>
      <c r="H18" s="89"/>
      <c r="J18" s="15">
        <f>SUMIFS(TaskTimings[Total Minutes],TaskTimings[PRJ],$A$4,TaskTimings[TSK],$B18,TaskTimings[Employee],J$5)</f>
        <v>0</v>
      </c>
      <c r="K18" s="16">
        <f>SUMIFS(TaskTimings[Total Minutes],TaskTimings[PRJ],$A$4,TaskTimings[TSK],$B18,TaskTimings[Employee],K$5)</f>
        <v>0</v>
      </c>
      <c r="L18" s="16">
        <f>SUMIFS(TaskTimings[Total Minutes],TaskTimings[PRJ],$A$4,TaskTimings[TSK],$B18,TaskTimings[Employee],L$5)</f>
        <v>0</v>
      </c>
      <c r="M18" s="16">
        <f>SUMIFS(TaskTimings[Total Minutes],TaskTimings[PRJ],$A$4,TaskTimings[TSK],$B18,TaskTimings[Employee],M$5)</f>
        <v>0</v>
      </c>
      <c r="N18" s="16">
        <f>SUMIFS(TaskTimings[Total Minutes],TaskTimings[PRJ],$A$4,TaskTimings[TSK],$B18,TaskTimings[Employee],N$5)</f>
        <v>0</v>
      </c>
      <c r="O18" s="16">
        <f>SUMIFS(TaskTimings[Total Minutes],TaskTimings[PRJ],$A$4,TaskTimings[TSK],$B18,TaskTimings[Employee],O$5)</f>
        <v>0</v>
      </c>
      <c r="P18" s="17">
        <f>SUMIFS(TaskTimings[Total Minutes],TaskTimings[PRJ],$A$4,TaskTimings[TSK],$B18,TaskTimings[Employee],P$5)</f>
        <v>0</v>
      </c>
    </row>
    <row r="19" spans="1:16">
      <c r="A19" s="12">
        <v>13</v>
      </c>
      <c r="B19" s="79" t="str">
        <f>IFERROR(VLOOKUP($A$4&amp;"-"&amp;$A19,ProjectTasks[[PRJTSKSEQ]:[Task]],2,0),"")</f>
        <v/>
      </c>
      <c r="C19" s="79"/>
      <c r="D19" s="79"/>
      <c r="E19" s="79"/>
      <c r="F19" s="79"/>
      <c r="G19" s="88">
        <f>SUMIFS(TaskTimings[Total Minutes],TaskTimings[PRJ],$A$4,TaskTimings[TSK],$B19)</f>
        <v>0</v>
      </c>
      <c r="H19" s="89"/>
      <c r="J19" s="15">
        <f>SUMIFS(TaskTimings[Total Minutes],TaskTimings[PRJ],$A$4,TaskTimings[TSK],$B19,TaskTimings[Employee],J$5)</f>
        <v>0</v>
      </c>
      <c r="K19" s="16">
        <f>SUMIFS(TaskTimings[Total Minutes],TaskTimings[PRJ],$A$4,TaskTimings[TSK],$B19,TaskTimings[Employee],K$5)</f>
        <v>0</v>
      </c>
      <c r="L19" s="16">
        <f>SUMIFS(TaskTimings[Total Minutes],TaskTimings[PRJ],$A$4,TaskTimings[TSK],$B19,TaskTimings[Employee],L$5)</f>
        <v>0</v>
      </c>
      <c r="M19" s="16">
        <f>SUMIFS(TaskTimings[Total Minutes],TaskTimings[PRJ],$A$4,TaskTimings[TSK],$B19,TaskTimings[Employee],M$5)</f>
        <v>0</v>
      </c>
      <c r="N19" s="16">
        <f>SUMIFS(TaskTimings[Total Minutes],TaskTimings[PRJ],$A$4,TaskTimings[TSK],$B19,TaskTimings[Employee],N$5)</f>
        <v>0</v>
      </c>
      <c r="O19" s="16">
        <f>SUMIFS(TaskTimings[Total Minutes],TaskTimings[PRJ],$A$4,TaskTimings[TSK],$B19,TaskTimings[Employee],O$5)</f>
        <v>0</v>
      </c>
      <c r="P19" s="17">
        <f>SUMIFS(TaskTimings[Total Minutes],TaskTimings[PRJ],$A$4,TaskTimings[TSK],$B19,TaskTimings[Employee],P$5)</f>
        <v>0</v>
      </c>
    </row>
    <row r="20" spans="1:16">
      <c r="A20" s="12">
        <v>14</v>
      </c>
      <c r="B20" s="79" t="str">
        <f>IFERROR(VLOOKUP($A$4&amp;"-"&amp;$A20,ProjectTasks[[PRJTSKSEQ]:[Task]],2,0),"")</f>
        <v/>
      </c>
      <c r="C20" s="79"/>
      <c r="D20" s="79"/>
      <c r="E20" s="79"/>
      <c r="F20" s="79"/>
      <c r="G20" s="88">
        <f>SUMIFS(TaskTimings[Total Minutes],TaskTimings[PRJ],$A$4,TaskTimings[TSK],$B20)</f>
        <v>0</v>
      </c>
      <c r="H20" s="89"/>
      <c r="J20" s="15">
        <f>SUMIFS(TaskTimings[Total Minutes],TaskTimings[PRJ],$A$4,TaskTimings[TSK],$B20,TaskTimings[Employee],J$5)</f>
        <v>0</v>
      </c>
      <c r="K20" s="16">
        <f>SUMIFS(TaskTimings[Total Minutes],TaskTimings[PRJ],$A$4,TaskTimings[TSK],$B20,TaskTimings[Employee],K$5)</f>
        <v>0</v>
      </c>
      <c r="L20" s="16">
        <f>SUMIFS(TaskTimings[Total Minutes],TaskTimings[PRJ],$A$4,TaskTimings[TSK],$B20,TaskTimings[Employee],L$5)</f>
        <v>0</v>
      </c>
      <c r="M20" s="16">
        <f>SUMIFS(TaskTimings[Total Minutes],TaskTimings[PRJ],$A$4,TaskTimings[TSK],$B20,TaskTimings[Employee],M$5)</f>
        <v>0</v>
      </c>
      <c r="N20" s="16">
        <f>SUMIFS(TaskTimings[Total Minutes],TaskTimings[PRJ],$A$4,TaskTimings[TSK],$B20,TaskTimings[Employee],N$5)</f>
        <v>0</v>
      </c>
      <c r="O20" s="16">
        <f>SUMIFS(TaskTimings[Total Minutes],TaskTimings[PRJ],$A$4,TaskTimings[TSK],$B20,TaskTimings[Employee],O$5)</f>
        <v>0</v>
      </c>
      <c r="P20" s="17">
        <f>SUMIFS(TaskTimings[Total Minutes],TaskTimings[PRJ],$A$4,TaskTimings[TSK],$B20,TaskTimings[Employee],P$5)</f>
        <v>0</v>
      </c>
    </row>
    <row r="21" spans="1:16" ht="15.75" thickBot="1">
      <c r="A21" s="13">
        <v>15</v>
      </c>
      <c r="B21" s="85" t="str">
        <f>IFERROR(VLOOKUP($A$4&amp;"-"&amp;$A21,ProjectTasks[[PRJTSKSEQ]:[Task]],2,0),"")</f>
        <v/>
      </c>
      <c r="C21" s="85"/>
      <c r="D21" s="85"/>
      <c r="E21" s="85"/>
      <c r="F21" s="85"/>
      <c r="G21" s="94">
        <f>SUMIFS(TaskTimings[Total Minutes],TaskTimings[PRJ],$A$4,TaskTimings[TSK],$B21)</f>
        <v>0</v>
      </c>
      <c r="H21" s="95"/>
      <c r="J21" s="18">
        <f>SUMIFS(TaskTimings[Total Minutes],TaskTimings[PRJ],$A$4,TaskTimings[TSK],$B21,TaskTimings[Employee],J$5)</f>
        <v>0</v>
      </c>
      <c r="K21" s="19">
        <f>SUMIFS(TaskTimings[Total Minutes],TaskTimings[PRJ],$A$4,TaskTimings[TSK],$B21,TaskTimings[Employee],K$5)</f>
        <v>0</v>
      </c>
      <c r="L21" s="19">
        <f>SUMIFS(TaskTimings[Total Minutes],TaskTimings[PRJ],$A$4,TaskTimings[TSK],$B21,TaskTimings[Employee],L$5)</f>
        <v>0</v>
      </c>
      <c r="M21" s="19">
        <f>SUMIFS(TaskTimings[Total Minutes],TaskTimings[PRJ],$A$4,TaskTimings[TSK],$B21,TaskTimings[Employee],M$5)</f>
        <v>0</v>
      </c>
      <c r="N21" s="19">
        <f>SUMIFS(TaskTimings[Total Minutes],TaskTimings[PRJ],$A$4,TaskTimings[TSK],$B21,TaskTimings[Employee],N$5)</f>
        <v>0</v>
      </c>
      <c r="O21" s="19">
        <f>SUMIFS(TaskTimings[Total Minutes],TaskTimings[PRJ],$A$4,TaskTimings[TSK],$B21,TaskTimings[Employee],O$5)</f>
        <v>0</v>
      </c>
      <c r="P21" s="20">
        <f>SUMIFS(TaskTimings[Total Minutes],TaskTimings[PRJ],$A$4,TaskTimings[TSK],$B21,TaskTimings[Employee],P$5)</f>
        <v>0</v>
      </c>
    </row>
    <row r="22" spans="1:16" ht="15.75" thickBot="1"/>
    <row r="23" spans="1:16">
      <c r="D23" s="97" t="s">
        <v>24</v>
      </c>
      <c r="E23" s="98"/>
      <c r="F23" s="99"/>
      <c r="G23" s="97">
        <f>SUM(G7:H21)</f>
        <v>2040</v>
      </c>
      <c r="H23" s="99"/>
      <c r="J23" s="92">
        <f>SUM(J7:J21)</f>
        <v>0</v>
      </c>
      <c r="K23" s="92">
        <f t="shared" ref="K23:P23" si="0">SUM(K7:K21)</f>
        <v>0</v>
      </c>
      <c r="L23" s="92">
        <f t="shared" si="0"/>
        <v>59.999999999999943</v>
      </c>
      <c r="M23" s="92">
        <f t="shared" si="0"/>
        <v>1980</v>
      </c>
      <c r="N23" s="92">
        <f t="shared" si="0"/>
        <v>0</v>
      </c>
      <c r="O23" s="92">
        <f t="shared" si="0"/>
        <v>0</v>
      </c>
      <c r="P23" s="92">
        <f t="shared" si="0"/>
        <v>0</v>
      </c>
    </row>
    <row r="24" spans="1:16" ht="15.75" thickBot="1">
      <c r="D24" s="100"/>
      <c r="E24" s="101"/>
      <c r="F24" s="102"/>
      <c r="G24" s="100"/>
      <c r="H24" s="102"/>
      <c r="J24" s="93"/>
      <c r="K24" s="93"/>
      <c r="L24" s="93"/>
      <c r="M24" s="93"/>
      <c r="N24" s="93"/>
      <c r="O24" s="93"/>
      <c r="P24" s="93"/>
    </row>
  </sheetData>
  <mergeCells count="52">
    <mergeCell ref="N23:N24"/>
    <mergeCell ref="O23:O24"/>
    <mergeCell ref="P23:P24"/>
    <mergeCell ref="N5:N6"/>
    <mergeCell ref="O5:O6"/>
    <mergeCell ref="P5:P6"/>
    <mergeCell ref="J2:L3"/>
    <mergeCell ref="D23:F24"/>
    <mergeCell ref="G23:H24"/>
    <mergeCell ref="J23:J24"/>
    <mergeCell ref="K23:K24"/>
    <mergeCell ref="L23:L24"/>
    <mergeCell ref="J5:J6"/>
    <mergeCell ref="K5:K6"/>
    <mergeCell ref="L5:L6"/>
    <mergeCell ref="G15:H15"/>
    <mergeCell ref="G16:H16"/>
    <mergeCell ref="B16:F16"/>
    <mergeCell ref="B17:F17"/>
    <mergeCell ref="B18:F18"/>
    <mergeCell ref="B19:F19"/>
    <mergeCell ref="B20:F20"/>
    <mergeCell ref="M23:M24"/>
    <mergeCell ref="G17:H17"/>
    <mergeCell ref="G18:H18"/>
    <mergeCell ref="G19:H19"/>
    <mergeCell ref="G20:H20"/>
    <mergeCell ref="G21:H21"/>
    <mergeCell ref="M5:M6"/>
    <mergeCell ref="G11:H11"/>
    <mergeCell ref="G12:H12"/>
    <mergeCell ref="G13:H13"/>
    <mergeCell ref="G14:H14"/>
    <mergeCell ref="G5:H6"/>
    <mergeCell ref="G7:H7"/>
    <mergeCell ref="G8:H8"/>
    <mergeCell ref="G9:H9"/>
    <mergeCell ref="G10:H10"/>
    <mergeCell ref="B21:F21"/>
    <mergeCell ref="B10:F10"/>
    <mergeCell ref="B11:F11"/>
    <mergeCell ref="B12:F12"/>
    <mergeCell ref="B13:F13"/>
    <mergeCell ref="B14:F14"/>
    <mergeCell ref="B15:F15"/>
    <mergeCell ref="A1:E3"/>
    <mergeCell ref="B7:F7"/>
    <mergeCell ref="A4:B4"/>
    <mergeCell ref="B8:F8"/>
    <mergeCell ref="B9:F9"/>
    <mergeCell ref="B5:F6"/>
    <mergeCell ref="A5:A6"/>
  </mergeCells>
  <dataValidations count="1">
    <dataValidation type="list" allowBlank="1" showInputMessage="1" showErrorMessage="1" sqref="A1:E3">
      <formula1>ProjectNames</formula1>
    </dataValidation>
  </dataValidations>
  <pageMargins left="0.7" right="0.7" top="0.75" bottom="0.75" header="0.3" footer="0.3"/>
  <pageSetup paperSize="9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AB35"/>
  <sheetViews>
    <sheetView workbookViewId="0">
      <selection sqref="A1:D3"/>
    </sheetView>
  </sheetViews>
  <sheetFormatPr defaultRowHeight="15"/>
  <sheetData>
    <row r="1" spans="1:28">
      <c r="A1" s="122" t="s">
        <v>34</v>
      </c>
      <c r="B1" s="122"/>
      <c r="C1" s="122"/>
      <c r="D1" s="122"/>
      <c r="F1" s="124" t="s">
        <v>35</v>
      </c>
      <c r="G1" s="124"/>
      <c r="I1" s="28" t="s">
        <v>41</v>
      </c>
      <c r="J1" s="27" t="s">
        <v>43</v>
      </c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</row>
    <row r="2" spans="1:28">
      <c r="A2" s="122"/>
      <c r="B2" s="122"/>
      <c r="C2" s="122"/>
      <c r="D2" s="122"/>
      <c r="F2" s="123">
        <v>43430</v>
      </c>
      <c r="G2" s="123"/>
      <c r="I2" s="103">
        <f>SUM(I7:I30)</f>
        <v>2130</v>
      </c>
      <c r="J2" s="105" t="str">
        <f>TEXT($I$2/1440,"H:mm")</f>
        <v>11:30</v>
      </c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</row>
    <row r="3" spans="1:28" ht="15.75" thickBot="1">
      <c r="A3" s="122"/>
      <c r="B3" s="122"/>
      <c r="C3" s="122"/>
      <c r="D3" s="122"/>
      <c r="F3" s="123"/>
      <c r="G3" s="123"/>
      <c r="I3" s="104"/>
      <c r="J3" s="106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</row>
    <row r="4" spans="1:28">
      <c r="K4" s="96" t="s">
        <v>44</v>
      </c>
      <c r="L4" s="96"/>
      <c r="M4" s="96"/>
    </row>
    <row r="5" spans="1:28" ht="15.75" thickBot="1">
      <c r="B5" s="96" t="s">
        <v>45</v>
      </c>
      <c r="C5" s="96"/>
      <c r="D5" s="96"/>
      <c r="E5" s="96"/>
      <c r="F5" s="96"/>
      <c r="K5" s="120"/>
      <c r="L5" s="120"/>
      <c r="M5" s="120"/>
    </row>
    <row r="6" spans="1:28" ht="15.75" thickBot="1">
      <c r="A6" s="14">
        <v>1</v>
      </c>
      <c r="B6" s="121"/>
      <c r="C6" s="121"/>
      <c r="D6" s="121"/>
      <c r="E6" s="121"/>
      <c r="F6" s="121"/>
      <c r="J6" s="25"/>
      <c r="K6" s="34" t="s">
        <v>0</v>
      </c>
      <c r="L6" s="113" t="s">
        <v>4</v>
      </c>
      <c r="M6" s="113"/>
      <c r="N6" s="35" t="s">
        <v>41</v>
      </c>
      <c r="O6" s="25"/>
      <c r="P6" s="25"/>
      <c r="Q6" s="25"/>
      <c r="R6" s="25"/>
      <c r="S6" s="25"/>
      <c r="T6" s="25"/>
    </row>
    <row r="7" spans="1:28">
      <c r="A7" s="14">
        <v>2</v>
      </c>
      <c r="B7" s="125">
        <f>$F$2</f>
        <v>43430</v>
      </c>
      <c r="C7" s="86"/>
      <c r="D7" s="126" t="str">
        <f>IFERROR(VLOOKUP($A$1&amp;"/"&amp;$B$7&amp;"/"&amp;$A6,TaskTimings[[EmployeeDateSeqCode]:[Task]],2,0),"")</f>
        <v>TKT/Discussion for ticketing modification</v>
      </c>
      <c r="E7" s="126"/>
      <c r="F7" s="126"/>
      <c r="G7" s="126"/>
      <c r="H7" s="23">
        <f>IFERROR(VLOOKUP($A$1&amp;"/"&amp;$B$7&amp;"/"&amp;$A6,TaskTimings[[EmployeeDateSeqCode]:[Total Minutes]],7,0),0)</f>
        <v>59.999999999999943</v>
      </c>
      <c r="I7" s="115">
        <f>SUM(H7:H10)</f>
        <v>419.99999999999989</v>
      </c>
      <c r="J7" s="25"/>
      <c r="K7" s="72">
        <v>1</v>
      </c>
      <c r="L7" s="107" t="str">
        <f>IFERROR(VLOOKUP($K7,$X$7:$Y$30,2,0),"")</f>
        <v>TKT</v>
      </c>
      <c r="M7" s="107"/>
      <c r="N7" s="74">
        <f>SUMIFS($AB$7:$AB$30,$Y$7:$Y$30,$L7)</f>
        <v>89.999999999999915</v>
      </c>
      <c r="O7" s="25"/>
      <c r="P7" s="25"/>
      <c r="Q7" s="25"/>
      <c r="R7" s="25"/>
      <c r="S7" s="25"/>
      <c r="T7" s="25"/>
      <c r="U7" s="14">
        <f>IF(COUNTIFS($D$6:$D7,D7)=1,1,0)</f>
        <v>1</v>
      </c>
      <c r="V7" s="29" t="str">
        <f>IF($U7=0,"",VLOOKUP($D7,TaskTimings[[Task]:[PRJLST]],10,0))</f>
        <v>TKT</v>
      </c>
      <c r="W7" s="14">
        <f>IF($V7="","",COUNTIF($V7:$V$7,$V7))</f>
        <v>1</v>
      </c>
      <c r="X7" s="14">
        <f>IF($W7=1,COUNTA($X$6:$X6)+1,"")</f>
        <v>1</v>
      </c>
      <c r="Y7" s="33" t="str">
        <f>IF($W7="","",$V7)</f>
        <v>TKT</v>
      </c>
      <c r="Z7" s="29" t="str">
        <f>IF($Y7="","",$Y7&amp;"/"&amp;COUNTIF($Y$7:$Y7,$Y7))</f>
        <v>TKT/1</v>
      </c>
      <c r="AA7" s="29" t="str">
        <f>IF($Z7="","",VLOOKUP($D7,TaskTimings[[Task]:[TSKLST]],11,0))</f>
        <v>Discussion for ticketing modification</v>
      </c>
      <c r="AB7" s="29">
        <f>IF($AA7="",0,SUMIFS($H$7:$H$30,$D$7:$D$30,$Y7&amp;"/"&amp;$AA7))</f>
        <v>89.999999999999915</v>
      </c>
    </row>
    <row r="8" spans="1:28">
      <c r="A8" s="14">
        <v>3</v>
      </c>
      <c r="B8" s="84"/>
      <c r="C8" s="87"/>
      <c r="D8" s="116" t="str">
        <f>IFERROR(VLOOKUP($A$1&amp;"/"&amp;$B$7&amp;"/"&amp;$A7,TaskTimings[[EmployeeDateSeqCode]:[Task]],2,0),"")</f>
        <v>PPOIO/Project Study</v>
      </c>
      <c r="E8" s="116"/>
      <c r="F8" s="116"/>
      <c r="G8" s="116"/>
      <c r="H8" s="22">
        <f>IFERROR(VLOOKUP($A$1&amp;"/"&amp;$B$7&amp;"/"&amp;$A7,TaskTimings[[EmployeeDateSeqCode]:[Total Minutes]],7,0),0)</f>
        <v>119.99999999999997</v>
      </c>
      <c r="I8" s="105"/>
      <c r="J8" s="25"/>
      <c r="K8" s="72">
        <v>2</v>
      </c>
      <c r="L8" s="107" t="str">
        <f>IFERROR(VLOOKUP($K8,$X$7:$Y$30,2,0),"")</f>
        <v>PPOIO</v>
      </c>
      <c r="M8" s="107"/>
      <c r="N8" s="74">
        <f>SUMIFS($AB$7:$AB$30,$Y$7:$Y$30,$L8)</f>
        <v>359.99999999999989</v>
      </c>
      <c r="O8" s="25"/>
      <c r="P8" s="25"/>
      <c r="Q8" s="25"/>
      <c r="R8" s="25"/>
      <c r="S8" s="25"/>
      <c r="T8" s="25"/>
      <c r="U8" s="14">
        <f>IF(COUNTIFS($D$6:$D8,D8)=1,1,0)</f>
        <v>1</v>
      </c>
      <c r="V8" s="29" t="str">
        <f>IF($U8=0,"",VLOOKUP($D8,TaskTimings[[Task]:[PRJLST]],10,0))</f>
        <v>PPOIO</v>
      </c>
      <c r="W8" s="14">
        <f>IF($V8="","",COUNTIF($V$7:$V8,$V8))</f>
        <v>1</v>
      </c>
      <c r="X8" s="14">
        <f>IF($W8=1,COUNTA($X$6:$X7)+1,"")</f>
        <v>2</v>
      </c>
      <c r="Y8" s="33" t="str">
        <f t="shared" ref="Y8:Y30" si="0">IF($W8="","",$V8)</f>
        <v>PPOIO</v>
      </c>
      <c r="Z8" s="29" t="str">
        <f>IF($Y8="","",$Y8&amp;"/"&amp;COUNTIF($Y$7:$Y8,$Y8))</f>
        <v>PPOIO/1</v>
      </c>
      <c r="AA8" s="29" t="str">
        <f>IF($Z8="","",VLOOKUP($D8,TaskTimings[[Task]:[TSKLST]],11,0))</f>
        <v>Project Study</v>
      </c>
      <c r="AB8" s="29">
        <f t="shared" ref="AB8:AB30" si="1">IF($AA8="",0,SUMIFS($H$7:$H$30,$D$7:$D$30,$Y8&amp;"/"&amp;$AA8))</f>
        <v>119.99999999999997</v>
      </c>
    </row>
    <row r="9" spans="1:28">
      <c r="A9" s="14">
        <v>4</v>
      </c>
      <c r="B9" s="84"/>
      <c r="C9" s="87"/>
      <c r="D9" s="116" t="str">
        <f>IFERROR(VLOOKUP($A$1&amp;"/"&amp;$B$7&amp;"/"&amp;$A8,TaskTimings[[EmployeeDateSeqCode]:[Task]],2,0),"")</f>
        <v>PPOIO/Business Plan</v>
      </c>
      <c r="E9" s="116"/>
      <c r="F9" s="116"/>
      <c r="G9" s="116"/>
      <c r="H9" s="22">
        <f>IFERROR(VLOOKUP($A$1&amp;"/"&amp;$B$7&amp;"/"&amp;$A8,TaskTimings[[EmployeeDateSeqCode]:[Total Minutes]],7,0),0)</f>
        <v>239.99999999999994</v>
      </c>
      <c r="I9" s="105"/>
      <c r="J9" s="25"/>
      <c r="K9" s="72">
        <v>3</v>
      </c>
      <c r="L9" s="107" t="str">
        <f>IFERROR(VLOOKUP($K9,$X$7:$Y$30,2,0),"")</f>
        <v/>
      </c>
      <c r="M9" s="107"/>
      <c r="N9" s="74">
        <f>SUMIFS($AB$7:$AB$30,$Y$7:$Y$30,$L9)</f>
        <v>0</v>
      </c>
      <c r="O9" s="25"/>
      <c r="P9" s="25"/>
      <c r="Q9" s="25"/>
      <c r="R9" s="25"/>
      <c r="S9" s="25"/>
      <c r="T9" s="25"/>
      <c r="U9" s="14">
        <f>IF(COUNTIFS($D$6:$D9,D9)=1,1,0)</f>
        <v>1</v>
      </c>
      <c r="V9" s="29" t="str">
        <f>IF($U9=0,"",VLOOKUP($D9,TaskTimings[[Task]:[PRJLST]],10,0))</f>
        <v>PPOIO</v>
      </c>
      <c r="W9" s="14">
        <f>IF($V9="","",COUNTIF($V$7:$V9,$V9))</f>
        <v>2</v>
      </c>
      <c r="X9" s="14" t="str">
        <f>IF($W9=1,COUNTA($X$6:$X8)+1,"")</f>
        <v/>
      </c>
      <c r="Y9" s="33" t="str">
        <f t="shared" si="0"/>
        <v>PPOIO</v>
      </c>
      <c r="Z9" s="29" t="str">
        <f>IF($Y9="","",$Y9&amp;"/"&amp;COUNTIF($Y$7:$Y9,$Y9))</f>
        <v>PPOIO/2</v>
      </c>
      <c r="AA9" s="29" t="str">
        <f>IF($Z9="","",VLOOKUP($D9,TaskTimings[[Task]:[TSKLST]],11,0))</f>
        <v>Business Plan</v>
      </c>
      <c r="AB9" s="29">
        <f t="shared" si="1"/>
        <v>239.99999999999994</v>
      </c>
    </row>
    <row r="10" spans="1:28">
      <c r="A10" s="14">
        <v>1</v>
      </c>
      <c r="B10" s="84"/>
      <c r="C10" s="87"/>
      <c r="D10" s="116" t="str">
        <f>IFERROR(VLOOKUP($A$1&amp;"/"&amp;$B$7&amp;"/"&amp;$A9,TaskTimings[[EmployeeDateSeqCode]:[Task]],2,0),"")</f>
        <v/>
      </c>
      <c r="E10" s="116"/>
      <c r="F10" s="116"/>
      <c r="G10" s="116"/>
      <c r="H10" s="22">
        <f>IFERROR(VLOOKUP($A$1&amp;"/"&amp;$B$7&amp;"/"&amp;$A9,TaskTimings[[EmployeeDateSeqCode]:[Total Minutes]],7,0),0)</f>
        <v>0</v>
      </c>
      <c r="I10" s="105"/>
      <c r="J10" s="25"/>
      <c r="K10" s="72">
        <v>4</v>
      </c>
      <c r="L10" s="107" t="str">
        <f>IFERROR(VLOOKUP($K10,$X$7:$Y$30,2,0),"")</f>
        <v/>
      </c>
      <c r="M10" s="107"/>
      <c r="N10" s="74">
        <f>SUMIFS($AB$7:$AB$30,$Y$7:$Y$30,$L10)</f>
        <v>0</v>
      </c>
      <c r="O10" s="25"/>
      <c r="P10" s="25"/>
      <c r="Q10" s="25"/>
      <c r="R10" s="25"/>
      <c r="S10" s="25"/>
      <c r="T10" s="25"/>
      <c r="U10" s="14">
        <f>IF(COUNTIFS($D$6:$D10,D10)=1,1,0)</f>
        <v>0</v>
      </c>
      <c r="V10" s="29" t="str">
        <f>IF($U10=0,"",VLOOKUP($D10,TaskTimings[[Task]:[PRJLST]],10,0))</f>
        <v/>
      </c>
      <c r="W10" s="14" t="str">
        <f>IF($V10="","",COUNTIF($V$7:$V10,$V10))</f>
        <v/>
      </c>
      <c r="X10" s="14" t="str">
        <f>IF($W10=1,COUNTA($X$6:$X9)+1,"")</f>
        <v/>
      </c>
      <c r="Y10" s="33" t="str">
        <f t="shared" si="0"/>
        <v/>
      </c>
      <c r="Z10" s="29" t="str">
        <f>IF($Y10="","",$Y10&amp;"/"&amp;COUNTIF($Y$7:$Y10,$Y10))</f>
        <v/>
      </c>
      <c r="AA10" s="29" t="str">
        <f>IF($Z10="","",VLOOKUP($D10,TaskTimings[[Task]:[TSKLST]],11,0))</f>
        <v/>
      </c>
      <c r="AB10" s="29">
        <f t="shared" si="1"/>
        <v>0</v>
      </c>
    </row>
    <row r="11" spans="1:28" ht="15.75" thickBot="1">
      <c r="A11" s="14">
        <v>2</v>
      </c>
      <c r="B11" s="117">
        <f>B7+1</f>
        <v>43431</v>
      </c>
      <c r="C11" s="87"/>
      <c r="D11" s="116" t="str">
        <f>IFERROR(VLOOKUP($A$1&amp;"/"&amp;$B$11&amp;"/"&amp;$A10,TaskTimings[[EmployeeDateSeqCode]:[Task]],2,0),"")</f>
        <v>TEEBPD/Client Suggestion Implementation</v>
      </c>
      <c r="E11" s="116"/>
      <c r="F11" s="116"/>
      <c r="G11" s="116"/>
      <c r="H11" s="22">
        <f>IFERROR(VLOOKUP($A$1&amp;"/"&amp;$B$11&amp;"/"&amp;$A10,TaskTimings[[EmployeeDateSeqCode]:[Total Minutes]],7,0),0)</f>
        <v>480.00000000000006</v>
      </c>
      <c r="I11" s="105">
        <f t="shared" ref="I11" si="2">SUM(H11:H14)</f>
        <v>480.00000000000006</v>
      </c>
      <c r="J11" s="25"/>
      <c r="K11" s="73">
        <v>5</v>
      </c>
      <c r="L11" s="110" t="str">
        <f>IFERROR(VLOOKUP($K11,$X$7:$Y$30,2,0),"")</f>
        <v>TEEBPD</v>
      </c>
      <c r="M11" s="110"/>
      <c r="N11" s="75">
        <f>SUMIFS($AB$7:$AB$30,$Y$7:$Y$30,$L11)</f>
        <v>1500</v>
      </c>
      <c r="O11" s="25"/>
      <c r="P11" s="25"/>
      <c r="Q11" s="25"/>
      <c r="R11" s="25"/>
      <c r="S11" s="25"/>
      <c r="T11" s="25"/>
      <c r="U11" s="14">
        <f>IF(COUNTIFS($D$6:$D11,D11)=1,1,0)</f>
        <v>1</v>
      </c>
      <c r="V11" s="29" t="str">
        <f>IF($U11=0,"",VLOOKUP($D11,TaskTimings[[Task]:[PRJLST]],10,0))</f>
        <v>TEEBPD</v>
      </c>
      <c r="W11" s="14">
        <f>IF($V11="","",COUNTIF($V$7:$V11,$V11))</f>
        <v>1</v>
      </c>
      <c r="X11" s="14">
        <f>IF($W11=1,COUNTA($X$6:$X10)+1,"")</f>
        <v>5</v>
      </c>
      <c r="Y11" s="33" t="str">
        <f t="shared" si="0"/>
        <v>TEEBPD</v>
      </c>
      <c r="Z11" s="29" t="str">
        <f>IF($Y11="","",$Y11&amp;"/"&amp;COUNTIF($Y$7:$Y11,$Y11))</f>
        <v>TEEBPD/1</v>
      </c>
      <c r="AA11" s="29" t="str">
        <f>IF($Z11="","",VLOOKUP($D11,TaskTimings[[Task]:[TSKLST]],11,0))</f>
        <v>Client Suggestion Implementation</v>
      </c>
      <c r="AB11" s="29">
        <f t="shared" si="1"/>
        <v>600.00000000000011</v>
      </c>
    </row>
    <row r="12" spans="1:28">
      <c r="A12" s="14">
        <v>3</v>
      </c>
      <c r="B12" s="84"/>
      <c r="C12" s="87"/>
      <c r="D12" s="116" t="str">
        <f>IFERROR(VLOOKUP($A$1&amp;"/"&amp;$B$11&amp;"/"&amp;$A11,TaskTimings[[EmployeeDateSeqCode]:[Task]],2,0),"")</f>
        <v/>
      </c>
      <c r="E12" s="116"/>
      <c r="F12" s="116"/>
      <c r="G12" s="116"/>
      <c r="H12" s="22">
        <f>IFERROR(VLOOKUP($A$1&amp;"/"&amp;$B$11&amp;"/"&amp;$A11,TaskTimings[[EmployeeDateSeqCode]:[Total Minutes]],7,0),0)</f>
        <v>0</v>
      </c>
      <c r="I12" s="10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14">
        <f>IF(COUNTIFS($D$6:$D12,D12)=1,1,0)</f>
        <v>0</v>
      </c>
      <c r="V12" s="29" t="str">
        <f>IF($U12=0,"",VLOOKUP($D12,TaskTimings[[Task]:[PRJLST]],10,0))</f>
        <v/>
      </c>
      <c r="W12" s="14" t="str">
        <f>IF($V12="","",COUNTIF($V$7:$V12,$V12))</f>
        <v/>
      </c>
      <c r="X12" s="14" t="str">
        <f>IF($W12=1,COUNTA($X$6:$X11)+1,"")</f>
        <v/>
      </c>
      <c r="Y12" s="33" t="str">
        <f t="shared" si="0"/>
        <v/>
      </c>
      <c r="Z12" s="29" t="str">
        <f>IF($Y12="","",$Y12&amp;"/"&amp;COUNTIF($Y$7:$Y12,$Y12))</f>
        <v/>
      </c>
      <c r="AA12" s="29" t="str">
        <f>IF($Z12="","",VLOOKUP($D12,TaskTimings[[Task]:[TSKLST]],11,0))</f>
        <v/>
      </c>
      <c r="AB12" s="29">
        <f t="shared" si="1"/>
        <v>0</v>
      </c>
    </row>
    <row r="13" spans="1:28">
      <c r="A13" s="14">
        <v>4</v>
      </c>
      <c r="B13" s="84"/>
      <c r="C13" s="87"/>
      <c r="D13" s="116" t="str">
        <f>IFERROR(VLOOKUP($A$1&amp;"/"&amp;$B$11&amp;"/"&amp;$A12,TaskTimings[[EmployeeDateSeqCode]:[Task]],2,0),"")</f>
        <v/>
      </c>
      <c r="E13" s="116"/>
      <c r="F13" s="116"/>
      <c r="G13" s="116"/>
      <c r="H13" s="22">
        <f>IFERROR(VLOOKUP($A$1&amp;"/"&amp;$B$11&amp;"/"&amp;$A12,TaskTimings[[EmployeeDateSeqCode]:[Total Minutes]],7,0),0)</f>
        <v>0</v>
      </c>
      <c r="I13" s="105"/>
      <c r="J13" s="25"/>
      <c r="K13" s="120" t="s">
        <v>46</v>
      </c>
      <c r="L13" s="120"/>
      <c r="M13" s="120"/>
      <c r="N13" s="120"/>
      <c r="O13" s="25"/>
      <c r="P13" s="25"/>
      <c r="Q13" s="25"/>
      <c r="R13" s="25"/>
      <c r="S13" s="25"/>
      <c r="T13" s="25"/>
      <c r="U13" s="14">
        <f>IF(COUNTIFS($D$6:$D13,D13)=1,1,0)</f>
        <v>0</v>
      </c>
      <c r="V13" s="29" t="str">
        <f>IF($U13=0,"",VLOOKUP($D13,TaskTimings[[Task]:[PRJLST]],10,0))</f>
        <v/>
      </c>
      <c r="W13" s="14" t="str">
        <f>IF($V13="","",COUNTIF($V$7:$V13,$V13))</f>
        <v/>
      </c>
      <c r="X13" s="14" t="str">
        <f>IF($W13=1,COUNTA($X$6:$X12)+1,"")</f>
        <v/>
      </c>
      <c r="Y13" s="33" t="str">
        <f t="shared" si="0"/>
        <v/>
      </c>
      <c r="Z13" s="29" t="str">
        <f>IF($Y13="","",$Y13&amp;"/"&amp;COUNTIF($Y$7:$Y13,$Y13))</f>
        <v/>
      </c>
      <c r="AA13" s="29" t="str">
        <f>IF($Z13="","",VLOOKUP($D13,TaskTimings[[Task]:[TSKLST]],11,0))</f>
        <v/>
      </c>
      <c r="AB13" s="29">
        <f t="shared" si="1"/>
        <v>0</v>
      </c>
    </row>
    <row r="14" spans="1:28" ht="15.75" thickBot="1">
      <c r="A14" s="14">
        <v>1</v>
      </c>
      <c r="B14" s="84"/>
      <c r="C14" s="87"/>
      <c r="D14" s="116" t="str">
        <f>IFERROR(VLOOKUP($A$1&amp;"/"&amp;$B$11&amp;"/"&amp;$A13,TaskTimings[[EmployeeDateSeqCode]:[Task]],2,0),"")</f>
        <v/>
      </c>
      <c r="E14" s="116"/>
      <c r="F14" s="116"/>
      <c r="G14" s="116"/>
      <c r="H14" s="22">
        <f>IFERROR(VLOOKUP($A$1&amp;"/"&amp;$B$11&amp;"/"&amp;$A13,TaskTimings[[EmployeeDateSeqCode]:[Total Minutes]],7,0),0)</f>
        <v>0</v>
      </c>
      <c r="I14" s="105"/>
      <c r="J14" s="25"/>
      <c r="K14" s="121"/>
      <c r="L14" s="121"/>
      <c r="M14" s="121"/>
      <c r="N14" s="121"/>
      <c r="O14" s="25"/>
      <c r="P14" s="25"/>
      <c r="Q14" s="25"/>
      <c r="R14" s="25"/>
      <c r="S14" s="25"/>
      <c r="T14" s="25"/>
      <c r="U14" s="14">
        <f>IF(COUNTIFS($D$6:$D14,D14)=1,1,0)</f>
        <v>0</v>
      </c>
      <c r="V14" s="29" t="str">
        <f>IF($U14=0,"",VLOOKUP($D14,TaskTimings[[Task]:[PRJLST]],10,0))</f>
        <v/>
      </c>
      <c r="W14" s="14" t="str">
        <f>IF($V14="","",COUNTIF($V$7:$V14,$V14))</f>
        <v/>
      </c>
      <c r="X14" s="14" t="str">
        <f>IF($W14=1,COUNTA($X$6:$X13)+1,"")</f>
        <v/>
      </c>
      <c r="Y14" s="33" t="str">
        <f t="shared" si="0"/>
        <v/>
      </c>
      <c r="Z14" s="29" t="str">
        <f>IF($Y14="","",$Y14&amp;"/"&amp;COUNTIF($Y$7:$Y14,$Y14))</f>
        <v/>
      </c>
      <c r="AA14" s="29" t="str">
        <f>IF($Z14="","",VLOOKUP($D14,TaskTimings[[Task]:[TSKLST]],11,0))</f>
        <v/>
      </c>
      <c r="AB14" s="29">
        <f t="shared" si="1"/>
        <v>0</v>
      </c>
    </row>
    <row r="15" spans="1:28">
      <c r="A15" s="14">
        <v>2</v>
      </c>
      <c r="B15" s="117">
        <f>B11+1</f>
        <v>43432</v>
      </c>
      <c r="C15" s="87"/>
      <c r="D15" s="116" t="str">
        <f>IFERROR(VLOOKUP($A$1&amp;"/"&amp;$B$15&amp;"/"&amp;$A14,TaskTimings[[EmployeeDateSeqCode]:[Task]],2,0),"")</f>
        <v>MITWEB/Modification</v>
      </c>
      <c r="E15" s="116"/>
      <c r="F15" s="116"/>
      <c r="G15" s="116"/>
      <c r="H15" s="22">
        <f>IFERROR(VLOOKUP($A$1&amp;"/"&amp;$B$15&amp;"/"&amp;$A14,TaskTimings[[EmployeeDateSeqCode]:[Total Minutes]],7,0),0)</f>
        <v>60.000000000000028</v>
      </c>
      <c r="I15" s="105">
        <f t="shared" ref="I15" si="3">SUM(H15:H18)</f>
        <v>210.00000000000006</v>
      </c>
      <c r="J15" s="25"/>
      <c r="K15" s="112" t="s">
        <v>4</v>
      </c>
      <c r="L15" s="111"/>
      <c r="M15" s="111" t="s">
        <v>29</v>
      </c>
      <c r="N15" s="111"/>
      <c r="O15" s="111"/>
      <c r="P15" s="111"/>
      <c r="Q15" s="23" t="s">
        <v>42</v>
      </c>
      <c r="R15" s="27" t="s">
        <v>24</v>
      </c>
      <c r="S15" s="25"/>
      <c r="T15" s="25"/>
      <c r="U15" s="14">
        <f>IF(COUNTIFS($D$6:$D15,D15)=1,1,0)</f>
        <v>1</v>
      </c>
      <c r="V15" s="29" t="str">
        <f>IF($U15=0,"",VLOOKUP($D15,TaskTimings[[Task]:[PRJLST]],10,0))</f>
        <v>MITWEB</v>
      </c>
      <c r="W15" s="14">
        <f>IF($V15="","",COUNTIF($V$7:$V15,$V15))</f>
        <v>1</v>
      </c>
      <c r="X15" s="14">
        <f>IF($W15=1,COUNTA($X$6:$X14)+1,"")</f>
        <v>9</v>
      </c>
      <c r="Y15" s="33" t="str">
        <f t="shared" si="0"/>
        <v>MITWEB</v>
      </c>
      <c r="Z15" s="29" t="str">
        <f>IF($Y15="","",$Y15&amp;"/"&amp;COUNTIF($Y$7:$Y15,$Y15))</f>
        <v>MITWEB/1</v>
      </c>
      <c r="AA15" s="29" t="str">
        <f>IF($Z15="","",VLOOKUP($D15,TaskTimings[[Task]:[TSKLST]],11,0))</f>
        <v>Modification</v>
      </c>
      <c r="AB15" s="29">
        <f t="shared" si="1"/>
        <v>180</v>
      </c>
    </row>
    <row r="16" spans="1:28">
      <c r="A16" s="14">
        <v>3</v>
      </c>
      <c r="B16" s="84"/>
      <c r="C16" s="87"/>
      <c r="D16" s="116" t="str">
        <f>IFERROR(VLOOKUP($A$1&amp;"/"&amp;$B$15&amp;"/"&amp;$A15,TaskTimings[[EmployeeDateSeqCode]:[Task]],2,0),"")</f>
        <v>TKT/Discussion for ticketing modification</v>
      </c>
      <c r="E16" s="116"/>
      <c r="F16" s="116"/>
      <c r="G16" s="116"/>
      <c r="H16" s="22">
        <f>IFERROR(VLOOKUP($A$1&amp;"/"&amp;$B$15&amp;"/"&amp;$A15,TaskTimings[[EmployeeDateSeqCode]:[Total Minutes]],7,0),0)</f>
        <v>29.999999999999972</v>
      </c>
      <c r="I16" s="105"/>
      <c r="J16" s="26">
        <v>1</v>
      </c>
      <c r="K16" s="108" t="str">
        <f>VLOOKUP(1,$K$7:$M$11,2,0)</f>
        <v>TKT</v>
      </c>
      <c r="L16" s="88"/>
      <c r="M16" s="107" t="str">
        <f>IF($K$16="","",IFERROR(VLOOKUP($K$16&amp;"/"&amp;$J16,$Z$7:$AA$30,2,0),""))</f>
        <v>Discussion for ticketing modification</v>
      </c>
      <c r="N16" s="107"/>
      <c r="O16" s="107"/>
      <c r="P16" s="107"/>
      <c r="Q16" s="22">
        <f>IF($M16="","",SUMIFS($H$7:$H$30,$D$7:$D$30,$K$16&amp;"/"&amp;$M16))</f>
        <v>89.999999999999915</v>
      </c>
      <c r="R16" s="105">
        <f>SUM(Q16:Q19)</f>
        <v>89.999999999999915</v>
      </c>
      <c r="S16" s="31"/>
      <c r="T16" s="32"/>
      <c r="U16" s="14">
        <f>IF(COUNTIFS($D$6:$D16,D16)=1,1,0)</f>
        <v>0</v>
      </c>
      <c r="V16" s="29" t="str">
        <f>IF($U16=0,"",VLOOKUP($D16,TaskTimings[[Task]:[PRJLST]],10,0))</f>
        <v/>
      </c>
      <c r="W16" s="14" t="str">
        <f>IF($V16="","",COUNTIF($V$7:$V16,$V16))</f>
        <v/>
      </c>
      <c r="X16" s="14" t="str">
        <f>IF($W16=1,COUNTA($X$6:$X15)+1,"")</f>
        <v/>
      </c>
      <c r="Y16" s="33" t="str">
        <f t="shared" si="0"/>
        <v/>
      </c>
      <c r="Z16" s="29" t="str">
        <f>IF($Y16="","",$Y16&amp;"/"&amp;COUNTIF($Y$7:$Y16,$Y16))</f>
        <v/>
      </c>
      <c r="AA16" s="29" t="str">
        <f>IF($Z16="","",VLOOKUP($D16,TaskTimings[[Task]:[TSKLST]],11,0))</f>
        <v/>
      </c>
      <c r="AB16" s="29">
        <f t="shared" si="1"/>
        <v>0</v>
      </c>
    </row>
    <row r="17" spans="1:28">
      <c r="A17" s="14">
        <v>4</v>
      </c>
      <c r="B17" s="84"/>
      <c r="C17" s="87"/>
      <c r="D17" s="116" t="str">
        <f>IFERROR(VLOOKUP($A$1&amp;"/"&amp;$B$15&amp;"/"&amp;$A16,TaskTimings[[EmployeeDateSeqCode]:[Task]],2,0),"")</f>
        <v>TEEBPD/Finalizing</v>
      </c>
      <c r="E17" s="116"/>
      <c r="F17" s="116"/>
      <c r="G17" s="116"/>
      <c r="H17" s="22">
        <f>IFERROR(VLOOKUP($A$1&amp;"/"&amp;$B$15&amp;"/"&amp;$A16,TaskTimings[[EmployeeDateSeqCode]:[Total Minutes]],7,0),0)</f>
        <v>120.00000000000006</v>
      </c>
      <c r="I17" s="105"/>
      <c r="J17" s="26">
        <v>2</v>
      </c>
      <c r="K17" s="108"/>
      <c r="L17" s="88"/>
      <c r="M17" s="107" t="str">
        <f>IF($K$16="","",IFERROR(VLOOKUP($K$16&amp;"/"&amp;$J17,$Z$7:$AA$30,2,0),""))</f>
        <v/>
      </c>
      <c r="N17" s="107"/>
      <c r="O17" s="107"/>
      <c r="P17" s="107"/>
      <c r="Q17" s="22" t="str">
        <f>IF($M17="","",SUMIFS($H$7:$H$30,$D$7:$D$30,$K$16&amp;"/"&amp;$M17))</f>
        <v/>
      </c>
      <c r="R17" s="105"/>
      <c r="S17" s="31"/>
      <c r="T17" s="32"/>
      <c r="U17" s="14">
        <f>IF(COUNTIFS($D$6:$D17,D17)=1,1,0)</f>
        <v>1</v>
      </c>
      <c r="V17" s="29" t="str">
        <f>IF($U17=0,"",VLOOKUP($D17,TaskTimings[[Task]:[PRJLST]],10,0))</f>
        <v>TEEBPD</v>
      </c>
      <c r="W17" s="14">
        <f>IF($V17="","",COUNTIF($V$7:$V17,$V17))</f>
        <v>2</v>
      </c>
      <c r="X17" s="14" t="str">
        <f>IF($W17=1,COUNTA($X$6:$X16)+1,"")</f>
        <v/>
      </c>
      <c r="Y17" s="33" t="str">
        <f t="shared" si="0"/>
        <v>TEEBPD</v>
      </c>
      <c r="Z17" s="29" t="str">
        <f>IF($Y17="","",$Y17&amp;"/"&amp;COUNTIF($Y$7:$Y17,$Y17))</f>
        <v>TEEBPD/2</v>
      </c>
      <c r="AA17" s="29" t="str">
        <f>IF($Z17="","",VLOOKUP($D17,TaskTimings[[Task]:[TSKLST]],11,0))</f>
        <v>Finalizing</v>
      </c>
      <c r="AB17" s="29">
        <f t="shared" si="1"/>
        <v>720</v>
      </c>
    </row>
    <row r="18" spans="1:28">
      <c r="A18" s="14">
        <v>1</v>
      </c>
      <c r="B18" s="84"/>
      <c r="C18" s="87"/>
      <c r="D18" s="116" t="str">
        <f>IFERROR(VLOOKUP($A$1&amp;"/"&amp;$B$15&amp;"/"&amp;$A17,TaskTimings[[EmployeeDateSeqCode]:[Task]],2,0),"")</f>
        <v/>
      </c>
      <c r="E18" s="116"/>
      <c r="F18" s="116"/>
      <c r="G18" s="116"/>
      <c r="H18" s="22">
        <f>IFERROR(VLOOKUP($A$1&amp;"/"&amp;$B$15&amp;"/"&amp;$A17,TaskTimings[[EmployeeDateSeqCode]:[Total Minutes]],7,0),0)</f>
        <v>0</v>
      </c>
      <c r="I18" s="105"/>
      <c r="J18" s="26">
        <v>3</v>
      </c>
      <c r="K18" s="108"/>
      <c r="L18" s="88"/>
      <c r="M18" s="107" t="str">
        <f>IF($K$16="","",IFERROR(VLOOKUP($K$16&amp;"/"&amp;$J18,$Z$7:$AA$30,2,0),""))</f>
        <v/>
      </c>
      <c r="N18" s="107"/>
      <c r="O18" s="107"/>
      <c r="P18" s="107"/>
      <c r="Q18" s="22" t="str">
        <f>IF($M18="","",SUMIFS($H$7:$H$30,$D$7:$D$30,$K$16&amp;"/"&amp;$M18))</f>
        <v/>
      </c>
      <c r="R18" s="105"/>
      <c r="S18" s="31"/>
      <c r="T18" s="32"/>
      <c r="U18" s="14">
        <f>IF(COUNTIFS($D$6:$D18,D18)=1,1,0)</f>
        <v>0</v>
      </c>
      <c r="V18" s="29" t="str">
        <f>IF($U18=0,"",VLOOKUP($D18,TaskTimings[[Task]:[PRJLST]],10,0))</f>
        <v/>
      </c>
      <c r="W18" s="14" t="str">
        <f>IF($V18="","",COUNTIF($V$7:$V18,$V18))</f>
        <v/>
      </c>
      <c r="X18" s="14" t="str">
        <f>IF($W18=1,COUNTA($X$6:$X17)+1,"")</f>
        <v/>
      </c>
      <c r="Y18" s="33" t="str">
        <f t="shared" si="0"/>
        <v/>
      </c>
      <c r="Z18" s="29" t="str">
        <f>IF($Y18="","",$Y18&amp;"/"&amp;COUNTIF($Y$7:$Y18,$Y18))</f>
        <v/>
      </c>
      <c r="AA18" s="29" t="str">
        <f>IF($Z18="","",VLOOKUP($D18,TaskTimings[[Task]:[TSKLST]],11,0))</f>
        <v/>
      </c>
      <c r="AB18" s="29">
        <f t="shared" si="1"/>
        <v>0</v>
      </c>
    </row>
    <row r="19" spans="1:28">
      <c r="A19" s="14">
        <v>2</v>
      </c>
      <c r="B19" s="117">
        <f>B15+1</f>
        <v>43433</v>
      </c>
      <c r="C19" s="87"/>
      <c r="D19" s="116" t="str">
        <f>IFERROR(VLOOKUP($A$1&amp;"/"&amp;$B$19&amp;"/"&amp;$A18,TaskTimings[[EmployeeDateSeqCode]:[Task]],2,0),"")</f>
        <v>TEEBPD/Finalizing</v>
      </c>
      <c r="E19" s="116"/>
      <c r="F19" s="116"/>
      <c r="G19" s="116"/>
      <c r="H19" s="22">
        <f>IFERROR(VLOOKUP($A$1&amp;"/"&amp;$B$19&amp;"/"&amp;$A18,TaskTimings[[EmployeeDateSeqCode]:[Total Minutes]],7,0),0)</f>
        <v>420</v>
      </c>
      <c r="I19" s="105">
        <f t="shared" ref="I19" si="4">SUM(H19:H22)</f>
        <v>420</v>
      </c>
      <c r="J19" s="26">
        <v>4</v>
      </c>
      <c r="K19" s="108"/>
      <c r="L19" s="88"/>
      <c r="M19" s="107" t="str">
        <f>IF($K$16="","",IFERROR(VLOOKUP($K$16&amp;"/"&amp;$J19,$Z$7:$AA$30,2,0),""))</f>
        <v/>
      </c>
      <c r="N19" s="107"/>
      <c r="O19" s="107"/>
      <c r="P19" s="107"/>
      <c r="Q19" s="22" t="str">
        <f>IF($M19="","",SUMIFS($H$7:$H$30,$D$7:$D$30,$K$16&amp;"/"&amp;$M19))</f>
        <v/>
      </c>
      <c r="R19" s="105"/>
      <c r="S19" s="31"/>
      <c r="T19" s="32"/>
      <c r="U19" s="14">
        <f>IF(COUNTIFS($D$6:$D19,D19)=1,1,0)</f>
        <v>0</v>
      </c>
      <c r="V19" s="29" t="str">
        <f>IF($U19=0,"",VLOOKUP($D19,TaskTimings[[Task]:[PRJLST]],10,0))</f>
        <v/>
      </c>
      <c r="W19" s="14" t="str">
        <f>IF($V19="","",COUNTIF($V$7:$V19,$V19))</f>
        <v/>
      </c>
      <c r="X19" s="14" t="str">
        <f>IF($W19=1,COUNTA($X$6:$X18)+1,"")</f>
        <v/>
      </c>
      <c r="Y19" s="33" t="str">
        <f t="shared" si="0"/>
        <v/>
      </c>
      <c r="Z19" s="29" t="str">
        <f>IF($Y19="","",$Y19&amp;"/"&amp;COUNTIF($Y$7:$Y19,$Y19))</f>
        <v/>
      </c>
      <c r="AA19" s="29" t="str">
        <f>IF($Z19="","",VLOOKUP($D19,TaskTimings[[Task]:[TSKLST]],11,0))</f>
        <v/>
      </c>
      <c r="AB19" s="29">
        <f t="shared" si="1"/>
        <v>0</v>
      </c>
    </row>
    <row r="20" spans="1:28">
      <c r="A20" s="14">
        <v>3</v>
      </c>
      <c r="B20" s="84"/>
      <c r="C20" s="87"/>
      <c r="D20" s="116" t="str">
        <f>IFERROR(VLOOKUP($A$1&amp;"/"&amp;$B$19&amp;"/"&amp;$A19,TaskTimings[[EmployeeDateSeqCode]:[Task]],2,0),"")</f>
        <v/>
      </c>
      <c r="E20" s="116"/>
      <c r="F20" s="116"/>
      <c r="G20" s="116"/>
      <c r="H20" s="22">
        <f>IFERROR(VLOOKUP($A$1&amp;"/"&amp;$B$19&amp;"/"&amp;$A19,TaskTimings[[EmployeeDateSeqCode]:[Total Minutes]],7,0),0)</f>
        <v>0</v>
      </c>
      <c r="I20" s="105"/>
      <c r="J20" s="26">
        <v>1</v>
      </c>
      <c r="K20" s="108" t="str">
        <f>VLOOKUP(2,$K$7:$M$11,2,0)</f>
        <v>PPOIO</v>
      </c>
      <c r="L20" s="88"/>
      <c r="M20" s="107" t="str">
        <f>IF($K$20="","",IFERROR(VLOOKUP($K$20&amp;"/"&amp;$J20,$Z$7:$AA$30,2,0),""))</f>
        <v>Project Study</v>
      </c>
      <c r="N20" s="107"/>
      <c r="O20" s="107"/>
      <c r="P20" s="107"/>
      <c r="Q20" s="22">
        <f>IF($M20="","",SUMIFS($H$7:$H$30,$D$7:$D$30,$K$20&amp;"/"&amp;$M20))</f>
        <v>119.99999999999997</v>
      </c>
      <c r="R20" s="105">
        <f t="shared" ref="R20" si="5">SUM(Q20:Q23)</f>
        <v>359.99999999999989</v>
      </c>
      <c r="S20" s="25"/>
      <c r="T20" s="25"/>
      <c r="U20" s="14">
        <f>IF(COUNTIFS($D$6:$D20,D20)=1,1,0)</f>
        <v>0</v>
      </c>
      <c r="V20" s="29" t="str">
        <f>IF($U20=0,"",VLOOKUP($D20,TaskTimings[[Task]:[PRJLST]],10,0))</f>
        <v/>
      </c>
      <c r="W20" s="14" t="str">
        <f>IF($V20="","",COUNTIF($V$7:$V20,$V20))</f>
        <v/>
      </c>
      <c r="X20" s="14" t="str">
        <f>IF($W20=1,COUNTA($X$6:$X19)+1,"")</f>
        <v/>
      </c>
      <c r="Y20" s="33" t="str">
        <f t="shared" si="0"/>
        <v/>
      </c>
      <c r="Z20" s="29" t="str">
        <f>IF($Y20="","",$Y20&amp;"/"&amp;COUNTIF($Y$7:$Y20,$Y20))</f>
        <v/>
      </c>
      <c r="AA20" s="29" t="str">
        <f>IF($Z20="","",VLOOKUP($D20,TaskTimings[[Task]:[TSKLST]],11,0))</f>
        <v/>
      </c>
      <c r="AB20" s="29">
        <f t="shared" si="1"/>
        <v>0</v>
      </c>
    </row>
    <row r="21" spans="1:28">
      <c r="A21" s="14">
        <v>4</v>
      </c>
      <c r="B21" s="84"/>
      <c r="C21" s="87"/>
      <c r="D21" s="116" t="str">
        <f>IFERROR(VLOOKUP($A$1&amp;"/"&amp;$B$19&amp;"/"&amp;$A20,TaskTimings[[EmployeeDateSeqCode]:[Task]],2,0),"")</f>
        <v/>
      </c>
      <c r="E21" s="116"/>
      <c r="F21" s="116"/>
      <c r="G21" s="116"/>
      <c r="H21" s="22">
        <f>IFERROR(VLOOKUP($A$1&amp;"/"&amp;$B$19&amp;"/"&amp;$A20,TaskTimings[[EmployeeDateSeqCode]:[Total Minutes]],7,0),0)</f>
        <v>0</v>
      </c>
      <c r="I21" s="105"/>
      <c r="J21" s="26">
        <v>2</v>
      </c>
      <c r="K21" s="108"/>
      <c r="L21" s="88"/>
      <c r="M21" s="107" t="str">
        <f>IF($K$20="","",IFERROR(VLOOKUP($K$20&amp;"/"&amp;$J21,$Z$7:$AA$30,2,0),""))</f>
        <v>Business Plan</v>
      </c>
      <c r="N21" s="107"/>
      <c r="O21" s="107"/>
      <c r="P21" s="107"/>
      <c r="Q21" s="22">
        <f>IF($M21="","",SUMIFS($H$7:$H$30,$D$7:$D$30,$K$20&amp;"/"&amp;$M21))</f>
        <v>239.99999999999994</v>
      </c>
      <c r="R21" s="105"/>
      <c r="S21" s="25"/>
      <c r="T21" s="25"/>
      <c r="U21" s="14">
        <f>IF(COUNTIFS($D$6:$D21,D21)=1,1,0)</f>
        <v>0</v>
      </c>
      <c r="V21" s="29" t="str">
        <f>IF($U21=0,"",VLOOKUP($D21,TaskTimings[[Task]:[PRJLST]],10,0))</f>
        <v/>
      </c>
      <c r="W21" s="14" t="str">
        <f>IF($V21="","",COUNTIF($V$7:$V21,$V21))</f>
        <v/>
      </c>
      <c r="X21" s="14" t="str">
        <f>IF($W21=1,COUNTA($X$6:$X20)+1,"")</f>
        <v/>
      </c>
      <c r="Y21" s="33" t="str">
        <f t="shared" si="0"/>
        <v/>
      </c>
      <c r="Z21" s="29" t="str">
        <f>IF($Y21="","",$Y21&amp;"/"&amp;COUNTIF($Y$7:$Y21,$Y21))</f>
        <v/>
      </c>
      <c r="AA21" s="29" t="str">
        <f>IF($Z21="","",VLOOKUP($D21,TaskTimings[[Task]:[TSKLST]],11,0))</f>
        <v/>
      </c>
      <c r="AB21" s="29">
        <f t="shared" si="1"/>
        <v>0</v>
      </c>
    </row>
    <row r="22" spans="1:28">
      <c r="A22" s="14">
        <v>1</v>
      </c>
      <c r="B22" s="84"/>
      <c r="C22" s="87"/>
      <c r="D22" s="116" t="str">
        <f>IFERROR(VLOOKUP($A$1&amp;"/"&amp;$B$19&amp;"/"&amp;$A21,TaskTimings[[EmployeeDateSeqCode]:[Task]],2,0),"")</f>
        <v/>
      </c>
      <c r="E22" s="116"/>
      <c r="F22" s="116"/>
      <c r="G22" s="116"/>
      <c r="H22" s="22">
        <f>IFERROR(VLOOKUP($A$1&amp;"/"&amp;$B$19&amp;"/"&amp;$A21,TaskTimings[[EmployeeDateSeqCode]:[Total Minutes]],7,0),0)</f>
        <v>0</v>
      </c>
      <c r="I22" s="105"/>
      <c r="J22" s="26">
        <v>3</v>
      </c>
      <c r="K22" s="108"/>
      <c r="L22" s="88"/>
      <c r="M22" s="107" t="str">
        <f>IF($K$20="","",IFERROR(VLOOKUP($K$20&amp;"/"&amp;$J22,$Z$7:$AA$30,2,0),""))</f>
        <v/>
      </c>
      <c r="N22" s="107"/>
      <c r="O22" s="107"/>
      <c r="P22" s="107"/>
      <c r="Q22" s="22" t="str">
        <f>IF($M22="","",SUMIFS($H$7:$H$30,$D$7:$D$30,$K$20&amp;"/"&amp;$M22))</f>
        <v/>
      </c>
      <c r="R22" s="105"/>
      <c r="S22" s="25"/>
      <c r="T22" s="25"/>
      <c r="U22" s="14">
        <f>IF(COUNTIFS($D$6:$D22,D22)=1,1,0)</f>
        <v>0</v>
      </c>
      <c r="V22" s="29" t="str">
        <f>IF($U22=0,"",VLOOKUP($D22,TaskTimings[[Task]:[PRJLST]],10,0))</f>
        <v/>
      </c>
      <c r="W22" s="14" t="str">
        <f>IF($V22="","",COUNTIF($V$7:$V22,$V22))</f>
        <v/>
      </c>
      <c r="X22" s="14" t="str">
        <f>IF($W22=1,COUNTA($X$6:$X21)+1,"")</f>
        <v/>
      </c>
      <c r="Y22" s="33" t="str">
        <f t="shared" si="0"/>
        <v/>
      </c>
      <c r="Z22" s="29" t="str">
        <f>IF($Y22="","",$Y22&amp;"/"&amp;COUNTIF($Y$7:$Y22,$Y22))</f>
        <v/>
      </c>
      <c r="AA22" s="29" t="str">
        <f>IF($Z22="","",VLOOKUP($D22,TaskTimings[[Task]:[TSKLST]],11,0))</f>
        <v/>
      </c>
      <c r="AB22" s="29">
        <f t="shared" si="1"/>
        <v>0</v>
      </c>
    </row>
    <row r="23" spans="1:28">
      <c r="A23" s="14">
        <v>2</v>
      </c>
      <c r="B23" s="117">
        <f>B19+1</f>
        <v>43434</v>
      </c>
      <c r="C23" s="87"/>
      <c r="D23" s="116" t="str">
        <f>IFERROR(VLOOKUP($A$1&amp;"/"&amp;$B$23&amp;"/"&amp;$A22,TaskTimings[[EmployeeDateSeqCode]:[Task]],2,0),"")</f>
        <v>TEEBPD/Finalizing</v>
      </c>
      <c r="E23" s="116"/>
      <c r="F23" s="116"/>
      <c r="G23" s="116"/>
      <c r="H23" s="22">
        <f>IFERROR(VLOOKUP($A$1&amp;"/"&amp;$B$23&amp;"/"&amp;$A22,TaskTimings[[EmployeeDateSeqCode]:[Total Minutes]],7,0),0)</f>
        <v>180</v>
      </c>
      <c r="I23" s="105">
        <f t="shared" ref="I23" si="6">SUM(H23:H26)</f>
        <v>360</v>
      </c>
      <c r="J23" s="26">
        <v>4</v>
      </c>
      <c r="K23" s="108"/>
      <c r="L23" s="88"/>
      <c r="M23" s="107" t="str">
        <f>IF($K$20="","",IFERROR(VLOOKUP($K$20&amp;"/"&amp;$J23,$Z$7:$AA$30,2,0),""))</f>
        <v/>
      </c>
      <c r="N23" s="107"/>
      <c r="O23" s="107"/>
      <c r="P23" s="107"/>
      <c r="Q23" s="22" t="str">
        <f>IF($M23="","",SUMIFS($H$7:$H$30,$D$7:$D$30,$K$20&amp;"/"&amp;$M23))</f>
        <v/>
      </c>
      <c r="R23" s="105"/>
      <c r="S23" s="25"/>
      <c r="T23" s="25"/>
      <c r="U23" s="14">
        <f>IF(COUNTIFS($D$6:$D23,D23)=1,1,0)</f>
        <v>0</v>
      </c>
      <c r="V23" s="29" t="str">
        <f>IF($U23=0,"",VLOOKUP($D23,TaskTimings[[Task]:[PRJLST]],10,0))</f>
        <v/>
      </c>
      <c r="W23" s="14" t="str">
        <f>IF($V23="","",COUNTIF($V$7:$V23,$V23))</f>
        <v/>
      </c>
      <c r="X23" s="14" t="str">
        <f>IF($W23=1,COUNTA($X$6:$X22)+1,"")</f>
        <v/>
      </c>
      <c r="Y23" s="33" t="str">
        <f t="shared" si="0"/>
        <v/>
      </c>
      <c r="Z23" s="29" t="str">
        <f>IF($Y23="","",$Y23&amp;"/"&amp;COUNTIF($Y$7:$Y23,$Y23))</f>
        <v/>
      </c>
      <c r="AA23" s="29" t="str">
        <f>IF($Z23="","",VLOOKUP($D23,TaskTimings[[Task]:[TSKLST]],11,0))</f>
        <v/>
      </c>
      <c r="AB23" s="29">
        <f t="shared" si="1"/>
        <v>0</v>
      </c>
    </row>
    <row r="24" spans="1:28">
      <c r="A24" s="14">
        <v>3</v>
      </c>
      <c r="B24" s="84"/>
      <c r="C24" s="87"/>
      <c r="D24" s="116" t="str">
        <f>IFERROR(VLOOKUP($A$1&amp;"/"&amp;$B$23&amp;"/"&amp;$A23,TaskTimings[[EmployeeDateSeqCode]:[Task]],2,0),"")</f>
        <v>TEEBPD/Inhouse Testing</v>
      </c>
      <c r="E24" s="116"/>
      <c r="F24" s="116"/>
      <c r="G24" s="116"/>
      <c r="H24" s="22">
        <f>IFERROR(VLOOKUP($A$1&amp;"/"&amp;$B$23&amp;"/"&amp;$A23,TaskTimings[[EmployeeDateSeqCode]:[Total Minutes]],7,0),0)</f>
        <v>180</v>
      </c>
      <c r="I24" s="105"/>
      <c r="J24" s="26">
        <v>1</v>
      </c>
      <c r="K24" s="108" t="str">
        <f>VLOOKUP(3,$K$7:$M$11,2,0)</f>
        <v/>
      </c>
      <c r="L24" s="88"/>
      <c r="M24" s="107" t="str">
        <f>IF($K$24="","",IFERROR(VLOOKUP($K$24&amp;"/"&amp;$J24,$Z$7:$AA$30,2,0),""))</f>
        <v/>
      </c>
      <c r="N24" s="107"/>
      <c r="O24" s="107"/>
      <c r="P24" s="107"/>
      <c r="Q24" s="22" t="str">
        <f>IF($M24="","",SUMIFS($H$7:$H$30,$D$7:$D$30,$K$24&amp;"/"&amp;$M24))</f>
        <v/>
      </c>
      <c r="R24" s="105">
        <f t="shared" ref="R24" si="7">SUM(Q24:Q27)</f>
        <v>0</v>
      </c>
      <c r="S24" s="25"/>
      <c r="T24" s="25"/>
      <c r="U24" s="14">
        <f>IF(COUNTIFS($D$6:$D24,D24)=1,1,0)</f>
        <v>1</v>
      </c>
      <c r="V24" s="29" t="str">
        <f>IF($U24=0,"",VLOOKUP($D24,TaskTimings[[Task]:[PRJLST]],10,0))</f>
        <v>TEEBPD</v>
      </c>
      <c r="W24" s="14">
        <f>IF($V24="","",COUNTIF($V$7:$V24,$V24))</f>
        <v>3</v>
      </c>
      <c r="X24" s="14" t="str">
        <f>IF($W24=1,COUNTA($X$6:$X23)+1,"")</f>
        <v/>
      </c>
      <c r="Y24" s="33" t="str">
        <f t="shared" si="0"/>
        <v>TEEBPD</v>
      </c>
      <c r="Z24" s="29" t="str">
        <f>IF($Y24="","",$Y24&amp;"/"&amp;COUNTIF($Y$7:$Y24,$Y24))</f>
        <v>TEEBPD/3</v>
      </c>
      <c r="AA24" s="29" t="str">
        <f>IF($Z24="","",VLOOKUP($D24,TaskTimings[[Task]:[TSKLST]],11,0))</f>
        <v>Inhouse Testing</v>
      </c>
      <c r="AB24" s="29">
        <f t="shared" si="1"/>
        <v>180</v>
      </c>
    </row>
    <row r="25" spans="1:28">
      <c r="A25" s="14">
        <v>4</v>
      </c>
      <c r="B25" s="84"/>
      <c r="C25" s="87"/>
      <c r="D25" s="116" t="str">
        <f>IFERROR(VLOOKUP($A$1&amp;"/"&amp;$B$23&amp;"/"&amp;$A24,TaskTimings[[EmployeeDateSeqCode]:[Task]],2,0),"")</f>
        <v/>
      </c>
      <c r="E25" s="116"/>
      <c r="F25" s="116"/>
      <c r="G25" s="116"/>
      <c r="H25" s="22">
        <f>IFERROR(VLOOKUP($A$1&amp;"/"&amp;$B$23&amp;"/"&amp;$A24,TaskTimings[[EmployeeDateSeqCode]:[Total Minutes]],7,0),0)</f>
        <v>0</v>
      </c>
      <c r="I25" s="105"/>
      <c r="J25" s="26">
        <v>2</v>
      </c>
      <c r="K25" s="108"/>
      <c r="L25" s="88"/>
      <c r="M25" s="107" t="str">
        <f>IF($K$24="","",IFERROR(VLOOKUP($K$24&amp;"/"&amp;$J25,$Z$7:$AA$30,2,0),""))</f>
        <v/>
      </c>
      <c r="N25" s="107"/>
      <c r="O25" s="107"/>
      <c r="P25" s="107"/>
      <c r="Q25" s="22" t="str">
        <f>IF($M25="","",SUMIFS($H$7:$H$30,$D$7:$D$30,$K$24&amp;"/"&amp;$M25))</f>
        <v/>
      </c>
      <c r="R25" s="105"/>
      <c r="S25" s="25"/>
      <c r="T25" s="25"/>
      <c r="U25" s="14">
        <f>IF(COUNTIFS($D$6:$D25,D25)=1,1,0)</f>
        <v>0</v>
      </c>
      <c r="V25" s="29" t="str">
        <f>IF($U25=0,"",VLOOKUP($D25,TaskTimings[[Task]:[PRJLST]],10,0))</f>
        <v/>
      </c>
      <c r="W25" s="14" t="str">
        <f>IF($V25="","",COUNTIF($V$7:$V25,$V25))</f>
        <v/>
      </c>
      <c r="X25" s="14" t="str">
        <f>IF($W25=1,COUNTA($X$6:$X24)+1,"")</f>
        <v/>
      </c>
      <c r="Y25" s="33" t="str">
        <f t="shared" si="0"/>
        <v/>
      </c>
      <c r="Z25" s="29" t="str">
        <f>IF($Y25="","",$Y25&amp;"/"&amp;COUNTIF($Y$7:$Y25,$Y25))</f>
        <v/>
      </c>
      <c r="AA25" s="29" t="str">
        <f>IF($Z25="","",VLOOKUP($D25,TaskTimings[[Task]:[TSKLST]],11,0))</f>
        <v/>
      </c>
      <c r="AB25" s="29">
        <f t="shared" si="1"/>
        <v>0</v>
      </c>
    </row>
    <row r="26" spans="1:28">
      <c r="A26" s="14">
        <v>1</v>
      </c>
      <c r="B26" s="84"/>
      <c r="C26" s="87"/>
      <c r="D26" s="116" t="str">
        <f>IFERROR(VLOOKUP($A$1&amp;"/"&amp;$B$23&amp;"/"&amp;$A25,TaskTimings[[EmployeeDateSeqCode]:[Task]],2,0),"")</f>
        <v/>
      </c>
      <c r="E26" s="116"/>
      <c r="F26" s="116"/>
      <c r="G26" s="116"/>
      <c r="H26" s="22">
        <f>IFERROR(VLOOKUP($A$1&amp;"/"&amp;$B$23&amp;"/"&amp;$A25,TaskTimings[[EmployeeDateSeqCode]:[Total Minutes]],7,0),0)</f>
        <v>0</v>
      </c>
      <c r="I26" s="105"/>
      <c r="J26" s="26">
        <v>3</v>
      </c>
      <c r="K26" s="108"/>
      <c r="L26" s="88"/>
      <c r="M26" s="107" t="str">
        <f>IF($K$24="","",IFERROR(VLOOKUP($K$24&amp;"/"&amp;$J26,$Z$7:$AA$30,2,0),""))</f>
        <v/>
      </c>
      <c r="N26" s="107"/>
      <c r="O26" s="107"/>
      <c r="P26" s="107"/>
      <c r="Q26" s="22" t="str">
        <f>IF($M26="","",SUMIFS($H$7:$H$30,$D$7:$D$30,$K$24&amp;"/"&amp;$M26))</f>
        <v/>
      </c>
      <c r="R26" s="105"/>
      <c r="S26" s="25"/>
      <c r="T26" s="25"/>
      <c r="U26" s="14">
        <f>IF(COUNTIFS($D$6:$D26,D26)=1,1,0)</f>
        <v>0</v>
      </c>
      <c r="V26" s="29" t="str">
        <f>IF($U26=0,"",VLOOKUP($D26,TaskTimings[[Task]:[PRJLST]],10,0))</f>
        <v/>
      </c>
      <c r="W26" s="14" t="str">
        <f>IF($V26="","",COUNTIF($V$7:$V26,$V26))</f>
        <v/>
      </c>
      <c r="X26" s="14" t="str">
        <f>IF($W26=1,COUNTA($X$6:$X25)+1,"")</f>
        <v/>
      </c>
      <c r="Y26" s="33" t="str">
        <f t="shared" si="0"/>
        <v/>
      </c>
      <c r="Z26" s="29" t="str">
        <f>IF($Y26="","",$Y26&amp;"/"&amp;COUNTIF($Y$7:$Y26,$Y26))</f>
        <v/>
      </c>
      <c r="AA26" s="29" t="str">
        <f>IF($Z26="","",VLOOKUP($D26,TaskTimings[[Task]:[TSKLST]],11,0))</f>
        <v/>
      </c>
      <c r="AB26" s="29">
        <f t="shared" si="1"/>
        <v>0</v>
      </c>
    </row>
    <row r="27" spans="1:28">
      <c r="A27" s="14">
        <v>2</v>
      </c>
      <c r="B27" s="117">
        <f>B23+1</f>
        <v>43435</v>
      </c>
      <c r="C27" s="87"/>
      <c r="D27" s="116" t="str">
        <f>IFERROR(VLOOKUP($A$1&amp;"/"&amp;$B$27&amp;"/"&amp;$A26,TaskTimings[[EmployeeDateSeqCode]:[Task]],2,0),"")</f>
        <v>MITWEB/Modification</v>
      </c>
      <c r="E27" s="116"/>
      <c r="F27" s="116"/>
      <c r="G27" s="116"/>
      <c r="H27" s="22">
        <f>IFERROR(VLOOKUP($A$1&amp;"/"&amp;$B$27&amp;"/"&amp;$A26,TaskTimings[[EmployeeDateSeqCode]:[Total Minutes]],7,0),0)</f>
        <v>119.99999999999997</v>
      </c>
      <c r="I27" s="105">
        <f t="shared" ref="I27" si="8">SUM(H27:H30)</f>
        <v>240.00000000000003</v>
      </c>
      <c r="J27" s="26">
        <v>4</v>
      </c>
      <c r="K27" s="108"/>
      <c r="L27" s="88"/>
      <c r="M27" s="107" t="str">
        <f>IF($K$24="","",IFERROR(VLOOKUP($K$24&amp;"/"&amp;$J27,$Z$7:$AA$30,2,0),""))</f>
        <v/>
      </c>
      <c r="N27" s="107"/>
      <c r="O27" s="107"/>
      <c r="P27" s="107"/>
      <c r="Q27" s="22" t="str">
        <f>IF($M27="","",SUMIFS($H$7:$H$30,$D$7:$D$30,$K$24&amp;"/"&amp;$M27))</f>
        <v/>
      </c>
      <c r="R27" s="105"/>
      <c r="S27" s="25"/>
      <c r="T27" s="25"/>
      <c r="U27" s="14">
        <f>IF(COUNTIFS($D$6:$D27,D27)=1,1,0)</f>
        <v>0</v>
      </c>
      <c r="V27" s="29" t="str">
        <f>IF($U27=0,"",VLOOKUP($D27,TaskTimings[[Task]:[PRJLST]],10,0))</f>
        <v/>
      </c>
      <c r="W27" s="14" t="str">
        <f>IF($V27="","",COUNTIF($V$7:$V27,$V27))</f>
        <v/>
      </c>
      <c r="X27" s="14" t="str">
        <f>IF($W27=1,COUNTA($X$6:$X26)+1,"")</f>
        <v/>
      </c>
      <c r="Y27" s="33" t="str">
        <f t="shared" si="0"/>
        <v/>
      </c>
      <c r="Z27" s="29" t="str">
        <f>IF($Y27="","",$Y27&amp;"/"&amp;COUNTIF($Y$7:$Y27,$Y27))</f>
        <v/>
      </c>
      <c r="AA27" s="29" t="str">
        <f>IF($Z27="","",VLOOKUP($D27,TaskTimings[[Task]:[TSKLST]],11,0))</f>
        <v/>
      </c>
      <c r="AB27" s="29">
        <f t="shared" si="1"/>
        <v>0</v>
      </c>
    </row>
    <row r="28" spans="1:28">
      <c r="A28" s="14">
        <v>3</v>
      </c>
      <c r="B28" s="84"/>
      <c r="C28" s="87"/>
      <c r="D28" s="116" t="str">
        <f>IFERROR(VLOOKUP($A$1&amp;"/"&amp;$B$27&amp;"/"&amp;$A27,TaskTimings[[EmployeeDateSeqCode]:[Task]],2,0),"")</f>
        <v>TEEBPD/Client Suggestion Implementation</v>
      </c>
      <c r="E28" s="116"/>
      <c r="F28" s="116"/>
      <c r="G28" s="116"/>
      <c r="H28" s="22">
        <f>IFERROR(VLOOKUP($A$1&amp;"/"&amp;$B$27&amp;"/"&amp;$A27,TaskTimings[[EmployeeDateSeqCode]:[Total Minutes]],7,0),0)</f>
        <v>120.00000000000006</v>
      </c>
      <c r="I28" s="105"/>
      <c r="J28" s="26">
        <v>1</v>
      </c>
      <c r="K28" s="108" t="str">
        <f>VLOOKUP(4,$K$7:$M$11,2,0)</f>
        <v/>
      </c>
      <c r="L28" s="88"/>
      <c r="M28" s="107" t="str">
        <f>IF($K$28="","",IFERROR(VLOOKUP($K$28&amp;"/"&amp;$J28,$Z$7:$AA$30,2,0),""))</f>
        <v/>
      </c>
      <c r="N28" s="107"/>
      <c r="O28" s="107"/>
      <c r="P28" s="107"/>
      <c r="Q28" s="22" t="str">
        <f>IF($M28="","",SUMIFS($H$7:$H$30,$D$7:$D$30,$K$28&amp;"/"&amp;$M28))</f>
        <v/>
      </c>
      <c r="R28" s="105">
        <f t="shared" ref="R28" si="9">SUM(Q28:Q31)</f>
        <v>0</v>
      </c>
      <c r="S28" s="25"/>
      <c r="T28" s="25"/>
      <c r="U28" s="14">
        <f>IF(COUNTIFS($D$6:$D28,D28)=1,1,0)</f>
        <v>0</v>
      </c>
      <c r="V28" s="29" t="str">
        <f>IF($U28=0,"",VLOOKUP($D28,TaskTimings[[Task]:[PRJLST]],10,0))</f>
        <v/>
      </c>
      <c r="W28" s="14" t="str">
        <f>IF($V28="","",COUNTIF($V$7:$V28,$V28))</f>
        <v/>
      </c>
      <c r="X28" s="14" t="str">
        <f>IF($W28=1,COUNTA($X$6:$X27)+1,"")</f>
        <v/>
      </c>
      <c r="Y28" s="33" t="str">
        <f t="shared" si="0"/>
        <v/>
      </c>
      <c r="Z28" s="29" t="str">
        <f>IF($Y28="","",$Y28&amp;"/"&amp;COUNTIF($Y$7:$Y28,$Y28))</f>
        <v/>
      </c>
      <c r="AA28" s="29" t="str">
        <f>IF($Z28="","",VLOOKUP($D28,TaskTimings[[Task]:[TSKLST]],11,0))</f>
        <v/>
      </c>
      <c r="AB28" s="29">
        <f t="shared" si="1"/>
        <v>0</v>
      </c>
    </row>
    <row r="29" spans="1:28">
      <c r="A29" s="14">
        <v>4</v>
      </c>
      <c r="B29" s="84"/>
      <c r="C29" s="87"/>
      <c r="D29" s="116" t="str">
        <f>IFERROR(VLOOKUP($A$1&amp;"/"&amp;$B$27&amp;"/"&amp;$A28,TaskTimings[[EmployeeDateSeqCode]:[Task]],2,0),"")</f>
        <v/>
      </c>
      <c r="E29" s="116"/>
      <c r="F29" s="116"/>
      <c r="G29" s="116"/>
      <c r="H29" s="22">
        <f>IFERROR(VLOOKUP($A$1&amp;"/"&amp;$B$27&amp;"/"&amp;$A28,TaskTimings[[EmployeeDateSeqCode]:[Total Minutes]],7,0),0)</f>
        <v>0</v>
      </c>
      <c r="I29" s="105"/>
      <c r="J29" s="26">
        <v>2</v>
      </c>
      <c r="K29" s="108"/>
      <c r="L29" s="88"/>
      <c r="M29" s="107" t="str">
        <f>IF($K$28="","",IFERROR(VLOOKUP($K$28&amp;"/"&amp;$J29,$Z$7:$AA$30,2,0),""))</f>
        <v/>
      </c>
      <c r="N29" s="107"/>
      <c r="O29" s="107"/>
      <c r="P29" s="107"/>
      <c r="Q29" s="22" t="str">
        <f>IF($M29="","",SUMIFS($H$7:$H$30,$D$7:$D$30,$K$28&amp;"/"&amp;$M29))</f>
        <v/>
      </c>
      <c r="R29" s="105"/>
      <c r="S29" s="25"/>
      <c r="T29" s="25"/>
      <c r="U29" s="14">
        <f>IF(COUNTIFS($D$6:$D29,D29)=1,1,0)</f>
        <v>0</v>
      </c>
      <c r="V29" s="29" t="str">
        <f>IF($U29=0,"",VLOOKUP($D29,TaskTimings[[Task]:[PRJLST]],10,0))</f>
        <v/>
      </c>
      <c r="W29" s="14" t="str">
        <f>IF($V29="","",COUNTIF($V$7:$V29,$V29))</f>
        <v/>
      </c>
      <c r="X29" s="14" t="str">
        <f>IF($W29=1,COUNTA($X$6:$X28)+1,"")</f>
        <v/>
      </c>
      <c r="Y29" s="33" t="str">
        <f t="shared" si="0"/>
        <v/>
      </c>
      <c r="Z29" s="29" t="str">
        <f>IF($Y29="","",$Y29&amp;"/"&amp;COUNTIF($Y$7:$Y29,$Y29))</f>
        <v/>
      </c>
      <c r="AA29" s="29" t="str">
        <f>IF($Z29="","",VLOOKUP($D29,TaskTimings[[Task]:[TSKLST]],11,0))</f>
        <v/>
      </c>
      <c r="AB29" s="29">
        <f t="shared" si="1"/>
        <v>0</v>
      </c>
    </row>
    <row r="30" spans="1:28" ht="15.75" thickBot="1">
      <c r="B30" s="118"/>
      <c r="C30" s="119"/>
      <c r="D30" s="114" t="str">
        <f>IFERROR(VLOOKUP($A$1&amp;"/"&amp;$B$27&amp;"/"&amp;$A29,TaskTimings[[EmployeeDateSeqCode]:[Task]],2,0),"")</f>
        <v/>
      </c>
      <c r="E30" s="114"/>
      <c r="F30" s="114"/>
      <c r="G30" s="114"/>
      <c r="H30" s="24">
        <f>IFERROR(VLOOKUP($A$1&amp;"/"&amp;$B$27&amp;"/"&amp;$A29,TaskTimings[[EmployeeDateSeqCode]:[Total Minutes]],7,0),0)</f>
        <v>0</v>
      </c>
      <c r="I30" s="106"/>
      <c r="J30" s="26">
        <v>3</v>
      </c>
      <c r="K30" s="108"/>
      <c r="L30" s="88"/>
      <c r="M30" s="107" t="str">
        <f>IF($K$28="","",IFERROR(VLOOKUP($K$28&amp;"/"&amp;$J30,$Z$7:$AA$30,2,0),""))</f>
        <v/>
      </c>
      <c r="N30" s="107"/>
      <c r="O30" s="107"/>
      <c r="P30" s="107"/>
      <c r="Q30" s="22" t="str">
        <f>IF($M30="","",SUMIFS($H$7:$H$30,$D$7:$D$30,$K$28&amp;"/"&amp;$M30))</f>
        <v/>
      </c>
      <c r="R30" s="105"/>
      <c r="U30" s="14">
        <f>IF(COUNTIFS($D$6:$D30,D30)=1,1,0)</f>
        <v>0</v>
      </c>
      <c r="V30" s="29" t="str">
        <f>IF($U30=0,"",VLOOKUP($D30,TaskTimings[[Task]:[PRJLST]],10,0))</f>
        <v/>
      </c>
      <c r="W30" s="14" t="str">
        <f>IF($V30="","",COUNTIF($V$7:$V30,$V30))</f>
        <v/>
      </c>
      <c r="X30" s="14" t="str">
        <f>IF($W30=1,COUNTA($X$6:$X29)+1,"")</f>
        <v/>
      </c>
      <c r="Y30" s="33" t="str">
        <f t="shared" si="0"/>
        <v/>
      </c>
      <c r="Z30" s="29" t="str">
        <f>IF($Y30="","",$Y30&amp;"/"&amp;COUNTIF($Y$7:$Y30,$Y30))</f>
        <v/>
      </c>
      <c r="AA30" s="29" t="str">
        <f>IF($Z30="","",VLOOKUP($D30,TaskTimings[[Task]:[TSKLST]],11,0))</f>
        <v/>
      </c>
      <c r="AB30" s="29">
        <f t="shared" si="1"/>
        <v>0</v>
      </c>
    </row>
    <row r="31" spans="1:28">
      <c r="J31" s="26">
        <v>4</v>
      </c>
      <c r="K31" s="108"/>
      <c r="L31" s="88"/>
      <c r="M31" s="107" t="str">
        <f>IF($K$28="","",IFERROR(VLOOKUP($K$28&amp;"/"&amp;$J31,$Z$7:$AA$30,2,0),""))</f>
        <v/>
      </c>
      <c r="N31" s="107"/>
      <c r="O31" s="107"/>
      <c r="P31" s="107"/>
      <c r="Q31" s="22" t="str">
        <f>IF($M31="","",SUMIFS($H$7:$H$30,$D$7:$D$30,$K$28&amp;"/"&amp;$M31))</f>
        <v/>
      </c>
      <c r="R31" s="105"/>
    </row>
    <row r="32" spans="1:28">
      <c r="J32" s="26">
        <v>1</v>
      </c>
      <c r="K32" s="108" t="str">
        <f>VLOOKUP(5,$K$7:$M$11,2,0)</f>
        <v>TEEBPD</v>
      </c>
      <c r="L32" s="88"/>
      <c r="M32" s="107" t="str">
        <f>IF($K$32="","",IFERROR(VLOOKUP($K$32&amp;"/"&amp;$J32,$Z$7:$AA$30,2,0),""))</f>
        <v>Client Suggestion Implementation</v>
      </c>
      <c r="N32" s="107"/>
      <c r="O32" s="107"/>
      <c r="P32" s="107"/>
      <c r="Q32" s="22">
        <f>IF($M32="","",SUMIFS($H$7:$H$30,$D$7:$D$30,$K$32&amp;"/"&amp;$M32))</f>
        <v>600.00000000000011</v>
      </c>
      <c r="R32" s="105">
        <f t="shared" ref="R32" si="10">SUM(Q32:Q35)</f>
        <v>1500</v>
      </c>
    </row>
    <row r="33" spans="10:18">
      <c r="J33" s="26">
        <v>2</v>
      </c>
      <c r="K33" s="108"/>
      <c r="L33" s="88"/>
      <c r="M33" s="107" t="str">
        <f>IF($K$32="","",IFERROR(VLOOKUP($K$32&amp;"/"&amp;$J33,$Z$7:$AA$30,2,0),""))</f>
        <v>Finalizing</v>
      </c>
      <c r="N33" s="107"/>
      <c r="O33" s="107"/>
      <c r="P33" s="107"/>
      <c r="Q33" s="22">
        <f>IF($M33="","",SUMIFS($H$7:$H$30,$D$7:$D$30,$K$32&amp;"/"&amp;$M33))</f>
        <v>720</v>
      </c>
      <c r="R33" s="105"/>
    </row>
    <row r="34" spans="10:18">
      <c r="J34" s="26">
        <v>3</v>
      </c>
      <c r="K34" s="108"/>
      <c r="L34" s="88"/>
      <c r="M34" s="107" t="str">
        <f>IF($K$32="","",IFERROR(VLOOKUP($K$32&amp;"/"&amp;$J34,$Z$7:$AA$30,2,0),""))</f>
        <v>Inhouse Testing</v>
      </c>
      <c r="N34" s="107"/>
      <c r="O34" s="107"/>
      <c r="P34" s="107"/>
      <c r="Q34" s="22">
        <f>IF($M34="","",SUMIFS($H$7:$H$30,$D$7:$D$30,$K$32&amp;"/"&amp;$M34))</f>
        <v>180</v>
      </c>
      <c r="R34" s="105"/>
    </row>
    <row r="35" spans="10:18" ht="15.75" thickBot="1">
      <c r="J35" s="26">
        <v>4</v>
      </c>
      <c r="K35" s="109"/>
      <c r="L35" s="94"/>
      <c r="M35" s="110" t="str">
        <f>IF($K$32="","",IFERROR(VLOOKUP($K$32&amp;"/"&amp;$J35,$Z$7:$AA$30,2,0),""))</f>
        <v/>
      </c>
      <c r="N35" s="110"/>
      <c r="O35" s="110"/>
      <c r="P35" s="110"/>
      <c r="Q35" s="24" t="str">
        <f>IF($M35="","",SUMIFS($H$7:$H$30,$D$7:$D$30,$K$32&amp;"/"&amp;$M35))</f>
        <v/>
      </c>
      <c r="R35" s="106"/>
    </row>
  </sheetData>
  <mergeCells count="82">
    <mergeCell ref="K4:M5"/>
    <mergeCell ref="K13:N14"/>
    <mergeCell ref="A1:D3"/>
    <mergeCell ref="F2:G3"/>
    <mergeCell ref="F1:G1"/>
    <mergeCell ref="B7:C10"/>
    <mergeCell ref="B5:F6"/>
    <mergeCell ref="D7:G7"/>
    <mergeCell ref="D8:G8"/>
    <mergeCell ref="D9:G9"/>
    <mergeCell ref="D10:G10"/>
    <mergeCell ref="D11:G11"/>
    <mergeCell ref="B11:C14"/>
    <mergeCell ref="D12:G12"/>
    <mergeCell ref="D13:G13"/>
    <mergeCell ref="D14:G14"/>
    <mergeCell ref="B15:C18"/>
    <mergeCell ref="B19:C22"/>
    <mergeCell ref="B23:C26"/>
    <mergeCell ref="B27:C30"/>
    <mergeCell ref="D20:G20"/>
    <mergeCell ref="D21:G21"/>
    <mergeCell ref="D22:G22"/>
    <mergeCell ref="D23:G23"/>
    <mergeCell ref="D15:G15"/>
    <mergeCell ref="D16:G16"/>
    <mergeCell ref="D17:G17"/>
    <mergeCell ref="L6:M6"/>
    <mergeCell ref="D30:G30"/>
    <mergeCell ref="I7:I10"/>
    <mergeCell ref="I11:I14"/>
    <mergeCell ref="I15:I18"/>
    <mergeCell ref="I19:I22"/>
    <mergeCell ref="I23:I26"/>
    <mergeCell ref="I27:I30"/>
    <mergeCell ref="D24:G24"/>
    <mergeCell ref="D25:G25"/>
    <mergeCell ref="D26:G26"/>
    <mergeCell ref="D27:G27"/>
    <mergeCell ref="D28:G28"/>
    <mergeCell ref="D29:G29"/>
    <mergeCell ref="D18:G18"/>
    <mergeCell ref="D19:G19"/>
    <mergeCell ref="M19:P19"/>
    <mergeCell ref="K15:L15"/>
    <mergeCell ref="L7:M7"/>
    <mergeCell ref="L8:M8"/>
    <mergeCell ref="L9:M9"/>
    <mergeCell ref="L10:M10"/>
    <mergeCell ref="L11:M11"/>
    <mergeCell ref="M35:P35"/>
    <mergeCell ref="M15:P15"/>
    <mergeCell ref="R16:R19"/>
    <mergeCell ref="R20:R23"/>
    <mergeCell ref="R24:R27"/>
    <mergeCell ref="R28:R31"/>
    <mergeCell ref="R32:R35"/>
    <mergeCell ref="M26:P26"/>
    <mergeCell ref="M27:P27"/>
    <mergeCell ref="M28:P28"/>
    <mergeCell ref="M29:P29"/>
    <mergeCell ref="M30:P30"/>
    <mergeCell ref="M31:P31"/>
    <mergeCell ref="M20:P20"/>
    <mergeCell ref="M21:P21"/>
    <mergeCell ref="M22:P22"/>
    <mergeCell ref="I2:I3"/>
    <mergeCell ref="J2:J3"/>
    <mergeCell ref="M32:P32"/>
    <mergeCell ref="M33:P33"/>
    <mergeCell ref="M34:P34"/>
    <mergeCell ref="K20:L23"/>
    <mergeCell ref="K24:L27"/>
    <mergeCell ref="K28:L31"/>
    <mergeCell ref="K32:L35"/>
    <mergeCell ref="M23:P23"/>
    <mergeCell ref="M24:P24"/>
    <mergeCell ref="M25:P25"/>
    <mergeCell ref="K16:L19"/>
    <mergeCell ref="M16:P16"/>
    <mergeCell ref="M17:P17"/>
    <mergeCell ref="M18:P18"/>
  </mergeCells>
  <dataValidations count="1">
    <dataValidation type="list" allowBlank="1" showInputMessage="1" showErrorMessage="1" sqref="A1:D3">
      <formula1>EmployeeNames</formula1>
    </dataValidation>
  </dataValidations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Project</vt:lpstr>
      <vt:lpstr>Tasks</vt:lpstr>
      <vt:lpstr>Employees</vt:lpstr>
      <vt:lpstr>Task Timings</vt:lpstr>
      <vt:lpstr>Project Report</vt:lpstr>
      <vt:lpstr>Employee Timing Report</vt:lpstr>
      <vt:lpstr>EmployeeNames</vt:lpstr>
      <vt:lpstr>ProjectCaregoryNames</vt:lpstr>
      <vt:lpstr>ProjectCodes</vt:lpstr>
      <vt:lpstr>ProjectNames</vt:lpstr>
      <vt:lpstr>TSKPRJCodes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Firose Hussain</dc:creator>
  <cp:lastModifiedBy>Firose Hussain</cp:lastModifiedBy>
  <cp:lastPrinted>2018-11-23T17:04:38Z</cp:lastPrinted>
  <dcterms:created xsi:type="dcterms:W3CDTF">2018-11-23T13:42:04Z</dcterms:created>
  <dcterms:modified xsi:type="dcterms:W3CDTF">2018-12-03T13:50:58Z</dcterms:modified>
</cp:coreProperties>
</file>