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athy M S\Desktop\Project-Development\"/>
    </mc:Choice>
  </mc:AlternateContent>
  <bookViews>
    <workbookView xWindow="0" yWindow="0" windowWidth="20370" windowHeight="7680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104" i="4" l="1"/>
  <c r="B104" i="4"/>
  <c r="P104" i="4" s="1"/>
  <c r="C104" i="4"/>
  <c r="Q104" i="4" s="1"/>
  <c r="D104" i="4"/>
  <c r="L104" i="4"/>
  <c r="M104" i="4"/>
  <c r="N104" i="4"/>
  <c r="O104" i="4" s="1"/>
  <c r="A103" i="4"/>
  <c r="B103" i="4"/>
  <c r="P103" i="4" s="1"/>
  <c r="C103" i="4"/>
  <c r="Q103" i="4" s="1"/>
  <c r="D103" i="4"/>
  <c r="L103" i="4"/>
  <c r="M103" i="4"/>
  <c r="A102" i="4"/>
  <c r="B102" i="4"/>
  <c r="P102" i="4" s="1"/>
  <c r="C102" i="4"/>
  <c r="Q102" i="4" s="1"/>
  <c r="D102" i="4"/>
  <c r="L102" i="4"/>
  <c r="M102" i="4"/>
  <c r="A101" i="4" l="1"/>
  <c r="B101" i="4"/>
  <c r="P101" i="4" s="1"/>
  <c r="C101" i="4"/>
  <c r="Q101" i="4" s="1"/>
  <c r="D101" i="4"/>
  <c r="L101" i="4"/>
  <c r="M101" i="4"/>
  <c r="A31" i="2"/>
  <c r="C31" i="2"/>
  <c r="E31" i="2"/>
  <c r="F31" i="2"/>
  <c r="G31" i="2"/>
  <c r="A100" i="4"/>
  <c r="D100" i="4"/>
  <c r="L100" i="4"/>
  <c r="N103" i="4" s="1"/>
  <c r="O103" i="4" s="1"/>
  <c r="M100" i="4"/>
  <c r="A99" i="4"/>
  <c r="D99" i="4"/>
  <c r="L99" i="4"/>
  <c r="M99" i="4"/>
  <c r="N99" i="4"/>
  <c r="O99" i="4" s="1"/>
  <c r="N100" i="4" l="1"/>
  <c r="O100" i="4" s="1"/>
  <c r="N102" i="4"/>
  <c r="O102" i="4" s="1"/>
  <c r="N101" i="4"/>
  <c r="O101" i="4" s="1"/>
  <c r="A98" i="4"/>
  <c r="D98" i="4"/>
  <c r="L98" i="4"/>
  <c r="M98" i="4"/>
  <c r="N98" i="4"/>
  <c r="O98" i="4" s="1"/>
  <c r="A97" i="4" l="1"/>
  <c r="D97" i="4"/>
  <c r="L97" i="4"/>
  <c r="M97" i="4"/>
  <c r="N97" i="4"/>
  <c r="O97" i="4" s="1"/>
  <c r="A96" i="4"/>
  <c r="D96" i="4"/>
  <c r="L96" i="4"/>
  <c r="M96" i="4"/>
  <c r="N96" i="4"/>
  <c r="O96" i="4" s="1"/>
  <c r="A95" i="4" l="1"/>
  <c r="D95" i="4"/>
  <c r="L95" i="4"/>
  <c r="M95" i="4"/>
  <c r="D79" i="4" l="1"/>
  <c r="L79" i="4"/>
  <c r="N79" i="4" s="1"/>
  <c r="O79" i="4" s="1"/>
  <c r="M79" i="4"/>
  <c r="M93" i="4"/>
  <c r="D94" i="4"/>
  <c r="L94" i="4"/>
  <c r="N95" i="4" s="1"/>
  <c r="O95" i="4" s="1"/>
  <c r="M94" i="4"/>
  <c r="D93" i="4"/>
  <c r="L93" i="4"/>
  <c r="N93" i="4" s="1"/>
  <c r="O93" i="4" s="1"/>
  <c r="D92" i="4"/>
  <c r="L92" i="4"/>
  <c r="N92" i="4" s="1"/>
  <c r="O92" i="4" s="1"/>
  <c r="M92" i="4"/>
  <c r="N94" i="4" l="1"/>
  <c r="O94" i="4" s="1"/>
  <c r="D91" i="4"/>
  <c r="L91" i="4"/>
  <c r="M91" i="4"/>
  <c r="N91" i="4"/>
  <c r="O91" i="4" s="1"/>
  <c r="D90" i="4" l="1"/>
  <c r="L90" i="4"/>
  <c r="N90" i="4" s="1"/>
  <c r="O90" i="4" s="1"/>
  <c r="M90" i="4"/>
  <c r="D89" i="4"/>
  <c r="L89" i="4"/>
  <c r="M89" i="4"/>
  <c r="D88" i="4"/>
  <c r="L88" i="4"/>
  <c r="M88" i="4"/>
  <c r="D87" i="4"/>
  <c r="L87" i="4"/>
  <c r="M87" i="4"/>
  <c r="N87" i="4"/>
  <c r="O87" i="4" s="1"/>
  <c r="D86" i="4"/>
  <c r="L86" i="4"/>
  <c r="N86" i="4" s="1"/>
  <c r="O86" i="4" s="1"/>
  <c r="M86" i="4"/>
  <c r="N89" i="4" l="1"/>
  <c r="O89" i="4" s="1"/>
  <c r="N88" i="4"/>
  <c r="O88" i="4" s="1"/>
  <c r="D85" i="4"/>
  <c r="L85" i="4"/>
  <c r="N85" i="4" s="1"/>
  <c r="O85" i="4" s="1"/>
  <c r="M85" i="4"/>
  <c r="D84" i="4"/>
  <c r="L84" i="4"/>
  <c r="N84" i="4" s="1"/>
  <c r="O84" i="4" s="1"/>
  <c r="M84" i="4"/>
  <c r="D83" i="4"/>
  <c r="L83" i="4"/>
  <c r="M83" i="4"/>
  <c r="D82" i="4"/>
  <c r="L82" i="4"/>
  <c r="M82" i="4"/>
  <c r="N83" i="4" l="1"/>
  <c r="O83" i="4" s="1"/>
  <c r="N82" i="4"/>
  <c r="O82" i="4" s="1"/>
  <c r="A30" i="2"/>
  <c r="C30" i="2"/>
  <c r="E30" i="2"/>
  <c r="F30" i="2"/>
  <c r="G30" i="2"/>
  <c r="D81" i="4"/>
  <c r="L81" i="4"/>
  <c r="N80" i="4" s="1"/>
  <c r="O80" i="4" s="1"/>
  <c r="M81" i="4"/>
  <c r="D80" i="4"/>
  <c r="L80" i="4"/>
  <c r="M80" i="4"/>
  <c r="N81" i="4" l="1"/>
  <c r="O81" i="4" s="1"/>
  <c r="D78" i="4"/>
  <c r="L78" i="4"/>
  <c r="M78" i="4"/>
  <c r="D77" i="4" l="1"/>
  <c r="L77" i="4"/>
  <c r="N77" i="4" s="1"/>
  <c r="O77" i="4" s="1"/>
  <c r="M77" i="4"/>
  <c r="D76" i="4"/>
  <c r="L76" i="4"/>
  <c r="M76" i="4"/>
  <c r="N76" i="4"/>
  <c r="O76" i="4" s="1"/>
  <c r="D75" i="4" l="1"/>
  <c r="L75" i="4"/>
  <c r="N78" i="4" s="1"/>
  <c r="O78" i="4" s="1"/>
  <c r="M75" i="4"/>
  <c r="D74" i="4"/>
  <c r="L74" i="4"/>
  <c r="M74" i="4"/>
  <c r="N74" i="4"/>
  <c r="O74" i="4" s="1"/>
  <c r="N75" i="4" l="1"/>
  <c r="O75" i="4" s="1"/>
  <c r="D73" i="4"/>
  <c r="L73" i="4"/>
  <c r="M73" i="4"/>
  <c r="N73" i="4"/>
  <c r="O73" i="4" s="1"/>
  <c r="M72" i="4" l="1"/>
  <c r="D72" i="4" l="1"/>
  <c r="L72" i="4"/>
  <c r="D71" i="4" l="1"/>
  <c r="L71" i="4"/>
  <c r="M71" i="4"/>
  <c r="D70" i="4" l="1"/>
  <c r="L70" i="4"/>
  <c r="N72" i="4" s="1"/>
  <c r="O72" i="4" s="1"/>
  <c r="M70" i="4"/>
  <c r="N70" i="4"/>
  <c r="O70" i="4" s="1"/>
  <c r="A29" i="2" l="1"/>
  <c r="C29" i="2"/>
  <c r="E29" i="2"/>
  <c r="F29" i="2"/>
  <c r="G29" i="2"/>
  <c r="D69" i="4"/>
  <c r="L69" i="4"/>
  <c r="N71" i="4" s="1"/>
  <c r="O71" i="4" s="1"/>
  <c r="M69" i="4"/>
  <c r="N69" i="4"/>
  <c r="O69" i="4" s="1"/>
  <c r="D68" i="4" l="1"/>
  <c r="L68" i="4"/>
  <c r="M68" i="4"/>
  <c r="D67" i="4" l="1"/>
  <c r="L67" i="4"/>
  <c r="N68" i="4" s="1"/>
  <c r="O68" i="4" s="1"/>
  <c r="M67" i="4"/>
  <c r="N67" i="4"/>
  <c r="O67" i="4" s="1"/>
  <c r="M65" i="4" l="1"/>
  <c r="D66" i="4" l="1"/>
  <c r="L66" i="4"/>
  <c r="M66" i="4"/>
  <c r="N66" i="4"/>
  <c r="O66" i="4" s="1"/>
  <c r="M64" i="4" l="1"/>
  <c r="D64" i="4"/>
  <c r="L64" i="4"/>
  <c r="D65" i="4"/>
  <c r="L65" i="4"/>
  <c r="N65" i="4"/>
  <c r="O65" i="4" s="1"/>
  <c r="C28" i="2"/>
  <c r="E28" i="2"/>
  <c r="F28" i="2"/>
  <c r="G28" i="2"/>
  <c r="M63" i="4" l="1"/>
  <c r="D63" i="4" l="1"/>
  <c r="L63" i="4"/>
  <c r="N64" i="4" s="1"/>
  <c r="O64" i="4" s="1"/>
  <c r="N63" i="4"/>
  <c r="O63" i="4" s="1"/>
  <c r="M62" i="4" l="1"/>
  <c r="M61" i="4"/>
  <c r="D62" i="4" l="1"/>
  <c r="L62" i="4"/>
  <c r="D61" i="4" l="1"/>
  <c r="L61" i="4"/>
  <c r="D60" i="4" l="1"/>
  <c r="L60" i="4"/>
  <c r="N60" i="4" s="1"/>
  <c r="O60" i="4" s="1"/>
  <c r="M60" i="4"/>
  <c r="D59" i="4"/>
  <c r="L59" i="4"/>
  <c r="N59" i="4" s="1"/>
  <c r="O59" i="4" s="1"/>
  <c r="M59" i="4"/>
  <c r="N61" i="4" l="1"/>
  <c r="O61" i="4" s="1"/>
  <c r="N62" i="4"/>
  <c r="O62" i="4" s="1"/>
  <c r="C27" i="2"/>
  <c r="E27" i="2"/>
  <c r="F27" i="2"/>
  <c r="G27" i="2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M49" i="4"/>
  <c r="N49" i="4" l="1"/>
  <c r="O49" i="4" s="1"/>
  <c r="N50" i="4"/>
  <c r="O50" i="4" s="1"/>
  <c r="C26" i="2"/>
  <c r="E26" i="2"/>
  <c r="F26" i="2"/>
  <c r="G26" i="2"/>
  <c r="D48" i="4"/>
  <c r="L48" i="4"/>
  <c r="N48" i="4" s="1"/>
  <c r="O48" i="4" s="1"/>
  <c r="M48" i="4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D2" i="4"/>
  <c r="E104" i="4" s="1"/>
  <c r="F104" i="4" s="1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E102" i="4" l="1"/>
  <c r="F102" i="4" s="1"/>
  <c r="E103" i="4"/>
  <c r="F103" i="4" s="1"/>
  <c r="E100" i="4"/>
  <c r="F100" i="4" s="1"/>
  <c r="E101" i="4"/>
  <c r="F101" i="4" s="1"/>
  <c r="C99" i="4"/>
  <c r="Q99" i="4" s="1"/>
  <c r="C100" i="4"/>
  <c r="Q100" i="4" s="1"/>
  <c r="B100" i="4"/>
  <c r="P100" i="4" s="1"/>
  <c r="B99" i="4"/>
  <c r="P99" i="4" s="1"/>
  <c r="C98" i="4"/>
  <c r="Q98" i="4" s="1"/>
  <c r="B98" i="4"/>
  <c r="P98" i="4" s="1"/>
  <c r="B97" i="4"/>
  <c r="P97" i="4" s="1"/>
  <c r="C97" i="4"/>
  <c r="Q97" i="4" s="1"/>
  <c r="B96" i="4"/>
  <c r="P96" i="4" s="1"/>
  <c r="C96" i="4"/>
  <c r="Q96" i="4" s="1"/>
  <c r="B95" i="4"/>
  <c r="P95" i="4" s="1"/>
  <c r="C95" i="4"/>
  <c r="Q95" i="4" s="1"/>
  <c r="B79" i="4"/>
  <c r="P79" i="4" s="1"/>
  <c r="B92" i="4"/>
  <c r="P92" i="4" s="1"/>
  <c r="C94" i="4"/>
  <c r="Q94" i="4" s="1"/>
  <c r="C79" i="4"/>
  <c r="Q79" i="4" s="1"/>
  <c r="C92" i="4"/>
  <c r="Q92" i="4" s="1"/>
  <c r="B93" i="4"/>
  <c r="P93" i="4" s="1"/>
  <c r="C93" i="4"/>
  <c r="Q93" i="4" s="1"/>
  <c r="B94" i="4"/>
  <c r="P94" i="4" s="1"/>
  <c r="B91" i="4"/>
  <c r="P91" i="4" s="1"/>
  <c r="C91" i="4"/>
  <c r="Q91" i="4" s="1"/>
  <c r="C90" i="4"/>
  <c r="Q90" i="4" s="1"/>
  <c r="B89" i="4"/>
  <c r="P89" i="4" s="1"/>
  <c r="B86" i="4"/>
  <c r="P86" i="4" s="1"/>
  <c r="B87" i="4"/>
  <c r="P87" i="4" s="1"/>
  <c r="B88" i="4"/>
  <c r="P88" i="4" s="1"/>
  <c r="C87" i="4"/>
  <c r="Q87" i="4" s="1"/>
  <c r="C88" i="4"/>
  <c r="Q88" i="4" s="1"/>
  <c r="C86" i="4"/>
  <c r="Q86" i="4" s="1"/>
  <c r="B90" i="4"/>
  <c r="P90" i="4" s="1"/>
  <c r="C89" i="4"/>
  <c r="Q89" i="4" s="1"/>
  <c r="B82" i="4"/>
  <c r="P82" i="4" s="1"/>
  <c r="B85" i="4"/>
  <c r="P85" i="4" s="1"/>
  <c r="C82" i="4"/>
  <c r="Q82" i="4" s="1"/>
  <c r="C85" i="4"/>
  <c r="Q85" i="4" s="1"/>
  <c r="B83" i="4"/>
  <c r="P83" i="4" s="1"/>
  <c r="C83" i="4"/>
  <c r="Q83" i="4" s="1"/>
  <c r="C84" i="4"/>
  <c r="Q84" i="4" s="1"/>
  <c r="B84" i="4"/>
  <c r="P84" i="4" s="1"/>
  <c r="E98" i="4"/>
  <c r="F98" i="4" s="1"/>
  <c r="E99" i="4"/>
  <c r="F99" i="4" s="1"/>
  <c r="E96" i="4"/>
  <c r="F96" i="4" s="1"/>
  <c r="E97" i="4"/>
  <c r="F97" i="4" s="1"/>
  <c r="E79" i="4"/>
  <c r="F79" i="4" s="1"/>
  <c r="E95" i="4"/>
  <c r="F95" i="4" s="1"/>
  <c r="E93" i="4"/>
  <c r="F93" i="4" s="1"/>
  <c r="E94" i="4"/>
  <c r="F94" i="4" s="1"/>
  <c r="E91" i="4"/>
  <c r="F91" i="4" s="1"/>
  <c r="E92" i="4"/>
  <c r="F92" i="4" s="1"/>
  <c r="E90" i="4"/>
  <c r="F90" i="4" s="1"/>
  <c r="E88" i="4"/>
  <c r="F88" i="4" s="1"/>
  <c r="E89" i="4"/>
  <c r="F89" i="4" s="1"/>
  <c r="E86" i="4"/>
  <c r="F86" i="4" s="1"/>
  <c r="E87" i="4"/>
  <c r="F87" i="4" s="1"/>
  <c r="E84" i="4"/>
  <c r="F84" i="4" s="1"/>
  <c r="E85" i="4"/>
  <c r="F85" i="4" s="1"/>
  <c r="E82" i="4"/>
  <c r="F82" i="4" s="1"/>
  <c r="E83" i="4"/>
  <c r="F83" i="4" s="1"/>
  <c r="B80" i="4"/>
  <c r="P80" i="4" s="1"/>
  <c r="B81" i="4"/>
  <c r="P81" i="4" s="1"/>
  <c r="C80" i="4"/>
  <c r="Q80" i="4" s="1"/>
  <c r="C81" i="4"/>
  <c r="Q81" i="4" s="1"/>
  <c r="C78" i="4"/>
  <c r="Q78" i="4" s="1"/>
  <c r="B78" i="4"/>
  <c r="P78" i="4" s="1"/>
  <c r="C77" i="4"/>
  <c r="Q77" i="4" s="1"/>
  <c r="B77" i="4"/>
  <c r="P77" i="4" s="1"/>
  <c r="C76" i="4"/>
  <c r="Q76" i="4" s="1"/>
  <c r="B76" i="4"/>
  <c r="P76" i="4" s="1"/>
  <c r="C75" i="4"/>
  <c r="Q75" i="4" s="1"/>
  <c r="B74" i="4"/>
  <c r="P74" i="4" s="1"/>
  <c r="B75" i="4"/>
  <c r="P75" i="4" s="1"/>
  <c r="C74" i="4"/>
  <c r="Q74" i="4" s="1"/>
  <c r="C73" i="4"/>
  <c r="Q73" i="4" s="1"/>
  <c r="B73" i="4"/>
  <c r="P73" i="4" s="1"/>
  <c r="C72" i="4"/>
  <c r="Q72" i="4" s="1"/>
  <c r="B72" i="4"/>
  <c r="P72" i="4" s="1"/>
  <c r="B71" i="4"/>
  <c r="P71" i="4" s="1"/>
  <c r="C71" i="4"/>
  <c r="Q71" i="4" s="1"/>
  <c r="B70" i="4"/>
  <c r="P70" i="4" s="1"/>
  <c r="C70" i="4"/>
  <c r="Q70" i="4" s="1"/>
  <c r="E80" i="4"/>
  <c r="F80" i="4" s="1"/>
  <c r="E81" i="4"/>
  <c r="F81" i="4" s="1"/>
  <c r="E77" i="4"/>
  <c r="F77" i="4" s="1"/>
  <c r="E78" i="4"/>
  <c r="F78" i="4" s="1"/>
  <c r="E75" i="4"/>
  <c r="F75" i="4" s="1"/>
  <c r="E76" i="4"/>
  <c r="F76" i="4" s="1"/>
  <c r="E74" i="4"/>
  <c r="F74" i="4" s="1"/>
  <c r="E72" i="4"/>
  <c r="F72" i="4" s="1"/>
  <c r="E73" i="4"/>
  <c r="F73" i="4" s="1"/>
  <c r="E71" i="4"/>
  <c r="F71" i="4" s="1"/>
  <c r="E69" i="4"/>
  <c r="F69" i="4" s="1"/>
  <c r="E70" i="4"/>
  <c r="F70" i="4" s="1"/>
  <c r="C69" i="4"/>
  <c r="Q69" i="4" s="1"/>
  <c r="B69" i="4"/>
  <c r="P69" i="4" s="1"/>
  <c r="B68" i="4"/>
  <c r="P68" i="4" s="1"/>
  <c r="C68" i="4"/>
  <c r="Q68" i="4" s="1"/>
  <c r="B67" i="4"/>
  <c r="P67" i="4" s="1"/>
  <c r="C67" i="4"/>
  <c r="Q67" i="4" s="1"/>
  <c r="E67" i="4"/>
  <c r="F67" i="4" s="1"/>
  <c r="E68" i="4"/>
  <c r="F68" i="4" s="1"/>
  <c r="B66" i="4"/>
  <c r="P66" i="4" s="1"/>
  <c r="C66" i="4"/>
  <c r="Q66" i="4" s="1"/>
  <c r="B64" i="4"/>
  <c r="P64" i="4" s="1"/>
  <c r="C64" i="4"/>
  <c r="Q64" i="4" s="1"/>
  <c r="C65" i="4"/>
  <c r="Q65" i="4" s="1"/>
  <c r="B65" i="4"/>
  <c r="P65" i="4" s="1"/>
  <c r="E64" i="4"/>
  <c r="F64" i="4" s="1"/>
  <c r="E66" i="4"/>
  <c r="F66" i="4" s="1"/>
  <c r="A64" i="4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E63" i="4"/>
  <c r="F63" i="4" s="1"/>
  <c r="E65" i="4"/>
  <c r="F65" i="4" s="1"/>
  <c r="C63" i="4"/>
  <c r="Q63" i="4" s="1"/>
  <c r="B63" i="4"/>
  <c r="P63" i="4" s="1"/>
  <c r="B62" i="4"/>
  <c r="P62" i="4" s="1"/>
  <c r="C62" i="4"/>
  <c r="Q62" i="4" s="1"/>
  <c r="B61" i="4"/>
  <c r="P61" i="4" s="1"/>
  <c r="C61" i="4"/>
  <c r="Q61" i="4" s="1"/>
  <c r="B60" i="4"/>
  <c r="P60" i="4" s="1"/>
  <c r="C60" i="4"/>
  <c r="Q60" i="4" s="1"/>
  <c r="B59" i="4"/>
  <c r="P59" i="4" s="1"/>
  <c r="C59" i="4"/>
  <c r="Q59" i="4" s="1"/>
  <c r="E62" i="4"/>
  <c r="F62" i="4" s="1"/>
  <c r="E60" i="4"/>
  <c r="F60" i="4" s="1"/>
  <c r="E61" i="4"/>
  <c r="F61" i="4" s="1"/>
  <c r="E58" i="4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A80" i="4" l="1"/>
  <c r="A81" i="4" s="1"/>
  <c r="A82" i="4" s="1"/>
  <c r="A83" i="4" s="1"/>
  <c r="A84" i="4" s="1"/>
  <c r="A85" i="4" s="1"/>
  <c r="A86" i="4" s="1"/>
  <c r="A79" i="4"/>
  <c r="A87" i="4"/>
  <c r="A88" i="4" s="1"/>
  <c r="A89" i="4" s="1"/>
  <c r="A90" i="4" s="1"/>
  <c r="A91" i="4" s="1"/>
  <c r="A92" i="4" s="1"/>
  <c r="A93" i="4" s="1"/>
  <c r="A94" i="4" s="1"/>
  <c r="D8" i="6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X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X10" i="6" s="1"/>
  <c r="W11" i="6"/>
  <c r="X11" i="6" s="1"/>
  <c r="W15" i="6"/>
  <c r="W12" i="6"/>
  <c r="X12" i="6" s="1"/>
  <c r="W9" i="6"/>
  <c r="X9" i="6" s="1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15" i="6" l="1"/>
  <c r="Y10" i="6"/>
  <c r="Y11" i="6"/>
  <c r="Y12" i="6"/>
  <c r="Y15" i="6"/>
  <c r="W17" i="6"/>
  <c r="X17" i="6" s="1"/>
  <c r="Y9" i="6"/>
  <c r="Z8" i="6"/>
  <c r="AA8" i="6" s="1"/>
  <c r="Y16" i="6"/>
  <c r="Y18" i="6"/>
  <c r="Z18" i="6" s="1"/>
  <c r="AA18" i="6" s="1"/>
  <c r="AB18" i="6" s="1"/>
  <c r="W19" i="6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9" i="6" l="1"/>
  <c r="Z11" i="6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<sst xmlns="http://schemas.openxmlformats.org/spreadsheetml/2006/main" count="345" uniqueCount="105">
  <si>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</si>
  <si>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</si>
  <si>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</si>
  <si>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</si>
  <si>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</si>
  <si>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</si>
  <si>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</si>
  <si>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</si>
  <si>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</si>
  <si>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</si>
  <si>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</si>
  <si>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</si>
  <si>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</si>
  <si>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</si>
  <si>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</si>
  <si>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</si>
  <si>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</si>
  <si>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</si>
  <si>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</si>
  <si>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</si>
  <si>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</si>
  <si>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</si>
  <si>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</si>
  <si>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</si>
  <si>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</si>
  <si>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</si>
  <si>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</si>
  <si>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</si>
  <si>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</si>
  <si>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</si>
  <si>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</si>
  <si>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</si>
  <si>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</si>
  <si>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</si>
  <si>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</si>
  <si>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</si>
  <si>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</si>
  <si>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</si>
  <si>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</si>
  <si>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</si>
  <si>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</si>
  <si>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</si>
  <si>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</si>
  <si>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</si>
  <si>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</si>
  <si>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</si>
  <si>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</si>
  <si>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</si>
  <si>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</si>
  <si>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</si>
  <si>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</si>
  <si>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</si>
  <si>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</si>
  <si>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</si>
  <si>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</si>
  <si>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</si>
  <si>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</si>
  <si>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</si>
  <si>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</si>
  <si>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</si>
  <si>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</si>
  <si>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</si>
  <si>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</si>
  <si>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</si>
  <si>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</si>
  <si>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</si>
  <si>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</si>
  <si>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</si>
  <si>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</si>
  <si>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</si>
  <si>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</si>
  <si>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</si>
  <si>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</si>
  <si>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</si>
  <si>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</si>
  <si>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</si>
  <si>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</si>
  <si>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</si>
  <si>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</si>
  <si>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</si>
  <si>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</si>
  <si>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</si>
  <si>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</si>
  <si>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</si>
  <si>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</si>
  <si>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</si>
  <si>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</si>
  <si>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</si>
  <si>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</si>
  <si>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</si>
  <si>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</si>
  <si>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</si>
  <si>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</si>
  <si>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</si>
  <si>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SDS/Modification</t>
  </si>
  <si>
    <t>Package Creation-Stage1</t>
  </si>
  <si>
    <t>Package Creation-Stage2(Resource creation)</t>
  </si>
  <si>
    <t>TKT/Package Creation-Stage1</t>
  </si>
  <si>
    <t>TKT/Package Creation-Stage2(Resource creation)</t>
  </si>
  <si>
    <t>APPFRAME/Development</t>
  </si>
  <si>
    <t>Table syncing</t>
  </si>
  <si>
    <t>TEEBPD/Table syncing</t>
  </si>
  <si>
    <t>RTM/Modification</t>
  </si>
  <si>
    <t>Error Correction</t>
  </si>
  <si>
    <t>SDS/Error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</si>
</sst>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8" fontId="12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9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164" fontId="14" fillId="0" borderId="0" xfId="0" applyNumberFormat="1" applyFont="1" applyBorder="1" applyAlignment="1">
      <alignment horizontal="center"/>
    </xf>
    <xf numFmtId="18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20" fontId="14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left"/>
    </xf>
    <xf numFmtId="0" fontId="15" fillId="0" borderId="0" xfId="0" applyFont="1"/>
    <xf numFmtId="164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8" fontId="15" fillId="0" borderId="0" xfId="0" applyNumberFormat="1" applyFont="1" applyAlignment="1">
      <alignment horizontal="center"/>
    </xf>
    <xf numFmtId="0" fontId="15" fillId="0" borderId="0" xfId="0" applyNumberFormat="1" applyFont="1"/>
    <xf numFmtId="166" fontId="1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left"/>
    </xf>
    <xf numFmtId="0" fontId="16" fillId="0" borderId="0" xfId="0" applyFont="1"/>
    <xf numFmtId="164" fontId="16" fillId="0" borderId="0" xfId="0" applyNumberFormat="1" applyFont="1" applyAlignment="1">
      <alignment horizontal="center"/>
    </xf>
    <xf numFmtId="166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8" fontId="16" fillId="0" borderId="0" xfId="0" applyNumberFormat="1" applyFont="1" applyAlignment="1">
      <alignment horizontal="center"/>
    </xf>
    <xf numFmtId="0" fontId="16" fillId="0" borderId="0" xfId="0" applyNumberFormat="1" applyFont="1"/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3131.9999999999995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54933776"/>
        <c:axId val="454921264"/>
      </c:barChart>
      <c:catAx>
        <c:axId val="454933776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54921264"/>
        <c:crosses val="autoZero"/>
        <c:auto val="1"/>
        <c:lblAlgn val="ctr"/>
        <c:lblOffset val="100"/>
        <c:noMultiLvlLbl val="0"/>
      </c:catAx>
      <c:valAx>
        <c:axId val="4549212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54933776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59.999999999999943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3131.9999999999995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454924528"/>
        <c:axId val="454926704"/>
      </c:barChart>
      <c:catAx>
        <c:axId val="45492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54926704"/>
        <c:crosses val="autoZero"/>
        <c:auto val="1"/>
        <c:lblAlgn val="ctr"/>
        <c:lblOffset val="100"/>
        <c:noMultiLvlLbl val="0"/>
      </c:catAx>
      <c:valAx>
        <c:axId val="45492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5492452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3131.9999999999995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59.999999999999943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3131.9999999999995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180</c:v>
                </c:pt>
                <c:pt idx="5">
                  <c:v>0</c:v>
                </c:pt>
                <c:pt idx="6">
                  <c:v>1200</c:v>
                </c:pt>
                <c:pt idx="7">
                  <c:v>839.99999999999989</c:v>
                </c:pt>
                <c:pt idx="8">
                  <c:v>480.00000000000006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931056"/>
        <c:axId val="454928880"/>
      </c:areaChart>
      <c:catAx>
        <c:axId val="4549310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54928880"/>
        <c:crosses val="autoZero"/>
        <c:auto val="1"/>
        <c:lblAlgn val="ctr"/>
        <c:lblOffset val="100"/>
        <c:noMultiLvlLbl val="0"/>
      </c:catAx>
      <c:valAx>
        <c:axId val="4549288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54931056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8E-2"/>
          <c:y val="0"/>
          <c:w val="0.70026343258816959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3191.9999999999995</c:v>
                </c:pt>
                <c:pt idx="3">
                  <c:v>2700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925</c:v>
                </c:pt>
                <c:pt idx="1">
                  <c:v>866.99999999999977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314.99999999999989</c:v>
                </c:pt>
                <c:pt idx="1">
                  <c:v>866.99999999999977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610.00000000000011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454922896"/>
        <c:axId val="454930512"/>
      </c:barChart>
      <c:catAx>
        <c:axId val="454922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54930512"/>
        <c:crosses val="autoZero"/>
        <c:auto val="1"/>
        <c:lblAlgn val="ctr"/>
        <c:lblOffset val="100"/>
        <c:noMultiLvlLbl val="0"/>
      </c:catAx>
      <c:valAx>
        <c:axId val="454930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54922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314.99999999999989</c:v>
                </c:pt>
                <c:pt idx="1">
                  <c:v>164.99999999999997</c:v>
                </c:pt>
                <c:pt idx="2">
                  <c:v>181.99999999999983</c:v>
                </c:pt>
                <c:pt idx="3">
                  <c:v>445.00000000000011</c:v>
                </c:pt>
                <c:pt idx="4">
                  <c:v>264.99999999999994</c:v>
                </c:pt>
                <c:pt idx="5">
                  <c:v>420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454925616"/>
        <c:axId val="454931600"/>
      </c:barChart>
      <c:dateAx>
        <c:axId val="454925616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54931600"/>
        <c:crosses val="autoZero"/>
        <c:auto val="1"/>
        <c:lblOffset val="100"/>
        <c:baseTimeUnit val="days"/>
      </c:dateAx>
      <c:valAx>
        <c:axId val="454931600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54925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31" totalsRowShown="0" headerRowDxfId="31" dataDxfId="30">
  <autoFilter ref="A1:G31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104" totalsRowShown="0" headerRowDxfId="18" dataDxfId="17">
  <autoFilter ref="A1:Q104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9" sqref="D9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22" workbookViewId="0">
      <selection activeCell="D35" sqref="D35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1" t="s">
        <v>95</v>
      </c>
      <c r="E26" s="59" t="str">
        <f>CONCATENATE(ProjectTasks[Project],"/",ProjectTasks[Task])</f>
        <v>TKT/Package Creation-Stage1</v>
      </c>
      <c r="F26" s="59" t="str">
        <f>ProjectTasks[Project]</f>
        <v>TKT</v>
      </c>
      <c r="G26" s="59" t="str">
        <f>ProjectTasks[Task]</f>
        <v>Package Creation-Stage1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  <row r="28" spans="1:7" x14ac:dyDescent="0.25">
      <c r="A28" s="101">
        <f>IFERROR($A27+1,1)</f>
        <v>27</v>
      </c>
      <c r="B28" s="103" t="s">
        <v>48</v>
      </c>
      <c r="C28" s="102" t="str">
        <f>ProjectTasks[[#This Row],[Project]]&amp;"-"&amp;COUNTIF($B$1:ProjectTasks[[#This Row],[Project]],ProjectTasks[[#This Row],[Project]])</f>
        <v>TKT-8</v>
      </c>
      <c r="D28" s="1" t="s">
        <v>96</v>
      </c>
      <c r="E28" s="109" t="str">
        <f>CONCATENATE(ProjectTasks[Project],"/",ProjectTasks[Task])</f>
        <v>TKT/Package Creation-Stage2(Resource creation)</v>
      </c>
      <c r="F28" s="109" t="str">
        <f>ProjectTasks[Project]</f>
        <v>TKT</v>
      </c>
      <c r="G28" s="109" t="str">
        <f>ProjectTasks[Task]</f>
        <v>Package Creation-Stage2(Resource creation)</v>
      </c>
    </row>
    <row r="29" spans="1:7" x14ac:dyDescent="0.25">
      <c r="A29" s="116">
        <f>IFERROR($A28+1,1)</f>
        <v>28</v>
      </c>
      <c r="B29" s="118" t="s">
        <v>10</v>
      </c>
      <c r="C29" s="117" t="str">
        <f>ProjectTasks[[#This Row],[Project]]&amp;"-"&amp;COUNTIF($B$1:ProjectTasks[[#This Row],[Project]],ProjectTasks[[#This Row],[Project]])</f>
        <v>TEEBPD-9</v>
      </c>
      <c r="D29" s="118" t="s">
        <v>100</v>
      </c>
      <c r="E29" s="123" t="str">
        <f>CONCATENATE(ProjectTasks[Project],"/",ProjectTasks[Task])</f>
        <v>TEEBPD/Table syncing</v>
      </c>
      <c r="F29" s="123" t="str">
        <f>ProjectTasks[Project]</f>
        <v>TEEBPD</v>
      </c>
      <c r="G29" s="123" t="str">
        <f>ProjectTasks[Task]</f>
        <v>Table syncing</v>
      </c>
    </row>
    <row r="30" spans="1:7" x14ac:dyDescent="0.25">
      <c r="A30" s="116">
        <f>IFERROR($A29+1,1)</f>
        <v>29</v>
      </c>
      <c r="B30" s="118" t="s">
        <v>60</v>
      </c>
      <c r="C30" s="117" t="str">
        <f>ProjectTasks[[#This Row],[Project]]&amp;"-"&amp;COUNTIF($B$1:ProjectTasks[[#This Row],[Project]],ProjectTasks[[#This Row],[Project]])</f>
        <v>RTM-3</v>
      </c>
      <c r="D30" s="118" t="s">
        <v>74</v>
      </c>
      <c r="E30" s="123" t="str">
        <f>CONCATENATE(ProjectTasks[Project],"/",ProjectTasks[Task])</f>
        <v>RTM/Modification</v>
      </c>
      <c r="F30" s="123" t="str">
        <f>ProjectTasks[Project]</f>
        <v>RTM</v>
      </c>
      <c r="G30" s="123" t="str">
        <f>ProjectTasks[Task]</f>
        <v>Modification</v>
      </c>
    </row>
    <row r="31" spans="1:7" x14ac:dyDescent="0.25">
      <c r="A31" s="125">
        <f>IFERROR($A30+1,1)</f>
        <v>30</v>
      </c>
      <c r="B31" s="127" t="s">
        <v>52</v>
      </c>
      <c r="C31" s="126" t="str">
        <f>ProjectTasks[[#This Row],[Project]]&amp;"-"&amp;COUNTIF($B$1:ProjectTasks[[#This Row],[Project]],ProjectTasks[[#This Row],[Project]])</f>
        <v>SDS-6</v>
      </c>
      <c r="D31" s="127" t="s">
        <v>103</v>
      </c>
      <c r="E31" s="132" t="str">
        <f>CONCATENATE(ProjectTasks[Project],"/",ProjectTasks[Task])</f>
        <v>SDS/Error Correction</v>
      </c>
      <c r="F31" s="132" t="str">
        <f>ProjectTasks[Project]</f>
        <v>SDS</v>
      </c>
      <c r="G31" s="132" t="str">
        <f>ProjectTasks[Task]</f>
        <v>Error Correction</v>
      </c>
    </row>
  </sheetData>
  <dataValidations count="1">
    <dataValidation type="list" allowBlank="1" showInputMessage="1" showErrorMessage="1" sqref="B2:B31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tabSelected="1" topLeftCell="A93" zoomScaleNormal="100" workbookViewId="0">
      <selection activeCell="G110" sqref="G110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Creation-Stage1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97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Creation-Stage1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Creation-Stage1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97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Creation-Stage1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Creation-Stage1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97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Creation-Stage1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94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 t="shared" ref="A59:A68" si="5"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Creation-Stage1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55" t="s">
        <v>97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251</v>
      </c>
      <c r="O59" s="2" t="str">
        <f>TEXT(TaskTimings[Day Total Minutes]/1440,"HH:mm")</f>
        <v>04:11</v>
      </c>
      <c r="P59" s="10" t="str">
        <f>TaskTimings[PRJ]</f>
        <v>TKT</v>
      </c>
      <c r="Q59" s="10" t="str">
        <f>TaskTimings[TSK]</f>
        <v>Package Creation-Stage1</v>
      </c>
    </row>
    <row r="60" spans="1:17" x14ac:dyDescent="0.25">
      <c r="A60" s="5">
        <f t="shared" si="5"/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94</v>
      </c>
      <c r="H60" s="1" t="s">
        <v>54</v>
      </c>
      <c r="I60" s="8">
        <v>43442</v>
      </c>
      <c r="J60" s="93">
        <v>0.41666666666666669</v>
      </c>
      <c r="K60" s="68">
        <v>0.58333333333333337</v>
      </c>
      <c r="L60" s="2">
        <f>(TaskTimings[End Time]-TaskTimings[Start Time])*1440</f>
        <v>240.00000000000003</v>
      </c>
      <c r="M60" s="2" t="str">
        <f>TEXT(TaskTimings[End Time]-TaskTimings[Start Time],"HH:mm")</f>
        <v>04:00</v>
      </c>
      <c r="N60" s="2">
        <f>SUMIFS(TaskTimings[Total Minutes],TaskTimings[Date],TaskTimings[Date],TaskTimings[Employee],TaskTimings[Employee])</f>
        <v>240.00000000000003</v>
      </c>
      <c r="O60" s="2" t="str">
        <f>TEXT(TaskTimings[Day Total Minutes]/1440,"HH:mm")</f>
        <v>04:00</v>
      </c>
      <c r="P60" s="10" t="str">
        <f>TaskTimings[PRJ]</f>
        <v>SDS</v>
      </c>
      <c r="Q60" s="10" t="str">
        <f>TaskTimings[TSK]</f>
        <v>Modification</v>
      </c>
    </row>
    <row r="61" spans="1:17" x14ac:dyDescent="0.25">
      <c r="A61" s="94">
        <f t="shared" si="5"/>
        <v>60</v>
      </c>
      <c r="B61" s="95" t="str">
        <f>VLOOKUP(TaskTimings[Task],ProjectTasks[[TaskProjectCode]:[TSK]],2,0)</f>
        <v>TKT</v>
      </c>
      <c r="C61" s="95" t="str">
        <f>VLOOKUP(TaskTimings[Task],ProjectTasks[[TaskProjectCode]:[TSK]],3,0)</f>
        <v>Package Creation-Stage1</v>
      </c>
      <c r="D61" s="95" t="str">
        <f>TaskTimings[Employee]&amp;"/"&amp;TaskTimings[Date]</f>
        <v>Shareena/43442</v>
      </c>
      <c r="E61" s="95">
        <f>COUNTIF($D$1:TaskTimings[[#This Row],[EmployeeDate]],TaskTimings[[#This Row],[EmployeeDate]])</f>
        <v>2</v>
      </c>
      <c r="F61" s="95" t="str">
        <f>TaskTimings[[#This Row],[EmployeeDate]]&amp;"/"&amp;TaskTimings[[#This Row],[EmployeeDateSeq]]</f>
        <v>Shareena/43442/2</v>
      </c>
      <c r="G61" s="1" t="s">
        <v>97</v>
      </c>
      <c r="H61" s="96" t="s">
        <v>16</v>
      </c>
      <c r="I61" s="97">
        <v>43442</v>
      </c>
      <c r="J61" s="98">
        <v>0.59375</v>
      </c>
      <c r="K61" s="100">
        <v>0.625</v>
      </c>
      <c r="L61" s="99">
        <f>(TaskTimings[End Time]-TaskTimings[Start Time])*1440</f>
        <v>45</v>
      </c>
      <c r="M61" s="99" t="str">
        <f>TEXT(TaskTimings[End Time]-TaskTimings[Start Time],"HH:mm")</f>
        <v>00:45</v>
      </c>
      <c r="N61" s="99">
        <f>SUMIFS(TaskTimings[Total Minutes],TaskTimings[Date],TaskTimings[Date],TaskTimings[Employee],TaskTimings[Employee])</f>
        <v>251</v>
      </c>
      <c r="O61" s="99" t="str">
        <f>TEXT(TaskTimings[Day Total Minutes]/1440,"HH:mm")</f>
        <v>04:11</v>
      </c>
      <c r="P61" s="95" t="str">
        <f>TaskTimings[PRJ]</f>
        <v>TKT</v>
      </c>
      <c r="Q61" s="95" t="str">
        <f>TaskTimings[TSK]</f>
        <v>Package Creation-Stage1</v>
      </c>
    </row>
    <row r="62" spans="1:17" x14ac:dyDescent="0.25">
      <c r="A62" s="101">
        <f t="shared" si="5"/>
        <v>61</v>
      </c>
      <c r="B62" s="102" t="str">
        <f>VLOOKUP(TaskTimings[Task],ProjectTasks[[TaskProjectCode]:[TSK]],2,0)</f>
        <v>TKT</v>
      </c>
      <c r="C62" s="102" t="str">
        <f>VLOOKUP(TaskTimings[Task],ProjectTasks[[TaskProjectCode]:[TSK]],3,0)</f>
        <v>Package Creation-Stage1</v>
      </c>
      <c r="D62" s="102" t="str">
        <f>TaskTimings[Employee]&amp;"/"&amp;TaskTimings[Date]</f>
        <v>Shareena/43442</v>
      </c>
      <c r="E62" s="102">
        <f>COUNTIF($D$1:TaskTimings[[#This Row],[EmployeeDate]],TaskTimings[[#This Row],[EmployeeDate]])</f>
        <v>3</v>
      </c>
      <c r="F62" s="102" t="str">
        <f>TaskTimings[[#This Row],[EmployeeDate]]&amp;"/"&amp;TaskTimings[[#This Row],[EmployeeDateSeq]]</f>
        <v>Shareena/43442/3</v>
      </c>
      <c r="G62" s="103" t="s">
        <v>97</v>
      </c>
      <c r="H62" s="103" t="s">
        <v>16</v>
      </c>
      <c r="I62" s="104">
        <v>43442</v>
      </c>
      <c r="J62" s="105">
        <v>0.67708333333333337</v>
      </c>
      <c r="K62" s="107">
        <v>0.70486111111111116</v>
      </c>
      <c r="L62" s="106">
        <f>(TaskTimings[End Time]-TaskTimings[Start Time])*1440</f>
        <v>40.000000000000014</v>
      </c>
      <c r="M62" s="99" t="str">
        <f>TEXT(TaskTimings[End Time]-TaskTimings[Start Time],"HH:mm")</f>
        <v>00:40</v>
      </c>
      <c r="N62" s="106">
        <f>SUMIFS(TaskTimings[Total Minutes],TaskTimings[Date],TaskTimings[Date],TaskTimings[Employee],TaskTimings[Employee])</f>
        <v>251</v>
      </c>
      <c r="O62" s="106" t="str">
        <f>TEXT(TaskTimings[Day Total Minutes]/1440,"HH:mm")</f>
        <v>04:11</v>
      </c>
      <c r="P62" s="102" t="str">
        <f>TaskTimings[PRJ]</f>
        <v>TKT</v>
      </c>
      <c r="Q62" s="102" t="str">
        <f>TaskTimings[TSK]</f>
        <v>Package Creation-Stage1</v>
      </c>
    </row>
    <row r="63" spans="1:17" x14ac:dyDescent="0.25">
      <c r="A63" s="101">
        <f t="shared" si="5"/>
        <v>62</v>
      </c>
      <c r="B63" s="102" t="str">
        <f>VLOOKUP(TaskTimings[Task],ProjectTasks[[TaskProjectCode]:[TSK]],2,0)</f>
        <v>TKT</v>
      </c>
      <c r="C63" s="102" t="str">
        <f>VLOOKUP(TaskTimings[Task],ProjectTasks[[TaskProjectCode]:[TSK]],3,0)</f>
        <v>Package Creation-Stage1</v>
      </c>
      <c r="D63" s="102" t="str">
        <f>TaskTimings[Employee]&amp;"/"&amp;TaskTimings[Date]</f>
        <v>Shareena/43444</v>
      </c>
      <c r="E63" s="102">
        <f>COUNTIF($D$1:TaskTimings[[#This Row],[EmployeeDate]],TaskTimings[[#This Row],[EmployeeDate]])</f>
        <v>1</v>
      </c>
      <c r="F63" s="102" t="str">
        <f>TaskTimings[[#This Row],[EmployeeDate]]&amp;"/"&amp;TaskTimings[[#This Row],[EmployeeDateSeq]]</f>
        <v>Shareena/43444/1</v>
      </c>
      <c r="G63" s="103" t="s">
        <v>97</v>
      </c>
      <c r="H63" s="103" t="s">
        <v>16</v>
      </c>
      <c r="I63" s="104">
        <v>43444</v>
      </c>
      <c r="J63" s="105">
        <v>0.38541666666666669</v>
      </c>
      <c r="K63" s="108">
        <v>0.5</v>
      </c>
      <c r="L63" s="106">
        <f>(TaskTimings[End Time]-TaskTimings[Start Time])*1440</f>
        <v>164.99999999999997</v>
      </c>
      <c r="M63" s="106" t="str">
        <f>TEXT(TaskTimings[End Time]-TaskTimings[Start Time],"HH:mm")</f>
        <v>02:45</v>
      </c>
      <c r="N63" s="106">
        <f>SUMIFS(TaskTimings[Total Minutes],TaskTimings[Date],TaskTimings[Date],TaskTimings[Employee],TaskTimings[Employee])</f>
        <v>314.99999999999989</v>
      </c>
      <c r="O63" s="106" t="str">
        <f>TEXT(TaskTimings[Day Total Minutes]/1440,"HH:mm")</f>
        <v>05:15</v>
      </c>
      <c r="P63" s="102" t="str">
        <f>TaskTimings[PRJ]</f>
        <v>TKT</v>
      </c>
      <c r="Q63" s="102" t="str">
        <f>TaskTimings[TSK]</f>
        <v>Package Creation-Stage1</v>
      </c>
    </row>
    <row r="64" spans="1:17" x14ac:dyDescent="0.25">
      <c r="A64" s="101">
        <f t="shared" si="5"/>
        <v>63</v>
      </c>
      <c r="B64" s="102" t="str">
        <f>VLOOKUP(TaskTimings[Task],ProjectTasks[[TaskProjectCode]:[TSK]],2,0)</f>
        <v>TKT</v>
      </c>
      <c r="C64" s="102" t="str">
        <f>VLOOKUP(TaskTimings[Task],ProjectTasks[[TaskProjectCode]:[TSK]],3,0)</f>
        <v>Package Creation-Stage1</v>
      </c>
      <c r="D64" s="102" t="str">
        <f>TaskTimings[Employee]&amp;"/"&amp;TaskTimings[Date]</f>
        <v>Shareena/43444</v>
      </c>
      <c r="E64" s="102">
        <f>COUNTIF($D$1:TaskTimings[[#This Row],[EmployeeDate]],TaskTimings[[#This Row],[EmployeeDate]])</f>
        <v>2</v>
      </c>
      <c r="F64" s="102" t="str">
        <f>TaskTimings[[#This Row],[EmployeeDate]]&amp;"/"&amp;TaskTimings[[#This Row],[EmployeeDateSeq]]</f>
        <v>Shareena/43444/2</v>
      </c>
      <c r="G64" s="103" t="s">
        <v>97</v>
      </c>
      <c r="H64" s="103" t="s">
        <v>16</v>
      </c>
      <c r="I64" s="104">
        <v>43444</v>
      </c>
      <c r="J64" s="108">
        <v>0.58333333333333337</v>
      </c>
      <c r="K64" s="108">
        <v>0.6875</v>
      </c>
      <c r="L64" s="106">
        <f>(TaskTimings[End Time]-TaskTimings[Start Time])*1440</f>
        <v>149.99999999999994</v>
      </c>
      <c r="M64" s="106" t="str">
        <f>TEXT(TaskTimings[End Time]-TaskTimings[Start Time],"HH:mm")</f>
        <v>02:30</v>
      </c>
      <c r="N64" s="106">
        <f>SUMIFS(TaskTimings[Total Minutes],TaskTimings[Date],TaskTimings[Date],TaskTimings[Employee],TaskTimings[Employee])</f>
        <v>314.99999999999989</v>
      </c>
      <c r="O64" s="106" t="str">
        <f>TEXT(TaskTimings[Day Total Minutes]/1440,"HH:mm")</f>
        <v>05:15</v>
      </c>
      <c r="P64" s="102" t="str">
        <f>TaskTimings[PRJ]</f>
        <v>TKT</v>
      </c>
      <c r="Q64" s="102" t="str">
        <f>TaskTimings[TSK]</f>
        <v>Package Creation-Stage1</v>
      </c>
    </row>
    <row r="65" spans="1:17" x14ac:dyDescent="0.25">
      <c r="A65" s="101">
        <f t="shared" si="5"/>
        <v>64</v>
      </c>
      <c r="B65" s="102" t="str">
        <f>VLOOKUP(TaskTimings[Task],ProjectTasks[[TaskProjectCode]:[TSK]],2,0)</f>
        <v>TKT</v>
      </c>
      <c r="C65" s="102" t="str">
        <f>VLOOKUP(TaskTimings[Task],ProjectTasks[[TaskProjectCode]:[TSK]],3,0)</f>
        <v>Package Creation-Stage2(Resource creation)</v>
      </c>
      <c r="D65" s="102" t="str">
        <f>TaskTimings[Employee]&amp;"/"&amp;TaskTimings[Date]</f>
        <v>Shareena/43445</v>
      </c>
      <c r="E65" s="102">
        <f>COUNTIF($D$1:TaskTimings[[#This Row],[EmployeeDate]],TaskTimings[[#This Row],[EmployeeDate]])</f>
        <v>1</v>
      </c>
      <c r="F65" s="102" t="str">
        <f>TaskTimings[[#This Row],[EmployeeDate]]&amp;"/"&amp;TaskTimings[[#This Row],[EmployeeDateSeq]]</f>
        <v>Shareena/43445/1</v>
      </c>
      <c r="G65" s="103" t="s">
        <v>98</v>
      </c>
      <c r="H65" s="103" t="s">
        <v>16</v>
      </c>
      <c r="I65" s="104">
        <v>43445</v>
      </c>
      <c r="J65" s="105">
        <v>0.39583333333333331</v>
      </c>
      <c r="K65" s="115">
        <v>0.51041666666666663</v>
      </c>
      <c r="L65" s="106">
        <f>(TaskTimings[End Time]-TaskTimings[Start Time])*1440</f>
        <v>164.99999999999997</v>
      </c>
      <c r="M65" s="106" t="str">
        <f>TEXT(TaskTimings[End Time]-TaskTimings[Start Time],"HH:mm")</f>
        <v>02:45</v>
      </c>
      <c r="N65" s="106">
        <f>SUMIFS(TaskTimings[Total Minutes],TaskTimings[Date],TaskTimings[Date],TaskTimings[Employee],TaskTimings[Employee])</f>
        <v>164.99999999999997</v>
      </c>
      <c r="O65" s="106" t="str">
        <f>TEXT(TaskTimings[Day Total Minutes]/1440,"HH:mm")</f>
        <v>02:45</v>
      </c>
      <c r="P65" s="102" t="str">
        <f>TaskTimings[PRJ]</f>
        <v>TKT</v>
      </c>
      <c r="Q65" s="102" t="str">
        <f>TaskTimings[TSK]</f>
        <v>Package Creation-Stage2(Resource creation)</v>
      </c>
    </row>
    <row r="66" spans="1:17" x14ac:dyDescent="0.25">
      <c r="A66" s="101">
        <f t="shared" si="5"/>
        <v>65</v>
      </c>
      <c r="B66" s="110" t="str">
        <f>VLOOKUP(TaskTimings[Task],ProjectTasks[[TaskProjectCode]:[TSK]],2,0)</f>
        <v>APPFRAME</v>
      </c>
      <c r="C66" s="110" t="str">
        <f>VLOOKUP(TaskTimings[Task],ProjectTasks[[TaskProjectCode]:[TSK]],3,0)</f>
        <v>Development</v>
      </c>
      <c r="D66" s="110" t="str">
        <f>TaskTimings[Employee]&amp;"/"&amp;TaskTimings[Date]</f>
        <v>Firose/43444</v>
      </c>
      <c r="E66" s="110">
        <f>COUNTIF($D$1:TaskTimings[[#This Row],[EmployeeDate]],TaskTimings[[#This Row],[EmployeeDate]])</f>
        <v>1</v>
      </c>
      <c r="F66" s="110" t="str">
        <f>TaskTimings[[#This Row],[EmployeeDate]]&amp;"/"&amp;TaskTimings[[#This Row],[EmployeeDateSeq]]</f>
        <v>Firose/43444/1</v>
      </c>
      <c r="G66" s="111" t="s">
        <v>99</v>
      </c>
      <c r="H66" s="111" t="s">
        <v>34</v>
      </c>
      <c r="I66" s="112">
        <v>43444</v>
      </c>
      <c r="J66" s="113">
        <v>0.375</v>
      </c>
      <c r="K66" s="113">
        <v>0.70833333333333337</v>
      </c>
      <c r="L66" s="114">
        <f>(TaskTimings[End Time]-TaskTimings[Start Time])*1440</f>
        <v>480.00000000000006</v>
      </c>
      <c r="M66" s="114" t="str">
        <f>TEXT(TaskTimings[End Time]-TaskTimings[Start Time],"HH:mm")</f>
        <v>08:00</v>
      </c>
      <c r="N66" s="114">
        <f>SUMIFS(TaskTimings[Total Minutes],TaskTimings[Date],TaskTimings[Date],TaskTimings[Employee],TaskTimings[Employee])</f>
        <v>480.00000000000006</v>
      </c>
      <c r="O66" s="114" t="str">
        <f>TEXT(TaskTimings[Day Total Minutes]/1440,"HH:mm")</f>
        <v>08:00</v>
      </c>
      <c r="P66" s="110" t="str">
        <f>TaskTimings[PRJ]</f>
        <v>APPFRAME</v>
      </c>
      <c r="Q66" s="110" t="str">
        <f>TaskTimings[TSK]</f>
        <v>Development</v>
      </c>
    </row>
    <row r="67" spans="1:17" x14ac:dyDescent="0.25">
      <c r="A67" s="116">
        <f t="shared" si="5"/>
        <v>66</v>
      </c>
      <c r="B67" s="117" t="str">
        <f>VLOOKUP(TaskTimings[Task],ProjectTasks[[TaskProjectCode]:[TSK]],2,0)</f>
        <v>SDS</v>
      </c>
      <c r="C67" s="117" t="str">
        <f>VLOOKUP(TaskTimings[Task],ProjectTasks[[TaskProjectCode]:[TSK]],3,0)</f>
        <v>Modification</v>
      </c>
      <c r="D67" s="117" t="str">
        <f>TaskTimings[Employee]&amp;"/"&amp;TaskTimings[Date]</f>
        <v>Aswathy/43445</v>
      </c>
      <c r="E67" s="117">
        <f>COUNTIF($D$1:TaskTimings[[#This Row],[EmployeeDate]],TaskTimings[[#This Row],[EmployeeDate]])</f>
        <v>1</v>
      </c>
      <c r="F67" s="117" t="str">
        <f>TaskTimings[[#This Row],[EmployeeDate]]&amp;"/"&amp;TaskTimings[[#This Row],[EmployeeDateSeq]]</f>
        <v>Aswathy/43445/1</v>
      </c>
      <c r="G67" s="118" t="s">
        <v>94</v>
      </c>
      <c r="H67" s="118" t="s">
        <v>54</v>
      </c>
      <c r="I67" s="119">
        <v>43445</v>
      </c>
      <c r="J67" s="120">
        <v>0.53125</v>
      </c>
      <c r="K67" s="122">
        <v>0.55902777777777779</v>
      </c>
      <c r="L67" s="121">
        <f>(TaskTimings[End Time]-TaskTimings[Start Time])*1440</f>
        <v>40.000000000000014</v>
      </c>
      <c r="M67" s="121" t="str">
        <f>TEXT(TaskTimings[End Time]-TaskTimings[Start Time],"HH:mm")</f>
        <v>00:40</v>
      </c>
      <c r="N67" s="121">
        <f>SUMIFS(TaskTimings[Total Minutes],TaskTimings[Date],TaskTimings[Date],TaskTimings[Employee],TaskTimings[Employee])</f>
        <v>220</v>
      </c>
      <c r="O67" s="121" t="str">
        <f>TEXT(TaskTimings[Day Total Minutes]/1440,"HH:mm")</f>
        <v>03:40</v>
      </c>
      <c r="P67" s="117" t="str">
        <f>TaskTimings[PRJ]</f>
        <v>SDS</v>
      </c>
      <c r="Q67" s="117" t="str">
        <f>TaskTimings[TSK]</f>
        <v>Modification</v>
      </c>
    </row>
    <row r="68" spans="1:17" x14ac:dyDescent="0.25">
      <c r="A68" s="116">
        <f t="shared" si="5"/>
        <v>67</v>
      </c>
      <c r="B68" s="117" t="str">
        <f>VLOOKUP(TaskTimings[Task],ProjectTasks[[TaskProjectCode]:[TSK]],2,0)</f>
        <v>SDS</v>
      </c>
      <c r="C68" s="117" t="str">
        <f>VLOOKUP(TaskTimings[Task],ProjectTasks[[TaskProjectCode]:[TSK]],3,0)</f>
        <v>Modification</v>
      </c>
      <c r="D68" s="117" t="str">
        <f>TaskTimings[Employee]&amp;"/"&amp;TaskTimings[Date]</f>
        <v>Aswathy/43445</v>
      </c>
      <c r="E68" s="117">
        <f>COUNTIF($D$1:TaskTimings[[#This Row],[EmployeeDate]],TaskTimings[[#This Row],[EmployeeDate]])</f>
        <v>2</v>
      </c>
      <c r="F68" s="117" t="str">
        <f>TaskTimings[[#This Row],[EmployeeDate]]&amp;"/"&amp;TaskTimings[[#This Row],[EmployeeDateSeq]]</f>
        <v>Aswathy/43445/2</v>
      </c>
      <c r="G68" s="118" t="s">
        <v>94</v>
      </c>
      <c r="H68" s="118" t="s">
        <v>54</v>
      </c>
      <c r="I68" s="119">
        <v>43445</v>
      </c>
      <c r="J68" s="120">
        <v>0.58333333333333337</v>
      </c>
      <c r="K68" s="122">
        <v>0.70833333333333337</v>
      </c>
      <c r="L68" s="121">
        <f>(TaskTimings[End Time]-TaskTimings[Start Time])*1440</f>
        <v>180</v>
      </c>
      <c r="M68" s="121" t="str">
        <f>TEXT(TaskTimings[End Time]-TaskTimings[Start Time],"HH:mm")</f>
        <v>03:00</v>
      </c>
      <c r="N68" s="121">
        <f>SUMIFS(TaskTimings[Total Minutes],TaskTimings[Date],TaskTimings[Date],TaskTimings[Employee],TaskTimings[Employee])</f>
        <v>220</v>
      </c>
      <c r="O68" s="121" t="str">
        <f>TEXT(TaskTimings[Day Total Minutes]/1440,"HH:mm")</f>
        <v>03:40</v>
      </c>
      <c r="P68" s="117" t="str">
        <f>TaskTimings[PRJ]</f>
        <v>SDS</v>
      </c>
      <c r="Q68" s="117" t="str">
        <f>TaskTimings[TSK]</f>
        <v>Modification</v>
      </c>
    </row>
    <row r="69" spans="1:17" x14ac:dyDescent="0.25">
      <c r="A69" s="116">
        <f t="shared" ref="A69:A77" si="6">IFERROR($A68+1,1)</f>
        <v>68</v>
      </c>
      <c r="B69" s="117" t="str">
        <f>VLOOKUP(TaskTimings[Task],ProjectTasks[[TaskProjectCode]:[TSK]],2,0)</f>
        <v>TEEBPD</v>
      </c>
      <c r="C69" s="117" t="str">
        <f>VLOOKUP(TaskTimings[Task],ProjectTasks[[TaskProjectCode]:[TSK]],3,0)</f>
        <v>Table syncing</v>
      </c>
      <c r="D69" s="117" t="str">
        <f>TaskTimings[Employee]&amp;"/"&amp;TaskTimings[Date]</f>
        <v>Shareena/43446</v>
      </c>
      <c r="E69" s="117">
        <f>COUNTIF($D$1:TaskTimings[[#This Row],[EmployeeDate]],TaskTimings[[#This Row],[EmployeeDate]])</f>
        <v>1</v>
      </c>
      <c r="F69" s="117" t="str">
        <f>TaskTimings[[#This Row],[EmployeeDate]]&amp;"/"&amp;TaskTimings[[#This Row],[EmployeeDateSeq]]</f>
        <v>Shareena/43446/1</v>
      </c>
      <c r="G69" s="118" t="s">
        <v>101</v>
      </c>
      <c r="H69" s="118" t="s">
        <v>16</v>
      </c>
      <c r="I69" s="119">
        <v>43446</v>
      </c>
      <c r="J69" s="120">
        <v>0.40972222222222227</v>
      </c>
      <c r="K69" s="122">
        <v>0.45833333333333331</v>
      </c>
      <c r="L69" s="121">
        <f>(TaskTimings[End Time]-TaskTimings[Start Time])*1440</f>
        <v>69.999999999999915</v>
      </c>
      <c r="M69" s="121" t="str">
        <f>TEXT(TaskTimings[End Time]-TaskTimings[Start Time],"HH:mm")</f>
        <v>01:10</v>
      </c>
      <c r="N69" s="121">
        <f>SUMIFS(TaskTimings[Total Minutes],TaskTimings[Date],TaskTimings[Date],TaskTimings[Employee],TaskTimings[Employee])</f>
        <v>181.99999999999983</v>
      </c>
      <c r="O69" s="121" t="str">
        <f>TEXT(TaskTimings[Day Total Minutes]/1440,"HH:mm")</f>
        <v>03:02</v>
      </c>
      <c r="P69" s="117" t="str">
        <f>TaskTimings[PRJ]</f>
        <v>TEEBPD</v>
      </c>
      <c r="Q69" s="117" t="str">
        <f>TaskTimings[TSK]</f>
        <v>Table syncing</v>
      </c>
    </row>
    <row r="70" spans="1:17" x14ac:dyDescent="0.25">
      <c r="A70" s="116">
        <f t="shared" si="6"/>
        <v>69</v>
      </c>
      <c r="B70" s="117" t="str">
        <f>VLOOKUP(TaskTimings[Task],ProjectTasks[[TaskProjectCode]:[TSK]],2,0)</f>
        <v>SDS</v>
      </c>
      <c r="C70" s="117" t="str">
        <f>VLOOKUP(TaskTimings[Task],ProjectTasks[[TaskProjectCode]:[TSK]],3,0)</f>
        <v>Modification</v>
      </c>
      <c r="D70" s="117" t="str">
        <f>TaskTimings[Employee]&amp;"/"&amp;TaskTimings[Date]</f>
        <v>Aswathy/43446</v>
      </c>
      <c r="E70" s="117">
        <f>COUNTIF($D$1:TaskTimings[[#This Row],[EmployeeDate]],TaskTimings[[#This Row],[EmployeeDate]])</f>
        <v>1</v>
      </c>
      <c r="F70" s="117" t="str">
        <f>TaskTimings[[#This Row],[EmployeeDate]]&amp;"/"&amp;TaskTimings[[#This Row],[EmployeeDateSeq]]</f>
        <v>Aswathy/43446/1</v>
      </c>
      <c r="G70" s="118" t="s">
        <v>94</v>
      </c>
      <c r="H70" s="118" t="s">
        <v>54</v>
      </c>
      <c r="I70" s="119">
        <v>43446</v>
      </c>
      <c r="J70" s="120">
        <v>0.39583333333333331</v>
      </c>
      <c r="K70" s="122">
        <v>0.5625</v>
      </c>
      <c r="L70" s="121">
        <f>(TaskTimings[End Time]-TaskTimings[Start Time])*1440</f>
        <v>240.00000000000003</v>
      </c>
      <c r="M70" s="121" t="str">
        <f>TEXT(TaskTimings[End Time]-TaskTimings[Start Time],"HH:mm")</f>
        <v>04:00</v>
      </c>
      <c r="N70" s="121">
        <f>SUMIFS(TaskTimings[Total Minutes],TaskTimings[Date],TaskTimings[Date],TaskTimings[Employee],TaskTimings[Employee])</f>
        <v>405.00000000000011</v>
      </c>
      <c r="O70" s="121" t="str">
        <f>TEXT(TaskTimings[Day Total Minutes]/1440,"HH:mm")</f>
        <v>06:45</v>
      </c>
      <c r="P70" s="117" t="str">
        <f>TaskTimings[PRJ]</f>
        <v>SDS</v>
      </c>
      <c r="Q70" s="117" t="str">
        <f>TaskTimings[TSK]</f>
        <v>Modification</v>
      </c>
    </row>
    <row r="71" spans="1:17" x14ac:dyDescent="0.25">
      <c r="A71" s="116">
        <f t="shared" si="6"/>
        <v>70</v>
      </c>
      <c r="B71" s="117" t="str">
        <f>VLOOKUP(TaskTimings[Task],ProjectTasks[[TaskProjectCode]:[TSK]],2,0)</f>
        <v>TEEBPD</v>
      </c>
      <c r="C71" s="117" t="str">
        <f>VLOOKUP(TaskTimings[Task],ProjectTasks[[TaskProjectCode]:[TSK]],3,0)</f>
        <v>Table syncing</v>
      </c>
      <c r="D71" s="117" t="str">
        <f>TaskTimings[Employee]&amp;"/"&amp;TaskTimings[Date]</f>
        <v>Shareena/43446</v>
      </c>
      <c r="E71" s="117">
        <f>COUNTIF($D$1:TaskTimings[[#This Row],[EmployeeDate]],TaskTimings[[#This Row],[EmployeeDate]])</f>
        <v>2</v>
      </c>
      <c r="F71" s="117" t="str">
        <f>TaskTimings[[#This Row],[EmployeeDate]]&amp;"/"&amp;TaskTimings[[#This Row],[EmployeeDateSeq]]</f>
        <v>Shareena/43446/2</v>
      </c>
      <c r="G71" s="118" t="s">
        <v>101</v>
      </c>
      <c r="H71" s="118" t="s">
        <v>16</v>
      </c>
      <c r="I71" s="119">
        <v>43446</v>
      </c>
      <c r="J71" s="120">
        <v>0.62847222222222221</v>
      </c>
      <c r="K71" s="122">
        <v>0.70624999999999993</v>
      </c>
      <c r="L71" s="121">
        <f>(TaskTimings[End Time]-TaskTimings[Start Time])*1440</f>
        <v>111.99999999999991</v>
      </c>
      <c r="M71" s="121" t="str">
        <f>TEXT(TaskTimings[End Time]-TaskTimings[Start Time],"HH:mm")</f>
        <v>01:52</v>
      </c>
      <c r="N71" s="121">
        <f>SUMIFS(TaskTimings[Total Minutes],TaskTimings[Date],TaskTimings[Date],TaskTimings[Employee],TaskTimings[Employee])</f>
        <v>181.99999999999983</v>
      </c>
      <c r="O71" s="121" t="str">
        <f>TEXT(TaskTimings[Day Total Minutes]/1440,"HH:mm")</f>
        <v>03:02</v>
      </c>
      <c r="P71" s="117" t="str">
        <f>TaskTimings[PRJ]</f>
        <v>TEEBPD</v>
      </c>
      <c r="Q71" s="117" t="str">
        <f>TaskTimings[TSK]</f>
        <v>Table syncing</v>
      </c>
    </row>
    <row r="72" spans="1:17" x14ac:dyDescent="0.25">
      <c r="A72" s="116">
        <f t="shared" si="6"/>
        <v>71</v>
      </c>
      <c r="B72" s="117" t="str">
        <f>VLOOKUP(TaskTimings[Task],ProjectTasks[[TaskProjectCode]:[TSK]],2,0)</f>
        <v>SDS</v>
      </c>
      <c r="C72" s="117" t="str">
        <f>VLOOKUP(TaskTimings[Task],ProjectTasks[[TaskProjectCode]:[TSK]],3,0)</f>
        <v>Modification</v>
      </c>
      <c r="D72" s="117" t="str">
        <f>TaskTimings[Employee]&amp;"/"&amp;TaskTimings[Date]</f>
        <v>Aswathy/43446</v>
      </c>
      <c r="E72" s="117">
        <f>COUNTIF($D$1:TaskTimings[[#This Row],[EmployeeDate]],TaskTimings[[#This Row],[EmployeeDate]])</f>
        <v>2</v>
      </c>
      <c r="F72" s="117" t="str">
        <f>TaskTimings[[#This Row],[EmployeeDate]]&amp;"/"&amp;TaskTimings[[#This Row],[EmployeeDateSeq]]</f>
        <v>Aswathy/43446/2</v>
      </c>
      <c r="G72" s="118" t="s">
        <v>94</v>
      </c>
      <c r="H72" s="118" t="s">
        <v>54</v>
      </c>
      <c r="I72" s="119">
        <v>43446</v>
      </c>
      <c r="J72" s="120">
        <v>0.59027777777777779</v>
      </c>
      <c r="K72" s="122">
        <v>0.70486111111111116</v>
      </c>
      <c r="L72" s="121">
        <f>(TaskTimings[End Time]-TaskTimings[Start Time])*1440</f>
        <v>165.00000000000006</v>
      </c>
      <c r="M72" s="121" t="str">
        <f>TEXT(TaskTimings[End Time]-TaskTimings[Start Time],"HH:mm")</f>
        <v>02:45</v>
      </c>
      <c r="N72" s="121">
        <f>SUMIFS(TaskTimings[Total Minutes],TaskTimings[Date],TaskTimings[Date],TaskTimings[Employee],TaskTimings[Employee])</f>
        <v>405.00000000000011</v>
      </c>
      <c r="O72" s="121" t="str">
        <f>TEXT(TaskTimings[Day Total Minutes]/1440,"HH:mm")</f>
        <v>06:45</v>
      </c>
      <c r="P72" s="117" t="str">
        <f>TaskTimings[PRJ]</f>
        <v>SDS</v>
      </c>
      <c r="Q72" s="117" t="str">
        <f>TaskTimings[TSK]</f>
        <v>Modification</v>
      </c>
    </row>
    <row r="73" spans="1:17" x14ac:dyDescent="0.25">
      <c r="A73" s="116">
        <f t="shared" si="6"/>
        <v>72</v>
      </c>
      <c r="B73" s="117" t="str">
        <f>VLOOKUP(TaskTimings[Task],ProjectTasks[[TaskProjectCode]:[TSK]],2,0)</f>
        <v>SDS</v>
      </c>
      <c r="C73" s="117" t="str">
        <f>VLOOKUP(TaskTimings[Task],ProjectTasks[[TaskProjectCode]:[TSK]],3,0)</f>
        <v>Modification</v>
      </c>
      <c r="D73" s="117" t="str">
        <f>TaskTimings[Employee]&amp;"/"&amp;TaskTimings[Date]</f>
        <v>Aswathy/43447</v>
      </c>
      <c r="E73" s="117">
        <f>COUNTIF($D$1:TaskTimings[[#This Row],[EmployeeDate]],TaskTimings[[#This Row],[EmployeeDate]])</f>
        <v>1</v>
      </c>
      <c r="F73" s="117" t="str">
        <f>TaskTimings[[#This Row],[EmployeeDate]]&amp;"/"&amp;TaskTimings[[#This Row],[EmployeeDateSeq]]</f>
        <v>Aswathy/43447/1</v>
      </c>
      <c r="G73" s="118" t="s">
        <v>94</v>
      </c>
      <c r="H73" s="118" t="s">
        <v>54</v>
      </c>
      <c r="I73" s="119">
        <v>43447</v>
      </c>
      <c r="J73" s="120">
        <v>0.3888888888888889</v>
      </c>
      <c r="K73" s="122">
        <v>0.50694444444444442</v>
      </c>
      <c r="L73" s="121">
        <f>(TaskTimings[End Time]-TaskTimings[Start Time])*1440</f>
        <v>169.99999999999994</v>
      </c>
      <c r="M73" s="121" t="str">
        <f>TEXT(TaskTimings[End Time]-TaskTimings[Start Time],"HH:mm")</f>
        <v>02:50</v>
      </c>
      <c r="N73" s="121">
        <f>SUMIFS(TaskTimings[Total Minutes],TaskTimings[Date],TaskTimings[Date],TaskTimings[Employee],TaskTimings[Employee])</f>
        <v>169.99999999999994</v>
      </c>
      <c r="O73" s="121" t="str">
        <f>TEXT(TaskTimings[Day Total Minutes]/1440,"HH:mm")</f>
        <v>02:50</v>
      </c>
      <c r="P73" s="117" t="str">
        <f>TaskTimings[PRJ]</f>
        <v>SDS</v>
      </c>
      <c r="Q73" s="117" t="str">
        <f>TaskTimings[TSK]</f>
        <v>Modification</v>
      </c>
    </row>
    <row r="74" spans="1:17" x14ac:dyDescent="0.25">
      <c r="A74" s="116">
        <f t="shared" si="6"/>
        <v>73</v>
      </c>
      <c r="B74" s="117" t="str">
        <f>VLOOKUP(TaskTimings[Task],ProjectTasks[[TaskProjectCode]:[TSK]],2,0)</f>
        <v>TKT</v>
      </c>
      <c r="C74" s="117" t="str">
        <f>VLOOKUP(TaskTimings[Task],ProjectTasks[[TaskProjectCode]:[TSK]],3,0)</f>
        <v>Package Creation-Stage2(Resource creation)</v>
      </c>
      <c r="D74" s="117" t="str">
        <f>TaskTimings[Employee]&amp;"/"&amp;TaskTimings[Date]</f>
        <v>Shareena/43447</v>
      </c>
      <c r="E74" s="117">
        <f>COUNTIF($D$1:TaskTimings[[#This Row],[EmployeeDate]],TaskTimings[[#This Row],[EmployeeDate]])</f>
        <v>1</v>
      </c>
      <c r="F74" s="117" t="str">
        <f>TaskTimings[[#This Row],[EmployeeDate]]&amp;"/"&amp;TaskTimings[[#This Row],[EmployeeDateSeq]]</f>
        <v>Shareena/43447/1</v>
      </c>
      <c r="G74" s="118" t="s">
        <v>98</v>
      </c>
      <c r="H74" s="118" t="s">
        <v>16</v>
      </c>
      <c r="I74" s="119">
        <v>43447</v>
      </c>
      <c r="J74" s="120">
        <v>0.39583333333333331</v>
      </c>
      <c r="K74" s="122">
        <v>0.70486111111111116</v>
      </c>
      <c r="L74" s="121">
        <f>(TaskTimings[End Time]-TaskTimings[Start Time])*1440</f>
        <v>445.00000000000011</v>
      </c>
      <c r="M74" s="121" t="str">
        <f>TEXT(TaskTimings[End Time]-TaskTimings[Start Time],"HH:mm")</f>
        <v>07:25</v>
      </c>
      <c r="N74" s="121">
        <f>SUMIFS(TaskTimings[Total Minutes],TaskTimings[Date],TaskTimings[Date],TaskTimings[Employee],TaskTimings[Employee])</f>
        <v>445.00000000000011</v>
      </c>
      <c r="O74" s="121" t="str">
        <f>TEXT(TaskTimings[Day Total Minutes]/1440,"HH:mm")</f>
        <v>07:25</v>
      </c>
      <c r="P74" s="117" t="str">
        <f>TaskTimings[PRJ]</f>
        <v>TKT</v>
      </c>
      <c r="Q74" s="117" t="str">
        <f>TaskTimings[TSK]</f>
        <v>Package Creation-Stage2(Resource creation)</v>
      </c>
    </row>
    <row r="75" spans="1:17" x14ac:dyDescent="0.25">
      <c r="A75" s="116">
        <f t="shared" si="6"/>
        <v>74</v>
      </c>
      <c r="B75" s="117" t="str">
        <f>VLOOKUP(TaskTimings[Task],ProjectTasks[[TaskProjectCode]:[TSK]],2,0)</f>
        <v>TEEBPD</v>
      </c>
      <c r="C75" s="117" t="str">
        <f>VLOOKUP(TaskTimings[Task],ProjectTasks[[TaskProjectCode]:[TSK]],3,0)</f>
        <v>Table syncing</v>
      </c>
      <c r="D75" s="117" t="str">
        <f>TaskTimings[Employee]&amp;"/"&amp;TaskTimings[Date]</f>
        <v>Shareena/43448</v>
      </c>
      <c r="E75" s="117">
        <f>COUNTIF($D$1:TaskTimings[[#This Row],[EmployeeDate]],TaskTimings[[#This Row],[EmployeeDate]])</f>
        <v>1</v>
      </c>
      <c r="F75" s="117" t="str">
        <f>TaskTimings[[#This Row],[EmployeeDate]]&amp;"/"&amp;TaskTimings[[#This Row],[EmployeeDateSeq]]</f>
        <v>Shareena/43448/1</v>
      </c>
      <c r="G75" s="118" t="s">
        <v>101</v>
      </c>
      <c r="H75" s="118" t="s">
        <v>16</v>
      </c>
      <c r="I75" s="119">
        <v>43448</v>
      </c>
      <c r="J75" s="120">
        <v>0.47916666666666669</v>
      </c>
      <c r="K75" s="122">
        <v>0.54166666666666663</v>
      </c>
      <c r="L75" s="121">
        <f>(TaskTimings[End Time]-TaskTimings[Start Time])*1440</f>
        <v>89.999999999999915</v>
      </c>
      <c r="M75" s="121" t="str">
        <f>TEXT(TaskTimings[End Time]-TaskTimings[Start Time],"HH:mm")</f>
        <v>01:30</v>
      </c>
      <c r="N75" s="121">
        <f>SUMIFS(TaskTimings[Total Minutes],TaskTimings[Date],TaskTimings[Date],TaskTimings[Employee],TaskTimings[Employee])</f>
        <v>264.99999999999994</v>
      </c>
      <c r="O75" s="121" t="str">
        <f>TEXT(TaskTimings[Day Total Minutes]/1440,"HH:mm")</f>
        <v>04:25</v>
      </c>
      <c r="P75" s="117" t="str">
        <f>TaskTimings[PRJ]</f>
        <v>TEEBPD</v>
      </c>
      <c r="Q75" s="117" t="str">
        <f>TaskTimings[TSK]</f>
        <v>Table syncing</v>
      </c>
    </row>
    <row r="76" spans="1:17" x14ac:dyDescent="0.25">
      <c r="A76" s="116">
        <f t="shared" si="6"/>
        <v>75</v>
      </c>
      <c r="B76" s="117" t="str">
        <f>VLOOKUP(TaskTimings[Task],ProjectTasks[[TaskProjectCode]:[TSK]],2,0)</f>
        <v>SDS</v>
      </c>
      <c r="C76" s="117" t="str">
        <f>VLOOKUP(TaskTimings[Task],ProjectTasks[[TaskProjectCode]:[TSK]],3,0)</f>
        <v>Testing</v>
      </c>
      <c r="D76" s="117" t="str">
        <f>TaskTimings[Employee]&amp;"/"&amp;TaskTimings[Date]</f>
        <v>Aswathy/43448</v>
      </c>
      <c r="E76" s="117">
        <f>COUNTIF($D$1:TaskTimings[[#This Row],[EmployeeDate]],TaskTimings[[#This Row],[EmployeeDate]])</f>
        <v>1</v>
      </c>
      <c r="F76" s="117" t="str">
        <f>TaskTimings[[#This Row],[EmployeeDate]]&amp;"/"&amp;TaskTimings[[#This Row],[EmployeeDateSeq]]</f>
        <v>Aswathy/43448/1</v>
      </c>
      <c r="G76" s="118" t="s">
        <v>89</v>
      </c>
      <c r="H76" s="118" t="s">
        <v>54</v>
      </c>
      <c r="I76" s="119">
        <v>43448</v>
      </c>
      <c r="J76" s="120">
        <v>0.42708333333333331</v>
      </c>
      <c r="K76" s="122">
        <v>0.54861111111111105</v>
      </c>
      <c r="L76" s="121">
        <f>(TaskTimings[End Time]-TaskTimings[Start Time])*1440</f>
        <v>174.99999999999994</v>
      </c>
      <c r="M76" s="121" t="str">
        <f>TEXT(TaskTimings[End Time]-TaskTimings[Start Time],"HH:mm")</f>
        <v>02:55</v>
      </c>
      <c r="N76" s="121">
        <f>SUMIFS(TaskTimings[Total Minutes],TaskTimings[Date],TaskTimings[Date],TaskTimings[Employee],TaskTimings[Employee])</f>
        <v>219.99999999999994</v>
      </c>
      <c r="O76" s="121" t="str">
        <f>TEXT(TaskTimings[Day Total Minutes]/1440,"HH:mm")</f>
        <v>03:40</v>
      </c>
      <c r="P76" s="117" t="str">
        <f>TaskTimings[PRJ]</f>
        <v>SDS</v>
      </c>
      <c r="Q76" s="117" t="str">
        <f>TaskTimings[TSK]</f>
        <v>Testing</v>
      </c>
    </row>
    <row r="77" spans="1:17" x14ac:dyDescent="0.25">
      <c r="A77" s="116">
        <f t="shared" si="6"/>
        <v>76</v>
      </c>
      <c r="B77" s="117" t="str">
        <f>VLOOKUP(TaskTimings[Task],ProjectTasks[[TaskProjectCode]:[TSK]],2,0)</f>
        <v>SDS</v>
      </c>
      <c r="C77" s="117" t="str">
        <f>VLOOKUP(TaskTimings[Task],ProjectTasks[[TaskProjectCode]:[TSK]],3,0)</f>
        <v>Testing</v>
      </c>
      <c r="D77" s="117" t="str">
        <f>TaskTimings[Employee]&amp;"/"&amp;TaskTimings[Date]</f>
        <v>Aswathy/43448</v>
      </c>
      <c r="E77" s="117">
        <f>COUNTIF($D$1:TaskTimings[[#This Row],[EmployeeDate]],TaskTimings[[#This Row],[EmployeeDate]])</f>
        <v>2</v>
      </c>
      <c r="F77" s="117" t="str">
        <f>TaskTimings[[#This Row],[EmployeeDate]]&amp;"/"&amp;TaskTimings[[#This Row],[EmployeeDateSeq]]</f>
        <v>Aswathy/43448/2</v>
      </c>
      <c r="G77" s="118" t="s">
        <v>89</v>
      </c>
      <c r="H77" s="118" t="s">
        <v>54</v>
      </c>
      <c r="I77" s="119">
        <v>43448</v>
      </c>
      <c r="J77" s="120">
        <v>0.57291666666666663</v>
      </c>
      <c r="K77" s="122">
        <v>0.60416666666666663</v>
      </c>
      <c r="L77" s="121">
        <f>(TaskTimings[End Time]-TaskTimings[Start Time])*1440</f>
        <v>45</v>
      </c>
      <c r="M77" s="121" t="str">
        <f>TEXT(TaskTimings[End Time]-TaskTimings[Start Time],"HH:mm")</f>
        <v>00:45</v>
      </c>
      <c r="N77" s="121">
        <f>SUMIFS(TaskTimings[Total Minutes],TaskTimings[Date],TaskTimings[Date],TaskTimings[Employee],TaskTimings[Employee])</f>
        <v>219.99999999999994</v>
      </c>
      <c r="O77" s="121" t="str">
        <f>TEXT(TaskTimings[Day Total Minutes]/1440,"HH:mm")</f>
        <v>03:40</v>
      </c>
      <c r="P77" s="117" t="str">
        <f>TaskTimings[PRJ]</f>
        <v>SDS</v>
      </c>
      <c r="Q77" s="117" t="str">
        <f>TaskTimings[TSK]</f>
        <v>Testing</v>
      </c>
    </row>
    <row r="78" spans="1:17" x14ac:dyDescent="0.25">
      <c r="A78" s="116">
        <f t="shared" ref="A78:A88" si="7">IFERROR($A77+1,1)</f>
        <v>77</v>
      </c>
      <c r="B78" s="117" t="str">
        <f>VLOOKUP(TaskTimings[Task],ProjectTasks[[TaskProjectCode]:[TSK]],2,0)</f>
        <v>TEEBPD</v>
      </c>
      <c r="C78" s="117" t="str">
        <f>VLOOKUP(TaskTimings[Task],ProjectTasks[[TaskProjectCode]:[TSK]],3,0)</f>
        <v>Table syncing</v>
      </c>
      <c r="D78" s="117" t="str">
        <f>TaskTimings[Employee]&amp;"/"&amp;TaskTimings[Date]</f>
        <v>Shareena/43448</v>
      </c>
      <c r="E78" s="117">
        <f>COUNTIF($D$1:TaskTimings[[#This Row],[EmployeeDate]],TaskTimings[[#This Row],[EmployeeDate]])</f>
        <v>2</v>
      </c>
      <c r="F78" s="117" t="str">
        <f>TaskTimings[[#This Row],[EmployeeDate]]&amp;"/"&amp;TaskTimings[[#This Row],[EmployeeDateSeq]]</f>
        <v>Shareena/43448/2</v>
      </c>
      <c r="G78" s="118" t="s">
        <v>101</v>
      </c>
      <c r="H78" s="118" t="s">
        <v>16</v>
      </c>
      <c r="I78" s="119">
        <v>43448</v>
      </c>
      <c r="J78" s="120">
        <v>0.58333333333333337</v>
      </c>
      <c r="K78" s="122">
        <v>0.70486111111111116</v>
      </c>
      <c r="L78" s="121">
        <f>(TaskTimings[End Time]-TaskTimings[Start Time])*1440</f>
        <v>175.00000000000003</v>
      </c>
      <c r="M78" s="121" t="str">
        <f>TEXT(TaskTimings[End Time]-TaskTimings[Start Time],"HH:mm")</f>
        <v>02:55</v>
      </c>
      <c r="N78" s="121">
        <f>SUMIFS(TaskTimings[Total Minutes],TaskTimings[Date],TaskTimings[Date],TaskTimings[Employee],TaskTimings[Employee])</f>
        <v>264.99999999999994</v>
      </c>
      <c r="O78" s="121" t="str">
        <f>TEXT(TaskTimings[Day Total Minutes]/1440,"HH:mm")</f>
        <v>04:25</v>
      </c>
      <c r="P78" s="117" t="str">
        <f>TaskTimings[PRJ]</f>
        <v>TEEBPD</v>
      </c>
      <c r="Q78" s="117" t="str">
        <f>TaskTimings[TSK]</f>
        <v>Table syncing</v>
      </c>
    </row>
    <row r="79" spans="1:17" x14ac:dyDescent="0.25">
      <c r="A79" s="5">
        <f>IFERROR($A78+1,1)</f>
        <v>78</v>
      </c>
      <c r="B79" s="10" t="str">
        <f>VLOOKUP(TaskTimings[Task],ProjectTasks[[TaskProjectCode]:[TSK]],2,0)</f>
        <v>TEEBPD</v>
      </c>
      <c r="C79" s="10" t="str">
        <f>VLOOKUP(TaskTimings[Task],ProjectTasks[[TaskProjectCode]:[TSK]],3,0)</f>
        <v>Table syncing</v>
      </c>
      <c r="D79" s="10" t="str">
        <f>TaskTimings[Employee]&amp;"/"&amp;TaskTimings[Date]</f>
        <v>Shareena/43449</v>
      </c>
      <c r="E79" s="10">
        <f>COUNTIF($D$1:TaskTimings[[#This Row],[EmployeeDate]],TaskTimings[[#This Row],[EmployeeDate]])</f>
        <v>1</v>
      </c>
      <c r="F79" s="10" t="str">
        <f>TaskTimings[[#This Row],[EmployeeDate]]&amp;"/"&amp;TaskTimings[[#This Row],[EmployeeDateSeq]]</f>
        <v>Shareena/43449/1</v>
      </c>
      <c r="G79" s="1" t="s">
        <v>101</v>
      </c>
      <c r="H79" s="1" t="s">
        <v>16</v>
      </c>
      <c r="I79" s="119">
        <v>43449</v>
      </c>
      <c r="J79" s="124">
        <v>0.41666666666666669</v>
      </c>
      <c r="K79" s="93">
        <v>0.70833333333333337</v>
      </c>
      <c r="L79" s="2">
        <f>(TaskTimings[End Time]-TaskTimings[Start Time])*1440</f>
        <v>420</v>
      </c>
      <c r="M79" s="2" t="str">
        <f>TEXT(TaskTimings[End Time]-TaskTimings[Start Time],"HH:mm")</f>
        <v>07:00</v>
      </c>
      <c r="N79" s="2">
        <f>SUMIFS(TaskTimings[Total Minutes],TaskTimings[Date],TaskTimings[Date],TaskTimings[Employee],TaskTimings[Employee])</f>
        <v>420</v>
      </c>
      <c r="O79" s="2" t="str">
        <f>TEXT(TaskTimings[Day Total Minutes]/1440,"HH:mm")</f>
        <v>07:00</v>
      </c>
      <c r="P79" s="10" t="str">
        <f>TaskTimings[PRJ]</f>
        <v>TEEBPD</v>
      </c>
      <c r="Q79" s="10" t="str">
        <f>TaskTimings[TSK]</f>
        <v>Table syncing</v>
      </c>
    </row>
    <row r="80" spans="1:17" x14ac:dyDescent="0.25">
      <c r="A80" s="116">
        <f>IFERROR($A78+1,1)</f>
        <v>78</v>
      </c>
      <c r="B80" s="117" t="str">
        <f>VLOOKUP(TaskTimings[Task],ProjectTasks[[TaskProjectCode]:[TSK]],2,0)</f>
        <v>SDS</v>
      </c>
      <c r="C80" s="117" t="str">
        <f>VLOOKUP(TaskTimings[Task],ProjectTasks[[TaskProjectCode]:[TSK]],3,0)</f>
        <v>Testing</v>
      </c>
      <c r="D80" s="117" t="str">
        <f>TaskTimings[Employee]&amp;"/"&amp;TaskTimings[Date]</f>
        <v>Aswathy/43449</v>
      </c>
      <c r="E80" s="117">
        <f>COUNTIF($D$1:TaskTimings[[#This Row],[EmployeeDate]],TaskTimings[[#This Row],[EmployeeDate]])</f>
        <v>1</v>
      </c>
      <c r="F80" s="117" t="str">
        <f>TaskTimings[[#This Row],[EmployeeDate]]&amp;"/"&amp;TaskTimings[[#This Row],[EmployeeDateSeq]]</f>
        <v>Aswathy/43449/1</v>
      </c>
      <c r="G80" s="118" t="s">
        <v>89</v>
      </c>
      <c r="H80" s="118" t="s">
        <v>54</v>
      </c>
      <c r="I80" s="119">
        <v>43449</v>
      </c>
      <c r="J80" s="120">
        <v>0.38541666666666669</v>
      </c>
      <c r="K80" s="122">
        <v>0.43055555555555558</v>
      </c>
      <c r="L80" s="121">
        <f>(TaskTimings[End Time]-TaskTimings[Start Time])*1440</f>
        <v>65.000000000000014</v>
      </c>
      <c r="M80" s="121" t="str">
        <f>TEXT(TaskTimings[End Time]-TaskTimings[Start Time],"HH:mm")</f>
        <v>01:05</v>
      </c>
      <c r="N80" s="121">
        <f>SUMIFS(TaskTimings[Total Minutes],TaskTimings[Date],TaskTimings[Date],TaskTimings[Employee],TaskTimings[Employee])</f>
        <v>255</v>
      </c>
      <c r="O80" s="121" t="str">
        <f>TEXT(TaskTimings[Day Total Minutes]/1440,"HH:mm")</f>
        <v>04:15</v>
      </c>
      <c r="P80" s="117" t="str">
        <f>TaskTimings[PRJ]</f>
        <v>SDS</v>
      </c>
      <c r="Q80" s="117" t="str">
        <f>TaskTimings[TSK]</f>
        <v>Testing</v>
      </c>
    </row>
    <row r="81" spans="1:17" x14ac:dyDescent="0.25">
      <c r="A81" s="116">
        <f t="shared" si="7"/>
        <v>79</v>
      </c>
      <c r="B81" s="117" t="str">
        <f>VLOOKUP(TaskTimings[Task],ProjectTasks[[TaskProjectCode]:[TSK]],2,0)</f>
        <v>RTM</v>
      </c>
      <c r="C81" s="117" t="str">
        <f>VLOOKUP(TaskTimings[Task],ProjectTasks[[TaskProjectCode]:[TSK]],3,0)</f>
        <v>Modification</v>
      </c>
      <c r="D81" s="117" t="str">
        <f>TaskTimings[Employee]&amp;"/"&amp;TaskTimings[Date]</f>
        <v>Aswathy/43449</v>
      </c>
      <c r="E81" s="117">
        <f>COUNTIF($D$1:TaskTimings[[#This Row],[EmployeeDate]],TaskTimings[[#This Row],[EmployeeDate]])</f>
        <v>2</v>
      </c>
      <c r="F81" s="117" t="str">
        <f>TaskTimings[[#This Row],[EmployeeDate]]&amp;"/"&amp;TaskTimings[[#This Row],[EmployeeDateSeq]]</f>
        <v>Aswathy/43449/2</v>
      </c>
      <c r="G81" s="118" t="s">
        <v>102</v>
      </c>
      <c r="H81" s="118" t="s">
        <v>54</v>
      </c>
      <c r="I81" s="119">
        <v>43449</v>
      </c>
      <c r="J81" s="120">
        <v>0.55555555555555558</v>
      </c>
      <c r="K81" s="122">
        <v>0.6875</v>
      </c>
      <c r="L81" s="121">
        <f>(TaskTimings[End Time]-TaskTimings[Start Time])*1440</f>
        <v>189.99999999999997</v>
      </c>
      <c r="M81" s="121" t="str">
        <f>TEXT(TaskTimings[End Time]-TaskTimings[Start Time],"HH:mm")</f>
        <v>03:10</v>
      </c>
      <c r="N81" s="121">
        <f>SUMIFS(TaskTimings[Total Minutes],TaskTimings[Date],TaskTimings[Date],TaskTimings[Employee],TaskTimings[Employee])</f>
        <v>255</v>
      </c>
      <c r="O81" s="121" t="str">
        <f>TEXT(TaskTimings[Day Total Minutes]/1440,"HH:mm")</f>
        <v>04:15</v>
      </c>
      <c r="P81" s="117" t="str">
        <f>TaskTimings[PRJ]</f>
        <v>RTM</v>
      </c>
      <c r="Q81" s="117" t="str">
        <f>TaskTimings[TSK]</f>
        <v>Modification</v>
      </c>
    </row>
    <row r="82" spans="1:17" x14ac:dyDescent="0.25">
      <c r="A82" s="116">
        <f t="shared" si="7"/>
        <v>80</v>
      </c>
      <c r="B82" s="117" t="str">
        <f>VLOOKUP(TaskTimings[Task],ProjectTasks[[TaskProjectCode]:[TSK]],2,0)</f>
        <v>TEEBPD</v>
      </c>
      <c r="C82" s="117" t="str">
        <f>VLOOKUP(TaskTimings[Task],ProjectTasks[[TaskProjectCode]:[TSK]],3,0)</f>
        <v>Table syncing</v>
      </c>
      <c r="D82" s="117" t="str">
        <f>TaskTimings[Employee]&amp;"/"&amp;TaskTimings[Date]</f>
        <v>Shareena/43451</v>
      </c>
      <c r="E82" s="117">
        <f>COUNTIF($D$1:TaskTimings[[#This Row],[EmployeeDate]],TaskTimings[[#This Row],[EmployeeDate]])</f>
        <v>1</v>
      </c>
      <c r="F82" s="117" t="str">
        <f>TaskTimings[[#This Row],[EmployeeDate]]&amp;"/"&amp;TaskTimings[[#This Row],[EmployeeDateSeq]]</f>
        <v>Shareena/43451/1</v>
      </c>
      <c r="G82" s="118" t="s">
        <v>101</v>
      </c>
      <c r="H82" s="118" t="s">
        <v>16</v>
      </c>
      <c r="I82" s="119">
        <v>43451</v>
      </c>
      <c r="J82" s="120">
        <v>0.39583333333333331</v>
      </c>
      <c r="K82" s="122">
        <v>0.54166666666666663</v>
      </c>
      <c r="L82" s="121">
        <f>(TaskTimings[End Time]-TaskTimings[Start Time])*1440</f>
        <v>209.99999999999997</v>
      </c>
      <c r="M82" s="121" t="str">
        <f>TEXT(TaskTimings[End Time]-TaskTimings[Start Time],"HH:mm")</f>
        <v>03:30</v>
      </c>
      <c r="N82" s="121">
        <f>SUMIFS(TaskTimings[Total Minutes],TaskTimings[Date],TaskTimings[Date],TaskTimings[Employee],TaskTimings[Employee])</f>
        <v>390</v>
      </c>
      <c r="O82" s="121" t="str">
        <f>TEXT(TaskTimings[Day Total Minutes]/1440,"HH:mm")</f>
        <v>06:30</v>
      </c>
      <c r="P82" s="117" t="str">
        <f>TaskTimings[PRJ]</f>
        <v>TEEBPD</v>
      </c>
      <c r="Q82" s="117" t="str">
        <f>TaskTimings[TSK]</f>
        <v>Table syncing</v>
      </c>
    </row>
    <row r="83" spans="1:17" x14ac:dyDescent="0.25">
      <c r="A83" s="116">
        <f t="shared" si="7"/>
        <v>81</v>
      </c>
      <c r="B83" s="117" t="str">
        <f>VLOOKUP(TaskTimings[Task],ProjectTasks[[TaskProjectCode]:[TSK]],2,0)</f>
        <v>TEEBPD</v>
      </c>
      <c r="C83" s="117" t="str">
        <f>VLOOKUP(TaskTimings[Task],ProjectTasks[[TaskProjectCode]:[TSK]],3,0)</f>
        <v>Table syncing</v>
      </c>
      <c r="D83" s="117" t="str">
        <f>TaskTimings[Employee]&amp;"/"&amp;TaskTimings[Date]</f>
        <v>Shareena/43451</v>
      </c>
      <c r="E83" s="117">
        <f>COUNTIF($D$1:TaskTimings[[#This Row],[EmployeeDate]],TaskTimings[[#This Row],[EmployeeDate]])</f>
        <v>2</v>
      </c>
      <c r="F83" s="117" t="str">
        <f>TaskTimings[[#This Row],[EmployeeDate]]&amp;"/"&amp;TaskTimings[[#This Row],[EmployeeDateSeq]]</f>
        <v>Shareena/43451/2</v>
      </c>
      <c r="G83" s="118" t="s">
        <v>101</v>
      </c>
      <c r="H83" s="118" t="s">
        <v>16</v>
      </c>
      <c r="I83" s="119">
        <v>43451</v>
      </c>
      <c r="J83" s="120">
        <v>0.58333333333333337</v>
      </c>
      <c r="K83" s="122">
        <v>0.70833333333333337</v>
      </c>
      <c r="L83" s="121">
        <f>(TaskTimings[End Time]-TaskTimings[Start Time])*1440</f>
        <v>180</v>
      </c>
      <c r="M83" s="121" t="str">
        <f>TEXT(TaskTimings[End Time]-TaskTimings[Start Time],"HH:mm")</f>
        <v>03:00</v>
      </c>
      <c r="N83" s="121">
        <f>SUMIFS(TaskTimings[Total Minutes],TaskTimings[Date],TaskTimings[Date],TaskTimings[Employee],TaskTimings[Employee])</f>
        <v>390</v>
      </c>
      <c r="O83" s="121" t="str">
        <f>TEXT(TaskTimings[Day Total Minutes]/1440,"HH:mm")</f>
        <v>06:30</v>
      </c>
      <c r="P83" s="117" t="str">
        <f>TaskTimings[PRJ]</f>
        <v>TEEBPD</v>
      </c>
      <c r="Q83" s="117" t="str">
        <f>TaskTimings[TSK]</f>
        <v>Table syncing</v>
      </c>
    </row>
    <row r="84" spans="1:17" x14ac:dyDescent="0.25">
      <c r="A84" s="116">
        <f t="shared" si="7"/>
        <v>82</v>
      </c>
      <c r="B84" s="117" t="str">
        <f>VLOOKUP(TaskTimings[Task],ProjectTasks[[TaskProjectCode]:[TSK]],2,0)</f>
        <v>TEEBPD</v>
      </c>
      <c r="C84" s="117" t="str">
        <f>VLOOKUP(TaskTimings[Task],ProjectTasks[[TaskProjectCode]:[TSK]],3,0)</f>
        <v>Table syncing</v>
      </c>
      <c r="D84" s="117" t="str">
        <f>TaskTimings[Employee]&amp;"/"&amp;TaskTimings[Date]</f>
        <v>Shareena/43452</v>
      </c>
      <c r="E84" s="117">
        <f>COUNTIF($D$1:TaskTimings[[#This Row],[EmployeeDate]],TaskTimings[[#This Row],[EmployeeDate]])</f>
        <v>1</v>
      </c>
      <c r="F84" s="117" t="str">
        <f>TaskTimings[[#This Row],[EmployeeDate]]&amp;"/"&amp;TaskTimings[[#This Row],[EmployeeDateSeq]]</f>
        <v>Shareena/43452/1</v>
      </c>
      <c r="G84" s="118" t="s">
        <v>101</v>
      </c>
      <c r="H84" s="118" t="s">
        <v>16</v>
      </c>
      <c r="I84" s="119">
        <v>43452</v>
      </c>
      <c r="J84" s="120">
        <v>0.38541666666666669</v>
      </c>
      <c r="K84" s="122">
        <v>0.66666666666666663</v>
      </c>
      <c r="L84" s="121">
        <f>(TaskTimings[End Time]-TaskTimings[Start Time])*1440</f>
        <v>404.99999999999994</v>
      </c>
      <c r="M84" s="121" t="str">
        <f>TEXT(TaskTimings[End Time]-TaskTimings[Start Time],"HH:mm")</f>
        <v>06:45</v>
      </c>
      <c r="N84" s="121">
        <f>SUMIFS(TaskTimings[Total Minutes],TaskTimings[Date],TaskTimings[Date],TaskTimings[Employee],TaskTimings[Employee])</f>
        <v>404.99999999999994</v>
      </c>
      <c r="O84" s="121" t="str">
        <f>TEXT(TaskTimings[Day Total Minutes]/1440,"HH:mm")</f>
        <v>06:45</v>
      </c>
      <c r="P84" s="117" t="str">
        <f>TaskTimings[PRJ]</f>
        <v>TEEBPD</v>
      </c>
      <c r="Q84" s="117" t="str">
        <f>TaskTimings[TSK]</f>
        <v>Table syncing</v>
      </c>
    </row>
    <row r="85" spans="1:17" x14ac:dyDescent="0.25">
      <c r="A85" s="116">
        <f t="shared" si="7"/>
        <v>83</v>
      </c>
      <c r="B85" s="117" t="str">
        <f>VLOOKUP(TaskTimings[Task],ProjectTasks[[TaskProjectCode]:[TSK]],2,0)</f>
        <v>TEEBPD</v>
      </c>
      <c r="C85" s="117" t="str">
        <f>VLOOKUP(TaskTimings[Task],ProjectTasks[[TaskProjectCode]:[TSK]],3,0)</f>
        <v>Table syncing</v>
      </c>
      <c r="D85" s="117" t="str">
        <f>TaskTimings[Employee]&amp;"/"&amp;TaskTimings[Date]</f>
        <v>Shareena/43453</v>
      </c>
      <c r="E85" s="117">
        <f>COUNTIF($D$1:TaskTimings[[#This Row],[EmployeeDate]],TaskTimings[[#This Row],[EmployeeDate]])</f>
        <v>1</v>
      </c>
      <c r="F85" s="117" t="str">
        <f>TaskTimings[[#This Row],[EmployeeDate]]&amp;"/"&amp;TaskTimings[[#This Row],[EmployeeDateSeq]]</f>
        <v>Shareena/43453/1</v>
      </c>
      <c r="G85" s="118" t="s">
        <v>101</v>
      </c>
      <c r="H85" s="118" t="s">
        <v>16</v>
      </c>
      <c r="I85" s="119">
        <v>43453</v>
      </c>
      <c r="J85" s="120">
        <v>0.39583333333333331</v>
      </c>
      <c r="K85" s="122">
        <v>0.625</v>
      </c>
      <c r="L85" s="121">
        <f>(TaskTimings[End Time]-TaskTimings[Start Time])*1440</f>
        <v>330</v>
      </c>
      <c r="M85" s="121" t="str">
        <f>TEXT(TaskTimings[End Time]-TaskTimings[Start Time],"HH:mm")</f>
        <v>05:30</v>
      </c>
      <c r="N85" s="121">
        <f>SUMIFS(TaskTimings[Total Minutes],TaskTimings[Date],TaskTimings[Date],TaskTimings[Employee],TaskTimings[Employee])</f>
        <v>330</v>
      </c>
      <c r="O85" s="121" t="str">
        <f>TEXT(TaskTimings[Day Total Minutes]/1440,"HH:mm")</f>
        <v>05:30</v>
      </c>
      <c r="P85" s="117" t="str">
        <f>TaskTimings[PRJ]</f>
        <v>TEEBPD</v>
      </c>
      <c r="Q85" s="117" t="str">
        <f>TaskTimings[TSK]</f>
        <v>Table syncing</v>
      </c>
    </row>
    <row r="86" spans="1:17" x14ac:dyDescent="0.25">
      <c r="A86" s="116">
        <f t="shared" si="7"/>
        <v>84</v>
      </c>
      <c r="B86" s="117" t="str">
        <f>VLOOKUP(TaskTimings[Task],ProjectTasks[[TaskProjectCode]:[TSK]],2,0)</f>
        <v>RTM</v>
      </c>
      <c r="C86" s="117" t="str">
        <f>VLOOKUP(TaskTimings[Task],ProjectTasks[[TaskProjectCode]:[TSK]],3,0)</f>
        <v>Modification</v>
      </c>
      <c r="D86" s="117" t="str">
        <f>TaskTimings[Employee]&amp;"/"&amp;TaskTimings[Date]</f>
        <v>Aswathy/43451</v>
      </c>
      <c r="E86" s="117">
        <f>COUNTIF($D$1:TaskTimings[[#This Row],[EmployeeDate]],TaskTimings[[#This Row],[EmployeeDate]])</f>
        <v>1</v>
      </c>
      <c r="F86" s="117" t="str">
        <f>TaskTimings[[#This Row],[EmployeeDate]]&amp;"/"&amp;TaskTimings[[#This Row],[EmployeeDateSeq]]</f>
        <v>Aswathy/43451/1</v>
      </c>
      <c r="G86" s="118" t="s">
        <v>102</v>
      </c>
      <c r="H86" s="118" t="s">
        <v>54</v>
      </c>
      <c r="I86" s="119">
        <v>43451</v>
      </c>
      <c r="J86" s="120">
        <v>0.39583333333333331</v>
      </c>
      <c r="K86" s="122">
        <v>0.4375</v>
      </c>
      <c r="L86" s="121">
        <f>(TaskTimings[End Time]-TaskTimings[Start Time])*1440</f>
        <v>60.000000000000028</v>
      </c>
      <c r="M86" s="121" t="str">
        <f>TEXT(TaskTimings[End Time]-TaskTimings[Start Time],"HH:mm")</f>
        <v>01:00</v>
      </c>
      <c r="N86" s="121">
        <f>SUMIFS(TaskTimings[Total Minutes],TaskTimings[Date],TaskTimings[Date],TaskTimings[Employee],TaskTimings[Employee])</f>
        <v>60.000000000000028</v>
      </c>
      <c r="O86" s="121" t="str">
        <f>TEXT(TaskTimings[Day Total Minutes]/1440,"HH:mm")</f>
        <v>01:00</v>
      </c>
      <c r="P86" s="117" t="str">
        <f>TaskTimings[PRJ]</f>
        <v>RTM</v>
      </c>
      <c r="Q86" s="117" t="str">
        <f>TaskTimings[TSK]</f>
        <v>Modification</v>
      </c>
    </row>
    <row r="87" spans="1:17" x14ac:dyDescent="0.25">
      <c r="A87" s="116">
        <f>IFERROR($A86+1,1)</f>
        <v>85</v>
      </c>
      <c r="B87" s="117" t="str">
        <f>VLOOKUP(TaskTimings[Task],ProjectTasks[[TaskProjectCode]:[TSK]],2,0)</f>
        <v>SDS</v>
      </c>
      <c r="C87" s="117" t="str">
        <f>VLOOKUP(TaskTimings[Task],ProjectTasks[[TaskProjectCode]:[TSK]],3,0)</f>
        <v>Testing</v>
      </c>
      <c r="D87" s="117" t="str">
        <f>TaskTimings[Employee]&amp;"/"&amp;TaskTimings[Date]</f>
        <v>Aswathy/43452</v>
      </c>
      <c r="E87" s="117">
        <f>COUNTIF($D$1:TaskTimings[[#This Row],[EmployeeDate]],TaskTimings[[#This Row],[EmployeeDate]])</f>
        <v>1</v>
      </c>
      <c r="F87" s="117" t="str">
        <f>TaskTimings[[#This Row],[EmployeeDate]]&amp;"/"&amp;TaskTimings[[#This Row],[EmployeeDateSeq]]</f>
        <v>Aswathy/43452/1</v>
      </c>
      <c r="G87" s="118" t="s">
        <v>89</v>
      </c>
      <c r="H87" s="118" t="s">
        <v>54</v>
      </c>
      <c r="I87" s="119">
        <v>43452</v>
      </c>
      <c r="J87" s="120">
        <v>0.45833333333333331</v>
      </c>
      <c r="K87" s="122">
        <v>0.54166666666666663</v>
      </c>
      <c r="L87" s="121">
        <f>(TaskTimings[End Time]-TaskTimings[Start Time])*1440</f>
        <v>119.99999999999997</v>
      </c>
      <c r="M87" s="121" t="str">
        <f>TEXT(TaskTimings[End Time]-TaskTimings[Start Time],"HH:mm")</f>
        <v>02:00</v>
      </c>
      <c r="N87" s="121">
        <f>SUMIFS(TaskTimings[Total Minutes],TaskTimings[Date],TaskTimings[Date],TaskTimings[Employee],TaskTimings[Employee])</f>
        <v>119.99999999999997</v>
      </c>
      <c r="O87" s="121" t="str">
        <f>TEXT(TaskTimings[Day Total Minutes]/1440,"HH:mm")</f>
        <v>02:00</v>
      </c>
      <c r="P87" s="117" t="str">
        <f>TaskTimings[PRJ]</f>
        <v>SDS</v>
      </c>
      <c r="Q87" s="117" t="str">
        <f>TaskTimings[TSK]</f>
        <v>Testing</v>
      </c>
    </row>
    <row r="88" spans="1:17" x14ac:dyDescent="0.25">
      <c r="A88" s="116">
        <f t="shared" si="7"/>
        <v>86</v>
      </c>
      <c r="B88" s="117" t="str">
        <f>VLOOKUP(TaskTimings[Task],ProjectTasks[[TaskProjectCode]:[TSK]],2,0)</f>
        <v>RTM</v>
      </c>
      <c r="C88" s="117" t="str">
        <f>VLOOKUP(TaskTimings[Task],ProjectTasks[[TaskProjectCode]:[TSK]],3,0)</f>
        <v>Modification</v>
      </c>
      <c r="D88" s="117" t="str">
        <f>TaskTimings[Employee]&amp;"/"&amp;TaskTimings[Date]</f>
        <v>Aswathy/43453</v>
      </c>
      <c r="E88" s="117">
        <f>COUNTIF($D$1:TaskTimings[[#This Row],[EmployeeDate]],TaskTimings[[#This Row],[EmployeeDate]])</f>
        <v>1</v>
      </c>
      <c r="F88" s="117" t="str">
        <f>TaskTimings[[#This Row],[EmployeeDate]]&amp;"/"&amp;TaskTimings[[#This Row],[EmployeeDateSeq]]</f>
        <v>Aswathy/43453/1</v>
      </c>
      <c r="G88" s="118" t="s">
        <v>102</v>
      </c>
      <c r="H88" s="118" t="s">
        <v>54</v>
      </c>
      <c r="I88" s="119">
        <v>43453</v>
      </c>
      <c r="J88" s="120">
        <v>0.375</v>
      </c>
      <c r="K88" s="122">
        <v>0.45833333333333331</v>
      </c>
      <c r="L88" s="121">
        <f>(TaskTimings[End Time]-TaskTimings[Start Time])*1440</f>
        <v>119.99999999999997</v>
      </c>
      <c r="M88" s="121" t="str">
        <f>TEXT(TaskTimings[End Time]-TaskTimings[Start Time],"HH:mm")</f>
        <v>02:00</v>
      </c>
      <c r="N88" s="121">
        <f>SUMIFS(TaskTimings[Total Minutes],TaskTimings[Date],TaskTimings[Date],TaskTimings[Employee],TaskTimings[Employee])</f>
        <v>300</v>
      </c>
      <c r="O88" s="121" t="str">
        <f>TEXT(TaskTimings[Day Total Minutes]/1440,"HH:mm")</f>
        <v>05:00</v>
      </c>
      <c r="P88" s="117" t="str">
        <f>TaskTimings[PRJ]</f>
        <v>RTM</v>
      </c>
      <c r="Q88" s="117" t="str">
        <f>TaskTimings[TSK]</f>
        <v>Modification</v>
      </c>
    </row>
    <row r="89" spans="1:17" x14ac:dyDescent="0.25">
      <c r="A89" s="116">
        <f t="shared" ref="A89:A95" si="8">IFERROR($A88+1,1)</f>
        <v>87</v>
      </c>
      <c r="B89" s="117" t="str">
        <f>VLOOKUP(TaskTimings[Task],ProjectTasks[[TaskProjectCode]:[TSK]],2,0)</f>
        <v>RTM</v>
      </c>
      <c r="C89" s="117" t="str">
        <f>VLOOKUP(TaskTimings[Task],ProjectTasks[[TaskProjectCode]:[TSK]],3,0)</f>
        <v>Modification</v>
      </c>
      <c r="D89" s="117" t="str">
        <f>TaskTimings[Employee]&amp;"/"&amp;TaskTimings[Date]</f>
        <v>Aswathy/43453</v>
      </c>
      <c r="E89" s="117">
        <f>COUNTIF($D$1:TaskTimings[[#This Row],[EmployeeDate]],TaskTimings[[#This Row],[EmployeeDate]])</f>
        <v>2</v>
      </c>
      <c r="F89" s="117" t="str">
        <f>TaskTimings[[#This Row],[EmployeeDate]]&amp;"/"&amp;TaskTimings[[#This Row],[EmployeeDateSeq]]</f>
        <v>Aswathy/43453/2</v>
      </c>
      <c r="G89" s="118" t="s">
        <v>102</v>
      </c>
      <c r="H89" s="118" t="s">
        <v>54</v>
      </c>
      <c r="I89" s="119">
        <v>43453</v>
      </c>
      <c r="J89" s="120">
        <v>0.58333333333333337</v>
      </c>
      <c r="K89" s="122">
        <v>0.70833333333333337</v>
      </c>
      <c r="L89" s="121">
        <f>(TaskTimings[End Time]-TaskTimings[Start Time])*1440</f>
        <v>180</v>
      </c>
      <c r="M89" s="121" t="str">
        <f>TEXT(TaskTimings[End Time]-TaskTimings[Start Time],"HH:mm")</f>
        <v>03:00</v>
      </c>
      <c r="N89" s="121">
        <f>SUMIFS(TaskTimings[Total Minutes],TaskTimings[Date],TaskTimings[Date],TaskTimings[Employee],TaskTimings[Employee])</f>
        <v>300</v>
      </c>
      <c r="O89" s="121" t="str">
        <f>TEXT(TaskTimings[Day Total Minutes]/1440,"HH:mm")</f>
        <v>05:00</v>
      </c>
      <c r="P89" s="117" t="str">
        <f>TaskTimings[PRJ]</f>
        <v>RTM</v>
      </c>
      <c r="Q89" s="117" t="str">
        <f>TaskTimings[TSK]</f>
        <v>Modification</v>
      </c>
    </row>
    <row r="90" spans="1:17" x14ac:dyDescent="0.25">
      <c r="A90" s="116">
        <f t="shared" si="8"/>
        <v>88</v>
      </c>
      <c r="B90" s="117" t="str">
        <f>VLOOKUP(TaskTimings[Task],ProjectTasks[[TaskProjectCode]:[TSK]],2,0)</f>
        <v>RTM</v>
      </c>
      <c r="C90" s="117" t="str">
        <f>VLOOKUP(TaskTimings[Task],ProjectTasks[[TaskProjectCode]:[TSK]],3,0)</f>
        <v>Modification</v>
      </c>
      <c r="D90" s="117" t="str">
        <f>TaskTimings[Employee]&amp;"/"&amp;TaskTimings[Date]</f>
        <v>Aswathy/43454</v>
      </c>
      <c r="E90" s="117">
        <f>COUNTIF($D$1:TaskTimings[[#This Row],[EmployeeDate]],TaskTimings[[#This Row],[EmployeeDate]])</f>
        <v>1</v>
      </c>
      <c r="F90" s="117" t="str">
        <f>TaskTimings[[#This Row],[EmployeeDate]]&amp;"/"&amp;TaskTimings[[#This Row],[EmployeeDateSeq]]</f>
        <v>Aswathy/43454/1</v>
      </c>
      <c r="G90" s="118" t="s">
        <v>102</v>
      </c>
      <c r="H90" s="118" t="s">
        <v>54</v>
      </c>
      <c r="I90" s="119">
        <v>43454</v>
      </c>
      <c r="J90" s="120">
        <v>0.38541666666666669</v>
      </c>
      <c r="K90" s="122">
        <v>0.46875</v>
      </c>
      <c r="L90" s="121">
        <f>(TaskTimings[End Time]-TaskTimings[Start Time])*1440</f>
        <v>119.99999999999997</v>
      </c>
      <c r="M90" s="121" t="str">
        <f>TEXT(TaskTimings[End Time]-TaskTimings[Start Time],"HH:mm")</f>
        <v>02:00</v>
      </c>
      <c r="N90" s="121">
        <f>SUMIFS(TaskTimings[Total Minutes],TaskTimings[Date],TaskTimings[Date],TaskTimings[Employee],TaskTimings[Employee])</f>
        <v>119.99999999999997</v>
      </c>
      <c r="O90" s="121" t="str">
        <f>TEXT(TaskTimings[Day Total Minutes]/1440,"HH:mm")</f>
        <v>02:00</v>
      </c>
      <c r="P90" s="117" t="str">
        <f>TaskTimings[PRJ]</f>
        <v>RTM</v>
      </c>
      <c r="Q90" s="117" t="str">
        <f>TaskTimings[TSK]</f>
        <v>Modification</v>
      </c>
    </row>
    <row r="91" spans="1:17" x14ac:dyDescent="0.25">
      <c r="A91" s="5">
        <f t="shared" si="8"/>
        <v>89</v>
      </c>
      <c r="B91" s="10" t="str">
        <f>VLOOKUP(TaskTimings[Task],ProjectTasks[[TaskProjectCode]:[TSK]],2,0)</f>
        <v>SDS</v>
      </c>
      <c r="C91" s="10" t="str">
        <f>VLOOKUP(TaskTimings[Task],ProjectTasks[[TaskProjectCode]:[TSK]],3,0)</f>
        <v>Modification</v>
      </c>
      <c r="D91" s="10" t="str">
        <f>TaskTimings[Employee]&amp;"/"&amp;TaskTimings[Date]</f>
        <v>Aswathy/43455</v>
      </c>
      <c r="E91" s="10">
        <f>COUNTIF($D$1:TaskTimings[[#This Row],[EmployeeDate]],TaskTimings[[#This Row],[EmployeeDate]])</f>
        <v>1</v>
      </c>
      <c r="F91" s="10" t="str">
        <f>TaskTimings[[#This Row],[EmployeeDate]]&amp;"/"&amp;TaskTimings[[#This Row],[EmployeeDateSeq]]</f>
        <v>Aswathy/43455/1</v>
      </c>
      <c r="G91" s="1" t="s">
        <v>94</v>
      </c>
      <c r="H91" s="1" t="s">
        <v>54</v>
      </c>
      <c r="I91" s="8">
        <v>43455</v>
      </c>
      <c r="J91" s="124">
        <v>0.58333333333333337</v>
      </c>
      <c r="K91" s="93">
        <v>0.6875</v>
      </c>
      <c r="L91" s="2">
        <f>(TaskTimings[End Time]-TaskTimings[Start Time])*1440</f>
        <v>149.99999999999994</v>
      </c>
      <c r="M91" s="2" t="str">
        <f>TEXT(TaskTimings[End Time]-TaskTimings[Start Time],"HH:mm")</f>
        <v>02:30</v>
      </c>
      <c r="N91" s="2">
        <f>SUMIFS(TaskTimings[Total Minutes],TaskTimings[Date],TaskTimings[Date],TaskTimings[Employee],TaskTimings[Employee])</f>
        <v>149.99999999999994</v>
      </c>
      <c r="O91" s="2" t="str">
        <f>TEXT(TaskTimings[Day Total Minutes]/1440,"HH:mm")</f>
        <v>02:30</v>
      </c>
      <c r="P91" s="10" t="str">
        <f>TaskTimings[PRJ]</f>
        <v>SDS</v>
      </c>
      <c r="Q91" s="10" t="str">
        <f>TaskTimings[TSK]</f>
        <v>Modification</v>
      </c>
    </row>
    <row r="92" spans="1:17" x14ac:dyDescent="0.25">
      <c r="A92" s="5">
        <f t="shared" si="8"/>
        <v>90</v>
      </c>
      <c r="B92" s="10" t="str">
        <f>VLOOKUP(TaskTimings[Task],ProjectTasks[[TaskProjectCode]:[TSK]],2,0)</f>
        <v>TEEBPD</v>
      </c>
      <c r="C92" s="10" t="str">
        <f>VLOOKUP(TaskTimings[Task],ProjectTasks[[TaskProjectCode]:[TSK]],3,0)</f>
        <v>Table syncing</v>
      </c>
      <c r="D92" s="10" t="str">
        <f>TaskTimings[Employee]&amp;"/"&amp;TaskTimings[Date]</f>
        <v>Shareena/43454</v>
      </c>
      <c r="E92" s="10">
        <f>COUNTIF($D$1:TaskTimings[[#This Row],[EmployeeDate]],TaskTimings[[#This Row],[EmployeeDate]])</f>
        <v>1</v>
      </c>
      <c r="F92" s="10" t="str">
        <f>TaskTimings[[#This Row],[EmployeeDate]]&amp;"/"&amp;TaskTimings[[#This Row],[EmployeeDateSeq]]</f>
        <v>Shareena/43454/1</v>
      </c>
      <c r="G92" s="1" t="s">
        <v>101</v>
      </c>
      <c r="H92" s="1" t="s">
        <v>16</v>
      </c>
      <c r="I92" s="119">
        <v>43454</v>
      </c>
      <c r="J92" s="124">
        <v>0.41666666666666669</v>
      </c>
      <c r="K92" s="93">
        <v>0.66666666666666663</v>
      </c>
      <c r="L92" s="2">
        <f>(TaskTimings[End Time]-TaskTimings[Start Time])*1440</f>
        <v>359.99999999999994</v>
      </c>
      <c r="M92" s="2" t="str">
        <f>TEXT(TaskTimings[End Time]-TaskTimings[Start Time],"HH:mm")</f>
        <v>06:00</v>
      </c>
      <c r="N92" s="2">
        <f>SUMIFS(TaskTimings[Total Minutes],TaskTimings[Date],TaskTimings[Date],TaskTimings[Employee],TaskTimings[Employee])</f>
        <v>359.99999999999994</v>
      </c>
      <c r="O92" s="2" t="str">
        <f>TEXT(TaskTimings[Day Total Minutes]/1440,"HH:mm")</f>
        <v>06:00</v>
      </c>
      <c r="P92" s="10" t="str">
        <f>TaskTimings[PRJ]</f>
        <v>TEEBPD</v>
      </c>
      <c r="Q92" s="10" t="str">
        <f>TaskTimings[TSK]</f>
        <v>Table syncing</v>
      </c>
    </row>
    <row r="93" spans="1:17" x14ac:dyDescent="0.25">
      <c r="A93" s="5">
        <f t="shared" si="8"/>
        <v>91</v>
      </c>
      <c r="B93" s="10" t="str">
        <f>VLOOKUP(TaskTimings[Task],ProjectTasks[[TaskProjectCode]:[TSK]],2,0)</f>
        <v>TEEBPD</v>
      </c>
      <c r="C93" s="10" t="str">
        <f>VLOOKUP(TaskTimings[Task],ProjectTasks[[TaskProjectCode]:[TSK]],3,0)</f>
        <v>Table syncing</v>
      </c>
      <c r="D93" s="10" t="str">
        <f>TaskTimings[Employee]&amp;"/"&amp;TaskTimings[Date]</f>
        <v>Shareena/43455</v>
      </c>
      <c r="E93" s="10">
        <f>COUNTIF($D$1:TaskTimings[[#This Row],[EmployeeDate]],TaskTimings[[#This Row],[EmployeeDate]])</f>
        <v>1</v>
      </c>
      <c r="F93" s="10" t="str">
        <f>TaskTimings[[#This Row],[EmployeeDate]]&amp;"/"&amp;TaskTimings[[#This Row],[EmployeeDateSeq]]</f>
        <v>Shareena/43455/1</v>
      </c>
      <c r="G93" s="1" t="s">
        <v>101</v>
      </c>
      <c r="H93" s="1" t="s">
        <v>16</v>
      </c>
      <c r="I93" s="8">
        <v>43455</v>
      </c>
      <c r="J93" s="124">
        <v>0.4375</v>
      </c>
      <c r="K93" s="93">
        <v>0.64583333333333337</v>
      </c>
      <c r="L93" s="2">
        <f>(TaskTimings[End Time]-TaskTimings[Start Time])*1440</f>
        <v>300.00000000000006</v>
      </c>
      <c r="M93" s="2" t="str">
        <f>TEXT(TaskTimings[End Time]-TaskTimings[Start Time],"HH:mm")</f>
        <v>05:00</v>
      </c>
      <c r="N93" s="2">
        <f>SUMIFS(TaskTimings[Total Minutes],TaskTimings[Date],TaskTimings[Date],TaskTimings[Employee],TaskTimings[Employee])</f>
        <v>300.00000000000006</v>
      </c>
      <c r="O93" s="2" t="str">
        <f>TEXT(TaskTimings[Day Total Minutes]/1440,"HH:mm")</f>
        <v>05:00</v>
      </c>
      <c r="P93" s="10" t="str">
        <f>TaskTimings[PRJ]</f>
        <v>TEEBPD</v>
      </c>
      <c r="Q93" s="10" t="str">
        <f>TaskTimings[TSK]</f>
        <v>Table syncing</v>
      </c>
    </row>
    <row r="94" spans="1:17" x14ac:dyDescent="0.25">
      <c r="A94" s="5">
        <f t="shared" si="8"/>
        <v>92</v>
      </c>
      <c r="B94" s="10" t="str">
        <f>VLOOKUP(TaskTimings[Task],ProjectTasks[[TaskProjectCode]:[TSK]],2,0)</f>
        <v>SDS</v>
      </c>
      <c r="C94" s="10" t="str">
        <f>VLOOKUP(TaskTimings[Task],ProjectTasks[[TaskProjectCode]:[TSK]],3,0)</f>
        <v>Modification</v>
      </c>
      <c r="D94" s="10" t="str">
        <f>TaskTimings[Employee]&amp;"/"&amp;TaskTimings[Date]</f>
        <v>Aswathy/43456</v>
      </c>
      <c r="E94" s="10">
        <f>COUNTIF($D$1:TaskTimings[[#This Row],[EmployeeDate]],TaskTimings[[#This Row],[EmployeeDate]])</f>
        <v>1</v>
      </c>
      <c r="F94" s="10" t="str">
        <f>TaskTimings[[#This Row],[EmployeeDate]]&amp;"/"&amp;TaskTimings[[#This Row],[EmployeeDateSeq]]</f>
        <v>Aswathy/43456/1</v>
      </c>
      <c r="G94" s="1" t="s">
        <v>94</v>
      </c>
      <c r="H94" s="1" t="s">
        <v>54</v>
      </c>
      <c r="I94" s="8">
        <v>43456</v>
      </c>
      <c r="J94" s="124">
        <v>0.38541666666666669</v>
      </c>
      <c r="K94" s="93">
        <v>0.54861111111111105</v>
      </c>
      <c r="L94" s="2">
        <f>(TaskTimings[End Time]-TaskTimings[Start Time])*1440</f>
        <v>234.99999999999989</v>
      </c>
      <c r="M94" s="2" t="str">
        <f>TEXT(TaskTimings[End Time]-TaskTimings[Start Time],"HH:mm")</f>
        <v>03:55</v>
      </c>
      <c r="N94" s="2">
        <f>SUMIFS(TaskTimings[Total Minutes],TaskTimings[Date],TaskTimings[Date],TaskTimings[Employee],TaskTimings[Employee])</f>
        <v>294.99999999999983</v>
      </c>
      <c r="O94" s="2" t="str">
        <f>TEXT(TaskTimings[Day Total Minutes]/1440,"HH:mm")</f>
        <v>04:55</v>
      </c>
      <c r="P94" s="10" t="str">
        <f>TaskTimings[PRJ]</f>
        <v>SDS</v>
      </c>
      <c r="Q94" s="10" t="str">
        <f>TaskTimings[TSK]</f>
        <v>Modification</v>
      </c>
    </row>
    <row r="95" spans="1:17" x14ac:dyDescent="0.25">
      <c r="A95" s="125">
        <f t="shared" si="8"/>
        <v>93</v>
      </c>
      <c r="B95" s="126" t="str">
        <f>VLOOKUP(TaskTimings[Task],ProjectTasks[[TaskProjectCode]:[TSK]],2,0)</f>
        <v>SDS</v>
      </c>
      <c r="C95" s="126" t="str">
        <f>VLOOKUP(TaskTimings[Task],ProjectTasks[[TaskProjectCode]:[TSK]],3,0)</f>
        <v>Testing</v>
      </c>
      <c r="D95" s="126" t="str">
        <f>TaskTimings[Employee]&amp;"/"&amp;TaskTimings[Date]</f>
        <v>Aswathy/43456</v>
      </c>
      <c r="E95" s="126">
        <f>COUNTIF($D$1:TaskTimings[[#This Row],[EmployeeDate]],TaskTimings[[#This Row],[EmployeeDate]])</f>
        <v>2</v>
      </c>
      <c r="F95" s="126" t="str">
        <f>TaskTimings[[#This Row],[EmployeeDate]]&amp;"/"&amp;TaskTimings[[#This Row],[EmployeeDateSeq]]</f>
        <v>Aswathy/43456/2</v>
      </c>
      <c r="G95" s="127" t="s">
        <v>89</v>
      </c>
      <c r="H95" s="127" t="s">
        <v>54</v>
      </c>
      <c r="I95" s="128">
        <v>43456</v>
      </c>
      <c r="J95" s="129">
        <v>0.64583333333333337</v>
      </c>
      <c r="K95" s="131">
        <v>0.6875</v>
      </c>
      <c r="L95" s="130">
        <f>(TaskTimings[End Time]-TaskTimings[Start Time])*1440</f>
        <v>59.999999999999943</v>
      </c>
      <c r="M95" s="130" t="str">
        <f>TEXT(TaskTimings[End Time]-TaskTimings[Start Time],"HH:mm")</f>
        <v>01:00</v>
      </c>
      <c r="N95" s="130">
        <f>SUMIFS(TaskTimings[Total Minutes],TaskTimings[Date],TaskTimings[Date],TaskTimings[Employee],TaskTimings[Employee])</f>
        <v>294.99999999999983</v>
      </c>
      <c r="O95" s="130" t="str">
        <f>TEXT(TaskTimings[Day Total Minutes]/1440,"HH:mm")</f>
        <v>04:55</v>
      </c>
      <c r="P95" s="126" t="str">
        <f>TaskTimings[PRJ]</f>
        <v>SDS</v>
      </c>
      <c r="Q95" s="126" t="str">
        <f>TaskTimings[TSK]</f>
        <v>Testing</v>
      </c>
    </row>
    <row r="96" spans="1:17" x14ac:dyDescent="0.25">
      <c r="A96" s="125">
        <f t="shared" ref="A96:A104" si="9">IFERROR($A95+1,1)</f>
        <v>94</v>
      </c>
      <c r="B96" s="126" t="str">
        <f>VLOOKUP(TaskTimings[Task],ProjectTasks[[TaskProjectCode]:[TSK]],2,0)</f>
        <v>TEEBPD</v>
      </c>
      <c r="C96" s="126" t="str">
        <f>VLOOKUP(TaskTimings[Task],ProjectTasks[[TaskProjectCode]:[TSK]],3,0)</f>
        <v>Table syncing</v>
      </c>
      <c r="D96" s="126" t="str">
        <f>TaskTimings[Employee]&amp;"/"&amp;TaskTimings[Date]</f>
        <v>Shareena/43458</v>
      </c>
      <c r="E96" s="126">
        <f>COUNTIF($D$1:TaskTimings[[#This Row],[EmployeeDate]],TaskTimings[[#This Row],[EmployeeDate]])</f>
        <v>1</v>
      </c>
      <c r="F96" s="126" t="str">
        <f>TaskTimings[[#This Row],[EmployeeDate]]&amp;"/"&amp;TaskTimings[[#This Row],[EmployeeDateSeq]]</f>
        <v>Shareena/43458/1</v>
      </c>
      <c r="G96" s="127" t="s">
        <v>101</v>
      </c>
      <c r="H96" s="127" t="s">
        <v>16</v>
      </c>
      <c r="I96" s="128">
        <v>43458</v>
      </c>
      <c r="J96" s="129">
        <v>0.39583333333333331</v>
      </c>
      <c r="K96" s="131">
        <v>0.54166666666666663</v>
      </c>
      <c r="L96" s="130">
        <f>(TaskTimings[End Time]-TaskTimings[Start Time])*1440</f>
        <v>209.99999999999997</v>
      </c>
      <c r="M96" s="130" t="str">
        <f>TEXT(TaskTimings[End Time]-TaskTimings[Start Time],"HH:mm")</f>
        <v>03:30</v>
      </c>
      <c r="N96" s="130">
        <f>SUMIFS(TaskTimings[Total Minutes],TaskTimings[Date],TaskTimings[Date],TaskTimings[Employee],TaskTimings[Employee])</f>
        <v>330</v>
      </c>
      <c r="O96" s="130" t="str">
        <f>TEXT(TaskTimings[Day Total Minutes]/1440,"HH:mm")</f>
        <v>05:30</v>
      </c>
      <c r="P96" s="126" t="str">
        <f>TaskTimings[PRJ]</f>
        <v>TEEBPD</v>
      </c>
      <c r="Q96" s="126" t="str">
        <f>TaskTimings[TSK]</f>
        <v>Table syncing</v>
      </c>
    </row>
    <row r="97" spans="1:17" x14ac:dyDescent="0.25">
      <c r="A97" s="125">
        <f t="shared" si="9"/>
        <v>95</v>
      </c>
      <c r="B97" s="126" t="str">
        <f>VLOOKUP(TaskTimings[Task],ProjectTasks[[TaskProjectCode]:[TSK]],2,0)</f>
        <v>TEEBPD</v>
      </c>
      <c r="C97" s="126" t="str">
        <f>VLOOKUP(TaskTimings[Task],ProjectTasks[[TaskProjectCode]:[TSK]],3,0)</f>
        <v>Table syncing</v>
      </c>
      <c r="D97" s="126" t="str">
        <f>TaskTimings[Employee]&amp;"/"&amp;TaskTimings[Date]</f>
        <v>Shareena/43458</v>
      </c>
      <c r="E97" s="126">
        <f>COUNTIF($D$1:TaskTimings[[#This Row],[EmployeeDate]],TaskTimings[[#This Row],[EmployeeDate]])</f>
        <v>2</v>
      </c>
      <c r="F97" s="126" t="str">
        <f>TaskTimings[[#This Row],[EmployeeDate]]&amp;"/"&amp;TaskTimings[[#This Row],[EmployeeDateSeq]]</f>
        <v>Shareena/43458/2</v>
      </c>
      <c r="G97" s="127" t="s">
        <v>101</v>
      </c>
      <c r="H97" s="127" t="s">
        <v>16</v>
      </c>
      <c r="I97" s="128">
        <v>43458</v>
      </c>
      <c r="J97" s="129">
        <v>0.625</v>
      </c>
      <c r="K97" s="131">
        <v>0.70833333333333337</v>
      </c>
      <c r="L97" s="130">
        <f>(TaskTimings[End Time]-TaskTimings[Start Time])*1440</f>
        <v>120.00000000000006</v>
      </c>
      <c r="M97" s="130" t="str">
        <f>TEXT(TaskTimings[End Time]-TaskTimings[Start Time],"HH:mm")</f>
        <v>02:00</v>
      </c>
      <c r="N97" s="130">
        <f>SUMIFS(TaskTimings[Total Minutes],TaskTimings[Date],TaskTimings[Date],TaskTimings[Employee],TaskTimings[Employee])</f>
        <v>330</v>
      </c>
      <c r="O97" s="130" t="str">
        <f>TEXT(TaskTimings[Day Total Minutes]/1440,"HH:mm")</f>
        <v>05:30</v>
      </c>
      <c r="P97" s="126" t="str">
        <f>TaskTimings[PRJ]</f>
        <v>TEEBPD</v>
      </c>
      <c r="Q97" s="126" t="str">
        <f>TaskTimings[TSK]</f>
        <v>Table syncing</v>
      </c>
    </row>
    <row r="98" spans="1:17" x14ac:dyDescent="0.25">
      <c r="A98" s="125">
        <f t="shared" si="9"/>
        <v>96</v>
      </c>
      <c r="B98" s="126" t="str">
        <f>VLOOKUP(TaskTimings[Task],ProjectTasks[[TaskProjectCode]:[TSK]],2,0)</f>
        <v>TEEBPD</v>
      </c>
      <c r="C98" s="126" t="str">
        <f>VLOOKUP(TaskTimings[Task],ProjectTasks[[TaskProjectCode]:[TSK]],3,0)</f>
        <v>Table syncing</v>
      </c>
      <c r="D98" s="126" t="str">
        <f>TaskTimings[Employee]&amp;"/"&amp;TaskTimings[Date]</f>
        <v>Shareena/43461</v>
      </c>
      <c r="E98" s="126">
        <f>COUNTIF($D$1:TaskTimings[[#This Row],[EmployeeDate]],TaskTimings[[#This Row],[EmployeeDate]])</f>
        <v>1</v>
      </c>
      <c r="F98" s="126" t="str">
        <f>TaskTimings[[#This Row],[EmployeeDate]]&amp;"/"&amp;TaskTimings[[#This Row],[EmployeeDateSeq]]</f>
        <v>Shareena/43461/1</v>
      </c>
      <c r="G98" s="127" t="s">
        <v>101</v>
      </c>
      <c r="H98" s="127" t="s">
        <v>16</v>
      </c>
      <c r="I98" s="128">
        <v>43461</v>
      </c>
      <c r="J98" s="129">
        <v>0.60416666666666663</v>
      </c>
      <c r="K98" s="131">
        <v>0.70833333333333337</v>
      </c>
      <c r="L98" s="130">
        <f>(TaskTimings[End Time]-TaskTimings[Start Time])*1440</f>
        <v>150.00000000000011</v>
      </c>
      <c r="M98" s="130" t="str">
        <f>TEXT(TaskTimings[End Time]-TaskTimings[Start Time],"HH:mm")</f>
        <v>02:30</v>
      </c>
      <c r="N98" s="130">
        <f>SUMIFS(TaskTimings[Total Minutes],TaskTimings[Date],TaskTimings[Date],TaskTimings[Employee],TaskTimings[Employee])</f>
        <v>150.00000000000011</v>
      </c>
      <c r="O98" s="130" t="str">
        <f>TEXT(TaskTimings[Day Total Minutes]/1440,"HH:mm")</f>
        <v>02:30</v>
      </c>
      <c r="P98" s="126" t="str">
        <f>TaskTimings[PRJ]</f>
        <v>TEEBPD</v>
      </c>
      <c r="Q98" s="126" t="str">
        <f>TaskTimings[TSK]</f>
        <v>Table syncing</v>
      </c>
    </row>
    <row r="99" spans="1:17" x14ac:dyDescent="0.25">
      <c r="A99" s="125">
        <f t="shared" si="9"/>
        <v>97</v>
      </c>
      <c r="B99" s="126" t="str">
        <f>VLOOKUP(TaskTimings[Task],ProjectTasks[[TaskProjectCode]:[TSK]],2,0)</f>
        <v>SDS</v>
      </c>
      <c r="C99" s="126" t="str">
        <f>VLOOKUP(TaskTimings[Task],ProjectTasks[[TaskProjectCode]:[TSK]],3,0)</f>
        <v>Error Correction</v>
      </c>
      <c r="D99" s="126" t="str">
        <f>TaskTimings[Employee]&amp;"/"&amp;TaskTimings[Date]</f>
        <v>Aswathy/43465</v>
      </c>
      <c r="E99" s="126">
        <f>COUNTIF($D$1:TaskTimings[[#This Row],[EmployeeDate]],TaskTimings[[#This Row],[EmployeeDate]])</f>
        <v>1</v>
      </c>
      <c r="F99" s="126" t="str">
        <f>TaskTimings[[#This Row],[EmployeeDate]]&amp;"/"&amp;TaskTimings[[#This Row],[EmployeeDateSeq]]</f>
        <v>Aswathy/43465/1</v>
      </c>
      <c r="G99" s="127" t="s">
        <v>104</v>
      </c>
      <c r="H99" s="127" t="s">
        <v>54</v>
      </c>
      <c r="I99" s="128">
        <v>43465</v>
      </c>
      <c r="J99" s="129">
        <v>0.58333333333333337</v>
      </c>
      <c r="K99" s="131">
        <v>0.70833333333333337</v>
      </c>
      <c r="L99" s="130">
        <f>(TaskTimings[End Time]-TaskTimings[Start Time])*1440</f>
        <v>180</v>
      </c>
      <c r="M99" s="130" t="str">
        <f>TEXT(TaskTimings[End Time]-TaskTimings[Start Time],"HH:mm")</f>
        <v>03:00</v>
      </c>
      <c r="N99" s="130">
        <f>SUMIFS(TaskTimings[Total Minutes],TaskTimings[Date],TaskTimings[Date],TaskTimings[Employee],TaskTimings[Employee])</f>
        <v>180</v>
      </c>
      <c r="O99" s="130" t="str">
        <f>TEXT(TaskTimings[Day Total Minutes]/1440,"HH:mm")</f>
        <v>03:00</v>
      </c>
      <c r="P99" s="126" t="str">
        <f>TaskTimings[PRJ]</f>
        <v>SDS</v>
      </c>
      <c r="Q99" s="126" t="str">
        <f>TaskTimings[TSK]</f>
        <v>Error Correction</v>
      </c>
    </row>
    <row r="100" spans="1:17" x14ac:dyDescent="0.25">
      <c r="A100" s="125">
        <f t="shared" si="9"/>
        <v>98</v>
      </c>
      <c r="B100" s="126" t="str">
        <f>VLOOKUP(TaskTimings[Task],ProjectTasks[[TaskProjectCode]:[TSK]],2,0)</f>
        <v>SDS</v>
      </c>
      <c r="C100" s="126" t="str">
        <f>VLOOKUP(TaskTimings[Task],ProjectTasks[[TaskProjectCode]:[TSK]],3,0)</f>
        <v>Error Correction</v>
      </c>
      <c r="D100" s="126" t="str">
        <f>TaskTimings[Employee]&amp;"/"&amp;TaskTimings[Date]</f>
        <v>Aswathy/43466</v>
      </c>
      <c r="E100" s="126">
        <f>COUNTIF($D$1:TaskTimings[[#This Row],[EmployeeDate]],TaskTimings[[#This Row],[EmployeeDate]])</f>
        <v>1</v>
      </c>
      <c r="F100" s="126" t="str">
        <f>TaskTimings[[#This Row],[EmployeeDate]]&amp;"/"&amp;TaskTimings[[#This Row],[EmployeeDateSeq]]</f>
        <v>Aswathy/43466/1</v>
      </c>
      <c r="G100" s="127" t="s">
        <v>104</v>
      </c>
      <c r="H100" s="127" t="s">
        <v>54</v>
      </c>
      <c r="I100" s="128">
        <v>43466</v>
      </c>
      <c r="J100" s="129">
        <v>0.38541666666666669</v>
      </c>
      <c r="K100" s="131">
        <v>0.41666666666666669</v>
      </c>
      <c r="L100" s="130">
        <f>(TaskTimings[End Time]-TaskTimings[Start Time])*1440</f>
        <v>45</v>
      </c>
      <c r="M100" s="130" t="str">
        <f>TEXT(TaskTimings[End Time]-TaskTimings[Start Time],"HH:mm")</f>
        <v>00:45</v>
      </c>
      <c r="N100" s="130">
        <f>SUMIFS(TaskTimings[Total Minutes],TaskTimings[Date],TaskTimings[Date],TaskTimings[Employee],TaskTimings[Employee])</f>
        <v>200</v>
      </c>
      <c r="O100" s="130" t="str">
        <f>TEXT(TaskTimings[Day Total Minutes]/1440,"HH:mm")</f>
        <v>03:20</v>
      </c>
      <c r="P100" s="126" t="str">
        <f>TaskTimings[PRJ]</f>
        <v>SDS</v>
      </c>
      <c r="Q100" s="126" t="str">
        <f>TaskTimings[TSK]</f>
        <v>Error Correction</v>
      </c>
    </row>
    <row r="101" spans="1:17" x14ac:dyDescent="0.25">
      <c r="A101" s="125">
        <f t="shared" si="9"/>
        <v>99</v>
      </c>
      <c r="B101" s="126" t="str">
        <f>VLOOKUP(TaskTimings[Task],ProjectTasks[[TaskProjectCode]:[TSK]],2,0)</f>
        <v>SDS</v>
      </c>
      <c r="C101" s="126" t="str">
        <f>VLOOKUP(TaskTimings[Task],ProjectTasks[[TaskProjectCode]:[TSK]],3,0)</f>
        <v>Testing</v>
      </c>
      <c r="D101" s="126" t="str">
        <f>TaskTimings[Employee]&amp;"/"&amp;TaskTimings[Date]</f>
        <v>Aswathy/43466</v>
      </c>
      <c r="E101" s="126">
        <f>COUNTIF($D$1:TaskTimings[[#This Row],[EmployeeDate]],TaskTimings[[#This Row],[EmployeeDate]])</f>
        <v>2</v>
      </c>
      <c r="F101" s="126" t="str">
        <f>TaskTimings[[#This Row],[EmployeeDate]]&amp;"/"&amp;TaskTimings[[#This Row],[EmployeeDateSeq]]</f>
        <v>Aswathy/43466/2</v>
      </c>
      <c r="G101" s="127" t="s">
        <v>89</v>
      </c>
      <c r="H101" s="127" t="s">
        <v>54</v>
      </c>
      <c r="I101" s="128">
        <v>43466</v>
      </c>
      <c r="J101" s="129">
        <v>0.41666666666666669</v>
      </c>
      <c r="K101" s="131">
        <v>0.43055555555555558</v>
      </c>
      <c r="L101" s="130">
        <f>(TaskTimings[End Time]-TaskTimings[Start Time])*1440</f>
        <v>20.000000000000007</v>
      </c>
      <c r="M101" s="130" t="str">
        <f>TEXT(TaskTimings[End Time]-TaskTimings[Start Time],"HH:mm")</f>
        <v>00:20</v>
      </c>
      <c r="N101" s="130">
        <f>SUMIFS(TaskTimings[Total Minutes],TaskTimings[Date],TaskTimings[Date],TaskTimings[Employee],TaskTimings[Employee])</f>
        <v>200</v>
      </c>
      <c r="O101" s="130" t="str">
        <f>TEXT(TaskTimings[Day Total Minutes]/1440,"HH:mm")</f>
        <v>03:20</v>
      </c>
      <c r="P101" s="126" t="str">
        <f>TaskTimings[PRJ]</f>
        <v>SDS</v>
      </c>
      <c r="Q101" s="126" t="str">
        <f>TaskTimings[TSK]</f>
        <v>Testing</v>
      </c>
    </row>
    <row r="102" spans="1:17" x14ac:dyDescent="0.25">
      <c r="A102" s="125">
        <f t="shared" si="9"/>
        <v>100</v>
      </c>
      <c r="B102" s="126" t="str">
        <f>VLOOKUP(TaskTimings[Task],ProjectTasks[[TaskProjectCode]:[TSK]],2,0)</f>
        <v>SDS</v>
      </c>
      <c r="C102" s="126" t="str">
        <f>VLOOKUP(TaskTimings[Task],ProjectTasks[[TaskProjectCode]:[TSK]],3,0)</f>
        <v>Modification</v>
      </c>
      <c r="D102" s="126" t="str">
        <f>TaskTimings[Employee]&amp;"/"&amp;TaskTimings[Date]</f>
        <v>Aswathy/43466</v>
      </c>
      <c r="E102" s="126">
        <f>COUNTIF($D$1:TaskTimings[[#This Row],[EmployeeDate]],TaskTimings[[#This Row],[EmployeeDate]])</f>
        <v>3</v>
      </c>
      <c r="F102" s="126" t="str">
        <f>TaskTimings[[#This Row],[EmployeeDate]]&amp;"/"&amp;TaskTimings[[#This Row],[EmployeeDateSeq]]</f>
        <v>Aswathy/43466/3</v>
      </c>
      <c r="G102" s="127" t="s">
        <v>94</v>
      </c>
      <c r="H102" s="127" t="s">
        <v>54</v>
      </c>
      <c r="I102" s="128">
        <v>43466</v>
      </c>
      <c r="J102" s="129">
        <v>0.58333333333333337</v>
      </c>
      <c r="K102" s="131">
        <v>0.64583333333333337</v>
      </c>
      <c r="L102" s="130">
        <f>(TaskTimings[End Time]-TaskTimings[Start Time])*1440</f>
        <v>90</v>
      </c>
      <c r="M102" s="130" t="str">
        <f>TEXT(TaskTimings[End Time]-TaskTimings[Start Time],"HH:mm")</f>
        <v>01:30</v>
      </c>
      <c r="N102" s="130">
        <f>SUMIFS(TaskTimings[Total Minutes],TaskTimings[Date],TaskTimings[Date],TaskTimings[Employee],TaskTimings[Employee])</f>
        <v>200</v>
      </c>
      <c r="O102" s="130" t="str">
        <f>TEXT(TaskTimings[Day Total Minutes]/1440,"HH:mm")</f>
        <v>03:20</v>
      </c>
      <c r="P102" s="126" t="str">
        <f>TaskTimings[PRJ]</f>
        <v>SDS</v>
      </c>
      <c r="Q102" s="126" t="str">
        <f>TaskTimings[TSK]</f>
        <v>Modification</v>
      </c>
    </row>
    <row r="103" spans="1:17" x14ac:dyDescent="0.25">
      <c r="A103" s="125">
        <f t="shared" si="9"/>
        <v>101</v>
      </c>
      <c r="B103" s="126" t="str">
        <f>VLOOKUP(TaskTimings[Task],ProjectTasks[[TaskProjectCode]:[TSK]],2,0)</f>
        <v>SDS</v>
      </c>
      <c r="C103" s="126" t="str">
        <f>VLOOKUP(TaskTimings[Task],ProjectTasks[[TaskProjectCode]:[TSK]],3,0)</f>
        <v>Modification</v>
      </c>
      <c r="D103" s="126" t="str">
        <f>TaskTimings[Employee]&amp;"/"&amp;TaskTimings[Date]</f>
        <v>Aswathy/43466</v>
      </c>
      <c r="E103" s="126">
        <f>COUNTIF($D$1:TaskTimings[[#This Row],[EmployeeDate]],TaskTimings[[#This Row],[EmployeeDate]])</f>
        <v>4</v>
      </c>
      <c r="F103" s="126" t="str">
        <f>TaskTimings[[#This Row],[EmployeeDate]]&amp;"/"&amp;TaskTimings[[#This Row],[EmployeeDateSeq]]</f>
        <v>Aswathy/43466/4</v>
      </c>
      <c r="G103" s="127" t="s">
        <v>94</v>
      </c>
      <c r="H103" s="127" t="s">
        <v>54</v>
      </c>
      <c r="I103" s="128">
        <v>43466</v>
      </c>
      <c r="J103" s="129">
        <v>0.67708333333333337</v>
      </c>
      <c r="K103" s="131">
        <v>0.70833333333333337</v>
      </c>
      <c r="L103" s="130">
        <f>(TaskTimings[End Time]-TaskTimings[Start Time])*1440</f>
        <v>45</v>
      </c>
      <c r="M103" s="130" t="str">
        <f>TEXT(TaskTimings[End Time]-TaskTimings[Start Time],"HH:mm")</f>
        <v>00:45</v>
      </c>
      <c r="N103" s="130">
        <f>SUMIFS(TaskTimings[Total Minutes],TaskTimings[Date],TaskTimings[Date],TaskTimings[Employee],TaskTimings[Employee])</f>
        <v>200</v>
      </c>
      <c r="O103" s="130" t="str">
        <f>TEXT(TaskTimings[Day Total Minutes]/1440,"HH:mm")</f>
        <v>03:20</v>
      </c>
      <c r="P103" s="126" t="str">
        <f>TaskTimings[PRJ]</f>
        <v>SDS</v>
      </c>
      <c r="Q103" s="126" t="str">
        <f>TaskTimings[TSK]</f>
        <v>Modification</v>
      </c>
    </row>
    <row r="104" spans="1:17" x14ac:dyDescent="0.25">
      <c r="A104" s="125">
        <f t="shared" si="9"/>
        <v>102</v>
      </c>
      <c r="B104" s="126" t="str">
        <f>VLOOKUP(TaskTimings[Task],ProjectTasks[[TaskProjectCode]:[TSK]],2,0)</f>
        <v>SDS</v>
      </c>
      <c r="C104" s="126" t="str">
        <f>VLOOKUP(TaskTimings[Task],ProjectTasks[[TaskProjectCode]:[TSK]],3,0)</f>
        <v>Modification</v>
      </c>
      <c r="D104" s="126" t="str">
        <f>TaskTimings[Employee]&amp;"/"&amp;TaskTimings[Date]</f>
        <v>Aswathy/43467</v>
      </c>
      <c r="E104" s="126">
        <f>COUNTIF($D$1:TaskTimings[[#This Row],[EmployeeDate]],TaskTimings[[#This Row],[EmployeeDate]])</f>
        <v>1</v>
      </c>
      <c r="F104" s="126" t="str">
        <f>TaskTimings[[#This Row],[EmployeeDate]]&amp;"/"&amp;TaskTimings[[#This Row],[EmployeeDateSeq]]</f>
        <v>Aswathy/43467/1</v>
      </c>
      <c r="G104" s="127" t="s">
        <v>94</v>
      </c>
      <c r="H104" s="127" t="s">
        <v>54</v>
      </c>
      <c r="I104" s="128">
        <v>43467</v>
      </c>
      <c r="J104" s="129">
        <v>0.38541666666666669</v>
      </c>
      <c r="K104" s="130"/>
      <c r="L104" s="130">
        <f>(TaskTimings[End Time]-TaskTimings[Start Time])*1440</f>
        <v>-555</v>
      </c>
      <c r="M104" s="130" t="e">
        <f>TEXT(TaskTimings[End Time]-TaskTimings[Start Time],"HH:mm")</f>
        <v>#VALUE!</v>
      </c>
      <c r="N104" s="130">
        <f>SUMIFS(TaskTimings[Total Minutes],TaskTimings[Date],TaskTimings[Date],TaskTimings[Employee],TaskTimings[Employee])</f>
        <v>-555</v>
      </c>
      <c r="O104" s="130" t="e">
        <f>TEXT(TaskTimings[Day Total Minutes]/1440,"HH:mm")</f>
        <v>#VALUE!</v>
      </c>
      <c r="P104" s="126" t="str">
        <f>TaskTimings[PRJ]</f>
        <v>SDS</v>
      </c>
      <c r="Q104" s="126" t="str">
        <f>TaskTimings[TSK]</f>
        <v>Modification</v>
      </c>
    </row>
  </sheetData>
  <dataValidations count="2">
    <dataValidation type="list" allowBlank="1" showInputMessage="1" showErrorMessage="1" sqref="H2:H104">
      <formula1>EmployeeNames</formula1>
    </dataValidation>
    <dataValidation type="list" allowBlank="1" showInputMessage="1" showErrorMessage="1" sqref="G2:G104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28"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133" t="s">
        <v>5</v>
      </c>
      <c r="B1" s="133"/>
      <c r="C1" s="133"/>
      <c r="D1" s="133"/>
      <c r="E1" s="133"/>
    </row>
    <row r="2" spans="1:16" x14ac:dyDescent="0.25">
      <c r="A2" s="133"/>
      <c r="B2" s="133"/>
      <c r="C2" s="133"/>
      <c r="D2" s="133"/>
      <c r="E2" s="133"/>
      <c r="J2" s="151" t="s">
        <v>33</v>
      </c>
      <c r="K2" s="151"/>
      <c r="L2" s="151"/>
    </row>
    <row r="3" spans="1:16" x14ac:dyDescent="0.25">
      <c r="A3" s="133"/>
      <c r="B3" s="133"/>
      <c r="C3" s="133"/>
      <c r="D3" s="133"/>
      <c r="E3" s="133"/>
      <c r="J3" s="151"/>
      <c r="K3" s="151"/>
      <c r="L3" s="151"/>
    </row>
    <row r="4" spans="1:16" ht="15.75" thickBot="1" x14ac:dyDescent="0.3">
      <c r="A4" s="135" t="str">
        <f>VLOOKUP($A$1,Project[[Project]:[Project Code]],2,0)</f>
        <v>TEEBPD</v>
      </c>
      <c r="B4" s="135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138" t="s">
        <v>31</v>
      </c>
      <c r="B5" s="136" t="s">
        <v>29</v>
      </c>
      <c r="C5" s="136"/>
      <c r="D5" s="136"/>
      <c r="E5" s="136"/>
      <c r="F5" s="136"/>
      <c r="G5" s="141" t="s">
        <v>32</v>
      </c>
      <c r="H5" s="145"/>
      <c r="J5" s="138" t="str">
        <f>IFERROR(VLOOKUP(J$4,Employees[],2,0),"")</f>
        <v>Aswathy</v>
      </c>
      <c r="K5" s="141" t="str">
        <f>IFERROR(VLOOKUP(K$4,Employees[],2,0),"")</f>
        <v>Vishnu</v>
      </c>
      <c r="L5" s="141" t="str">
        <f>IFERROR(VLOOKUP(L$4,Employees[],2,0),"")</f>
        <v>Shareena</v>
      </c>
      <c r="M5" s="141" t="str">
        <f>IFERROR(VLOOKUP(M$4,Employees[],2,0),"")</f>
        <v>Firose</v>
      </c>
      <c r="N5" s="141" t="str">
        <f>IFERROR(VLOOKUP(N$4,Employees[],2,0),"")</f>
        <v/>
      </c>
      <c r="O5" s="141" t="str">
        <f>IFERROR(VLOOKUP(O$4,Employees[],2,0),"")</f>
        <v/>
      </c>
      <c r="P5" s="145" t="str">
        <f>IFERROR(VLOOKUP(P$4,Employees[],2,0),"")</f>
        <v/>
      </c>
    </row>
    <row r="6" spans="1:16" x14ac:dyDescent="0.25">
      <c r="A6" s="139"/>
      <c r="B6" s="137"/>
      <c r="C6" s="137"/>
      <c r="D6" s="137"/>
      <c r="E6" s="137"/>
      <c r="F6" s="137"/>
      <c r="G6" s="142"/>
      <c r="H6" s="146"/>
      <c r="J6" s="139"/>
      <c r="K6" s="142"/>
      <c r="L6" s="142"/>
      <c r="M6" s="142"/>
      <c r="N6" s="142"/>
      <c r="O6" s="142"/>
      <c r="P6" s="146"/>
    </row>
    <row r="7" spans="1:16" x14ac:dyDescent="0.25">
      <c r="A7" s="12">
        <v>1</v>
      </c>
      <c r="B7" s="134" t="str">
        <f>IFERROR(VLOOKUP($A$4&amp;"-"&amp;$A7,ProjectTasks[[PRJTSKSEQ]:[Task]],2,0),"")</f>
        <v>Theme Designing</v>
      </c>
      <c r="C7" s="134"/>
      <c r="D7" s="134"/>
      <c r="E7" s="134"/>
      <c r="F7" s="134"/>
      <c r="G7" s="143">
        <f>SUMIFS(TaskTimings[Total Minutes],TaskTimings[PRJ],$A$4,TaskTimings[TSK],$B7)</f>
        <v>0</v>
      </c>
      <c r="H7" s="144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134" t="str">
        <f>IFERROR(VLOOKUP($A$4&amp;"-"&amp;$A8,ProjectTasks[[PRJTSKSEQ]:[Task]],2,0),"")</f>
        <v>Database Structure Designing</v>
      </c>
      <c r="C8" s="134"/>
      <c r="D8" s="134"/>
      <c r="E8" s="134"/>
      <c r="F8" s="134"/>
      <c r="G8" s="143">
        <f>SUMIFS(TaskTimings[Total Minutes],TaskTimings[PRJ],$A$4,TaskTimings[TSK],$B8)</f>
        <v>0</v>
      </c>
      <c r="H8" s="144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134" t="str">
        <f>IFERROR(VLOOKUP($A$4&amp;"-"&amp;$A9,ProjectTasks[[PRJTSKSEQ]:[Task]],2,0),"")</f>
        <v>Appframe configuration</v>
      </c>
      <c r="C9" s="134"/>
      <c r="D9" s="134"/>
      <c r="E9" s="134"/>
      <c r="F9" s="134"/>
      <c r="G9" s="143">
        <f>SUMIFS(TaskTimings[Total Minutes],TaskTimings[PRJ],$A$4,TaskTimings[TSK],$B9)</f>
        <v>0</v>
      </c>
      <c r="H9" s="144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134" t="str">
        <f>IFERROR(VLOOKUP($A$4&amp;"-"&amp;$A10,ProjectTasks[[PRJTSKSEQ]:[Task]],2,0),"")</f>
        <v>Inhouse Testing</v>
      </c>
      <c r="C10" s="134"/>
      <c r="D10" s="134"/>
      <c r="E10" s="134"/>
      <c r="F10" s="134"/>
      <c r="G10" s="143">
        <f>SUMIFS(TaskTimings[Total Minutes],TaskTimings[PRJ],$A$4,TaskTimings[TSK],$B10)</f>
        <v>239.99999999999994</v>
      </c>
      <c r="H10" s="144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59.999999999999943</v>
      </c>
      <c r="M10" s="16">
        <f>SUMIFS(TaskTimings[Total Minutes],TaskTimings[PRJ],$A$4,TaskTimings[TSK],$B10,TaskTimings[Employee],M$5)</f>
        <v>180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134" t="str">
        <f>IFERROR(VLOOKUP($A$4&amp;"-"&amp;$A11,ProjectTasks[[PRJTSKSEQ]:[Task]],2,0),"")</f>
        <v>Client Demonstration</v>
      </c>
      <c r="C11" s="134"/>
      <c r="D11" s="134"/>
      <c r="E11" s="134"/>
      <c r="F11" s="134"/>
      <c r="G11" s="143">
        <f>SUMIFS(TaskTimings[Total Minutes],TaskTimings[PRJ],$A$4,TaskTimings[TSK],$B11)</f>
        <v>0</v>
      </c>
      <c r="H11" s="144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134" t="str">
        <f>IFERROR(VLOOKUP($A$4&amp;"-"&amp;$A12,ProjectTasks[[PRJTSKSEQ]:[Task]],2,0),"")</f>
        <v>Client Suggestion Implementation</v>
      </c>
      <c r="C12" s="134"/>
      <c r="D12" s="134"/>
      <c r="E12" s="134"/>
      <c r="F12" s="134"/>
      <c r="G12" s="143">
        <f>SUMIFS(TaskTimings[Total Minutes],TaskTimings[PRJ],$A$4,TaskTimings[TSK],$B12)</f>
        <v>1200</v>
      </c>
      <c r="H12" s="144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1200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134" t="str">
        <f>IFERROR(VLOOKUP($A$4&amp;"-"&amp;$A13,ProjectTasks[[PRJTSKSEQ]:[Task]],2,0),"")</f>
        <v>Finalizing</v>
      </c>
      <c r="C13" s="134"/>
      <c r="D13" s="134"/>
      <c r="E13" s="134"/>
      <c r="F13" s="134"/>
      <c r="G13" s="143">
        <f>SUMIFS(TaskTimings[Total Minutes],TaskTimings[PRJ],$A$4,TaskTimings[TSK],$B13)</f>
        <v>839.99999999999989</v>
      </c>
      <c r="H13" s="144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839.99999999999989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134" t="str">
        <f>IFERROR(VLOOKUP($A$4&amp;"-"&amp;$A14,ProjectTasks[[PRJTSKSEQ]:[Task]],2,0),"")</f>
        <v>Synchronization Implementing</v>
      </c>
      <c r="C14" s="134"/>
      <c r="D14" s="134"/>
      <c r="E14" s="134"/>
      <c r="F14" s="134"/>
      <c r="G14" s="143">
        <f>SUMIFS(TaskTimings[Total Minutes],TaskTimings[PRJ],$A$4,TaskTimings[TSK],$B14)</f>
        <v>480.00000000000006</v>
      </c>
      <c r="H14" s="144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480.00000000000006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134" t="str">
        <f>IFERROR(VLOOKUP($A$4&amp;"-"&amp;$A15,ProjectTasks[[PRJTSKSEQ]:[Task]],2,0),"")</f>
        <v>Table syncing</v>
      </c>
      <c r="C15" s="134"/>
      <c r="D15" s="134"/>
      <c r="E15" s="134"/>
      <c r="F15" s="134"/>
      <c r="G15" s="143">
        <f>SUMIFS(TaskTimings[Total Minutes],TaskTimings[PRJ],$A$4,TaskTimings[TSK],$B15)</f>
        <v>3131.9999999999995</v>
      </c>
      <c r="H15" s="144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3131.9999999999995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134" t="str">
        <f>IFERROR(VLOOKUP($A$4&amp;"-"&amp;$A16,ProjectTasks[[PRJTSKSEQ]:[Task]],2,0),"")</f>
        <v/>
      </c>
      <c r="C16" s="134"/>
      <c r="D16" s="134"/>
      <c r="E16" s="134"/>
      <c r="F16" s="134"/>
      <c r="G16" s="143">
        <f>SUMIFS(TaskTimings[Total Minutes],TaskTimings[PRJ],$A$4,TaskTimings[TSK],$B16)</f>
        <v>0</v>
      </c>
      <c r="H16" s="144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134" t="str">
        <f>IFERROR(VLOOKUP($A$4&amp;"-"&amp;$A17,ProjectTasks[[PRJTSKSEQ]:[Task]],2,0),"")</f>
        <v/>
      </c>
      <c r="C17" s="134"/>
      <c r="D17" s="134"/>
      <c r="E17" s="134"/>
      <c r="F17" s="134"/>
      <c r="G17" s="143">
        <f>SUMIFS(TaskTimings[Total Minutes],TaskTimings[PRJ],$A$4,TaskTimings[TSK],$B17)</f>
        <v>0</v>
      </c>
      <c r="H17" s="144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134" t="str">
        <f>IFERROR(VLOOKUP($A$4&amp;"-"&amp;$A18,ProjectTasks[[PRJTSKSEQ]:[Task]],2,0),"")</f>
        <v/>
      </c>
      <c r="C18" s="134"/>
      <c r="D18" s="134"/>
      <c r="E18" s="134"/>
      <c r="F18" s="134"/>
      <c r="G18" s="143">
        <f>SUMIFS(TaskTimings[Total Minutes],TaskTimings[PRJ],$A$4,TaskTimings[TSK],$B18)</f>
        <v>0</v>
      </c>
      <c r="H18" s="144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134" t="str">
        <f>IFERROR(VLOOKUP($A$4&amp;"-"&amp;$A19,ProjectTasks[[PRJTSKSEQ]:[Task]],2,0),"")</f>
        <v/>
      </c>
      <c r="C19" s="134"/>
      <c r="D19" s="134"/>
      <c r="E19" s="134"/>
      <c r="F19" s="134"/>
      <c r="G19" s="143">
        <f>SUMIFS(TaskTimings[Total Minutes],TaskTimings[PRJ],$A$4,TaskTimings[TSK],$B19)</f>
        <v>0</v>
      </c>
      <c r="H19" s="144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134" t="str">
        <f>IFERROR(VLOOKUP($A$4&amp;"-"&amp;$A20,ProjectTasks[[PRJTSKSEQ]:[Task]],2,0),"")</f>
        <v/>
      </c>
      <c r="C20" s="134"/>
      <c r="D20" s="134"/>
      <c r="E20" s="134"/>
      <c r="F20" s="134"/>
      <c r="G20" s="143">
        <f>SUMIFS(TaskTimings[Total Minutes],TaskTimings[PRJ],$A$4,TaskTimings[TSK],$B20)</f>
        <v>0</v>
      </c>
      <c r="H20" s="144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40" t="str">
        <f>IFERROR(VLOOKUP($A$4&amp;"-"&amp;$A21,ProjectTasks[[PRJTSKSEQ]:[Task]],2,0),"")</f>
        <v/>
      </c>
      <c r="C21" s="140"/>
      <c r="D21" s="140"/>
      <c r="E21" s="140"/>
      <c r="F21" s="140"/>
      <c r="G21" s="149">
        <f>SUMIFS(TaskTimings[Total Minutes],TaskTimings[PRJ],$A$4,TaskTimings[TSK],$B21)</f>
        <v>0</v>
      </c>
      <c r="H21" s="150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52" t="s">
        <v>24</v>
      </c>
      <c r="E23" s="153"/>
      <c r="F23" s="154"/>
      <c r="G23" s="152">
        <f>SUM(G7:H21)</f>
        <v>5892</v>
      </c>
      <c r="H23" s="154"/>
      <c r="J23" s="147">
        <f>SUM(J7:J21)</f>
        <v>0</v>
      </c>
      <c r="K23" s="147">
        <f t="shared" ref="K23:P23" si="0">SUM(K7:K21)</f>
        <v>0</v>
      </c>
      <c r="L23" s="147">
        <f t="shared" si="0"/>
        <v>3191.9999999999995</v>
      </c>
      <c r="M23" s="147">
        <f t="shared" si="0"/>
        <v>2700</v>
      </c>
      <c r="N23" s="147">
        <f t="shared" si="0"/>
        <v>0</v>
      </c>
      <c r="O23" s="147">
        <f t="shared" si="0"/>
        <v>0</v>
      </c>
      <c r="P23" s="147">
        <f t="shared" si="0"/>
        <v>0</v>
      </c>
    </row>
    <row r="24" spans="1:16" ht="15.75" thickBot="1" x14ac:dyDescent="0.3">
      <c r="D24" s="155"/>
      <c r="E24" s="156"/>
      <c r="F24" s="157"/>
      <c r="G24" s="155"/>
      <c r="H24" s="157"/>
      <c r="J24" s="148"/>
      <c r="K24" s="148"/>
      <c r="L24" s="148"/>
      <c r="M24" s="148"/>
      <c r="N24" s="148"/>
      <c r="O24" s="148"/>
      <c r="P24" s="148"/>
    </row>
  </sheetData>
  <mergeCells count="52">
    <mergeCell ref="N23:N24"/>
    <mergeCell ref="O23:O24"/>
    <mergeCell ref="P23:P24"/>
    <mergeCell ref="N5:N6"/>
    <mergeCell ref="O5:O6"/>
    <mergeCell ref="P5:P6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M23:M24"/>
    <mergeCell ref="G17:H17"/>
    <mergeCell ref="G18:H18"/>
    <mergeCell ref="G19:H19"/>
    <mergeCell ref="G20:H20"/>
    <mergeCell ref="G21:H21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B21:F21"/>
    <mergeCell ref="B10:F10"/>
    <mergeCell ref="B11:F11"/>
    <mergeCell ref="B12:F12"/>
    <mergeCell ref="B13:F13"/>
    <mergeCell ref="B14:F14"/>
    <mergeCell ref="B15:F15"/>
    <mergeCell ref="A1:E3"/>
    <mergeCell ref="B7:F7"/>
    <mergeCell ref="A4:B4"/>
    <mergeCell ref="B8:F8"/>
    <mergeCell ref="B9:F9"/>
    <mergeCell ref="B5:F6"/>
    <mergeCell ref="A5:A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sqref="A1:D3"/>
    </sheetView>
  </sheetViews>
  <sheetFormatPr defaultRowHeight="15" x14ac:dyDescent="0.25"/>
  <cols>
    <col min="10" max="10" width="10.5703125" customWidth="1"/>
  </cols>
  <sheetData>
    <row r="1" spans="1:28" x14ac:dyDescent="0.25">
      <c r="A1" s="177" t="s">
        <v>16</v>
      </c>
      <c r="B1" s="177"/>
      <c r="C1" s="177"/>
      <c r="D1" s="177"/>
      <c r="F1" s="179" t="s">
        <v>35</v>
      </c>
      <c r="G1" s="179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77"/>
      <c r="B2" s="177"/>
      <c r="C2" s="177"/>
      <c r="D2" s="177"/>
      <c r="F2" s="178">
        <v>43444</v>
      </c>
      <c r="G2" s="178"/>
      <c r="I2" s="158">
        <f>SUM(I7:I30)</f>
        <v>1792</v>
      </c>
      <c r="J2" s="160" t="str">
        <f>INT($I$2/60)&amp;":"&amp;MOD(INT($I$2),60)</f>
        <v>29:52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77"/>
      <c r="B3" s="177"/>
      <c r="C3" s="177"/>
      <c r="D3" s="177"/>
      <c r="F3" s="178"/>
      <c r="G3" s="178"/>
      <c r="I3" s="159"/>
      <c r="J3" s="16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51" t="s">
        <v>44</v>
      </c>
      <c r="L4" s="151"/>
      <c r="M4" s="151"/>
    </row>
    <row r="5" spans="1:28" ht="15.75" thickBot="1" x14ac:dyDescent="0.3">
      <c r="B5" s="151" t="s">
        <v>45</v>
      </c>
      <c r="C5" s="151"/>
      <c r="D5" s="151"/>
      <c r="E5" s="151"/>
      <c r="F5" s="151"/>
      <c r="K5" s="175"/>
      <c r="L5" s="175"/>
      <c r="M5" s="175"/>
    </row>
    <row r="6" spans="1:28" ht="15.75" thickBot="1" x14ac:dyDescent="0.3">
      <c r="A6" s="14">
        <v>1</v>
      </c>
      <c r="B6" s="176"/>
      <c r="C6" s="176"/>
      <c r="D6" s="176"/>
      <c r="E6" s="176"/>
      <c r="F6" s="176"/>
      <c r="J6" s="25"/>
      <c r="K6" s="32" t="s">
        <v>0</v>
      </c>
      <c r="L6" s="168" t="s">
        <v>4</v>
      </c>
      <c r="M6" s="168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80">
        <f>$F$2</f>
        <v>43444</v>
      </c>
      <c r="C7" s="141"/>
      <c r="D7" s="181" t="str">
        <f>IFERROR(VLOOKUP($A$1&amp;"/"&amp;$B$7&amp;"/"&amp;$A6,TaskTimings[[EmployeeDateSeqCode]:[Task]],2,0),"")</f>
        <v>TKT/Package Creation-Stage1</v>
      </c>
      <c r="E7" s="181"/>
      <c r="F7" s="181"/>
      <c r="G7" s="181"/>
      <c r="H7" s="23">
        <f>IFERROR(VLOOKUP($A$1&amp;"/"&amp;$B$7&amp;"/"&amp;$A6,TaskTimings[[EmployeeDateSeqCode]:[Total Minutes]],7,0),0)</f>
        <v>164.99999999999997</v>
      </c>
      <c r="I7" s="170">
        <f>SUM(H7:H10)</f>
        <v>314.99999999999989</v>
      </c>
      <c r="J7" s="25"/>
      <c r="K7" s="70">
        <v>1</v>
      </c>
      <c r="L7" s="162" t="str">
        <f>IFERROR(VLOOKUP($K7,$X$7:$Y$30,2,0),"")</f>
        <v>TKT</v>
      </c>
      <c r="M7" s="162"/>
      <c r="N7" s="72">
        <f>SUMIFS($AB$7:$AB$30,$Y$7:$Y$30,$L7)</f>
        <v>925</v>
      </c>
      <c r="O7" s="25"/>
      <c r="P7" s="25"/>
      <c r="Q7" s="25"/>
      <c r="R7" s="25"/>
      <c r="S7" s="25"/>
      <c r="T7" s="25"/>
      <c r="U7" s="77">
        <f>IF(COUNTIFS($D$6:$D7,D7)=1,1,0)</f>
        <v>1</v>
      </c>
      <c r="V7" s="78" t="str">
        <f>IF($U7=0,"",VLOOKUP($D7,TaskTimings[[Task]:[PRJLST]],10,0))</f>
        <v>TKT</v>
      </c>
      <c r="W7" s="79">
        <f>IF($V7="","",COUNTIF($V7:$V$7,$V7))</f>
        <v>1</v>
      </c>
      <c r="X7" s="79">
        <f>IF($W7=1,MAX($X$6:$X6)+1,"")</f>
        <v>1</v>
      </c>
      <c r="Y7" s="80" t="str">
        <f>IF($W7="","",$V7)</f>
        <v>TKT</v>
      </c>
      <c r="Z7" s="78" t="str">
        <f>IF($Y7="","",$Y7&amp;"/"&amp;COUNTIF($Y$7:$Y7,$Y7))</f>
        <v>TKT/1</v>
      </c>
      <c r="AA7" s="78" t="str">
        <f>IF($Z7="","",VLOOKUP($D7,TaskTimings[[Task]:[TSKLST]],11,0))</f>
        <v>Package Creation-Stage1</v>
      </c>
      <c r="AB7" s="81">
        <f>IF($AA7="",0,SUMIFS($H$7:$H$30,$D$7:$D$30,$Y7&amp;"/"&amp;$AA7))</f>
        <v>314.99999999999989</v>
      </c>
    </row>
    <row r="8" spans="1:28" x14ac:dyDescent="0.25">
      <c r="A8" s="14">
        <v>3</v>
      </c>
      <c r="B8" s="139"/>
      <c r="C8" s="142"/>
      <c r="D8" s="171" t="str">
        <f>IFERROR(VLOOKUP($A$1&amp;"/"&amp;$B$7&amp;"/"&amp;$A7,TaskTimings[[EmployeeDateSeqCode]:[Task]],2,0),"")</f>
        <v>TKT/Package Creation-Stage1</v>
      </c>
      <c r="E8" s="171"/>
      <c r="F8" s="171"/>
      <c r="G8" s="171"/>
      <c r="H8" s="22">
        <f>IFERROR(VLOOKUP($A$1&amp;"/"&amp;$B$7&amp;"/"&amp;$A7,TaskTimings[[EmployeeDateSeqCode]:[Total Minutes]],7,0),0)</f>
        <v>149.99999999999994</v>
      </c>
      <c r="I8" s="160"/>
      <c r="J8" s="25"/>
      <c r="K8" s="70">
        <v>2</v>
      </c>
      <c r="L8" s="162" t="str">
        <f>IFERROR(VLOOKUP($K8,$X$7:$Y$30,2,0),"")</f>
        <v>TEEBPD</v>
      </c>
      <c r="M8" s="162"/>
      <c r="N8" s="72">
        <f>SUMIFS($AB$7:$AB$30,$Y$7:$Y$30,$L8)</f>
        <v>866.99999999999977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39"/>
      <c r="C9" s="142"/>
      <c r="D9" s="171" t="str">
        <f>IFERROR(VLOOKUP($A$1&amp;"/"&amp;$B$7&amp;"/"&amp;$A8,TaskTimings[[EmployeeDateSeqCode]:[Task]],2,0),"")</f>
        <v/>
      </c>
      <c r="E9" s="171"/>
      <c r="F9" s="171"/>
      <c r="G9" s="171"/>
      <c r="H9" s="22">
        <f>IFERROR(VLOOKUP($A$1&amp;"/"&amp;$B$7&amp;"/"&amp;$A8,TaskTimings[[EmployeeDateSeqCode]:[Total Minutes]],7,0),0)</f>
        <v>0</v>
      </c>
      <c r="I9" s="160"/>
      <c r="J9" s="25"/>
      <c r="K9" s="70">
        <v>3</v>
      </c>
      <c r="L9" s="162" t="str">
        <f>IFERROR(VLOOKUP($K9,$X$7:$Y$30,2,0),"")</f>
        <v/>
      </c>
      <c r="M9" s="162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39"/>
      <c r="C10" s="142"/>
      <c r="D10" s="171" t="str">
        <f>IFERROR(VLOOKUP($A$1&amp;"/"&amp;$B$7&amp;"/"&amp;$A9,TaskTimings[[EmployeeDateSeqCode]:[Task]],2,0),"")</f>
        <v/>
      </c>
      <c r="E10" s="171"/>
      <c r="F10" s="171"/>
      <c r="G10" s="171"/>
      <c r="H10" s="22">
        <f>IFERROR(VLOOKUP($A$1&amp;"/"&amp;$B$7&amp;"/"&amp;$A9,TaskTimings[[EmployeeDateSeqCode]:[Total Minutes]],7,0),0)</f>
        <v>0</v>
      </c>
      <c r="I10" s="160"/>
      <c r="J10" s="25"/>
      <c r="K10" s="70">
        <v>4</v>
      </c>
      <c r="L10" s="162" t="str">
        <f>IFERROR(VLOOKUP($K10,$X$7:$Y$30,2,0),"")</f>
        <v/>
      </c>
      <c r="M10" s="162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172">
        <f>B7+1</f>
        <v>43445</v>
      </c>
      <c r="C11" s="142"/>
      <c r="D11" s="171" t="str">
        <f>IFERROR(VLOOKUP($A$1&amp;"/"&amp;$B$11&amp;"/"&amp;$A10,TaskTimings[[EmployeeDateSeqCode]:[Task]],2,0),"")</f>
        <v>TKT/Package Creation-Stage2(Resource creation)</v>
      </c>
      <c r="E11" s="171"/>
      <c r="F11" s="171"/>
      <c r="G11" s="171"/>
      <c r="H11" s="22">
        <f>IFERROR(VLOOKUP($A$1&amp;"/"&amp;$B$11&amp;"/"&amp;$A10,TaskTimings[[EmployeeDateSeqCode]:[Total Minutes]],7,0),0)</f>
        <v>164.99999999999997</v>
      </c>
      <c r="I11" s="160">
        <f t="shared" ref="I11" si="2">SUM(H11:H14)</f>
        <v>164.99999999999997</v>
      </c>
      <c r="J11" s="25"/>
      <c r="K11" s="71">
        <v>5</v>
      </c>
      <c r="L11" s="165" t="str">
        <f>IFERROR(VLOOKUP($K11,$X$7:$Y$30,2,0),"")</f>
        <v/>
      </c>
      <c r="M11" s="165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1</v>
      </c>
      <c r="V11" s="83" t="str">
        <f>IF($U11=0,"",VLOOKUP($D11,TaskTimings[[Task]:[PRJLST]],10,0))</f>
        <v>TKT</v>
      </c>
      <c r="W11" s="84">
        <f>IF($V11="","",COUNTIF($V$7:$V11,$V11))</f>
        <v>2</v>
      </c>
      <c r="X11" s="84" t="str">
        <f>IF($W11=1,MAX($X$6:$X10)+1,"")</f>
        <v/>
      </c>
      <c r="Y11" s="85" t="str">
        <f t="shared" si="0"/>
        <v>TKT</v>
      </c>
      <c r="Z11" s="83" t="str">
        <f>IF($Y11="","",$Y11&amp;"/"&amp;COUNTIF($Y$7:$Y11,$Y11))</f>
        <v>TKT/2</v>
      </c>
      <c r="AA11" s="83" t="str">
        <f>IF($Z11="","",VLOOKUP($D11,TaskTimings[[Task]:[TSKLST]],11,0))</f>
        <v>Package Creation-Stage2(Resource creation)</v>
      </c>
      <c r="AB11" s="86">
        <f t="shared" si="1"/>
        <v>610.00000000000011</v>
      </c>
    </row>
    <row r="12" spans="1:28" x14ac:dyDescent="0.25">
      <c r="A12" s="14">
        <v>3</v>
      </c>
      <c r="B12" s="139"/>
      <c r="C12" s="142"/>
      <c r="D12" s="171" t="str">
        <f>IFERROR(VLOOKUP($A$1&amp;"/"&amp;$B$11&amp;"/"&amp;$A11,TaskTimings[[EmployeeDateSeqCode]:[Task]],2,0),"")</f>
        <v/>
      </c>
      <c r="E12" s="171"/>
      <c r="F12" s="171"/>
      <c r="G12" s="171"/>
      <c r="H12" s="22">
        <f>IFERROR(VLOOKUP($A$1&amp;"/"&amp;$B$11&amp;"/"&amp;$A11,TaskTimings[[EmployeeDateSeqCode]:[Total Minutes]],7,0),0)</f>
        <v>0</v>
      </c>
      <c r="I12" s="160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39"/>
      <c r="C13" s="142"/>
      <c r="D13" s="171" t="str">
        <f>IFERROR(VLOOKUP($A$1&amp;"/"&amp;$B$11&amp;"/"&amp;$A12,TaskTimings[[EmployeeDateSeqCode]:[Task]],2,0),"")</f>
        <v/>
      </c>
      <c r="E13" s="171"/>
      <c r="F13" s="171"/>
      <c r="G13" s="171"/>
      <c r="H13" s="22">
        <f>IFERROR(VLOOKUP($A$1&amp;"/"&amp;$B$11&amp;"/"&amp;$A12,TaskTimings[[EmployeeDateSeqCode]:[Total Minutes]],7,0),0)</f>
        <v>0</v>
      </c>
      <c r="I13" s="160"/>
      <c r="J13" s="25"/>
      <c r="K13" s="175" t="s">
        <v>46</v>
      </c>
      <c r="L13" s="175"/>
      <c r="M13" s="175"/>
      <c r="N13" s="175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39"/>
      <c r="C14" s="142"/>
      <c r="D14" s="171" t="str">
        <f>IFERROR(VLOOKUP($A$1&amp;"/"&amp;$B$11&amp;"/"&amp;$A13,TaskTimings[[EmployeeDateSeqCode]:[Task]],2,0),"")</f>
        <v/>
      </c>
      <c r="E14" s="171"/>
      <c r="F14" s="171"/>
      <c r="G14" s="171"/>
      <c r="H14" s="22">
        <f>IFERROR(VLOOKUP($A$1&amp;"/"&amp;$B$11&amp;"/"&amp;$A13,TaskTimings[[EmployeeDateSeqCode]:[Total Minutes]],7,0),0)</f>
        <v>0</v>
      </c>
      <c r="I14" s="160"/>
      <c r="J14" s="25"/>
      <c r="K14" s="176"/>
      <c r="L14" s="176"/>
      <c r="M14" s="176"/>
      <c r="N14" s="176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172">
        <f>B11+1</f>
        <v>43446</v>
      </c>
      <c r="C15" s="142"/>
      <c r="D15" s="171" t="str">
        <f>IFERROR(VLOOKUP($A$1&amp;"/"&amp;$B$15&amp;"/"&amp;$A14,TaskTimings[[EmployeeDateSeqCode]:[Task]],2,0),"")</f>
        <v>TEEBPD/Table syncing</v>
      </c>
      <c r="E15" s="171"/>
      <c r="F15" s="171"/>
      <c r="G15" s="171"/>
      <c r="H15" s="22">
        <f>IFERROR(VLOOKUP($A$1&amp;"/"&amp;$B$15&amp;"/"&amp;$A14,TaskTimings[[EmployeeDateSeqCode]:[Total Minutes]],7,0),0)</f>
        <v>69.999999999999915</v>
      </c>
      <c r="I15" s="160">
        <f t="shared" ref="I15" si="3">SUM(H15:H18)</f>
        <v>181.99999999999983</v>
      </c>
      <c r="J15" s="25"/>
      <c r="K15" s="167" t="s">
        <v>4</v>
      </c>
      <c r="L15" s="166"/>
      <c r="M15" s="166" t="s">
        <v>29</v>
      </c>
      <c r="N15" s="166"/>
      <c r="O15" s="166"/>
      <c r="P15" s="166"/>
      <c r="Q15" s="23" t="s">
        <v>42</v>
      </c>
      <c r="R15" s="27" t="s">
        <v>24</v>
      </c>
      <c r="S15" s="25"/>
      <c r="T15" s="25"/>
      <c r="U15" s="82">
        <f>IF(COUNTIFS($D$6:$D15,D15)=1,1,0)</f>
        <v>1</v>
      </c>
      <c r="V15" s="83" t="str">
        <f>IF($U15=0,"",VLOOKUP($D15,TaskTimings[[Task]:[PRJLST]],10,0))</f>
        <v>TEEBPD</v>
      </c>
      <c r="W15" s="84">
        <f>IF($V15="","",COUNTIF($V$7:$V15,$V15))</f>
        <v>1</v>
      </c>
      <c r="X15" s="84">
        <f>IF($W15=1,MAX($X$6:$X14)+1,"")</f>
        <v>2</v>
      </c>
      <c r="Y15" s="85" t="str">
        <f t="shared" si="0"/>
        <v>TEEBPD</v>
      </c>
      <c r="Z15" s="83" t="str">
        <f>IF($Y15="","",$Y15&amp;"/"&amp;COUNTIF($Y$7:$Y15,$Y15))</f>
        <v>TEEBPD/1</v>
      </c>
      <c r="AA15" s="83" t="str">
        <f>IF($Z15="","",VLOOKUP($D15,TaskTimings[[Task]:[TSKLST]],11,0))</f>
        <v>Table syncing</v>
      </c>
      <c r="AB15" s="86">
        <f t="shared" si="1"/>
        <v>866.99999999999977</v>
      </c>
    </row>
    <row r="16" spans="1:28" x14ac:dyDescent="0.25">
      <c r="A16" s="14">
        <v>3</v>
      </c>
      <c r="B16" s="139"/>
      <c r="C16" s="142"/>
      <c r="D16" s="171" t="str">
        <f>IFERROR(VLOOKUP($A$1&amp;"/"&amp;$B$15&amp;"/"&amp;$A15,TaskTimings[[EmployeeDateSeqCode]:[Task]],2,0),"")</f>
        <v>TEEBPD/Table syncing</v>
      </c>
      <c r="E16" s="171"/>
      <c r="F16" s="171"/>
      <c r="G16" s="171"/>
      <c r="H16" s="22">
        <f>IFERROR(VLOOKUP($A$1&amp;"/"&amp;$B$15&amp;"/"&amp;$A15,TaskTimings[[EmployeeDateSeqCode]:[Total Minutes]],7,0),0)</f>
        <v>111.99999999999991</v>
      </c>
      <c r="I16" s="160"/>
      <c r="J16" s="26">
        <v>1</v>
      </c>
      <c r="K16" s="163" t="str">
        <f>VLOOKUP(1,$K$7:$M$11,2,0)</f>
        <v>TKT</v>
      </c>
      <c r="L16" s="143"/>
      <c r="M16" s="162" t="str">
        <f>IF($K$16="","",IFERROR(VLOOKUP($K$16&amp;"/"&amp;$J16,$Z$7:$AA$30,2,0),""))</f>
        <v>Package Creation-Stage1</v>
      </c>
      <c r="N16" s="162"/>
      <c r="O16" s="162"/>
      <c r="P16" s="162"/>
      <c r="Q16" s="22">
        <f>IF($M16="","",SUMIFS($H$7:$H$30,$D$7:$D$30,$K$16&amp;"/"&amp;$M16))</f>
        <v>314.99999999999989</v>
      </c>
      <c r="R16" s="160">
        <f>SUM(Q16:Q19)</f>
        <v>925</v>
      </c>
      <c r="S16" s="30"/>
      <c r="T16" s="31"/>
      <c r="U16" s="82">
        <f>IF(COUNTIFS($D$6:$D16,D16)=1,1,0)</f>
        <v>0</v>
      </c>
      <c r="V16" s="83" t="str">
        <f>IF($U16=0,"",VLOOKUP($D16,TaskTimings[[Task]:[PRJLST]],10,0))</f>
        <v/>
      </c>
      <c r="W16" s="84" t="str">
        <f>IF($V16="","",COUNTIF($V$7:$V16,$V16))</f>
        <v/>
      </c>
      <c r="X16" s="84" t="str">
        <f>IF($W16=1,MAX($X$6:$X15)+1,"")</f>
        <v/>
      </c>
      <c r="Y16" s="85" t="str">
        <f t="shared" si="0"/>
        <v/>
      </c>
      <c r="Z16" s="83" t="str">
        <f>IF($Y16="","",$Y16&amp;"/"&amp;COUNTIF($Y$7:$Y16,$Y16))</f>
        <v/>
      </c>
      <c r="AA16" s="83" t="str">
        <f>IF($Z16="","",VLOOKUP($D16,TaskTimings[[Task]:[TSKLST]],11,0))</f>
        <v/>
      </c>
      <c r="AB16" s="86">
        <f t="shared" si="1"/>
        <v>0</v>
      </c>
    </row>
    <row r="17" spans="1:28" x14ac:dyDescent="0.25">
      <c r="A17" s="14">
        <v>4</v>
      </c>
      <c r="B17" s="139"/>
      <c r="C17" s="142"/>
      <c r="D17" s="171" t="str">
        <f>IFERROR(VLOOKUP($A$1&amp;"/"&amp;$B$15&amp;"/"&amp;$A16,TaskTimings[[EmployeeDateSeqCode]:[Task]],2,0),"")</f>
        <v/>
      </c>
      <c r="E17" s="171"/>
      <c r="F17" s="171"/>
      <c r="G17" s="171"/>
      <c r="H17" s="22">
        <f>IFERROR(VLOOKUP($A$1&amp;"/"&amp;$B$15&amp;"/"&amp;$A16,TaskTimings[[EmployeeDateSeqCode]:[Total Minutes]],7,0),0)</f>
        <v>0</v>
      </c>
      <c r="I17" s="160"/>
      <c r="J17" s="26">
        <v>2</v>
      </c>
      <c r="K17" s="163"/>
      <c r="L17" s="143"/>
      <c r="M17" s="162" t="str">
        <f>IF($K$16="","",IFERROR(VLOOKUP($K$16&amp;"/"&amp;$J17,$Z$7:$AA$30,2,0),""))</f>
        <v>Package Creation-Stage2(Resource creation)</v>
      </c>
      <c r="N17" s="162"/>
      <c r="O17" s="162"/>
      <c r="P17" s="162"/>
      <c r="Q17" s="22">
        <f>IF($M17="","",SUMIFS($H$7:$H$30,$D$7:$D$30,$K$16&amp;"/"&amp;$M17))</f>
        <v>610.00000000000011</v>
      </c>
      <c r="R17" s="160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39"/>
      <c r="C18" s="142"/>
      <c r="D18" s="171" t="str">
        <f>IFERROR(VLOOKUP($A$1&amp;"/"&amp;$B$15&amp;"/"&amp;$A17,TaskTimings[[EmployeeDateSeqCode]:[Task]],2,0),"")</f>
        <v/>
      </c>
      <c r="E18" s="171"/>
      <c r="F18" s="171"/>
      <c r="G18" s="171"/>
      <c r="H18" s="22">
        <f>IFERROR(VLOOKUP($A$1&amp;"/"&amp;$B$15&amp;"/"&amp;$A17,TaskTimings[[EmployeeDateSeqCode]:[Total Minutes]],7,0),0)</f>
        <v>0</v>
      </c>
      <c r="I18" s="160"/>
      <c r="J18" s="26">
        <v>3</v>
      </c>
      <c r="K18" s="163"/>
      <c r="L18" s="143"/>
      <c r="M18" s="162" t="str">
        <f>IF($K$16="","",IFERROR(VLOOKUP($K$16&amp;"/"&amp;$J18,$Z$7:$AA$30,2,0),""))</f>
        <v/>
      </c>
      <c r="N18" s="162"/>
      <c r="O18" s="162"/>
      <c r="P18" s="162"/>
      <c r="Q18" s="22" t="str">
        <f>IF($M18="","",SUMIFS($H$7:$H$30,$D$7:$D$30,$K$16&amp;"/"&amp;$M18))</f>
        <v/>
      </c>
      <c r="R18" s="160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172">
        <f>B15+1</f>
        <v>43447</v>
      </c>
      <c r="C19" s="142"/>
      <c r="D19" s="171" t="str">
        <f>IFERROR(VLOOKUP($A$1&amp;"/"&amp;$B$19&amp;"/"&amp;$A18,TaskTimings[[EmployeeDateSeqCode]:[Task]],2,0),"")</f>
        <v>TKT/Package Creation-Stage2(Resource creation)</v>
      </c>
      <c r="E19" s="171"/>
      <c r="F19" s="171"/>
      <c r="G19" s="171"/>
      <c r="H19" s="22">
        <f>IFERROR(VLOOKUP($A$1&amp;"/"&amp;$B$19&amp;"/"&amp;$A18,TaskTimings[[EmployeeDateSeqCode]:[Total Minutes]],7,0),0)</f>
        <v>445.00000000000011</v>
      </c>
      <c r="I19" s="160">
        <f t="shared" ref="I19" si="4">SUM(H19:H22)</f>
        <v>445.00000000000011</v>
      </c>
      <c r="J19" s="26">
        <v>4</v>
      </c>
      <c r="K19" s="163"/>
      <c r="L19" s="143"/>
      <c r="M19" s="162" t="str">
        <f>IF($K$16="","",IFERROR(VLOOKUP($K$16&amp;"/"&amp;$J19,$Z$7:$AA$30,2,0),""))</f>
        <v/>
      </c>
      <c r="N19" s="162"/>
      <c r="O19" s="162"/>
      <c r="P19" s="162"/>
      <c r="Q19" s="22" t="str">
        <f>IF($M19="","",SUMIFS($H$7:$H$30,$D$7:$D$30,$K$16&amp;"/"&amp;$M19))</f>
        <v/>
      </c>
      <c r="R19" s="160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39"/>
      <c r="C20" s="142"/>
      <c r="D20" s="171" t="str">
        <f>IFERROR(VLOOKUP($A$1&amp;"/"&amp;$B$19&amp;"/"&amp;$A19,TaskTimings[[EmployeeDateSeqCode]:[Task]],2,0),"")</f>
        <v/>
      </c>
      <c r="E20" s="171"/>
      <c r="F20" s="171"/>
      <c r="G20" s="171"/>
      <c r="H20" s="22">
        <f>IFERROR(VLOOKUP($A$1&amp;"/"&amp;$B$19&amp;"/"&amp;$A19,TaskTimings[[EmployeeDateSeqCode]:[Total Minutes]],7,0),0)</f>
        <v>0</v>
      </c>
      <c r="I20" s="160"/>
      <c r="J20" s="26">
        <v>1</v>
      </c>
      <c r="K20" s="163" t="str">
        <f>VLOOKUP(2,$K$7:$M$11,2,0)</f>
        <v>TEEBPD</v>
      </c>
      <c r="L20" s="143"/>
      <c r="M20" s="162" t="str">
        <f>IF($K$20="","",IFERROR(VLOOKUP($K$20&amp;"/"&amp;$J20,$Z$7:$AA$30,2,0),""))</f>
        <v>Table syncing</v>
      </c>
      <c r="N20" s="162"/>
      <c r="O20" s="162"/>
      <c r="P20" s="162"/>
      <c r="Q20" s="22">
        <f>IF($M20="","",SUMIFS($H$7:$H$30,$D$7:$D$30,$K$20&amp;"/"&amp;$M20))</f>
        <v>866.99999999999977</v>
      </c>
      <c r="R20" s="160">
        <f t="shared" ref="R20" si="5">SUM(Q20:Q23)</f>
        <v>866.99999999999977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39"/>
      <c r="C21" s="142"/>
      <c r="D21" s="171" t="str">
        <f>IFERROR(VLOOKUP($A$1&amp;"/"&amp;$B$19&amp;"/"&amp;$A20,TaskTimings[[EmployeeDateSeqCode]:[Task]],2,0),"")</f>
        <v/>
      </c>
      <c r="E21" s="171"/>
      <c r="F21" s="171"/>
      <c r="G21" s="171"/>
      <c r="H21" s="22">
        <f>IFERROR(VLOOKUP($A$1&amp;"/"&amp;$B$19&amp;"/"&amp;$A20,TaskTimings[[EmployeeDateSeqCode]:[Total Minutes]],7,0),0)</f>
        <v>0</v>
      </c>
      <c r="I21" s="160"/>
      <c r="J21" s="26">
        <v>2</v>
      </c>
      <c r="K21" s="163"/>
      <c r="L21" s="143"/>
      <c r="M21" s="162" t="str">
        <f>IF($K$20="","",IFERROR(VLOOKUP($K$20&amp;"/"&amp;$J21,$Z$7:$AA$30,2,0),""))</f>
        <v/>
      </c>
      <c r="N21" s="162"/>
      <c r="O21" s="162"/>
      <c r="P21" s="162"/>
      <c r="Q21" s="22" t="str">
        <f>IF($M21="","",SUMIFS($H$7:$H$30,$D$7:$D$30,$K$20&amp;"/"&amp;$M21))</f>
        <v/>
      </c>
      <c r="R21" s="160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39"/>
      <c r="C22" s="142"/>
      <c r="D22" s="171" t="str">
        <f>IFERROR(VLOOKUP($A$1&amp;"/"&amp;$B$19&amp;"/"&amp;$A21,TaskTimings[[EmployeeDateSeqCode]:[Task]],2,0),"")</f>
        <v/>
      </c>
      <c r="E22" s="171"/>
      <c r="F22" s="171"/>
      <c r="G22" s="171"/>
      <c r="H22" s="22">
        <f>IFERROR(VLOOKUP($A$1&amp;"/"&amp;$B$19&amp;"/"&amp;$A21,TaskTimings[[EmployeeDateSeqCode]:[Total Minutes]],7,0),0)</f>
        <v>0</v>
      </c>
      <c r="I22" s="160"/>
      <c r="J22" s="26">
        <v>3</v>
      </c>
      <c r="K22" s="163"/>
      <c r="L22" s="143"/>
      <c r="M22" s="162" t="str">
        <f>IF($K$20="","",IFERROR(VLOOKUP($K$20&amp;"/"&amp;$J22,$Z$7:$AA$30,2,0),""))</f>
        <v/>
      </c>
      <c r="N22" s="162"/>
      <c r="O22" s="162"/>
      <c r="P22" s="162"/>
      <c r="Q22" s="22" t="str">
        <f>IF($M22="","",SUMIFS($H$7:$H$30,$D$7:$D$30,$K$20&amp;"/"&amp;$M22))</f>
        <v/>
      </c>
      <c r="R22" s="160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172">
        <f>B19+1</f>
        <v>43448</v>
      </c>
      <c r="C23" s="142"/>
      <c r="D23" s="171" t="str">
        <f>IFERROR(VLOOKUP($A$1&amp;"/"&amp;$B$23&amp;"/"&amp;$A22,TaskTimings[[EmployeeDateSeqCode]:[Task]],2,0),"")</f>
        <v>TEEBPD/Table syncing</v>
      </c>
      <c r="E23" s="171"/>
      <c r="F23" s="171"/>
      <c r="G23" s="171"/>
      <c r="H23" s="22">
        <f>IFERROR(VLOOKUP($A$1&amp;"/"&amp;$B$23&amp;"/"&amp;$A22,TaskTimings[[EmployeeDateSeqCode]:[Total Minutes]],7,0),0)</f>
        <v>89.999999999999915</v>
      </c>
      <c r="I23" s="160">
        <f t="shared" ref="I23" si="6">SUM(H23:H26)</f>
        <v>264.99999999999994</v>
      </c>
      <c r="J23" s="26">
        <v>4</v>
      </c>
      <c r="K23" s="163"/>
      <c r="L23" s="143"/>
      <c r="M23" s="162" t="str">
        <f>IF($K$20="","",IFERROR(VLOOKUP($K$20&amp;"/"&amp;$J23,$Z$7:$AA$30,2,0),""))</f>
        <v/>
      </c>
      <c r="N23" s="162"/>
      <c r="O23" s="162"/>
      <c r="P23" s="162"/>
      <c r="Q23" s="22" t="str">
        <f>IF($M23="","",SUMIFS($H$7:$H$30,$D$7:$D$30,$K$20&amp;"/"&amp;$M23))</f>
        <v/>
      </c>
      <c r="R23" s="160"/>
      <c r="S23" s="25"/>
      <c r="T23" s="25"/>
      <c r="U23" s="82">
        <f>IF(COUNTIFS($D$6:$D23,D23)=1,1,0)</f>
        <v>0</v>
      </c>
      <c r="V23" s="83" t="str">
        <f>IF($U23=0,"",VLOOKUP($D23,TaskTimings[[Task]:[PRJLST]],10,0))</f>
        <v/>
      </c>
      <c r="W23" s="84" t="str">
        <f>IF($V23="","",COUNTIF($V$7:$V23,$V23))</f>
        <v/>
      </c>
      <c r="X23" s="84" t="str">
        <f>IF($W23=1,MAX($X$6:$X22)+1,"")</f>
        <v/>
      </c>
      <c r="Y23" s="85" t="str">
        <f t="shared" si="0"/>
        <v/>
      </c>
      <c r="Z23" s="83" t="str">
        <f>IF($Y23="","",$Y23&amp;"/"&amp;COUNTIF($Y$7:$Y23,$Y23))</f>
        <v/>
      </c>
      <c r="AA23" s="83" t="str">
        <f>IF($Z23="","",VLOOKUP($D23,TaskTimings[[Task]:[TSKLST]],11,0))</f>
        <v/>
      </c>
      <c r="AB23" s="86">
        <f t="shared" si="1"/>
        <v>0</v>
      </c>
    </row>
    <row r="24" spans="1:28" x14ac:dyDescent="0.25">
      <c r="A24" s="14">
        <v>3</v>
      </c>
      <c r="B24" s="139"/>
      <c r="C24" s="142"/>
      <c r="D24" s="171" t="str">
        <f>IFERROR(VLOOKUP($A$1&amp;"/"&amp;$B$23&amp;"/"&amp;$A23,TaskTimings[[EmployeeDateSeqCode]:[Task]],2,0),"")</f>
        <v>TEEBPD/Table syncing</v>
      </c>
      <c r="E24" s="171"/>
      <c r="F24" s="171"/>
      <c r="G24" s="171"/>
      <c r="H24" s="22">
        <f>IFERROR(VLOOKUP($A$1&amp;"/"&amp;$B$23&amp;"/"&amp;$A23,TaskTimings[[EmployeeDateSeqCode]:[Total Minutes]],7,0),0)</f>
        <v>175.00000000000003</v>
      </c>
      <c r="I24" s="160"/>
      <c r="J24" s="26">
        <v>1</v>
      </c>
      <c r="K24" s="163" t="str">
        <f>VLOOKUP(3,$K$7:$M$11,2,0)</f>
        <v/>
      </c>
      <c r="L24" s="143"/>
      <c r="M24" s="162" t="str">
        <f>IF($K$24="","",IFERROR(VLOOKUP($K$24&amp;"/"&amp;$J24,$Z$7:$AA$30,2,0),""))</f>
        <v/>
      </c>
      <c r="N24" s="162"/>
      <c r="O24" s="162"/>
      <c r="P24" s="162"/>
      <c r="Q24" s="22" t="str">
        <f>IF($M24="","",SUMIFS($H$7:$H$30,$D$7:$D$30,$K$24&amp;"/"&amp;$M24))</f>
        <v/>
      </c>
      <c r="R24" s="160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39"/>
      <c r="C25" s="142"/>
      <c r="D25" s="171" t="str">
        <f>IFERROR(VLOOKUP($A$1&amp;"/"&amp;$B$23&amp;"/"&amp;$A24,TaskTimings[[EmployeeDateSeqCode]:[Task]],2,0),"")</f>
        <v/>
      </c>
      <c r="E25" s="171"/>
      <c r="F25" s="171"/>
      <c r="G25" s="171"/>
      <c r="H25" s="22">
        <f>IFERROR(VLOOKUP($A$1&amp;"/"&amp;$B$23&amp;"/"&amp;$A24,TaskTimings[[EmployeeDateSeqCode]:[Total Minutes]],7,0),0)</f>
        <v>0</v>
      </c>
      <c r="I25" s="160"/>
      <c r="J25" s="26">
        <v>2</v>
      </c>
      <c r="K25" s="163"/>
      <c r="L25" s="143"/>
      <c r="M25" s="162" t="str">
        <f>IF($K$24="","",IFERROR(VLOOKUP($K$24&amp;"/"&amp;$J25,$Z$7:$AA$30,2,0),""))</f>
        <v/>
      </c>
      <c r="N25" s="162"/>
      <c r="O25" s="162"/>
      <c r="P25" s="162"/>
      <c r="Q25" s="22" t="str">
        <f>IF($M25="","",SUMIFS($H$7:$H$30,$D$7:$D$30,$K$24&amp;"/"&amp;$M25))</f>
        <v/>
      </c>
      <c r="R25" s="160"/>
      <c r="S25" s="25"/>
      <c r="T25" s="25"/>
      <c r="U25" s="82">
        <f>IF(COUNTIFS($D$6:$D25,D25)=1,1,0)</f>
        <v>0</v>
      </c>
      <c r="V25" s="83" t="str">
        <f>IF($U25=0,"",VLOOKUP($D25,TaskTimings[[Task]:[PRJLST]],10,0))</f>
        <v/>
      </c>
      <c r="W25" s="84" t="str">
        <f>IF($V25="","",COUNTIF($V$7:$V25,$V25))</f>
        <v/>
      </c>
      <c r="X25" s="84" t="str">
        <f>IF($W25=1,MAX($X$6:$X24)+1,"")</f>
        <v/>
      </c>
      <c r="Y25" s="85" t="str">
        <f t="shared" si="0"/>
        <v/>
      </c>
      <c r="Z25" s="83" t="str">
        <f>IF($Y25="","",$Y25&amp;"/"&amp;COUNTIF($Y$7:$Y25,$Y25))</f>
        <v/>
      </c>
      <c r="AA25" s="83" t="str">
        <f>IF($Z25="","",VLOOKUP($D25,TaskTimings[[Task]:[TSKLST]],11,0))</f>
        <v/>
      </c>
      <c r="AB25" s="86">
        <f t="shared" si="1"/>
        <v>0</v>
      </c>
    </row>
    <row r="26" spans="1:28" x14ac:dyDescent="0.25">
      <c r="A26" s="14">
        <v>1</v>
      </c>
      <c r="B26" s="139"/>
      <c r="C26" s="142"/>
      <c r="D26" s="171" t="str">
        <f>IFERROR(VLOOKUP($A$1&amp;"/"&amp;$B$23&amp;"/"&amp;$A25,TaskTimings[[EmployeeDateSeqCode]:[Task]],2,0),"")</f>
        <v/>
      </c>
      <c r="E26" s="171"/>
      <c r="F26" s="171"/>
      <c r="G26" s="171"/>
      <c r="H26" s="22">
        <f>IFERROR(VLOOKUP($A$1&amp;"/"&amp;$B$23&amp;"/"&amp;$A25,TaskTimings[[EmployeeDateSeqCode]:[Total Minutes]],7,0),0)</f>
        <v>0</v>
      </c>
      <c r="I26" s="160"/>
      <c r="J26" s="26">
        <v>3</v>
      </c>
      <c r="K26" s="163"/>
      <c r="L26" s="143"/>
      <c r="M26" s="162" t="str">
        <f>IF($K$24="","",IFERROR(VLOOKUP($K$24&amp;"/"&amp;$J26,$Z$7:$AA$30,2,0),""))</f>
        <v/>
      </c>
      <c r="N26" s="162"/>
      <c r="O26" s="162"/>
      <c r="P26" s="162"/>
      <c r="Q26" s="22" t="str">
        <f>IF($M26="","",SUMIFS($H$7:$H$30,$D$7:$D$30,$K$24&amp;"/"&amp;$M26))</f>
        <v/>
      </c>
      <c r="R26" s="160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172">
        <f>B23+1</f>
        <v>43449</v>
      </c>
      <c r="C27" s="142"/>
      <c r="D27" s="171" t="str">
        <f>IFERROR(VLOOKUP($A$1&amp;"/"&amp;$B$27&amp;"/"&amp;$A26,TaskTimings[[EmployeeDateSeqCode]:[Task]],2,0),"")</f>
        <v>TEEBPD/Table syncing</v>
      </c>
      <c r="E27" s="171"/>
      <c r="F27" s="171"/>
      <c r="G27" s="171"/>
      <c r="H27" s="22">
        <f>IFERROR(VLOOKUP($A$1&amp;"/"&amp;$B$27&amp;"/"&amp;$A26,TaskTimings[[EmployeeDateSeqCode]:[Total Minutes]],7,0),0)</f>
        <v>420</v>
      </c>
      <c r="I27" s="160">
        <f t="shared" ref="I27" si="8">SUM(H27:H30)</f>
        <v>420</v>
      </c>
      <c r="J27" s="26">
        <v>4</v>
      </c>
      <c r="K27" s="163"/>
      <c r="L27" s="143"/>
      <c r="M27" s="162" t="str">
        <f>IF($K$24="","",IFERROR(VLOOKUP($K$24&amp;"/"&amp;$J27,$Z$7:$AA$30,2,0),""))</f>
        <v/>
      </c>
      <c r="N27" s="162"/>
      <c r="O27" s="162"/>
      <c r="P27" s="162"/>
      <c r="Q27" s="22" t="str">
        <f>IF($M27="","",SUMIFS($H$7:$H$30,$D$7:$D$30,$K$24&amp;"/"&amp;$M27))</f>
        <v/>
      </c>
      <c r="R27" s="160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39"/>
      <c r="C28" s="142"/>
      <c r="D28" s="171" t="str">
        <f>IFERROR(VLOOKUP($A$1&amp;"/"&amp;$B$27&amp;"/"&amp;$A27,TaskTimings[[EmployeeDateSeqCode]:[Task]],2,0),"")</f>
        <v/>
      </c>
      <c r="E28" s="171"/>
      <c r="F28" s="171"/>
      <c r="G28" s="171"/>
      <c r="H28" s="22">
        <f>IFERROR(VLOOKUP($A$1&amp;"/"&amp;$B$27&amp;"/"&amp;$A27,TaskTimings[[EmployeeDateSeqCode]:[Total Minutes]],7,0),0)</f>
        <v>0</v>
      </c>
      <c r="I28" s="160"/>
      <c r="J28" s="26">
        <v>1</v>
      </c>
      <c r="K28" s="163" t="str">
        <f>VLOOKUP(4,$K$7:$M$11,2,0)</f>
        <v/>
      </c>
      <c r="L28" s="143"/>
      <c r="M28" s="162" t="str">
        <f>IF($K$28="","",IFERROR(VLOOKUP($K$28&amp;"/"&amp;$J28,$Z$7:$AA$30,2,0),""))</f>
        <v/>
      </c>
      <c r="N28" s="162"/>
      <c r="O28" s="162"/>
      <c r="P28" s="162"/>
      <c r="Q28" s="22" t="str">
        <f>IF($M28="","",SUMIFS($H$7:$H$30,$D$7:$D$30,$K$28&amp;"/"&amp;$M28))</f>
        <v/>
      </c>
      <c r="R28" s="160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39"/>
      <c r="C29" s="142"/>
      <c r="D29" s="171" t="str">
        <f>IFERROR(VLOOKUP($A$1&amp;"/"&amp;$B$27&amp;"/"&amp;$A28,TaskTimings[[EmployeeDateSeqCode]:[Task]],2,0),"")</f>
        <v/>
      </c>
      <c r="E29" s="171"/>
      <c r="F29" s="171"/>
      <c r="G29" s="171"/>
      <c r="H29" s="22">
        <f>IFERROR(VLOOKUP($A$1&amp;"/"&amp;$B$27&amp;"/"&amp;$A28,TaskTimings[[EmployeeDateSeqCode]:[Total Minutes]],7,0),0)</f>
        <v>0</v>
      </c>
      <c r="I29" s="160"/>
      <c r="J29" s="26">
        <v>2</v>
      </c>
      <c r="K29" s="163"/>
      <c r="L29" s="143"/>
      <c r="M29" s="162" t="str">
        <f>IF($K$28="","",IFERROR(VLOOKUP($K$28&amp;"/"&amp;$J29,$Z$7:$AA$30,2,0),""))</f>
        <v/>
      </c>
      <c r="N29" s="162"/>
      <c r="O29" s="162"/>
      <c r="P29" s="162"/>
      <c r="Q29" s="22" t="str">
        <f>IF($M29="","",SUMIFS($H$7:$H$30,$D$7:$D$30,$K$28&amp;"/"&amp;$M29))</f>
        <v/>
      </c>
      <c r="R29" s="160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173"/>
      <c r="C30" s="174"/>
      <c r="D30" s="169" t="str">
        <f>IFERROR(VLOOKUP($A$1&amp;"/"&amp;$B$27&amp;"/"&amp;$A29,TaskTimings[[EmployeeDateSeqCode]:[Task]],2,0),"")</f>
        <v/>
      </c>
      <c r="E30" s="169"/>
      <c r="F30" s="169"/>
      <c r="G30" s="169"/>
      <c r="H30" s="24">
        <f>IFERROR(VLOOKUP($A$1&amp;"/"&amp;$B$27&amp;"/"&amp;$A29,TaskTimings[[EmployeeDateSeqCode]:[Total Minutes]],7,0),0)</f>
        <v>0</v>
      </c>
      <c r="I30" s="161"/>
      <c r="J30" s="26">
        <v>3</v>
      </c>
      <c r="K30" s="163"/>
      <c r="L30" s="143"/>
      <c r="M30" s="162" t="str">
        <f>IF($K$28="","",IFERROR(VLOOKUP($K$28&amp;"/"&amp;$J30,$Z$7:$AA$30,2,0),""))</f>
        <v/>
      </c>
      <c r="N30" s="162"/>
      <c r="O30" s="162"/>
      <c r="P30" s="162"/>
      <c r="Q30" s="22" t="str">
        <f>IF($M30="","",SUMIFS($H$7:$H$30,$D$7:$D$30,$K$28&amp;"/"&amp;$M30))</f>
        <v/>
      </c>
      <c r="R30" s="160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163"/>
      <c r="L31" s="143"/>
      <c r="M31" s="162" t="str">
        <f>IF($K$28="","",IFERROR(VLOOKUP($K$28&amp;"/"&amp;$J31,$Z$7:$AA$30,2,0),""))</f>
        <v/>
      </c>
      <c r="N31" s="162"/>
      <c r="O31" s="162"/>
      <c r="P31" s="162"/>
      <c r="Q31" s="22" t="str">
        <f>IF($M31="","",SUMIFS($H$7:$H$30,$D$7:$D$30,$K$28&amp;"/"&amp;$M31))</f>
        <v/>
      </c>
      <c r="R31" s="160"/>
    </row>
    <row r="32" spans="1:28" x14ac:dyDescent="0.25">
      <c r="J32" s="26">
        <v>1</v>
      </c>
      <c r="K32" s="163" t="str">
        <f>VLOOKUP(5,$K$7:$M$11,2,0)</f>
        <v/>
      </c>
      <c r="L32" s="143"/>
      <c r="M32" s="162" t="str">
        <f>IF($K$32="","",IFERROR(VLOOKUP($K$32&amp;"/"&amp;$J32,$Z$7:$AA$30,2,0),""))</f>
        <v/>
      </c>
      <c r="N32" s="162"/>
      <c r="O32" s="162"/>
      <c r="P32" s="162"/>
      <c r="Q32" s="22" t="str">
        <f>IF($M32="","",SUMIFS($H$7:$H$30,$D$7:$D$30,$K$32&amp;"/"&amp;$M32))</f>
        <v/>
      </c>
      <c r="R32" s="160">
        <f t="shared" ref="R32" si="10">SUM(Q32:Q35)</f>
        <v>0</v>
      </c>
    </row>
    <row r="33" spans="10:18" x14ac:dyDescent="0.25">
      <c r="J33" s="26">
        <v>2</v>
      </c>
      <c r="K33" s="163"/>
      <c r="L33" s="143"/>
      <c r="M33" s="162" t="str">
        <f>IF($K$32="","",IFERROR(VLOOKUP($K$32&amp;"/"&amp;$J33,$Z$7:$AA$30,2,0),""))</f>
        <v/>
      </c>
      <c r="N33" s="162"/>
      <c r="O33" s="162"/>
      <c r="P33" s="162"/>
      <c r="Q33" s="22" t="str">
        <f>IF($M33="","",SUMIFS($H$7:$H$30,$D$7:$D$30,$K$32&amp;"/"&amp;$M33))</f>
        <v/>
      </c>
      <c r="R33" s="160"/>
    </row>
    <row r="34" spans="10:18" x14ac:dyDescent="0.25">
      <c r="J34" s="26">
        <v>3</v>
      </c>
      <c r="K34" s="163"/>
      <c r="L34" s="143"/>
      <c r="M34" s="162" t="str">
        <f>IF($K$32="","",IFERROR(VLOOKUP($K$32&amp;"/"&amp;$J34,$Z$7:$AA$30,2,0),""))</f>
        <v/>
      </c>
      <c r="N34" s="162"/>
      <c r="O34" s="162"/>
      <c r="P34" s="162"/>
      <c r="Q34" s="22" t="str">
        <f>IF($M34="","",SUMIFS($H$7:$H$30,$D$7:$D$30,$K$32&amp;"/"&amp;$M34))</f>
        <v/>
      </c>
      <c r="R34" s="160"/>
    </row>
    <row r="35" spans="10:18" ht="15.75" thickBot="1" x14ac:dyDescent="0.3">
      <c r="J35" s="26">
        <v>4</v>
      </c>
      <c r="K35" s="164"/>
      <c r="L35" s="149"/>
      <c r="M35" s="165" t="str">
        <f>IF($K$32="","",IFERROR(VLOOKUP($K$32&amp;"/"&amp;$J35,$Z$7:$AA$30,2,0),""))</f>
        <v/>
      </c>
      <c r="N35" s="165"/>
      <c r="O35" s="165"/>
      <c r="P35" s="165"/>
      <c r="Q35" s="24" t="str">
        <f>IF($M35="","",SUMIFS($H$7:$H$30,$D$7:$D$30,$K$32&amp;"/"&amp;$M35))</f>
        <v/>
      </c>
      <c r="R35" s="161"/>
    </row>
  </sheetData>
  <mergeCells count="82"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M19:P19"/>
    <mergeCell ref="K15:L15"/>
    <mergeCell ref="L7:M7"/>
    <mergeCell ref="L8:M8"/>
    <mergeCell ref="L9:M9"/>
    <mergeCell ref="L10:M10"/>
    <mergeCell ref="L11:M11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Aswathy M S</cp:lastModifiedBy>
  <cp:lastPrinted>2018-11-23T17:04:38Z</cp:lastPrinted>
  <dcterms:created xsi:type="dcterms:W3CDTF">2018-11-23T13:42:04Z</dcterms:created>
  <dcterms:modified xsi:type="dcterms:W3CDTF">2019-01-02T04:31:48Z</dcterms:modified>
</cp:coreProperties>
</file>